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6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Sheet 31" sheetId="47" r:id="rId31"/>
    <sheet name="report 2019" sheetId="38" r:id="rId32"/>
    <sheet name="stream I " sheetId="34" r:id="rId33"/>
    <sheet name=" stream II  " sheetId="35" r:id="rId34"/>
    <sheet name="stream III " sheetId="36" r:id="rId35"/>
    <sheet name="Sheet34" sheetId="48" r:id="rId36"/>
    <sheet name="Sheet35" sheetId="49" r:id="rId37"/>
  </sheets>
  <calcPr calcId="145621"/>
</workbook>
</file>

<file path=xl/calcChain.xml><?xml version="1.0" encoding="utf-8"?>
<calcChain xmlns="http://schemas.openxmlformats.org/spreadsheetml/2006/main">
  <c r="O41" i="38" l="1"/>
  <c r="M38" i="38"/>
  <c r="L38" i="38"/>
  <c r="K38" i="38"/>
  <c r="J38" i="38"/>
  <c r="I38" i="38"/>
  <c r="H38" i="38"/>
  <c r="G38" i="38"/>
  <c r="F38" i="38"/>
  <c r="M37" i="38"/>
  <c r="L37" i="38"/>
  <c r="K37" i="38"/>
  <c r="J37" i="38"/>
  <c r="I37" i="38"/>
  <c r="H37" i="38"/>
  <c r="G37" i="38"/>
  <c r="F37" i="38"/>
  <c r="M36" i="38"/>
  <c r="L36" i="38"/>
  <c r="K36" i="38"/>
  <c r="J36" i="38"/>
  <c r="I36" i="38"/>
  <c r="H36" i="38"/>
  <c r="G36" i="38"/>
  <c r="F36" i="38"/>
  <c r="M35" i="38"/>
  <c r="L35" i="38"/>
  <c r="O35" i="38" s="1"/>
  <c r="N35" i="38" s="1"/>
  <c r="K35" i="38"/>
  <c r="J35" i="38"/>
  <c r="I35" i="38"/>
  <c r="H35" i="38"/>
  <c r="G35" i="38"/>
  <c r="F35" i="38"/>
  <c r="M34" i="38"/>
  <c r="L34" i="38"/>
  <c r="K34" i="38"/>
  <c r="J34" i="38"/>
  <c r="I34" i="38"/>
  <c r="H34" i="38"/>
  <c r="G34" i="38"/>
  <c r="F34" i="38"/>
  <c r="M33" i="38"/>
  <c r="L33" i="38"/>
  <c r="K33" i="38"/>
  <c r="J33" i="38"/>
  <c r="I33" i="38"/>
  <c r="H33" i="38"/>
  <c r="G33" i="38"/>
  <c r="F33" i="38"/>
  <c r="M32" i="38"/>
  <c r="L32" i="38"/>
  <c r="K32" i="38"/>
  <c r="J32" i="38"/>
  <c r="I32" i="38"/>
  <c r="H32" i="38"/>
  <c r="G32" i="38"/>
  <c r="F32" i="38"/>
  <c r="M31" i="38"/>
  <c r="L31" i="38"/>
  <c r="O31" i="38" s="1"/>
  <c r="N31" i="38" s="1"/>
  <c r="K31" i="38"/>
  <c r="J31" i="38"/>
  <c r="I31" i="38"/>
  <c r="H31" i="38"/>
  <c r="G31" i="38"/>
  <c r="F31" i="38"/>
  <c r="M30" i="38"/>
  <c r="L30" i="38"/>
  <c r="K30" i="38"/>
  <c r="J30" i="38"/>
  <c r="I30" i="38"/>
  <c r="H30" i="38"/>
  <c r="G30" i="38"/>
  <c r="F30" i="38"/>
  <c r="M29" i="38"/>
  <c r="L29" i="38"/>
  <c r="K29" i="38"/>
  <c r="J29" i="38"/>
  <c r="I29" i="38"/>
  <c r="H29" i="38"/>
  <c r="G29" i="38"/>
  <c r="F29" i="38"/>
  <c r="M28" i="38"/>
  <c r="L28" i="38"/>
  <c r="K28" i="38"/>
  <c r="J28" i="38"/>
  <c r="I28" i="38"/>
  <c r="H28" i="38"/>
  <c r="G28" i="38"/>
  <c r="F28" i="38"/>
  <c r="M27" i="38"/>
  <c r="L27" i="38"/>
  <c r="O27" i="38" s="1"/>
  <c r="N27" i="38" s="1"/>
  <c r="K27" i="38"/>
  <c r="J27" i="38"/>
  <c r="I27" i="38"/>
  <c r="H27" i="38"/>
  <c r="G27" i="38"/>
  <c r="F27" i="38"/>
  <c r="M26" i="38"/>
  <c r="L26" i="38"/>
  <c r="K26" i="38"/>
  <c r="J26" i="38"/>
  <c r="I26" i="38"/>
  <c r="H26" i="38"/>
  <c r="G26" i="38"/>
  <c r="F26" i="38"/>
  <c r="M25" i="38"/>
  <c r="L25" i="38"/>
  <c r="K25" i="38"/>
  <c r="J25" i="38"/>
  <c r="I25" i="38"/>
  <c r="H25" i="38"/>
  <c r="G25" i="38"/>
  <c r="F25" i="38"/>
  <c r="M24" i="38"/>
  <c r="L24" i="38"/>
  <c r="K24" i="38"/>
  <c r="J24" i="38"/>
  <c r="I24" i="38"/>
  <c r="H24" i="38"/>
  <c r="G24" i="38"/>
  <c r="F24" i="38"/>
  <c r="M23" i="38"/>
  <c r="L23" i="38"/>
  <c r="K23" i="38"/>
  <c r="O23" i="38" s="1"/>
  <c r="N23" i="38" s="1"/>
  <c r="J23" i="38"/>
  <c r="I23" i="38"/>
  <c r="H23" i="38"/>
  <c r="G23" i="38"/>
  <c r="F23" i="38"/>
  <c r="M22" i="38"/>
  <c r="L22" i="38"/>
  <c r="O22" i="38" s="1"/>
  <c r="N22" i="38" s="1"/>
  <c r="K22" i="38"/>
  <c r="J22" i="38"/>
  <c r="I22" i="38"/>
  <c r="H22" i="38"/>
  <c r="G22" i="38"/>
  <c r="F22" i="38"/>
  <c r="M21" i="38"/>
  <c r="L21" i="38"/>
  <c r="K21" i="38"/>
  <c r="J21" i="38"/>
  <c r="I21" i="38"/>
  <c r="H21" i="38"/>
  <c r="G21" i="38"/>
  <c r="F21" i="38"/>
  <c r="M20" i="38"/>
  <c r="L20" i="38"/>
  <c r="K20" i="38"/>
  <c r="J20" i="38"/>
  <c r="I20" i="38"/>
  <c r="H20" i="38"/>
  <c r="G20" i="38"/>
  <c r="F20" i="38"/>
  <c r="M19" i="38"/>
  <c r="L19" i="38"/>
  <c r="K19" i="38"/>
  <c r="O19" i="38" s="1"/>
  <c r="N19" i="38" s="1"/>
  <c r="J19" i="38"/>
  <c r="I19" i="38"/>
  <c r="H19" i="38"/>
  <c r="G19" i="38"/>
  <c r="F19" i="38"/>
  <c r="M18" i="38"/>
  <c r="L18" i="38"/>
  <c r="O18" i="38" s="1"/>
  <c r="N18" i="38" s="1"/>
  <c r="K18" i="38"/>
  <c r="J18" i="38"/>
  <c r="I18" i="38"/>
  <c r="H18" i="38"/>
  <c r="G18" i="38"/>
  <c r="F18" i="38"/>
  <c r="M17" i="38"/>
  <c r="L17" i="38"/>
  <c r="K17" i="38"/>
  <c r="J17" i="38"/>
  <c r="I17" i="38"/>
  <c r="H17" i="38"/>
  <c r="G17" i="38"/>
  <c r="F17" i="38"/>
  <c r="M16" i="38"/>
  <c r="L16" i="38"/>
  <c r="K16" i="38"/>
  <c r="J16" i="38"/>
  <c r="I16" i="38"/>
  <c r="H16" i="38"/>
  <c r="G16" i="38"/>
  <c r="F16" i="38"/>
  <c r="M15" i="38"/>
  <c r="L15" i="38"/>
  <c r="K15" i="38"/>
  <c r="O15" i="38" s="1"/>
  <c r="N15" i="38" s="1"/>
  <c r="J15" i="38"/>
  <c r="I15" i="38"/>
  <c r="H15" i="38"/>
  <c r="G15" i="38"/>
  <c r="F15" i="38"/>
  <c r="M14" i="38"/>
  <c r="L14" i="38"/>
  <c r="O14" i="38" s="1"/>
  <c r="N14" i="38" s="1"/>
  <c r="K14" i="38"/>
  <c r="J14" i="38"/>
  <c r="I14" i="38"/>
  <c r="H14" i="38"/>
  <c r="G14" i="38"/>
  <c r="F14" i="38"/>
  <c r="M13" i="38"/>
  <c r="L13" i="38"/>
  <c r="K13" i="38"/>
  <c r="J13" i="38"/>
  <c r="I13" i="38"/>
  <c r="H13" i="38"/>
  <c r="G13" i="38"/>
  <c r="F13" i="38"/>
  <c r="M12" i="38"/>
  <c r="L12" i="38"/>
  <c r="K12" i="38"/>
  <c r="J12" i="38"/>
  <c r="I12" i="38"/>
  <c r="H12" i="38"/>
  <c r="G12" i="38"/>
  <c r="F12" i="38"/>
  <c r="M11" i="38"/>
  <c r="L11" i="38"/>
  <c r="K11" i="38"/>
  <c r="O11" i="38" s="1"/>
  <c r="N11" i="38" s="1"/>
  <c r="J11" i="38"/>
  <c r="I11" i="38"/>
  <c r="H11" i="38"/>
  <c r="G11" i="38"/>
  <c r="F11" i="38"/>
  <c r="M10" i="38"/>
  <c r="L10" i="38"/>
  <c r="K10" i="38"/>
  <c r="O10" i="38" s="1"/>
  <c r="N10" i="38" s="1"/>
  <c r="J10" i="38"/>
  <c r="I10" i="38"/>
  <c r="H10" i="38"/>
  <c r="G10" i="38"/>
  <c r="F10" i="38"/>
  <c r="M9" i="38"/>
  <c r="L9" i="38"/>
  <c r="K9" i="38"/>
  <c r="J9" i="38"/>
  <c r="I9" i="38"/>
  <c r="H9" i="38"/>
  <c r="G9" i="38"/>
  <c r="F9" i="38"/>
  <c r="M8" i="38"/>
  <c r="L8" i="38"/>
  <c r="L39" i="38" s="1"/>
  <c r="K8" i="38"/>
  <c r="K39" i="38" s="1"/>
  <c r="J8" i="38"/>
  <c r="I8" i="38"/>
  <c r="H8" i="38"/>
  <c r="H39" i="38" s="1"/>
  <c r="G8" i="38"/>
  <c r="G39" i="38" s="1"/>
  <c r="F8" i="38"/>
  <c r="O38" i="38"/>
  <c r="N38" i="38" s="1"/>
  <c r="O37" i="38"/>
  <c r="N37" i="38" s="1"/>
  <c r="O36" i="38"/>
  <c r="N36" i="38" s="1"/>
  <c r="O34" i="38"/>
  <c r="N34" i="38" s="1"/>
  <c r="O33" i="38"/>
  <c r="N33" i="38" s="1"/>
  <c r="O32" i="38"/>
  <c r="N32" i="38" s="1"/>
  <c r="O30" i="38"/>
  <c r="N30" i="38" s="1"/>
  <c r="O29" i="38"/>
  <c r="N29" i="38" s="1"/>
  <c r="O28" i="38"/>
  <c r="N28" i="38" s="1"/>
  <c r="O26" i="38"/>
  <c r="N26" i="38" s="1"/>
  <c r="O25" i="38"/>
  <c r="N25" i="38" s="1"/>
  <c r="O24" i="38"/>
  <c r="N24" i="38" s="1"/>
  <c r="O21" i="38"/>
  <c r="N21" i="38" s="1"/>
  <c r="O20" i="38"/>
  <c r="N20" i="38" s="1"/>
  <c r="O17" i="38"/>
  <c r="N17" i="38" s="1"/>
  <c r="O16" i="38"/>
  <c r="N16" i="38" s="1"/>
  <c r="O13" i="38"/>
  <c r="N13" i="38" s="1"/>
  <c r="O12" i="38"/>
  <c r="N12" i="38" s="1"/>
  <c r="O9" i="38"/>
  <c r="N9" i="38" s="1"/>
  <c r="M39" i="38"/>
  <c r="J39" i="38"/>
  <c r="I39" i="38"/>
  <c r="F39" i="38"/>
  <c r="O8" i="38" l="1"/>
  <c r="O39" i="38" l="1"/>
  <c r="N8" i="38"/>
  <c r="N39" i="38" s="1"/>
  <c r="K89" i="49" l="1"/>
  <c r="C37" i="48"/>
  <c r="V37" i="34"/>
  <c r="G37" i="48"/>
  <c r="F37" i="48"/>
  <c r="E37" i="48"/>
  <c r="D37" i="48"/>
  <c r="H37" i="48" l="1"/>
  <c r="I37" i="48" s="1"/>
  <c r="J37" i="48" l="1"/>
  <c r="K37" i="48" s="1"/>
  <c r="L89" i="49" l="1"/>
  <c r="I89" i="49"/>
  <c r="H89" i="49"/>
  <c r="U35" i="36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5" i="36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U5" i="35"/>
  <c r="R23" i="38"/>
  <c r="P23" i="38"/>
  <c r="Q38" i="38"/>
  <c r="P38" i="38"/>
  <c r="O25" i="46"/>
  <c r="M17" i="47"/>
  <c r="M16" i="47"/>
  <c r="M15" i="47"/>
  <c r="M14" i="47"/>
  <c r="M12" i="47"/>
  <c r="M11" i="47"/>
  <c r="M10" i="47"/>
  <c r="M9" i="47"/>
  <c r="M7" i="47"/>
  <c r="M6" i="47"/>
  <c r="M4" i="47"/>
  <c r="U36" i="36" l="1"/>
  <c r="T36" i="36"/>
  <c r="S36" i="36"/>
  <c r="R36" i="36"/>
  <c r="Q36" i="36"/>
  <c r="P36" i="36"/>
  <c r="N36" i="36"/>
  <c r="M36" i="36"/>
  <c r="L36" i="36"/>
  <c r="K36" i="36"/>
  <c r="J36" i="36"/>
  <c r="T36" i="35"/>
  <c r="S36" i="35"/>
  <c r="R36" i="35"/>
  <c r="Q36" i="35"/>
  <c r="P36" i="35"/>
  <c r="O36" i="35"/>
  <c r="N36" i="35"/>
  <c r="M36" i="35"/>
  <c r="L36" i="35"/>
  <c r="K36" i="35"/>
  <c r="J36" i="35"/>
  <c r="U36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5" i="34"/>
  <c r="V14" i="34"/>
  <c r="V13" i="34"/>
  <c r="V12" i="34"/>
  <c r="V11" i="34"/>
  <c r="V10" i="34"/>
  <c r="V9" i="34"/>
  <c r="V8" i="34"/>
  <c r="V7" i="34"/>
  <c r="V6" i="34"/>
  <c r="V34" i="35"/>
  <c r="V33" i="35"/>
  <c r="V32" i="35"/>
  <c r="V31" i="35"/>
  <c r="V30" i="35"/>
  <c r="V29" i="35"/>
  <c r="V28" i="35"/>
  <c r="V27" i="35"/>
  <c r="V26" i="35"/>
  <c r="V25" i="35"/>
  <c r="V24" i="35"/>
  <c r="V23" i="35"/>
  <c r="V22" i="35"/>
  <c r="V21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V5" i="35"/>
  <c r="U36" i="35"/>
  <c r="V34" i="36"/>
  <c r="V33" i="36"/>
  <c r="V32" i="36"/>
  <c r="V31" i="36"/>
  <c r="V30" i="36"/>
  <c r="V29" i="36"/>
  <c r="V28" i="36"/>
  <c r="V27" i="36"/>
  <c r="V26" i="36"/>
  <c r="V25" i="36"/>
  <c r="V24" i="36"/>
  <c r="V23" i="36"/>
  <c r="V22" i="36"/>
  <c r="V21" i="36"/>
  <c r="V20" i="36"/>
  <c r="V19" i="36"/>
  <c r="V18" i="36"/>
  <c r="V17" i="36"/>
  <c r="V16" i="36"/>
  <c r="V15" i="36"/>
  <c r="V14" i="36"/>
  <c r="V13" i="36"/>
  <c r="V12" i="36"/>
  <c r="V11" i="36"/>
  <c r="V10" i="36"/>
  <c r="V9" i="36"/>
  <c r="V8" i="36"/>
  <c r="V7" i="36"/>
  <c r="V6" i="36"/>
  <c r="V5" i="36"/>
  <c r="J23" i="46"/>
  <c r="G23" i="46"/>
  <c r="D23" i="46"/>
  <c r="J22" i="46"/>
  <c r="G22" i="46"/>
  <c r="D22" i="46"/>
  <c r="J21" i="46"/>
  <c r="L21" i="46" s="1"/>
  <c r="G21" i="46"/>
  <c r="D21" i="46"/>
  <c r="D21" i="29"/>
  <c r="M17" i="46"/>
  <c r="M16" i="46"/>
  <c r="M15" i="46"/>
  <c r="M14" i="46"/>
  <c r="M12" i="46"/>
  <c r="M11" i="46"/>
  <c r="M9" i="46"/>
  <c r="M7" i="46"/>
  <c r="M6" i="46"/>
  <c r="M5" i="46"/>
  <c r="M4" i="46"/>
  <c r="M17" i="29"/>
  <c r="M16" i="29"/>
  <c r="M15" i="29"/>
  <c r="M14" i="29"/>
  <c r="M12" i="29"/>
  <c r="M11" i="29"/>
  <c r="M10" i="29"/>
  <c r="M9" i="29"/>
  <c r="M7" i="29"/>
  <c r="M5" i="29"/>
  <c r="M4" i="29"/>
  <c r="D24" i="46" l="1"/>
  <c r="L23" i="46"/>
  <c r="G24" i="46"/>
  <c r="L22" i="46"/>
  <c r="J24" i="46"/>
  <c r="L24" i="46" l="1"/>
  <c r="T35" i="36"/>
  <c r="O35" i="36"/>
  <c r="O36" i="36" s="1"/>
  <c r="G35" i="36"/>
  <c r="F35" i="36"/>
  <c r="D35" i="36"/>
  <c r="C35" i="36"/>
  <c r="T35" i="35"/>
  <c r="O35" i="35"/>
  <c r="G35" i="35"/>
  <c r="F35" i="35"/>
  <c r="D35" i="35"/>
  <c r="C35" i="35"/>
  <c r="T35" i="34"/>
  <c r="O35" i="34"/>
  <c r="G35" i="34"/>
  <c r="F35" i="34"/>
  <c r="D35" i="34"/>
  <c r="C35" i="34"/>
  <c r="M17" i="28" l="1"/>
  <c r="M15" i="28"/>
  <c r="M14" i="28"/>
  <c r="M12" i="28"/>
  <c r="M11" i="28"/>
  <c r="M10" i="28"/>
  <c r="M9" i="28"/>
  <c r="M7" i="28"/>
  <c r="M5" i="28"/>
  <c r="M4" i="28"/>
  <c r="M17" i="27" l="1"/>
  <c r="M16" i="27"/>
  <c r="M15" i="27"/>
  <c r="M14" i="27"/>
  <c r="M12" i="27"/>
  <c r="M11" i="27"/>
  <c r="M10" i="27"/>
  <c r="M9" i="27"/>
  <c r="M7" i="27"/>
  <c r="M5" i="27"/>
  <c r="M4" i="27"/>
  <c r="J22" i="26" l="1"/>
  <c r="J21" i="26"/>
  <c r="D23" i="26"/>
  <c r="M17" i="26"/>
  <c r="M16" i="26"/>
  <c r="M15" i="26"/>
  <c r="M14" i="26"/>
  <c r="M12" i="26"/>
  <c r="M11" i="26"/>
  <c r="M10" i="26"/>
  <c r="M9" i="26"/>
  <c r="M7" i="26"/>
  <c r="M5" i="26"/>
  <c r="M4" i="26"/>
  <c r="J22" i="25" l="1"/>
  <c r="J21" i="25"/>
  <c r="G23" i="25"/>
  <c r="M17" i="25"/>
  <c r="M16" i="25"/>
  <c r="M15" i="25"/>
  <c r="M14" i="25"/>
  <c r="M12" i="25"/>
  <c r="M11" i="25"/>
  <c r="M10" i="25"/>
  <c r="M9" i="25"/>
  <c r="M7" i="25"/>
  <c r="M6" i="25"/>
  <c r="M4" i="25"/>
  <c r="J22" i="24" l="1"/>
  <c r="J21" i="24"/>
  <c r="D23" i="24"/>
  <c r="M17" i="24"/>
  <c r="M16" i="24"/>
  <c r="M15" i="24"/>
  <c r="M14" i="24"/>
  <c r="M12" i="24"/>
  <c r="M11" i="24"/>
  <c r="M10" i="24"/>
  <c r="M9" i="24"/>
  <c r="M7" i="24"/>
  <c r="M6" i="24"/>
  <c r="M4" i="24"/>
  <c r="L24" i="23" l="1"/>
  <c r="J23" i="23"/>
  <c r="J22" i="23"/>
  <c r="O25" i="23"/>
  <c r="M17" i="23"/>
  <c r="M16" i="23"/>
  <c r="M15" i="23"/>
  <c r="M14" i="23"/>
  <c r="M12" i="23"/>
  <c r="M11" i="23"/>
  <c r="M10" i="23"/>
  <c r="M9" i="23"/>
  <c r="M7" i="23"/>
  <c r="M6" i="23"/>
  <c r="M5" i="23"/>
  <c r="G23" i="22" l="1"/>
  <c r="J23" i="22"/>
  <c r="D23" i="22"/>
  <c r="L23" i="22" s="1"/>
  <c r="J22" i="22"/>
  <c r="G22" i="22"/>
  <c r="D22" i="22"/>
  <c r="L22" i="22" s="1"/>
  <c r="J21" i="22"/>
  <c r="J24" i="22" s="1"/>
  <c r="G21" i="22"/>
  <c r="D21" i="22"/>
  <c r="M17" i="22"/>
  <c r="M16" i="22"/>
  <c r="M15" i="22"/>
  <c r="M14" i="22"/>
  <c r="M12" i="22"/>
  <c r="M11" i="22"/>
  <c r="M10" i="22"/>
  <c r="M9" i="22"/>
  <c r="M7" i="22"/>
  <c r="M5" i="22"/>
  <c r="M4" i="22"/>
  <c r="J23" i="21"/>
  <c r="J22" i="21"/>
  <c r="G23" i="21"/>
  <c r="L21" i="22" l="1"/>
  <c r="G24" i="22"/>
  <c r="L24" i="22"/>
  <c r="D24" i="22"/>
  <c r="G22" i="21"/>
  <c r="M17" i="21"/>
  <c r="M16" i="21"/>
  <c r="M15" i="21"/>
  <c r="M14" i="21"/>
  <c r="M12" i="21"/>
  <c r="M11" i="21"/>
  <c r="M10" i="21"/>
  <c r="M9" i="21"/>
  <c r="M7" i="21"/>
  <c r="M5" i="21"/>
  <c r="M4" i="21"/>
  <c r="J22" i="20" l="1"/>
  <c r="G23" i="20"/>
  <c r="G22" i="20"/>
  <c r="D22" i="20"/>
  <c r="D23" i="20"/>
  <c r="M17" i="20"/>
  <c r="M16" i="20"/>
  <c r="M15" i="20"/>
  <c r="M14" i="20"/>
  <c r="M12" i="20"/>
  <c r="M11" i="20"/>
  <c r="M10" i="20"/>
  <c r="M9" i="20"/>
  <c r="M7" i="20"/>
  <c r="M6" i="20"/>
  <c r="M5" i="20"/>
  <c r="D22" i="19" l="1"/>
  <c r="M17" i="19" l="1"/>
  <c r="M16" i="19"/>
  <c r="M15" i="19"/>
  <c r="M14" i="19"/>
  <c r="M12" i="19"/>
  <c r="M11" i="19"/>
  <c r="M10" i="19"/>
  <c r="M9" i="19"/>
  <c r="M7" i="19"/>
  <c r="M6" i="19"/>
  <c r="M5" i="19"/>
  <c r="D23" i="18"/>
  <c r="J23" i="18"/>
  <c r="J21" i="18"/>
  <c r="G22" i="18"/>
  <c r="G21" i="18"/>
  <c r="O25" i="18"/>
  <c r="M17" i="18" l="1"/>
  <c r="M16" i="18"/>
  <c r="M15" i="18"/>
  <c r="M14" i="18"/>
  <c r="M12" i="18"/>
  <c r="M11" i="18"/>
  <c r="M10" i="18"/>
  <c r="M9" i="18"/>
  <c r="M7" i="18"/>
  <c r="M6" i="18"/>
  <c r="M4" i="18"/>
  <c r="T22" i="17" l="1"/>
  <c r="G23" i="17"/>
  <c r="D22" i="17"/>
  <c r="D21" i="17"/>
  <c r="M17" i="17"/>
  <c r="M16" i="17"/>
  <c r="M15" i="17"/>
  <c r="M14" i="17"/>
  <c r="M12" i="17"/>
  <c r="M11" i="17"/>
  <c r="M10" i="17"/>
  <c r="M9" i="17"/>
  <c r="M7" i="17"/>
  <c r="M6" i="17"/>
  <c r="M5" i="17"/>
  <c r="J22" i="16" l="1"/>
  <c r="G23" i="16"/>
  <c r="G21" i="16"/>
  <c r="D21" i="16"/>
  <c r="M17" i="16"/>
  <c r="M16" i="16"/>
  <c r="M15" i="16"/>
  <c r="M14" i="16"/>
  <c r="M12" i="16"/>
  <c r="M11" i="16"/>
  <c r="M10" i="16"/>
  <c r="M9" i="16"/>
  <c r="M7" i="16"/>
  <c r="M6" i="16"/>
  <c r="M5" i="16"/>
  <c r="J21" i="15"/>
  <c r="D23" i="15"/>
  <c r="D22" i="15"/>
  <c r="M17" i="15"/>
  <c r="M16" i="15"/>
  <c r="M15" i="15"/>
  <c r="M14" i="15"/>
  <c r="M12" i="15"/>
  <c r="M11" i="15"/>
  <c r="M10" i="15"/>
  <c r="M9" i="15"/>
  <c r="M7" i="15"/>
  <c r="M6" i="15"/>
  <c r="M4" i="15"/>
  <c r="G22" i="14" l="1"/>
  <c r="D21" i="14"/>
  <c r="O25" i="13"/>
  <c r="O25" i="14"/>
  <c r="M17" i="14" l="1"/>
  <c r="M16" i="14"/>
  <c r="M15" i="14"/>
  <c r="M14" i="14"/>
  <c r="M12" i="14"/>
  <c r="M11" i="14"/>
  <c r="M10" i="14"/>
  <c r="M9" i="14"/>
  <c r="M7" i="14"/>
  <c r="M6" i="14"/>
  <c r="M4" i="14"/>
  <c r="J22" i="10" l="1"/>
  <c r="J23" i="10"/>
  <c r="G23" i="10"/>
  <c r="D23" i="13"/>
  <c r="D21" i="13"/>
  <c r="M17" i="13"/>
  <c r="M16" i="13"/>
  <c r="N20" i="13" s="1"/>
  <c r="M14" i="13"/>
  <c r="M12" i="13"/>
  <c r="M11" i="13"/>
  <c r="M10" i="13"/>
  <c r="M9" i="13"/>
  <c r="M7" i="13"/>
  <c r="M6" i="13"/>
  <c r="M5" i="13"/>
  <c r="M4" i="13"/>
  <c r="N27" i="13"/>
  <c r="Q26" i="13"/>
  <c r="J23" i="13"/>
  <c r="G23" i="13"/>
  <c r="L23" i="13"/>
  <c r="J22" i="13"/>
  <c r="G22" i="13"/>
  <c r="D22" i="13"/>
  <c r="D24" i="13" s="1"/>
  <c r="J21" i="13"/>
  <c r="L21" i="13" s="1"/>
  <c r="G21" i="13"/>
  <c r="G24" i="13" s="1"/>
  <c r="N21" i="13"/>
  <c r="M15" i="13"/>
  <c r="N18" i="13"/>
  <c r="O25" i="12"/>
  <c r="J23" i="12"/>
  <c r="J22" i="12"/>
  <c r="G21" i="12"/>
  <c r="G22" i="12"/>
  <c r="M17" i="12"/>
  <c r="M16" i="12"/>
  <c r="M15" i="12"/>
  <c r="M14" i="12"/>
  <c r="M12" i="12"/>
  <c r="M11" i="12"/>
  <c r="M10" i="12"/>
  <c r="M9" i="12"/>
  <c r="M7" i="12"/>
  <c r="M6" i="12"/>
  <c r="M5" i="12"/>
  <c r="O25" i="11"/>
  <c r="N27" i="11"/>
  <c r="Q26" i="11"/>
  <c r="J23" i="11"/>
  <c r="G23" i="11"/>
  <c r="D23" i="11"/>
  <c r="L23" i="11" s="1"/>
  <c r="J22" i="11"/>
  <c r="G22" i="11"/>
  <c r="D22" i="11"/>
  <c r="L22" i="11" s="1"/>
  <c r="J21" i="11"/>
  <c r="J24" i="11" s="1"/>
  <c r="G21" i="11"/>
  <c r="G24" i="11" s="1"/>
  <c r="D21" i="11"/>
  <c r="N18" i="11"/>
  <c r="M17" i="11"/>
  <c r="N21" i="11" s="1"/>
  <c r="M16" i="11"/>
  <c r="M15" i="11"/>
  <c r="M14" i="11"/>
  <c r="M12" i="11"/>
  <c r="M11" i="11"/>
  <c r="M10" i="11"/>
  <c r="M9" i="11"/>
  <c r="M7" i="11"/>
  <c r="M6" i="11"/>
  <c r="N20" i="11" s="1"/>
  <c r="M5" i="11"/>
  <c r="N19" i="11" s="1"/>
  <c r="M4" i="11"/>
  <c r="N19" i="13" l="1"/>
  <c r="J24" i="13"/>
  <c r="L22" i="13"/>
  <c r="L24" i="13" s="1"/>
  <c r="D24" i="11"/>
  <c r="L21" i="11"/>
  <c r="L24" i="11" s="1"/>
  <c r="M17" i="10"/>
  <c r="M16" i="10"/>
  <c r="M15" i="10"/>
  <c r="M14" i="10"/>
  <c r="M12" i="10"/>
  <c r="M11" i="10"/>
  <c r="M10" i="10"/>
  <c r="M9" i="10"/>
  <c r="M7" i="10"/>
  <c r="M6" i="10"/>
  <c r="M5" i="10"/>
  <c r="M4" i="10"/>
  <c r="G22" i="10" l="1"/>
  <c r="D23" i="10"/>
  <c r="J22" i="9" l="1"/>
  <c r="J21" i="9"/>
  <c r="G22" i="9"/>
  <c r="G21" i="9"/>
  <c r="D22" i="9"/>
  <c r="D21" i="9"/>
  <c r="M17" i="9"/>
  <c r="M16" i="9"/>
  <c r="M15" i="9"/>
  <c r="M14" i="9"/>
  <c r="M12" i="9"/>
  <c r="M11" i="9"/>
  <c r="M10" i="9"/>
  <c r="M9" i="9"/>
  <c r="M7" i="9"/>
  <c r="M6" i="9"/>
  <c r="M5" i="9"/>
  <c r="J23" i="8"/>
  <c r="D22" i="8"/>
  <c r="O25" i="8"/>
  <c r="O25" i="7"/>
  <c r="M17" i="8"/>
  <c r="M16" i="8"/>
  <c r="M15" i="8"/>
  <c r="M14" i="8"/>
  <c r="M12" i="8"/>
  <c r="M11" i="8"/>
  <c r="M9" i="8"/>
  <c r="M7" i="8"/>
  <c r="M6" i="8"/>
  <c r="M5" i="8"/>
  <c r="M4" i="8"/>
  <c r="J23" i="7" l="1"/>
  <c r="J22" i="7"/>
  <c r="G22" i="7"/>
  <c r="M17" i="7"/>
  <c r="M16" i="7"/>
  <c r="M15" i="7"/>
  <c r="M14" i="7"/>
  <c r="M12" i="7"/>
  <c r="M11" i="7"/>
  <c r="M10" i="7"/>
  <c r="M9" i="7"/>
  <c r="M7" i="7"/>
  <c r="M6" i="7"/>
  <c r="M5" i="7"/>
  <c r="M4" i="7"/>
  <c r="O25" i="6" l="1"/>
  <c r="G21" i="6"/>
  <c r="D21" i="6"/>
  <c r="M17" i="6"/>
  <c r="M16" i="6"/>
  <c r="M15" i="6"/>
  <c r="M14" i="6"/>
  <c r="M12" i="6"/>
  <c r="M11" i="6"/>
  <c r="M10" i="6"/>
  <c r="M9" i="6"/>
  <c r="M7" i="6"/>
  <c r="M6" i="6"/>
  <c r="M5" i="6"/>
  <c r="G21" i="5" l="1"/>
  <c r="D22" i="5"/>
  <c r="M17" i="5"/>
  <c r="M16" i="5"/>
  <c r="M15" i="5"/>
  <c r="M14" i="5"/>
  <c r="M12" i="5"/>
  <c r="M11" i="5"/>
  <c r="M10" i="5"/>
  <c r="M9" i="5"/>
  <c r="M7" i="5"/>
  <c r="M6" i="5"/>
  <c r="M5" i="5"/>
  <c r="M4" i="5"/>
  <c r="G22" i="3" l="1"/>
  <c r="G21" i="3"/>
  <c r="J22" i="4"/>
  <c r="J21" i="4"/>
  <c r="G22" i="4"/>
  <c r="M17" i="4" l="1"/>
  <c r="M16" i="4"/>
  <c r="M15" i="4"/>
  <c r="M14" i="4"/>
  <c r="M12" i="4"/>
  <c r="M11" i="4"/>
  <c r="M10" i="4"/>
  <c r="M9" i="4"/>
  <c r="M7" i="4"/>
  <c r="M6" i="4"/>
  <c r="M4" i="4"/>
  <c r="M17" i="3" l="1"/>
  <c r="M16" i="3"/>
  <c r="M15" i="3"/>
  <c r="M14" i="3"/>
  <c r="M12" i="3"/>
  <c r="M11" i="3"/>
  <c r="M10" i="3"/>
  <c r="M9" i="3"/>
  <c r="M7" i="3"/>
  <c r="M6" i="3"/>
  <c r="J23" i="2" l="1"/>
  <c r="G23" i="2"/>
  <c r="D23" i="2"/>
  <c r="J22" i="2"/>
  <c r="G22" i="2"/>
  <c r="D22" i="2"/>
  <c r="L22" i="2" s="1"/>
  <c r="J21" i="2"/>
  <c r="J24" i="2" s="1"/>
  <c r="G21" i="2"/>
  <c r="D21" i="2"/>
  <c r="L21" i="2" s="1"/>
  <c r="M17" i="2"/>
  <c r="M16" i="2"/>
  <c r="M15" i="2"/>
  <c r="M14" i="2"/>
  <c r="M12" i="2"/>
  <c r="M11" i="2"/>
  <c r="M10" i="2"/>
  <c r="M9" i="2"/>
  <c r="M7" i="2"/>
  <c r="M6" i="2"/>
  <c r="M4" i="2"/>
  <c r="G23" i="1"/>
  <c r="M12" i="1"/>
  <c r="L23" i="2" l="1"/>
  <c r="G24" i="2"/>
  <c r="L24" i="2"/>
  <c r="D24" i="2"/>
  <c r="M17" i="1"/>
  <c r="M16" i="1"/>
  <c r="M15" i="1"/>
  <c r="M14" i="1"/>
  <c r="M11" i="1"/>
  <c r="M10" i="1"/>
  <c r="M9" i="1"/>
  <c r="M7" i="1"/>
  <c r="M6" i="1"/>
  <c r="M5" i="1"/>
  <c r="M4" i="1"/>
  <c r="S36" i="34" l="1"/>
  <c r="R36" i="34"/>
  <c r="Q36" i="34"/>
  <c r="P36" i="34"/>
  <c r="N36" i="34"/>
  <c r="M36" i="34"/>
  <c r="L36" i="34"/>
  <c r="K36" i="34"/>
  <c r="J36" i="34"/>
  <c r="L65" i="49"/>
  <c r="K65" i="49"/>
  <c r="I65" i="49"/>
  <c r="H65" i="49"/>
  <c r="L38" i="49"/>
  <c r="K38" i="49"/>
  <c r="I38" i="49"/>
  <c r="H38" i="49"/>
  <c r="I13" i="49"/>
  <c r="H13" i="49"/>
  <c r="H34" i="34" l="1"/>
  <c r="E34" i="34"/>
  <c r="B34" i="34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4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M10" i="46" l="1"/>
  <c r="J22" i="29" l="1"/>
  <c r="G23" i="29"/>
  <c r="D22" i="29"/>
  <c r="M6" i="29"/>
  <c r="G23" i="28"/>
  <c r="B23" i="35" l="1"/>
  <c r="B19" i="35"/>
  <c r="E23" i="34" l="1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V16" i="34" s="1"/>
  <c r="O15" i="34"/>
  <c r="O14" i="34"/>
  <c r="O13" i="34"/>
  <c r="O12" i="34"/>
  <c r="O11" i="34"/>
  <c r="O10" i="34"/>
  <c r="O9" i="34"/>
  <c r="O8" i="34"/>
  <c r="O7" i="34"/>
  <c r="O6" i="34"/>
  <c r="T36" i="34" l="1"/>
  <c r="M6" i="28"/>
  <c r="D21" i="27"/>
  <c r="M6" i="27"/>
  <c r="G23" i="26" l="1"/>
  <c r="M6" i="26"/>
  <c r="D23" i="25"/>
  <c r="D22" i="25"/>
  <c r="G21" i="24"/>
  <c r="D21" i="24"/>
  <c r="M5" i="24" l="1"/>
  <c r="M6" i="22" l="1"/>
  <c r="G21" i="21"/>
  <c r="J21" i="21"/>
  <c r="D21" i="21"/>
  <c r="M6" i="21"/>
  <c r="J21" i="20" l="1"/>
  <c r="G21" i="20"/>
  <c r="D21" i="20"/>
  <c r="G23" i="19" l="1"/>
  <c r="J23" i="19"/>
  <c r="J21" i="19"/>
  <c r="H23" i="34" s="1"/>
  <c r="D23" i="19"/>
  <c r="G21" i="19"/>
  <c r="D21" i="19"/>
  <c r="B23" i="34" s="1"/>
  <c r="J23" i="17"/>
  <c r="J22" i="17"/>
  <c r="J21" i="17"/>
  <c r="G21" i="17"/>
  <c r="J22" i="18" l="1"/>
  <c r="D21" i="18"/>
  <c r="M5" i="18"/>
  <c r="J21" i="16" l="1"/>
  <c r="N20" i="16"/>
  <c r="L21" i="16" l="1"/>
  <c r="G23" i="15"/>
  <c r="G22" i="15"/>
  <c r="E19" i="35" s="1"/>
  <c r="J23" i="15"/>
  <c r="J22" i="15"/>
  <c r="H19" i="35" s="1"/>
  <c r="H19" i="34"/>
  <c r="G21" i="15"/>
  <c r="E19" i="34" s="1"/>
  <c r="D21" i="15"/>
  <c r="B19" i="34" s="1"/>
  <c r="M5" i="15"/>
  <c r="J21" i="14" l="1"/>
  <c r="J22" i="14"/>
  <c r="G21" i="14"/>
  <c r="M5" i="14"/>
  <c r="L21" i="14" l="1"/>
  <c r="G23" i="12" l="1"/>
  <c r="N27" i="10" l="1"/>
  <c r="L23" i="10"/>
  <c r="D22" i="10"/>
  <c r="J21" i="10"/>
  <c r="G21" i="10"/>
  <c r="D21" i="10"/>
  <c r="N20" i="10"/>
  <c r="N19" i="10"/>
  <c r="N18" i="10"/>
  <c r="J24" i="10" l="1"/>
  <c r="L21" i="10"/>
  <c r="N21" i="10"/>
  <c r="G24" i="10"/>
  <c r="L22" i="10"/>
  <c r="D24" i="10"/>
  <c r="L24" i="10" l="1"/>
  <c r="G23" i="8"/>
  <c r="G22" i="8"/>
  <c r="G23" i="7"/>
  <c r="D23" i="6" l="1"/>
  <c r="D23" i="4" l="1"/>
  <c r="J22" i="3"/>
  <c r="J21" i="3"/>
  <c r="M5" i="3"/>
  <c r="M5" i="4"/>
  <c r="M5" i="2" l="1"/>
  <c r="I18" i="48" l="1"/>
  <c r="H18" i="48"/>
  <c r="G18" i="48"/>
  <c r="F18" i="48"/>
  <c r="E18" i="48"/>
  <c r="I11" i="48"/>
  <c r="H11" i="48"/>
  <c r="G11" i="48"/>
  <c r="F11" i="48"/>
  <c r="E11" i="48"/>
  <c r="J11" i="48" l="1"/>
  <c r="K11" i="48" s="1"/>
  <c r="J18" i="48"/>
  <c r="K18" i="48" s="1"/>
  <c r="Q37" i="38"/>
  <c r="P37" i="38"/>
  <c r="B34" i="35"/>
  <c r="T34" i="36"/>
  <c r="O34" i="36"/>
  <c r="G34" i="36"/>
  <c r="F34" i="36"/>
  <c r="D34" i="36"/>
  <c r="C34" i="36"/>
  <c r="G34" i="35"/>
  <c r="F34" i="35"/>
  <c r="D34" i="35"/>
  <c r="C34" i="35"/>
  <c r="G34" i="34"/>
  <c r="F34" i="34"/>
  <c r="D34" i="34"/>
  <c r="C34" i="34"/>
  <c r="N27" i="47"/>
  <c r="S25" i="47"/>
  <c r="T23" i="47"/>
  <c r="J23" i="47"/>
  <c r="H35" i="36" s="1"/>
  <c r="G23" i="47"/>
  <c r="E35" i="36" s="1"/>
  <c r="D23" i="47"/>
  <c r="B35" i="36" s="1"/>
  <c r="J22" i="47"/>
  <c r="H35" i="35" s="1"/>
  <c r="G22" i="47"/>
  <c r="E35" i="35" s="1"/>
  <c r="D22" i="47"/>
  <c r="B35" i="35" s="1"/>
  <c r="J21" i="47"/>
  <c r="G21" i="47"/>
  <c r="E35" i="34" s="1"/>
  <c r="D21" i="47"/>
  <c r="B35" i="34" s="1"/>
  <c r="N21" i="47"/>
  <c r="N20" i="47"/>
  <c r="M5" i="47"/>
  <c r="N18" i="47"/>
  <c r="N27" i="46"/>
  <c r="S25" i="46"/>
  <c r="T23" i="46"/>
  <c r="H34" i="36"/>
  <c r="E34" i="36"/>
  <c r="B34" i="36"/>
  <c r="H34" i="35"/>
  <c r="E34" i="35"/>
  <c r="N21" i="46"/>
  <c r="N20" i="46"/>
  <c r="N19" i="46"/>
  <c r="N18" i="46"/>
  <c r="J24" i="47" l="1"/>
  <c r="H35" i="34"/>
  <c r="I35" i="36"/>
  <c r="I36" i="36" s="1"/>
  <c r="V36" i="36" s="1"/>
  <c r="I35" i="35"/>
  <c r="I36" i="35" s="1"/>
  <c r="V36" i="35" s="1"/>
  <c r="I35" i="34"/>
  <c r="B38" i="38" s="1"/>
  <c r="G24" i="47"/>
  <c r="L23" i="47"/>
  <c r="D24" i="47"/>
  <c r="I34" i="36"/>
  <c r="D37" i="38"/>
  <c r="I34" i="35"/>
  <c r="I34" i="34"/>
  <c r="L21" i="47"/>
  <c r="L22" i="47"/>
  <c r="D38" i="38" l="1"/>
  <c r="V35" i="34"/>
  <c r="V35" i="36"/>
  <c r="C38" i="38"/>
  <c r="V35" i="35"/>
  <c r="C37" i="38"/>
  <c r="B37" i="38"/>
  <c r="L24" i="47"/>
  <c r="E38" i="38" l="1"/>
  <c r="G21" i="29"/>
  <c r="G22" i="29"/>
  <c r="J22" i="28" l="1"/>
  <c r="D23" i="28"/>
  <c r="D22" i="28"/>
  <c r="D21" i="28"/>
  <c r="G22" i="27"/>
  <c r="D22" i="27"/>
  <c r="T20" i="25" l="1"/>
  <c r="T20" i="24"/>
  <c r="T17" i="24"/>
  <c r="T22" i="23"/>
  <c r="S18" i="22"/>
  <c r="G22" i="25"/>
  <c r="M5" i="25" l="1"/>
  <c r="G22" i="24" l="1"/>
  <c r="D22" i="24"/>
  <c r="L22" i="24" l="1"/>
  <c r="N27" i="20" l="1"/>
  <c r="J23" i="20"/>
  <c r="J24" i="20" s="1"/>
  <c r="G24" i="20"/>
  <c r="L21" i="20"/>
  <c r="L23" i="20" l="1"/>
  <c r="D24" i="20"/>
  <c r="L22" i="20"/>
  <c r="L24" i="20" s="1"/>
  <c r="D23" i="14" l="1"/>
  <c r="D23" i="12" l="1"/>
  <c r="D21" i="12"/>
  <c r="J22" i="8" l="1"/>
  <c r="J21" i="8"/>
  <c r="G21" i="8"/>
  <c r="D23" i="7" l="1"/>
  <c r="J22" i="6"/>
  <c r="D22" i="6"/>
  <c r="J21" i="5" l="1"/>
  <c r="J22" i="5"/>
  <c r="D23" i="5"/>
  <c r="G23" i="4" l="1"/>
  <c r="G23" i="3" l="1"/>
  <c r="J22" i="1" l="1"/>
  <c r="G21" i="1"/>
  <c r="D23" i="1"/>
  <c r="T33" i="36" l="1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8" i="36"/>
  <c r="T7" i="36"/>
  <c r="T6" i="36"/>
  <c r="T5" i="36"/>
  <c r="T9" i="36"/>
  <c r="J23" i="29" l="1"/>
  <c r="J23" i="28"/>
  <c r="P36" i="38" l="1"/>
  <c r="P35" i="38"/>
  <c r="P34" i="38"/>
  <c r="P33" i="38"/>
  <c r="P32" i="38"/>
  <c r="P31" i="38"/>
  <c r="P30" i="38"/>
  <c r="P29" i="38"/>
  <c r="P28" i="38"/>
  <c r="P27" i="38"/>
  <c r="P26" i="38"/>
  <c r="R36" i="38"/>
  <c r="R35" i="38"/>
  <c r="R33" i="38"/>
  <c r="R32" i="38"/>
  <c r="R30" i="38"/>
  <c r="R27" i="38"/>
  <c r="R24" i="38"/>
  <c r="R22" i="38"/>
  <c r="R21" i="38"/>
  <c r="R15" i="38"/>
  <c r="R14" i="38"/>
  <c r="R13" i="38"/>
  <c r="R12" i="38"/>
  <c r="R11" i="38"/>
  <c r="R10" i="38"/>
  <c r="R9" i="38"/>
  <c r="P25" i="38"/>
  <c r="P24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Q36" i="38"/>
  <c r="Q35" i="38"/>
  <c r="Q34" i="38"/>
  <c r="Q33" i="38"/>
  <c r="Q32" i="38"/>
  <c r="Q31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6" i="38"/>
  <c r="Q15" i="38"/>
  <c r="Q14" i="38"/>
  <c r="Q13" i="38"/>
  <c r="Q12" i="38"/>
  <c r="Q11" i="38"/>
  <c r="Q10" i="38"/>
  <c r="Q9" i="38"/>
  <c r="Q8" i="38"/>
  <c r="R39" i="38" l="1"/>
  <c r="P39" i="38"/>
  <c r="Q39" i="38"/>
  <c r="S8" i="38"/>
  <c r="S9" i="38" s="1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s="1"/>
  <c r="S21" i="38" s="1"/>
  <c r="S22" i="38" s="1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S36" i="38" s="1"/>
  <c r="S39" i="38" l="1"/>
  <c r="S37" i="38"/>
  <c r="S38" i="38" s="1"/>
  <c r="J23" i="27"/>
  <c r="J22" i="27"/>
  <c r="J23" i="26"/>
  <c r="G21" i="23" l="1"/>
  <c r="G22" i="23"/>
  <c r="D22" i="23"/>
  <c r="G23" i="18" l="1"/>
  <c r="J23" i="16" l="1"/>
  <c r="D23" i="16"/>
  <c r="G22" i="16"/>
  <c r="D22" i="16"/>
  <c r="G24" i="16"/>
  <c r="L23" i="16" l="1"/>
  <c r="L22" i="16"/>
  <c r="D24" i="16"/>
  <c r="J24" i="16"/>
  <c r="L24" i="16" l="1"/>
  <c r="L22" i="23" l="1"/>
  <c r="D22" i="18" l="1"/>
  <c r="D23" i="17"/>
  <c r="J23" i="14" l="1"/>
  <c r="J24" i="14" s="1"/>
  <c r="J23" i="9" l="1"/>
  <c r="D23" i="8"/>
  <c r="J23" i="4" l="1"/>
  <c r="Q26" i="2" l="1"/>
  <c r="Q26" i="3" s="1"/>
  <c r="Q26" i="5" s="1"/>
  <c r="Q26" i="6" s="1"/>
  <c r="Q26" i="7" s="1"/>
  <c r="Q26" i="8" s="1"/>
  <c r="Q26" i="9" s="1"/>
  <c r="Q26" i="10" l="1"/>
  <c r="O25" i="2"/>
  <c r="O25" i="3" s="1"/>
  <c r="O25" i="4" s="1"/>
  <c r="O25" i="5" s="1"/>
  <c r="O25" i="9" l="1"/>
  <c r="O25" i="10" s="1"/>
  <c r="N27" i="29"/>
  <c r="D23" i="29"/>
  <c r="J21" i="29"/>
  <c r="N27" i="28"/>
  <c r="G22" i="28"/>
  <c r="L22" i="28" s="1"/>
  <c r="J21" i="28"/>
  <c r="G21" i="28"/>
  <c r="N20" i="28"/>
  <c r="N27" i="27"/>
  <c r="G23" i="27"/>
  <c r="D23" i="27"/>
  <c r="J21" i="27"/>
  <c r="J24" i="27" s="1"/>
  <c r="G21" i="27"/>
  <c r="N21" i="27"/>
  <c r="N20" i="27"/>
  <c r="N19" i="27"/>
  <c r="N27" i="26"/>
  <c r="G22" i="26"/>
  <c r="D22" i="26"/>
  <c r="G21" i="26"/>
  <c r="D21" i="26"/>
  <c r="N20" i="26"/>
  <c r="N27" i="25"/>
  <c r="J23" i="25"/>
  <c r="G21" i="25"/>
  <c r="D21" i="25"/>
  <c r="N19" i="25"/>
  <c r="N27" i="24"/>
  <c r="J23" i="24"/>
  <c r="G23" i="24"/>
  <c r="N27" i="23"/>
  <c r="G23" i="23"/>
  <c r="D23" i="23"/>
  <c r="L23" i="23" s="1"/>
  <c r="J21" i="23"/>
  <c r="D21" i="23"/>
  <c r="M4" i="23"/>
  <c r="N27" i="22"/>
  <c r="N20" i="22"/>
  <c r="N19" i="22"/>
  <c r="N27" i="21"/>
  <c r="D23" i="21"/>
  <c r="D22" i="21"/>
  <c r="M4" i="20"/>
  <c r="N27" i="19"/>
  <c r="J22" i="19"/>
  <c r="H23" i="35" s="1"/>
  <c r="G22" i="19"/>
  <c r="E23" i="35" s="1"/>
  <c r="N20" i="19"/>
  <c r="M4" i="19"/>
  <c r="N27" i="18"/>
  <c r="N20" i="18"/>
  <c r="N27" i="17"/>
  <c r="G22" i="17"/>
  <c r="N20" i="17"/>
  <c r="M4" i="17"/>
  <c r="N27" i="16"/>
  <c r="M4" i="16"/>
  <c r="N27" i="15"/>
  <c r="N27" i="14"/>
  <c r="G23" i="14"/>
  <c r="D22" i="14"/>
  <c r="N27" i="12"/>
  <c r="D22" i="12"/>
  <c r="J21" i="12"/>
  <c r="N19" i="12"/>
  <c r="M4" i="12"/>
  <c r="N27" i="9"/>
  <c r="G23" i="9"/>
  <c r="D23" i="9"/>
  <c r="L23" i="9" s="1"/>
  <c r="J24" i="9"/>
  <c r="M4" i="9"/>
  <c r="N27" i="8"/>
  <c r="D21" i="8"/>
  <c r="N27" i="7"/>
  <c r="D22" i="7"/>
  <c r="J21" i="7"/>
  <c r="G21" i="7"/>
  <c r="D21" i="7"/>
  <c r="N27" i="6"/>
  <c r="J23" i="6"/>
  <c r="G23" i="6"/>
  <c r="G22" i="6"/>
  <c r="J21" i="6"/>
  <c r="M4" i="6"/>
  <c r="N27" i="5"/>
  <c r="J23" i="5"/>
  <c r="G23" i="5"/>
  <c r="G22" i="5"/>
  <c r="D21" i="5"/>
  <c r="N27" i="4"/>
  <c r="D22" i="4"/>
  <c r="G21" i="4"/>
  <c r="D21" i="4"/>
  <c r="N27" i="3"/>
  <c r="J23" i="3"/>
  <c r="D23" i="3"/>
  <c r="D22" i="3"/>
  <c r="D21" i="3"/>
  <c r="M4" i="3"/>
  <c r="N27" i="2"/>
  <c r="J23" i="1"/>
  <c r="G22" i="1"/>
  <c r="D22" i="1"/>
  <c r="J21" i="1"/>
  <c r="D21" i="1"/>
  <c r="L23" i="24" l="1"/>
  <c r="D24" i="27"/>
  <c r="L21" i="23"/>
  <c r="L21" i="27"/>
  <c r="L23" i="27"/>
  <c r="N20" i="23"/>
  <c r="N20" i="21"/>
  <c r="N18" i="21"/>
  <c r="N18" i="18"/>
  <c r="L23" i="14"/>
  <c r="N20" i="14"/>
  <c r="N18" i="14"/>
  <c r="N19" i="14"/>
  <c r="O25" i="15"/>
  <c r="O25" i="16" s="1"/>
  <c r="O25" i="17" s="1"/>
  <c r="L22" i="9"/>
  <c r="N19" i="9"/>
  <c r="D24" i="8"/>
  <c r="J24" i="4"/>
  <c r="N20" i="4"/>
  <c r="N19" i="2"/>
  <c r="G24" i="1"/>
  <c r="N20" i="29"/>
  <c r="N19" i="29"/>
  <c r="N21" i="29"/>
  <c r="N18" i="29"/>
  <c r="J24" i="29"/>
  <c r="L23" i="29"/>
  <c r="L21" i="29"/>
  <c r="D24" i="29"/>
  <c r="N21" i="28"/>
  <c r="N19" i="28"/>
  <c r="N18" i="28"/>
  <c r="J24" i="28"/>
  <c r="L23" i="28"/>
  <c r="L21" i="28"/>
  <c r="G24" i="28"/>
  <c r="J24" i="26"/>
  <c r="L22" i="26"/>
  <c r="L23" i="26"/>
  <c r="G24" i="26"/>
  <c r="D24" i="26"/>
  <c r="L21" i="26"/>
  <c r="N18" i="27"/>
  <c r="N21" i="26"/>
  <c r="N19" i="26"/>
  <c r="N18" i="26"/>
  <c r="L23" i="25"/>
  <c r="J24" i="25"/>
  <c r="D24" i="25"/>
  <c r="L21" i="25"/>
  <c r="N20" i="25"/>
  <c r="N21" i="25"/>
  <c r="N18" i="25"/>
  <c r="J24" i="24"/>
  <c r="D24" i="24"/>
  <c r="L21" i="24"/>
  <c r="N20" i="24"/>
  <c r="N19" i="24"/>
  <c r="N21" i="24"/>
  <c r="N18" i="24"/>
  <c r="J24" i="23"/>
  <c r="D24" i="23"/>
  <c r="N19" i="23"/>
  <c r="N21" i="23"/>
  <c r="N18" i="23"/>
  <c r="N21" i="22"/>
  <c r="N18" i="22"/>
  <c r="J24" i="21"/>
  <c r="L21" i="21"/>
  <c r="L23" i="21"/>
  <c r="G24" i="21"/>
  <c r="D24" i="21"/>
  <c r="N21" i="21"/>
  <c r="N19" i="21"/>
  <c r="N20" i="20"/>
  <c r="N19" i="20"/>
  <c r="N21" i="20"/>
  <c r="N18" i="20"/>
  <c r="J24" i="19"/>
  <c r="L23" i="19"/>
  <c r="L21" i="19"/>
  <c r="D24" i="19"/>
  <c r="N19" i="19"/>
  <c r="N21" i="19"/>
  <c r="N18" i="19"/>
  <c r="J24" i="18"/>
  <c r="L23" i="18"/>
  <c r="D24" i="18"/>
  <c r="L21" i="18"/>
  <c r="N19" i="18"/>
  <c r="N21" i="18"/>
  <c r="J24" i="17"/>
  <c r="G24" i="17"/>
  <c r="L21" i="17"/>
  <c r="L23" i="17"/>
  <c r="L22" i="17"/>
  <c r="N18" i="17"/>
  <c r="N21" i="17"/>
  <c r="N19" i="17"/>
  <c r="N19" i="16"/>
  <c r="N21" i="16"/>
  <c r="N18" i="16"/>
  <c r="J24" i="15"/>
  <c r="L23" i="15"/>
  <c r="L21" i="15"/>
  <c r="D24" i="15"/>
  <c r="N20" i="15"/>
  <c r="N19" i="15"/>
  <c r="N21" i="15"/>
  <c r="N18" i="15"/>
  <c r="D24" i="14"/>
  <c r="L22" i="14"/>
  <c r="N21" i="14"/>
  <c r="L23" i="12"/>
  <c r="J24" i="12"/>
  <c r="L21" i="12"/>
  <c r="D24" i="12"/>
  <c r="N20" i="12"/>
  <c r="N21" i="12"/>
  <c r="N18" i="12"/>
  <c r="L21" i="9"/>
  <c r="L24" i="9" s="1"/>
  <c r="N20" i="9"/>
  <c r="N21" i="9"/>
  <c r="N18" i="9"/>
  <c r="L23" i="8"/>
  <c r="J24" i="8"/>
  <c r="G24" i="8"/>
  <c r="L21" i="8"/>
  <c r="N20" i="8"/>
  <c r="N18" i="8"/>
  <c r="N21" i="8"/>
  <c r="N19" i="8"/>
  <c r="J24" i="7"/>
  <c r="L23" i="7"/>
  <c r="L21" i="7"/>
  <c r="D24" i="7"/>
  <c r="N18" i="7"/>
  <c r="J24" i="6"/>
  <c r="L23" i="6"/>
  <c r="G24" i="6"/>
  <c r="D24" i="6"/>
  <c r="N20" i="6"/>
  <c r="N19" i="6"/>
  <c r="N18" i="6"/>
  <c r="N21" i="6"/>
  <c r="J24" i="5"/>
  <c r="L22" i="5"/>
  <c r="L23" i="5"/>
  <c r="L21" i="5"/>
  <c r="N20" i="5"/>
  <c r="N19" i="5"/>
  <c r="N18" i="5"/>
  <c r="N21" i="5"/>
  <c r="L23" i="4"/>
  <c r="L22" i="4"/>
  <c r="L21" i="4"/>
  <c r="N19" i="4"/>
  <c r="N21" i="4"/>
  <c r="N18" i="4"/>
  <c r="J24" i="3"/>
  <c r="L23" i="3"/>
  <c r="L21" i="3"/>
  <c r="D24" i="3"/>
  <c r="N20" i="3"/>
  <c r="N19" i="3"/>
  <c r="N18" i="3"/>
  <c r="N21" i="3"/>
  <c r="N20" i="2"/>
  <c r="N21" i="2"/>
  <c r="N18" i="2"/>
  <c r="L23" i="1"/>
  <c r="J24" i="1"/>
  <c r="L22" i="1"/>
  <c r="L21" i="1"/>
  <c r="L22" i="29"/>
  <c r="G24" i="29"/>
  <c r="D24" i="28"/>
  <c r="L22" i="27"/>
  <c r="G24" i="27"/>
  <c r="L22" i="25"/>
  <c r="G24" i="25"/>
  <c r="G24" i="24"/>
  <c r="G24" i="23"/>
  <c r="L22" i="21"/>
  <c r="L22" i="19"/>
  <c r="G24" i="19"/>
  <c r="L22" i="18"/>
  <c r="G24" i="18"/>
  <c r="D24" i="17"/>
  <c r="L22" i="15"/>
  <c r="G24" i="15"/>
  <c r="G24" i="14"/>
  <c r="L22" i="12"/>
  <c r="G24" i="12"/>
  <c r="D24" i="9"/>
  <c r="G24" i="9"/>
  <c r="L22" i="8"/>
  <c r="L22" i="7"/>
  <c r="G24" i="7"/>
  <c r="L22" i="6"/>
  <c r="L21" i="6"/>
  <c r="D24" i="5"/>
  <c r="G24" i="5"/>
  <c r="D24" i="4"/>
  <c r="G24" i="4"/>
  <c r="L22" i="3"/>
  <c r="G24" i="3"/>
  <c r="D24" i="1"/>
  <c r="L24" i="28" l="1"/>
  <c r="L24" i="27"/>
  <c r="L24" i="1"/>
  <c r="L24" i="29"/>
  <c r="L24" i="26"/>
  <c r="L24" i="21"/>
  <c r="L24" i="19"/>
  <c r="L24" i="18"/>
  <c r="L24" i="17"/>
  <c r="L24" i="15"/>
  <c r="L24" i="14"/>
  <c r="L24" i="12"/>
  <c r="L24" i="8"/>
  <c r="L24" i="7"/>
  <c r="L24" i="6"/>
  <c r="L24" i="5"/>
  <c r="L24" i="4"/>
  <c r="L24" i="3"/>
  <c r="T5" i="35"/>
  <c r="H31" i="36" l="1"/>
  <c r="H28" i="36"/>
  <c r="H27" i="36"/>
  <c r="H25" i="36"/>
  <c r="H24" i="36"/>
  <c r="H1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O33" i="36"/>
  <c r="O32" i="36"/>
  <c r="O31" i="36"/>
  <c r="I31" i="36"/>
  <c r="D34" i="38" s="1"/>
  <c r="O30" i="36"/>
  <c r="O29" i="36"/>
  <c r="O28" i="36"/>
  <c r="I28" i="36"/>
  <c r="D31" i="38" s="1"/>
  <c r="O27" i="36"/>
  <c r="O26" i="36"/>
  <c r="O25" i="36"/>
  <c r="I25" i="36"/>
  <c r="D28" i="38" s="1"/>
  <c r="O24" i="36"/>
  <c r="O23" i="36"/>
  <c r="O22" i="36"/>
  <c r="O21" i="36"/>
  <c r="O20" i="36"/>
  <c r="O19" i="36"/>
  <c r="O18" i="36"/>
  <c r="O17" i="36"/>
  <c r="O16" i="36"/>
  <c r="O15" i="36"/>
  <c r="O14" i="36"/>
  <c r="I14" i="36"/>
  <c r="D17" i="38" s="1"/>
  <c r="O13" i="36"/>
  <c r="O12" i="36"/>
  <c r="O11" i="36"/>
  <c r="O10" i="36"/>
  <c r="O9" i="36"/>
  <c r="O8" i="36"/>
  <c r="O7" i="36"/>
  <c r="O6" i="36"/>
  <c r="O5" i="36"/>
  <c r="I31" i="35"/>
  <c r="C34" i="38" s="1"/>
  <c r="I28" i="35"/>
  <c r="C31" i="38" s="1"/>
  <c r="I14" i="35"/>
  <c r="C17" i="38" s="1"/>
  <c r="O5" i="35"/>
  <c r="H31" i="34"/>
  <c r="H28" i="34"/>
  <c r="H1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H33" i="36" l="1"/>
  <c r="E33" i="36"/>
  <c r="H33" i="35"/>
  <c r="E33" i="35"/>
  <c r="B33" i="35"/>
  <c r="E33" i="34"/>
  <c r="H32" i="36"/>
  <c r="E32" i="36"/>
  <c r="H32" i="35"/>
  <c r="E32" i="35"/>
  <c r="B32" i="35"/>
  <c r="I32" i="35" s="1"/>
  <c r="E32" i="34"/>
  <c r="H30" i="36"/>
  <c r="E30" i="36"/>
  <c r="B30" i="36"/>
  <c r="H30" i="35"/>
  <c r="E30" i="35"/>
  <c r="B30" i="35"/>
  <c r="H30" i="34"/>
  <c r="E30" i="34"/>
  <c r="B29" i="36"/>
  <c r="H29" i="36"/>
  <c r="E29" i="36"/>
  <c r="E29" i="35"/>
  <c r="B29" i="35"/>
  <c r="H29" i="34"/>
  <c r="E29" i="34"/>
  <c r="C35" i="38" l="1"/>
  <c r="I30" i="36"/>
  <c r="H32" i="34"/>
  <c r="B32" i="36"/>
  <c r="I32" i="36" s="1"/>
  <c r="I29" i="36"/>
  <c r="I30" i="35"/>
  <c r="H33" i="34"/>
  <c r="B33" i="36"/>
  <c r="I33" i="36" s="1"/>
  <c r="H29" i="35"/>
  <c r="I29" i="35" s="1"/>
  <c r="I33" i="35"/>
  <c r="D33" i="38" l="1"/>
  <c r="C33" i="38"/>
  <c r="D32" i="38"/>
  <c r="C32" i="38"/>
  <c r="D36" i="38"/>
  <c r="C36" i="38"/>
  <c r="D35" i="38"/>
  <c r="B27" i="36"/>
  <c r="E27" i="36"/>
  <c r="H27" i="35"/>
  <c r="E27" i="35"/>
  <c r="B27" i="35"/>
  <c r="H27" i="34"/>
  <c r="E27" i="34"/>
  <c r="H26" i="36"/>
  <c r="E26" i="36"/>
  <c r="I27" i="35" l="1"/>
  <c r="I26" i="36"/>
  <c r="I27" i="36"/>
  <c r="H26" i="35"/>
  <c r="E26" i="35"/>
  <c r="B26" i="35"/>
  <c r="H26" i="34"/>
  <c r="E26" i="34"/>
  <c r="B26" i="34"/>
  <c r="C30" i="38" l="1"/>
  <c r="D30" i="38"/>
  <c r="D29" i="38"/>
  <c r="I26" i="34"/>
  <c r="B29" i="38" s="1"/>
  <c r="I26" i="35"/>
  <c r="H25" i="35"/>
  <c r="E25" i="35"/>
  <c r="B25" i="35"/>
  <c r="H25" i="34"/>
  <c r="E25" i="34"/>
  <c r="C29" i="38" l="1"/>
  <c r="I25" i="35"/>
  <c r="B24" i="36"/>
  <c r="I24" i="36" s="1"/>
  <c r="H24" i="35"/>
  <c r="E24" i="35"/>
  <c r="B24" i="35"/>
  <c r="H24" i="34"/>
  <c r="E24" i="34"/>
  <c r="D27" i="38" l="1"/>
  <c r="C28" i="38"/>
  <c r="I24" i="35"/>
  <c r="C27" i="38" l="1"/>
  <c r="H22" i="35"/>
  <c r="B22" i="35"/>
  <c r="E23" i="36"/>
  <c r="E22" i="36"/>
  <c r="E22" i="35"/>
  <c r="H22" i="36"/>
  <c r="H23" i="36"/>
  <c r="E22" i="34"/>
  <c r="H22" i="34"/>
  <c r="B23" i="36"/>
  <c r="B22" i="36"/>
  <c r="H21" i="36"/>
  <c r="E21" i="36"/>
  <c r="B21" i="36"/>
  <c r="E21" i="35"/>
  <c r="B21" i="35"/>
  <c r="H21" i="34"/>
  <c r="H20" i="36"/>
  <c r="E20" i="36"/>
  <c r="B20" i="36"/>
  <c r="H20" i="35"/>
  <c r="E20" i="35"/>
  <c r="B20" i="35"/>
  <c r="H20" i="34"/>
  <c r="E20" i="34"/>
  <c r="I23" i="35" l="1"/>
  <c r="I22" i="36"/>
  <c r="I20" i="36"/>
  <c r="I21" i="36"/>
  <c r="I22" i="35"/>
  <c r="I20" i="35"/>
  <c r="E21" i="34"/>
  <c r="H21" i="35"/>
  <c r="I21" i="35" s="1"/>
  <c r="I23" i="36"/>
  <c r="C26" i="38" l="1"/>
  <c r="D25" i="38"/>
  <c r="D26" i="38"/>
  <c r="C25" i="38"/>
  <c r="C24" i="38"/>
  <c r="D24" i="38"/>
  <c r="D23" i="38"/>
  <c r="C23" i="38"/>
  <c r="B33" i="34"/>
  <c r="I33" i="34" s="1"/>
  <c r="B36" i="38" s="1"/>
  <c r="B32" i="34"/>
  <c r="I32" i="34" s="1"/>
  <c r="B35" i="38" s="1"/>
  <c r="B31" i="34"/>
  <c r="I31" i="34" s="1"/>
  <c r="B34" i="38" s="1"/>
  <c r="B30" i="34"/>
  <c r="I30" i="34" s="1"/>
  <c r="B33" i="38" s="1"/>
  <c r="B29" i="34"/>
  <c r="I29" i="34" s="1"/>
  <c r="B32" i="38" s="1"/>
  <c r="B28" i="34"/>
  <c r="I28" i="34" s="1"/>
  <c r="B31" i="38" s="1"/>
  <c r="B27" i="34"/>
  <c r="I27" i="34" s="1"/>
  <c r="B30" i="38" s="1"/>
  <c r="B25" i="34"/>
  <c r="I25" i="34" s="1"/>
  <c r="B28" i="38" s="1"/>
  <c r="B24" i="34"/>
  <c r="I24" i="34" s="1"/>
  <c r="B27" i="38" s="1"/>
  <c r="I23" i="34"/>
  <c r="B26" i="38" s="1"/>
  <c r="B22" i="34"/>
  <c r="I22" i="34" s="1"/>
  <c r="B25" i="38" s="1"/>
  <c r="B21" i="34"/>
  <c r="I21" i="34" s="1"/>
  <c r="B24" i="38" s="1"/>
  <c r="B20" i="34"/>
  <c r="I20" i="34" s="1"/>
  <c r="B23" i="38" s="1"/>
  <c r="B14" i="34"/>
  <c r="I14" i="34" s="1"/>
  <c r="B17" i="38" s="1"/>
  <c r="B18" i="34" l="1"/>
  <c r="E18" i="35"/>
  <c r="H18" i="34"/>
  <c r="B19" i="36"/>
  <c r="B18" i="36"/>
  <c r="H18" i="36"/>
  <c r="H19" i="36"/>
  <c r="B18" i="35"/>
  <c r="E19" i="36"/>
  <c r="E18" i="36"/>
  <c r="E18" i="34"/>
  <c r="H18" i="35"/>
  <c r="I19" i="34" l="1"/>
  <c r="B22" i="38" s="1"/>
  <c r="I19" i="35"/>
  <c r="I19" i="36"/>
  <c r="I18" i="34"/>
  <c r="B21" i="38" s="1"/>
  <c r="I18" i="35"/>
  <c r="I18" i="36"/>
  <c r="O5" i="34"/>
  <c r="O36" i="34" l="1"/>
  <c r="V5" i="34"/>
  <c r="D22" i="38"/>
  <c r="D21" i="38"/>
  <c r="C22" i="38"/>
  <c r="C21" i="38"/>
  <c r="H17" i="36" l="1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E15" i="35"/>
  <c r="B15" i="35"/>
  <c r="E15" i="34"/>
  <c r="I17" i="36" l="1"/>
  <c r="I16" i="34"/>
  <c r="B19" i="38" s="1"/>
  <c r="H17" i="34"/>
  <c r="I17" i="34" s="1"/>
  <c r="I16" i="36"/>
  <c r="I17" i="35"/>
  <c r="I16" i="35"/>
  <c r="H15" i="34"/>
  <c r="I15" i="36"/>
  <c r="B15" i="34"/>
  <c r="B20" i="38" l="1"/>
  <c r="D20" i="38"/>
  <c r="C20" i="38"/>
  <c r="C19" i="38"/>
  <c r="D19" i="38"/>
  <c r="D18" i="38"/>
  <c r="I15" i="34"/>
  <c r="B18" i="38" s="1"/>
  <c r="H13" i="36"/>
  <c r="E13" i="36"/>
  <c r="B13" i="36"/>
  <c r="H13" i="35"/>
  <c r="E13" i="35"/>
  <c r="B13" i="35"/>
  <c r="H13" i="34"/>
  <c r="E13" i="34"/>
  <c r="B13" i="34"/>
  <c r="I13" i="36" l="1"/>
  <c r="I13" i="35"/>
  <c r="I13" i="34"/>
  <c r="B16" i="38" s="1"/>
  <c r="D16" i="38" l="1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H12" i="36"/>
  <c r="E12" i="36"/>
  <c r="B12" i="36"/>
  <c r="H12" i="35"/>
  <c r="E12" i="35"/>
  <c r="B12" i="35"/>
  <c r="H12" i="34"/>
  <c r="E12" i="34"/>
  <c r="B12" i="34"/>
  <c r="I12" i="36" l="1"/>
  <c r="I12" i="34"/>
  <c r="I12" i="35"/>
  <c r="H11" i="36"/>
  <c r="E11" i="36"/>
  <c r="B11" i="36"/>
  <c r="H11" i="35"/>
  <c r="E11" i="35"/>
  <c r="B11" i="35"/>
  <c r="H11" i="34"/>
  <c r="E11" i="34"/>
  <c r="B11" i="34"/>
  <c r="D15" i="38" l="1"/>
  <c r="C15" i="38"/>
  <c r="B15" i="38"/>
  <c r="I11" i="36"/>
  <c r="I11" i="35"/>
  <c r="I11" i="34"/>
  <c r="H10" i="36"/>
  <c r="E10" i="36"/>
  <c r="H10" i="35"/>
  <c r="E10" i="35"/>
  <c r="B10" i="35"/>
  <c r="H10" i="34"/>
  <c r="E10" i="34"/>
  <c r="B10" i="34"/>
  <c r="B9" i="35"/>
  <c r="E15" i="38" l="1"/>
  <c r="D14" i="38"/>
  <c r="C14" i="38"/>
  <c r="B14" i="38"/>
  <c r="I10" i="35"/>
  <c r="I10" i="34"/>
  <c r="B10" i="36"/>
  <c r="I10" i="36" s="1"/>
  <c r="H9" i="36"/>
  <c r="E9" i="36"/>
  <c r="B9" i="36"/>
  <c r="H9" i="35"/>
  <c r="E9" i="35"/>
  <c r="H9" i="34"/>
  <c r="E9" i="34"/>
  <c r="B9" i="34"/>
  <c r="E14" i="38" l="1"/>
  <c r="D13" i="38"/>
  <c r="C13" i="38"/>
  <c r="B13" i="38"/>
  <c r="I9" i="36"/>
  <c r="I9" i="35"/>
  <c r="I9" i="34"/>
  <c r="H8" i="35"/>
  <c r="E13" i="38" l="1"/>
  <c r="D12" i="38"/>
  <c r="C12" i="38"/>
  <c r="B12" i="38"/>
  <c r="H8" i="36"/>
  <c r="E8" i="36"/>
  <c r="B8" i="36"/>
  <c r="H8" i="34"/>
  <c r="E12" i="38" l="1"/>
  <c r="I8" i="36"/>
  <c r="E8" i="35"/>
  <c r="E8" i="34"/>
  <c r="B8" i="34"/>
  <c r="H7" i="36"/>
  <c r="E7" i="36"/>
  <c r="B7" i="36"/>
  <c r="E7" i="35"/>
  <c r="B7" i="35"/>
  <c r="H7" i="34"/>
  <c r="E7" i="34"/>
  <c r="D11" i="38" l="1"/>
  <c r="I8" i="34"/>
  <c r="I8" i="35"/>
  <c r="I7" i="36"/>
  <c r="I7" i="35"/>
  <c r="B7" i="34"/>
  <c r="I7" i="34" s="1"/>
  <c r="B10" i="38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N27" i="1"/>
  <c r="H5" i="36"/>
  <c r="B5" i="36"/>
  <c r="H5" i="35"/>
  <c r="B5" i="35"/>
  <c r="H5" i="34"/>
  <c r="N21" i="1"/>
  <c r="C11" i="38" l="1"/>
  <c r="D10" i="38"/>
  <c r="C10" i="38"/>
  <c r="B11" i="38"/>
  <c r="I6" i="36"/>
  <c r="I6" i="35"/>
  <c r="I6" i="34"/>
  <c r="I5" i="36"/>
  <c r="I5" i="35"/>
  <c r="I5" i="34"/>
  <c r="N20" i="1"/>
  <c r="N19" i="1"/>
  <c r="N18" i="1"/>
  <c r="I36" i="34" l="1"/>
  <c r="D8" i="38"/>
  <c r="B8" i="38"/>
  <c r="E11" i="38"/>
  <c r="E10" i="38"/>
  <c r="D9" i="38"/>
  <c r="C9" i="38"/>
  <c r="C8" i="38"/>
  <c r="B9" i="38"/>
  <c r="B39" i="38" l="1"/>
  <c r="D39" i="38"/>
  <c r="V36" i="34"/>
  <c r="E9" i="38"/>
  <c r="E8" i="38"/>
  <c r="E36" i="38"/>
  <c r="G15" i="35" l="1"/>
  <c r="Q26" i="12" l="1"/>
  <c r="Q26" i="14" s="1"/>
  <c r="Q26" i="15" s="1"/>
  <c r="Q26" i="16" s="1"/>
  <c r="Q26" i="17" s="1"/>
  <c r="Q26" i="18" s="1"/>
  <c r="Q26" i="19" s="1"/>
  <c r="Q26" i="20" s="1"/>
  <c r="Q26" i="21" s="1"/>
  <c r="Q26" i="22" s="1"/>
  <c r="Q26" i="23" s="1"/>
  <c r="Q26" i="24" s="1"/>
  <c r="Q26" i="25" s="1"/>
  <c r="Q26" i="26" s="1"/>
  <c r="Q26" i="27" s="1"/>
  <c r="Q26" i="28" s="1"/>
  <c r="H15" i="35"/>
  <c r="I15" i="35" s="1"/>
  <c r="C18" i="38" l="1"/>
  <c r="C39" i="38" s="1"/>
  <c r="Q26" i="29"/>
  <c r="Q26" i="46"/>
  <c r="Q26" i="47"/>
  <c r="E37" i="38"/>
  <c r="E18" i="38" l="1"/>
  <c r="E39" i="38" s="1"/>
  <c r="O25" i="19"/>
  <c r="O25" i="20" s="1"/>
  <c r="O25" i="21" s="1"/>
  <c r="O25" i="22" s="1"/>
  <c r="O25" i="24"/>
  <c r="O25" i="25" s="1"/>
  <c r="O25" i="26" s="1"/>
  <c r="O25" i="27" s="1"/>
  <c r="O25" i="28" s="1"/>
  <c r="O25" i="29" s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W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<sst xmlns="http://schemas.openxmlformats.org/spreadsheetml/2006/main" count="4640" uniqueCount="422">
  <si>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</si>
  <si>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</si>
  <si>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</si>
  <si>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</si>
  <si>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</si>
  <si>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</si>
  <si>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</si>
  <si>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</si>
  <si>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</si>
  <si>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</si>
  <si>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</si>
  <si>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</si>
  <si>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</si>
  <si>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</si>
  <si>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</si>
  <si>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</si>
  <si>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</si>
  <si>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</si>
  <si>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</si>
  <si>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</si>
  <si>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</si>
  <si>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</si>
  <si>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</si>
  <si>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</si>
  <si>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</si>
  <si>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</si>
  <si>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</si>
  <si>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</si>
  <si>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</si>
  <si>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</si>
  <si>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</si>
  <si>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</si>
  <si>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</si>
  <si>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</si>
  <si>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</si>
  <si>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</si>
  <si>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</si>
  <si>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</si>
  <si>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</si>
  <si>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</si>
  <si>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</si>
  <si>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</si>
  <si>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</si>
  <si>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</si>
  <si>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</si>
  <si>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</si>
  <si>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</si>
  <si>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</si>
  <si>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</si>
  <si>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</si>
  <si>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</si>
  <si>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</si>
  <si>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Incharge CHP</t>
  </si>
  <si>
    <t xml:space="preserve">Dudhichua </t>
  </si>
  <si>
    <t>Dudhichua</t>
  </si>
  <si>
    <t>Cc, Incharge Sales,Dudhichua</t>
  </si>
  <si>
    <t>VSTPP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</si>
  <si>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</si>
  <si>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</si>
  <si>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</si>
  <si>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</si>
  <si>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</si>
  <si>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</si>
  <si>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</si>
  <si>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</si>
  <si>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</si>
  <si>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</si>
  <si>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</si>
  <si>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</si>
  <si>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</si>
  <si>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</si>
  <si>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</si>
  <si>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</si>
  <si>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</si>
  <si>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</si>
  <si>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</si>
  <si>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</si>
  <si>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</si>
  <si>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</si>
  <si>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</si>
  <si>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</si>
  <si>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</si>
  <si>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</si>
  <si>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</si>
  <si>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</si>
  <si>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</si>
  <si>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</si>
  <si>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</si>
  <si>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</si>
  <si>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chp Incharge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</si>
  <si>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</si>
  <si>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</si>
  <si>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</si>
  <si>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</si>
  <si>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</si>
  <si>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</si>
  <si>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</si>
  <si>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</si>
  <si>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</si>
  <si>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</si>
  <si>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</si>
  <si>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</si>
  <si>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</si>
  <si>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</si>
  <si>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</si>
  <si>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</si>
  <si>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</si>
  <si>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</si>
  <si>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</si>
  <si>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</si>
  <si>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</si>
  <si>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</si>
  <si>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</si>
  <si>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</si>
  <si>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</si>
  <si>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</si>
  <si>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</si>
  <si>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</si>
  <si>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</si>
  <si>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</si>
  <si>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 xml:space="preserve">  </t>
  </si>
  <si>
    <t>Break down Hrs</t>
  </si>
  <si>
    <t>BREAK DOWN</t>
  </si>
  <si>
    <t xml:space="preserve">Break down </t>
  </si>
  <si>
    <t xml:space="preserve">Warf wall : 4 </t>
  </si>
  <si>
    <t>Breakdown</t>
  </si>
  <si>
    <t>Break down</t>
  </si>
  <si>
    <t>Warf wall :4</t>
  </si>
  <si>
    <t xml:space="preserve">BREAK DOWN </t>
  </si>
  <si>
    <t>Silo Full Hrs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</si>
  <si>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</si>
  <si>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</si>
  <si>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>Power failure</t>
  </si>
  <si>
    <t>PSSS</t>
  </si>
  <si>
    <t xml:space="preserve">POWER  FAILURE  : </t>
  </si>
  <si>
    <t>Power  failure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</si>
  <si>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</si>
  <si>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</si>
  <si>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</si>
  <si>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</si>
  <si>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</si>
  <si>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</si>
  <si>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January 2020</t>
  </si>
  <si>
    <t>Name of CHP</t>
  </si>
  <si>
    <t>Capacity of CHP</t>
  </si>
  <si>
    <t>Total coal handled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</si>
  <si>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</si>
  <si>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</si>
  <si>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</si>
  <si>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</si>
  <si>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</si>
  <si>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</si>
  <si>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</si>
  <si>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833333.3 
( Installed capacity 10MTPA)</t>
  </si>
  <si>
    <t xml:space="preserve"> 862193.73 MT</t>
  </si>
  <si>
    <t>.</t>
  </si>
  <si>
    <t>Performance / Availibility of Dudhichua CHP for the month of February 2020</t>
  </si>
  <si>
    <t xml:space="preserve">  772986.59MT</t>
  </si>
  <si>
    <t>Note: Due to non-availibility rakes throughout the month, capacity utilisation reduced</t>
  </si>
  <si>
    <t>PSNG</t>
  </si>
  <si>
    <t>Warf wall : 2</t>
  </si>
  <si>
    <t>RSNG</t>
  </si>
  <si>
    <t>SILO FULL :06.15</t>
  </si>
  <si>
    <t xml:space="preserve">Power failure </t>
  </si>
  <si>
    <t>PNTP</t>
  </si>
  <si>
    <t xml:space="preserve">Power failure : </t>
  </si>
  <si>
    <t>POWER FAILURE :</t>
  </si>
  <si>
    <t>13.00PM</t>
  </si>
  <si>
    <t xml:space="preserve"> 09:30 AM</t>
  </si>
  <si>
    <t>nill</t>
  </si>
  <si>
    <t xml:space="preserve">Warf wall : 4  </t>
  </si>
  <si>
    <r>
      <t xml:space="preserve">  power failure: </t>
    </r>
    <r>
      <rPr>
        <sz val="14"/>
        <color theme="1"/>
        <rFont val="Times New Roman"/>
        <family val="1"/>
      </rPr>
      <t xml:space="preserve"> </t>
    </r>
  </si>
  <si>
    <t>KATRA</t>
  </si>
  <si>
    <t>Warf wall : 4</t>
  </si>
  <si>
    <t>RHSTPP</t>
  </si>
  <si>
    <t>RHTPP</t>
  </si>
  <si>
    <t>VNK</t>
  </si>
  <si>
    <t xml:space="preserve">                   Chief Manager (E&amp;M)</t>
  </si>
  <si>
    <t xml:space="preserve">                                              GM (E&amp;M), Dudhichua</t>
  </si>
  <si>
    <t>Monthly Report  January' 2020.</t>
  </si>
  <si>
    <t xml:space="preserve">          CHP</t>
  </si>
  <si>
    <t>Monthly  installed capacity                     ( in 000 Tes.)</t>
  </si>
  <si>
    <t>Target         Jan 2020             ( in'000'Tes)</t>
  </si>
  <si>
    <t>Actual  Handled   in Jan '2020           ( '000'Tes.)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</si>
  <si>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</si>
  <si>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</si>
  <si>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</si>
  <si>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</si>
  <si>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Actual  Handled in Jan '19             ( in 000 Tes.)</t>
  </si>
  <si>
    <t>% Growth    over last year</t>
  </si>
  <si>
    <t>Asking Rate of Feb'2020                     ( in '000'Tes. Per day )</t>
  </si>
  <si>
    <t>Nil</t>
  </si>
  <si>
    <t xml:space="preserve"> ( Install Capacity  10 MTPA)</t>
  </si>
  <si>
    <t>Silo Full hours : 207.05 Hrs . Rake supply  poor.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</si>
  <si>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</si>
  <si>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</si>
  <si>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</si>
  <si>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</si>
  <si>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</si>
  <si>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</si>
  <si>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</si>
  <si>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</si>
  <si>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</si>
  <si>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</si>
  <si>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</si>
  <si>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Monthly Report  April ' 2020.</t>
  </si>
  <si>
    <t>Target         April 2020             ( in'000'Tes)</t>
  </si>
  <si>
    <t>Actual  Handled   in April '2020           ( '000'Tes.)</t>
  </si>
  <si>
    <t>Actual  Handled in April '19             ( in 000 Tes.)</t>
  </si>
  <si>
    <t>Asking Rate of May'2020                     ( in '000'Tes. Per day )</t>
  </si>
  <si>
    <t>Silo Full hours : 190.30 Hrs . Rake supply very poor.</t>
  </si>
  <si>
    <t xml:space="preserve"> Date  :  01.05 .2020</t>
  </si>
  <si>
    <t>chief.Manager (E&amp;M)</t>
  </si>
  <si>
    <t>RSTPP</t>
  </si>
  <si>
    <t>237/15938.12</t>
  </si>
  <si>
    <t xml:space="preserve">Roller replacement </t>
  </si>
  <si>
    <t xml:space="preserve"> Date  :  02.05 .2020</t>
  </si>
  <si>
    <t>233/16141.50</t>
  </si>
  <si>
    <t>Silo Full : 5.20  Hrs.</t>
  </si>
  <si>
    <t xml:space="preserve">power failure </t>
  </si>
  <si>
    <t>05 Minutes</t>
  </si>
  <si>
    <t xml:space="preserve"> Date  :  03.05 .2020</t>
  </si>
  <si>
    <t>233/15586.71</t>
  </si>
  <si>
    <t xml:space="preserve"> Date  :  04.05 .2020</t>
  </si>
  <si>
    <t>LPGU</t>
  </si>
  <si>
    <t>RNSF</t>
  </si>
  <si>
    <t>LKGU</t>
  </si>
  <si>
    <t xml:space="preserve">Warf wall :  4 </t>
  </si>
  <si>
    <t>234/15800.63</t>
  </si>
  <si>
    <t>Silo Full :08.15 Hrs</t>
  </si>
  <si>
    <t>of  Tripper no.1</t>
  </si>
  <si>
    <t xml:space="preserve">i)power &amp; control cable work </t>
  </si>
  <si>
    <t>ii)Cleaning of HT &amp; LT  Pannel of  SS-1</t>
  </si>
  <si>
    <t xml:space="preserve"> Date  :  05.05 .2020</t>
  </si>
  <si>
    <t>07:50 Am to 8.40 Pm</t>
  </si>
  <si>
    <t>i) Cleaning of  lubrication</t>
  </si>
  <si>
    <t>zero speed cable  cleaning</t>
  </si>
  <si>
    <t>&amp; belt  sway   rip detector zero speed cable cleaning</t>
  </si>
  <si>
    <t xml:space="preserve">pannel no.1 &amp; 2                           ii) Cv.1.1 &amp; 1.2 pull cord  </t>
  </si>
  <si>
    <t>from Medhauli</t>
  </si>
  <si>
    <t xml:space="preserve"> Nil</t>
  </si>
  <si>
    <t>236/15714.88</t>
  </si>
  <si>
    <t>TPGS</t>
  </si>
  <si>
    <t xml:space="preserve"> Date  :  06.05 .2020</t>
  </si>
  <si>
    <t>Power failure:</t>
  </si>
  <si>
    <t xml:space="preserve">Warf wall :5 </t>
  </si>
  <si>
    <t>292/19952.41</t>
  </si>
  <si>
    <t>Silo Full : 0.30 Hrs</t>
  </si>
  <si>
    <t>APLS</t>
  </si>
  <si>
    <t>RSSTPP</t>
  </si>
  <si>
    <t xml:space="preserve"> Date  :  07.05 .2020</t>
  </si>
  <si>
    <t>Warf wall : 5</t>
  </si>
  <si>
    <t>291/19840.93</t>
  </si>
  <si>
    <t>Silo full : 5.40Hrs</t>
  </si>
  <si>
    <t xml:space="preserve">  Nil</t>
  </si>
  <si>
    <t>I)Greasing of pulley of Cv.2.1</t>
  </si>
  <si>
    <t xml:space="preserve">iI) Greasing of  GC no.2      </t>
  </si>
  <si>
    <t xml:space="preserve"> III)TR 1, 2 &amp; Lighting  jolly eleaning work</t>
  </si>
  <si>
    <t>KPLS</t>
  </si>
  <si>
    <t xml:space="preserve"> Date  :  08.05 .2020</t>
  </si>
  <si>
    <t xml:space="preserve">Warf wall : 2  </t>
  </si>
  <si>
    <t>117/7948.1</t>
  </si>
  <si>
    <t>40/2717.290</t>
  </si>
  <si>
    <t>Power Failure :</t>
  </si>
  <si>
    <t xml:space="preserve"> 0.15 Hrs</t>
  </si>
  <si>
    <t>13.00 t0 13.15</t>
  </si>
  <si>
    <t>118/7544.72</t>
  </si>
  <si>
    <t xml:space="preserve"> Date  :  09.05 .2020</t>
  </si>
  <si>
    <t xml:space="preserve">Power Failure: </t>
  </si>
  <si>
    <t xml:space="preserve"> Date  :  11.05 .2020</t>
  </si>
  <si>
    <t xml:space="preserve"> RHSTPP</t>
  </si>
  <si>
    <t>0.10 Hrs</t>
  </si>
  <si>
    <t>13.25 to 13.35</t>
  </si>
  <si>
    <t>116/8156</t>
  </si>
  <si>
    <t>Silo Full : 2.50Hrs</t>
  </si>
  <si>
    <t>i)CV.3.2 under s/d  for scraper</t>
  </si>
  <si>
    <t xml:space="preserve">Scrapper                                        ii) Return line  work of                    lubrication  </t>
  </si>
  <si>
    <t>iii)Level switch   replaced</t>
  </si>
  <si>
    <t xml:space="preserve"> ii)CV.3.2 under s/d  for scraper  iii) Lihting fitting  of tunnel    </t>
  </si>
  <si>
    <t xml:space="preserve"> Date  :  10.05 .2020</t>
  </si>
  <si>
    <t xml:space="preserve"> Date  :  12.05 .2020</t>
  </si>
  <si>
    <t>116/8122</t>
  </si>
  <si>
    <t>Silo Full :  NIL</t>
  </si>
  <si>
    <t>GC NO.2 return oil sensor work</t>
  </si>
  <si>
    <t xml:space="preserve">Cv.2.2 zero speed  maint work </t>
  </si>
  <si>
    <t xml:space="preserve"> Date  :  13.05 .2020</t>
  </si>
  <si>
    <t>LPNG</t>
  </si>
  <si>
    <t>117/7020</t>
  </si>
  <si>
    <t xml:space="preserve"> Old Office AC power wire short    </t>
  </si>
  <si>
    <t xml:space="preserve">fault attend.  </t>
  </si>
  <si>
    <t>Cv.2.2 Idler frame replacment</t>
  </si>
  <si>
    <t xml:space="preserve"> Date  :  14.05 .2020</t>
  </si>
  <si>
    <t xml:space="preserve">i)Lubrication pump  of </t>
  </si>
  <si>
    <t xml:space="preserve">         patching work</t>
  </si>
  <si>
    <t xml:space="preserve">       of GC No.2  replaced.    Ii) Lagging of  Cv3.2 &amp; belt </t>
  </si>
  <si>
    <t>KOTA</t>
  </si>
  <si>
    <t>Silo Full : 3:00 Hrs</t>
  </si>
  <si>
    <t>117/7849</t>
  </si>
  <si>
    <t xml:space="preserve"> Date  :  15.05 .2020</t>
  </si>
  <si>
    <t>117/7539</t>
  </si>
  <si>
    <t>Silo Full : Nil</t>
  </si>
  <si>
    <t xml:space="preserve"> Date  :  16.05 .2020</t>
  </si>
  <si>
    <t>10:35Am to10.50 Am,</t>
  </si>
  <si>
    <t xml:space="preserve"> 11:00Am to 1.15Pm             from Medhauli.</t>
  </si>
  <si>
    <t xml:space="preserve">Warf wall :3 </t>
  </si>
  <si>
    <t>175/ 11935.61</t>
  </si>
  <si>
    <t>Cov.2.1 bearing  replacement</t>
  </si>
  <si>
    <t>of  pulley</t>
  </si>
  <si>
    <t>7.00Am</t>
  </si>
  <si>
    <t>3.00Pm</t>
  </si>
  <si>
    <t xml:space="preserve"> Date  :  17.05 .2020</t>
  </si>
  <si>
    <t>234/14882.93</t>
  </si>
  <si>
    <t>Silo Full : 1.30 hrs</t>
  </si>
  <si>
    <t>unit  base angle making work</t>
  </si>
  <si>
    <t>i)Cv2.1 zero speed sensor base</t>
  </si>
  <si>
    <t xml:space="preserve">ii) GC no.1 return oil sensor </t>
  </si>
  <si>
    <t>connect with electronic unit</t>
  </si>
  <si>
    <t xml:space="preserve"> Date  :  18.05 .2020</t>
  </si>
  <si>
    <t>power  faillure :</t>
  </si>
  <si>
    <t>9.30Am</t>
  </si>
  <si>
    <t xml:space="preserve">Shut down  for bearing </t>
  </si>
  <si>
    <t>1.30Pm</t>
  </si>
  <si>
    <t>replacement of Cv2.2</t>
  </si>
  <si>
    <t>ALPS</t>
  </si>
  <si>
    <t>ROJA</t>
  </si>
  <si>
    <t>295/18272.54</t>
  </si>
  <si>
    <t>Silo full  Hrs : NIL</t>
  </si>
  <si>
    <t xml:space="preserve"> Date  :  19.05 .2020</t>
  </si>
  <si>
    <t>176/11384.22</t>
  </si>
  <si>
    <t>Silo full : NIL</t>
  </si>
  <si>
    <t>for Cv2.1 Zero speed   circuit</t>
  </si>
  <si>
    <t xml:space="preserve"> 30 mtr cable  re-jointing </t>
  </si>
  <si>
    <t xml:space="preserve"> Date  :  20.05 .2020</t>
  </si>
  <si>
    <t xml:space="preserve">Cv.2.1 </t>
  </si>
  <si>
    <t xml:space="preserve"> i) Pulley lagging </t>
  </si>
  <si>
    <t xml:space="preserve">    replaced</t>
  </si>
  <si>
    <t>ii) Cv3.1 &amp; 3.2 power Aux.</t>
  </si>
  <si>
    <t xml:space="preserve">Warf wall :4  </t>
  </si>
  <si>
    <t>233/1488.44</t>
  </si>
  <si>
    <t xml:space="preserve">Silo Full : Nil  </t>
  </si>
  <si>
    <t>KTRA</t>
  </si>
  <si>
    <t xml:space="preserve"> Date  :  21.05 .2020</t>
  </si>
  <si>
    <t>Power Failure:</t>
  </si>
  <si>
    <t>Warf wall :  5</t>
  </si>
  <si>
    <t>294/18711.250</t>
  </si>
  <si>
    <t xml:space="preserve"> Date  :  22.05 .2020</t>
  </si>
  <si>
    <t>Warf wall :   5</t>
  </si>
  <si>
    <t>292/18832.24</t>
  </si>
  <si>
    <t xml:space="preserve"> Date  :  23.05.2020</t>
  </si>
  <si>
    <t>291/18818.83</t>
  </si>
  <si>
    <t xml:space="preserve"> Date  :  24.05 .2020</t>
  </si>
  <si>
    <t>232/14776.75</t>
  </si>
  <si>
    <t xml:space="preserve">Silo full Hrs : Nil  </t>
  </si>
  <si>
    <t xml:space="preserve"> Date  :  25.05 .2020</t>
  </si>
  <si>
    <t>Warf wall :5</t>
  </si>
  <si>
    <t>293/18889.23</t>
  </si>
  <si>
    <t>Silo Full : 1.15 Hrs</t>
  </si>
  <si>
    <t xml:space="preserve"> Date  :  26.05 .2020</t>
  </si>
  <si>
    <t xml:space="preserve">Warf wall : 05 </t>
  </si>
  <si>
    <t>293/18567.84</t>
  </si>
  <si>
    <t>Silo full :  NIL</t>
  </si>
  <si>
    <t>SSJPP</t>
  </si>
  <si>
    <t>08.45 Am</t>
  </si>
  <si>
    <t>01.00Pm</t>
  </si>
  <si>
    <t xml:space="preserve">Dumper fell down in </t>
  </si>
  <si>
    <t>291/18484.6</t>
  </si>
  <si>
    <t>Silo Full  : Nil Hrs</t>
  </si>
  <si>
    <t xml:space="preserve"> Date  :  27.05.2020</t>
  </si>
  <si>
    <t xml:space="preserve"> Date  :  28.05 .2020</t>
  </si>
  <si>
    <t>294/18135.06</t>
  </si>
  <si>
    <t>C-2A PULLEY  REPLACEMENT</t>
  </si>
  <si>
    <t xml:space="preserve">II) GC no.2 red lamp fitting at R/pit </t>
  </si>
  <si>
    <t>power faulure</t>
  </si>
  <si>
    <t xml:space="preserve"> Date  :  29.05 .2020</t>
  </si>
  <si>
    <t xml:space="preserve"> Date  :  30.05 .2020</t>
  </si>
  <si>
    <t xml:space="preserve">Warf wall : 5 </t>
  </si>
  <si>
    <t>291/18591.18</t>
  </si>
  <si>
    <t>PCS</t>
  </si>
  <si>
    <t>RTTPN</t>
  </si>
  <si>
    <t>Warf wall :  4</t>
  </si>
  <si>
    <t>232/15359.33</t>
  </si>
  <si>
    <t>Conv 2.1 bearing replacement of pulley</t>
  </si>
  <si>
    <t>Roller replacement</t>
  </si>
  <si>
    <t>10.35-10.50 &amp; 1.10-1.15</t>
  </si>
  <si>
    <t>Dumper felt down in GC No.2</t>
  </si>
  <si>
    <t>GC No.2 Red light fitting installed at R/Pit</t>
  </si>
  <si>
    <t>Conv.2.2 pulley lagging</t>
  </si>
  <si>
    <t>GC No.3 reciveing pit jammed</t>
  </si>
  <si>
    <t>C2A roller replacement</t>
  </si>
  <si>
    <t>GC No.3 Red light fitting installed at R/Pit</t>
  </si>
  <si>
    <t>Conv 2A pulley maintanence</t>
  </si>
  <si>
    <t xml:space="preserve"> Date  :  31.05 .2020</t>
  </si>
  <si>
    <t xml:space="preserve">           Daily report  for the month of  May'  2020 CHP, Dudhichua</t>
  </si>
  <si>
    <t>293/19477</t>
  </si>
  <si>
    <t>Tripper No.2 Power cable replaced</t>
  </si>
  <si>
    <t>GC No. 1 lubrication pannel cleaning work</t>
  </si>
  <si>
    <t>GC No.2 Greashing work</t>
  </si>
  <si>
    <t>GC No. 1 lavel liquid switch replaced</t>
  </si>
  <si>
    <t>GC No.2 Return oil sensor adjested</t>
  </si>
  <si>
    <t>GC No.1 return oil sensor electronic unit connected</t>
  </si>
  <si>
    <t>Conv 2.1 zero speed cercuit 30mtr cable replaced</t>
  </si>
  <si>
    <t xml:space="preserve">                                       Daily report  for the month of   MAY' 2020 CHP, Dudhichua</t>
  </si>
  <si>
    <t>Monthly Report  MAY ' 2020.</t>
  </si>
  <si>
    <t>Actual  Handled in May '19             ( in 000 Tes.)</t>
  </si>
  <si>
    <t>Asking Rate of June'2020                     ( in '000'Tes. Per day )</t>
  </si>
  <si>
    <t>Target         May 2020             ( in'000'Tes)</t>
  </si>
  <si>
    <t>Actual  Handled   in May'2020           ( '000'Tes.)</t>
  </si>
  <si>
    <t>Silo Full hours : 57.05 Hrs . Rake supply very poor.</t>
  </si>
  <si>
    <t>Name of
 CHP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</si>
  <si>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</si>
  <si>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</si>
  <si>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</si>
  <si>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</si>
  <si>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</si>
  <si>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availibility
 = F/A*100</t>
  </si>
  <si>
    <t>Utilisation Hrs
G = F-E</t>
  </si>
  <si>
    <t>% Utilisation
(G/A)</t>
  </si>
  <si>
    <t xml:space="preserve">          Utilisation / availibility of Dudhichua CHP for the month of May 20</t>
  </si>
  <si>
    <t>Phase -1</t>
  </si>
  <si>
    <t>Phase -2</t>
  </si>
  <si>
    <t>Diverson</t>
  </si>
  <si>
    <t xml:space="preserve">Crushing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</si>
</sst>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h]:mm"/>
    <numFmt numFmtId="167" formatCode="[h]:mm:ss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97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166" fontId="14" fillId="0" borderId="2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/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18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0" fillId="0" borderId="2" xfId="0" applyBorder="1" applyAlignment="1">
      <alignment vertical="center" wrapText="1"/>
    </xf>
    <xf numFmtId="4" fontId="15" fillId="0" borderId="16" xfId="0" applyNumberFormat="1" applyFont="1" applyBorder="1" applyAlignment="1">
      <alignment horizontal="left" vertical="top" wrapText="1"/>
    </xf>
    <xf numFmtId="4" fontId="15" fillId="0" borderId="16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7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20" fontId="13" fillId="0" borderId="2" xfId="0" applyNumberFormat="1" applyFont="1" applyBorder="1" applyAlignment="1">
      <alignment horizontal="center" vertical="top" wrapText="1"/>
    </xf>
    <xf numFmtId="18" fontId="7" fillId="0" borderId="2" xfId="0" applyNumberFormat="1" applyFont="1" applyFill="1" applyBorder="1" applyAlignment="1">
      <alignment horizontal="center" vertical="center"/>
    </xf>
    <xf numFmtId="166" fontId="13" fillId="0" borderId="11" xfId="0" applyNumberFormat="1" applyFont="1" applyBorder="1" applyAlignment="1">
      <alignment horizontal="center" vertical="top"/>
    </xf>
    <xf numFmtId="0" fontId="23" fillId="0" borderId="2" xfId="0" applyFont="1" applyBorder="1" applyAlignment="1">
      <alignment horizontal="center" vertical="center"/>
    </xf>
    <xf numFmtId="167" fontId="23" fillId="0" borderId="2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2" borderId="17" xfId="0" applyFont="1" applyFill="1" applyBorder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15" fillId="2" borderId="19" xfId="0" applyFont="1" applyFill="1" applyBorder="1" applyAlignment="1">
      <alignment vertical="top" wrapText="1"/>
    </xf>
    <xf numFmtId="0" fontId="24" fillId="0" borderId="2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4" fontId="15" fillId="0" borderId="0" xfId="0" applyNumberFormat="1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9" fontId="15" fillId="0" borderId="9" xfId="0" applyNumberFormat="1" applyFont="1" applyBorder="1" applyAlignment="1">
      <alignment horizontal="center" vertical="top" wrapText="1"/>
    </xf>
    <xf numFmtId="10" fontId="15" fillId="0" borderId="0" xfId="1" applyNumberFormat="1" applyFont="1" applyBorder="1" applyAlignment="1">
      <alignment horizontal="center" vertical="top" wrapText="1"/>
    </xf>
    <xf numFmtId="10" fontId="15" fillId="0" borderId="16" xfId="0" applyNumberFormat="1" applyFont="1" applyBorder="1" applyAlignment="1">
      <alignment horizontal="center" vertical="top" wrapText="1"/>
    </xf>
    <xf numFmtId="4" fontId="15" fillId="0" borderId="21" xfId="0" applyNumberFormat="1" applyFont="1" applyBorder="1" applyAlignment="1">
      <alignment horizontal="center" vertical="top" wrapText="1"/>
    </xf>
    <xf numFmtId="0" fontId="15" fillId="0" borderId="22" xfId="0" applyFont="1" applyBorder="1"/>
    <xf numFmtId="0" fontId="15" fillId="0" borderId="23" xfId="0" applyFont="1" applyBorder="1" applyAlignment="1">
      <alignment horizontal="center" vertical="top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NumberFormat="1" applyFont="1" applyBorder="1" applyAlignment="1">
      <alignment horizontal="center" vertical="top" wrapText="1"/>
    </xf>
    <xf numFmtId="10" fontId="15" fillId="0" borderId="23" xfId="0" applyNumberFormat="1" applyFont="1" applyBorder="1" applyAlignment="1">
      <alignment horizontal="center" vertical="top" wrapText="1"/>
    </xf>
    <xf numFmtId="10" fontId="15" fillId="0" borderId="24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15" fillId="0" borderId="0" xfId="0" applyFont="1"/>
    <xf numFmtId="0" fontId="1" fillId="0" borderId="0" xfId="0" applyFont="1"/>
    <xf numFmtId="0" fontId="0" fillId="0" borderId="0" xfId="0" applyFont="1"/>
    <xf numFmtId="0" fontId="2" fillId="0" borderId="11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/>
    </xf>
    <xf numFmtId="2" fontId="7" fillId="0" borderId="2" xfId="0" applyNumberFormat="1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9" xfId="0" applyFont="1" applyFill="1" applyBorder="1" applyAlignment="1">
      <alignment horizontal="left" vertical="top"/>
    </xf>
    <xf numFmtId="2" fontId="21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26" fillId="0" borderId="0" xfId="0" applyFont="1"/>
    <xf numFmtId="0" fontId="14" fillId="0" borderId="2" xfId="0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top" wrapText="1"/>
    </xf>
    <xf numFmtId="0" fontId="23" fillId="0" borderId="2" xfId="0" applyFont="1" applyFill="1" applyBorder="1" applyAlignment="1">
      <alignment horizontal="center" vertical="top" wrapText="1"/>
    </xf>
    <xf numFmtId="167" fontId="23" fillId="0" borderId="2" xfId="1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top"/>
    </xf>
    <xf numFmtId="165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2" activePane="bottomLeft" state="frozen"/>
      <selection pane="bottomLeft" activeCell="H1" sqref="H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211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25</v>
      </c>
      <c r="E4" s="22">
        <v>28</v>
      </c>
      <c r="F4" s="22">
        <v>23</v>
      </c>
      <c r="G4" s="22">
        <v>24</v>
      </c>
      <c r="H4" s="22">
        <v>20</v>
      </c>
      <c r="I4" s="22">
        <v>17</v>
      </c>
      <c r="J4" s="22">
        <v>19</v>
      </c>
      <c r="K4" s="22">
        <v>140</v>
      </c>
      <c r="L4" s="22">
        <v>25</v>
      </c>
      <c r="M4" s="93">
        <f t="shared" ref="M4:M7" si="0">K4+L4</f>
        <v>165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39</v>
      </c>
      <c r="L5" s="22">
        <v>0</v>
      </c>
      <c r="M5" s="93">
        <f t="shared" si="0"/>
        <v>39</v>
      </c>
      <c r="N5" s="104" t="s">
        <v>174</v>
      </c>
      <c r="O5" s="66" t="s">
        <v>13</v>
      </c>
      <c r="P5" s="66" t="s">
        <v>13</v>
      </c>
      <c r="Q5" s="66" t="s">
        <v>215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56</v>
      </c>
      <c r="O6" s="96"/>
      <c r="P6" s="65"/>
      <c r="Q6" s="273"/>
    </row>
    <row r="7" spans="1:17" ht="15" customHeight="1" x14ac:dyDescent="0.25">
      <c r="A7" s="25"/>
      <c r="B7" s="21" t="s">
        <v>19</v>
      </c>
      <c r="C7" s="22"/>
      <c r="D7" s="22">
        <v>15</v>
      </c>
      <c r="E7" s="22">
        <v>18</v>
      </c>
      <c r="F7" s="22">
        <v>22</v>
      </c>
      <c r="G7" s="22">
        <v>3</v>
      </c>
      <c r="H7" s="22">
        <v>8</v>
      </c>
      <c r="I7" s="22">
        <v>10</v>
      </c>
      <c r="J7" s="22"/>
      <c r="K7" s="22">
        <v>46</v>
      </c>
      <c r="L7" s="22">
        <v>30</v>
      </c>
      <c r="M7" s="93">
        <f t="shared" si="0"/>
        <v>76</v>
      </c>
      <c r="N7" s="104" t="s">
        <v>56</v>
      </c>
      <c r="O7" s="97"/>
      <c r="P7" s="65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16</v>
      </c>
      <c r="E9" s="22">
        <v>18</v>
      </c>
      <c r="F9" s="22">
        <v>18</v>
      </c>
      <c r="G9" s="22">
        <v>6</v>
      </c>
      <c r="H9" s="22">
        <v>17</v>
      </c>
      <c r="I9" s="22">
        <v>42</v>
      </c>
      <c r="J9" s="22">
        <v>38</v>
      </c>
      <c r="K9" s="22">
        <v>120</v>
      </c>
      <c r="L9" s="22">
        <v>35</v>
      </c>
      <c r="M9" s="93">
        <f t="shared" ref="M9:M12" si="1">K9+L9</f>
        <v>155</v>
      </c>
      <c r="N9" s="82" t="s">
        <v>176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56</v>
      </c>
      <c r="O10" s="275" t="s">
        <v>122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>
        <v>6</v>
      </c>
      <c r="I11" s="22">
        <v>3</v>
      </c>
      <c r="J11" s="22">
        <v>3</v>
      </c>
      <c r="K11" s="22">
        <v>12</v>
      </c>
      <c r="L11" s="22">
        <v>0</v>
      </c>
      <c r="M11" s="93">
        <f t="shared" si="1"/>
        <v>12</v>
      </c>
      <c r="N11" s="82" t="s">
        <v>56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12</v>
      </c>
      <c r="E12" s="22">
        <v>10</v>
      </c>
      <c r="F12" s="22">
        <v>6</v>
      </c>
      <c r="G12" s="22">
        <v>2</v>
      </c>
      <c r="H12" s="22"/>
      <c r="I12" s="22"/>
      <c r="J12" s="22"/>
      <c r="K12" s="22">
        <v>30</v>
      </c>
      <c r="L12" s="22">
        <v>0</v>
      </c>
      <c r="M12" s="93">
        <f t="shared" si="1"/>
        <v>30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 t="s">
        <v>132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36</v>
      </c>
      <c r="E14" s="22">
        <v>44</v>
      </c>
      <c r="F14" s="22">
        <v>40</v>
      </c>
      <c r="G14" s="22">
        <v>25</v>
      </c>
      <c r="H14" s="22">
        <v>35</v>
      </c>
      <c r="I14" s="22">
        <v>48</v>
      </c>
      <c r="J14" s="22">
        <v>50</v>
      </c>
      <c r="K14" s="22">
        <v>183</v>
      </c>
      <c r="L14" s="22">
        <v>95</v>
      </c>
      <c r="M14" s="93">
        <f t="shared" ref="M14:M17" si="2">K14+L14</f>
        <v>278</v>
      </c>
      <c r="N14" s="103" t="s">
        <v>176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213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2"/>
        <v>5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15</v>
      </c>
      <c r="F17" s="22">
        <v>25</v>
      </c>
      <c r="G17" s="22">
        <v>20</v>
      </c>
      <c r="H17" s="22">
        <v>10</v>
      </c>
      <c r="I17" s="22">
        <v>2</v>
      </c>
      <c r="J17" s="22"/>
      <c r="K17" s="22">
        <v>72</v>
      </c>
      <c r="L17" s="22">
        <v>0</v>
      </c>
      <c r="M17" s="93">
        <f t="shared" si="2"/>
        <v>72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90" t="s">
        <v>38</v>
      </c>
      <c r="N18" s="65">
        <f>M4+M9+M14</f>
        <v>598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90" t="s">
        <v>41</v>
      </c>
      <c r="N19" s="65">
        <f>M5+M10+M15</f>
        <v>39</v>
      </c>
      <c r="O19" s="69">
        <v>1008.59</v>
      </c>
      <c r="P19" s="46" t="s">
        <v>127</v>
      </c>
      <c r="Q19" s="65" t="s">
        <v>214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90" t="s">
        <v>74</v>
      </c>
      <c r="N20" s="65">
        <f>M6+M11+M16</f>
        <v>17</v>
      </c>
      <c r="O20" s="77" t="s">
        <v>64</v>
      </c>
      <c r="P20" s="75">
        <v>80</v>
      </c>
      <c r="Q20" s="65">
        <v>5472.31</v>
      </c>
    </row>
    <row r="21" spans="1:20" ht="25.5" customHeight="1" x14ac:dyDescent="0.25">
      <c r="A21" s="16" t="s">
        <v>46</v>
      </c>
      <c r="B21" s="66">
        <v>206.29861111111111</v>
      </c>
      <c r="C21" s="66">
        <v>206.45833333333334</v>
      </c>
      <c r="D21" s="66">
        <f t="shared" ref="D21:D22" si="3">C21-B21</f>
        <v>0.15972222222222854</v>
      </c>
      <c r="E21" s="66">
        <v>206.60416666666666</v>
      </c>
      <c r="F21" s="66">
        <v>206.875</v>
      </c>
      <c r="G21" s="66">
        <f t="shared" ref="G21" si="4">F21-E21</f>
        <v>0.27083333333334281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0.72222222222225696</v>
      </c>
      <c r="M21" s="90" t="s">
        <v>47</v>
      </c>
      <c r="N21" s="65">
        <f>M17+M12+M7</f>
        <v>178</v>
      </c>
      <c r="O21" s="78" t="s">
        <v>68</v>
      </c>
      <c r="P21" s="75">
        <v>199</v>
      </c>
      <c r="Q21" s="65">
        <v>5830.13</v>
      </c>
    </row>
    <row r="22" spans="1:20" ht="27" customHeight="1" x14ac:dyDescent="0.25">
      <c r="A22" s="16" t="s">
        <v>48</v>
      </c>
      <c r="B22" s="66">
        <v>206.26736111111111</v>
      </c>
      <c r="C22" s="66">
        <v>206.54166666666666</v>
      </c>
      <c r="D22" s="66">
        <f t="shared" si="3"/>
        <v>0.27430555555554292</v>
      </c>
      <c r="E22" s="66">
        <v>206.58333333333334</v>
      </c>
      <c r="F22" s="66">
        <v>206.875</v>
      </c>
      <c r="G22" s="66">
        <f t="shared" ref="G22" si="5">F22-E22</f>
        <v>0.29166666666665719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0.85416666666665719</v>
      </c>
      <c r="M22" s="49" t="s">
        <v>49</v>
      </c>
      <c r="N22" s="65">
        <v>32108.59</v>
      </c>
      <c r="O22" s="80" t="s">
        <v>65</v>
      </c>
      <c r="P22" s="75">
        <v>148</v>
      </c>
      <c r="Q22" s="65">
        <v>3684.65</v>
      </c>
    </row>
    <row r="23" spans="1:20" ht="27" customHeight="1" x14ac:dyDescent="0.25">
      <c r="A23" s="91" t="s">
        <v>50</v>
      </c>
      <c r="B23" s="66">
        <v>206.29861111111111</v>
      </c>
      <c r="C23" s="66">
        <v>206.54166666666666</v>
      </c>
      <c r="D23" s="66">
        <f t="shared" ref="D23" si="6">C23-B23</f>
        <v>0.24305555555554292</v>
      </c>
      <c r="E23" s="66">
        <v>206.58333333333334</v>
      </c>
      <c r="F23" s="66">
        <v>206.875</v>
      </c>
      <c r="G23" s="66">
        <f t="shared" ref="G23" si="7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0.82638888888888573</v>
      </c>
      <c r="M23" s="90" t="s">
        <v>63</v>
      </c>
      <c r="N23" s="85">
        <v>10</v>
      </c>
      <c r="O23" s="86" t="s">
        <v>66</v>
      </c>
      <c r="P23" s="76">
        <v>19</v>
      </c>
      <c r="Q23" s="65">
        <v>583.83000000000004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0.67708333333331439</v>
      </c>
      <c r="E24" s="68"/>
      <c r="F24" s="68"/>
      <c r="G24" s="66">
        <f>SUM(G21:G23)</f>
        <v>0.85416666666665719</v>
      </c>
      <c r="H24" s="68"/>
      <c r="I24" s="68"/>
      <c r="J24" s="71">
        <f>SUM(J21:J23)</f>
        <v>0.87152777777782831</v>
      </c>
      <c r="K24" s="75"/>
      <c r="L24" s="83">
        <f>SUM(L21:L23)</f>
        <v>2.4027777777777999</v>
      </c>
      <c r="M24" s="65" t="s">
        <v>77</v>
      </c>
      <c r="N24" s="65">
        <v>37043.120000000003</v>
      </c>
      <c r="P24" s="79" t="s">
        <v>67</v>
      </c>
      <c r="Q24" s="43">
        <v>48092.76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5">
        <v>37043.120000000003</v>
      </c>
      <c r="P25" s="90" t="s">
        <v>76</v>
      </c>
      <c r="Q25" s="87">
        <v>53565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51000</v>
      </c>
      <c r="P26" s="51" t="s">
        <v>86</v>
      </c>
      <c r="Q26" s="87">
        <v>49291.81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57.4</v>
      </c>
      <c r="M27" s="55"/>
      <c r="N27" s="88">
        <f>N22/L27</f>
        <v>559.38310104529614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Q13" sqref="Q1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5.42578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279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26</v>
      </c>
      <c r="F4" s="22">
        <v>26</v>
      </c>
      <c r="G4" s="22">
        <v>3</v>
      </c>
      <c r="H4" s="22">
        <v>26</v>
      </c>
      <c r="I4" s="22">
        <v>35</v>
      </c>
      <c r="J4" s="22">
        <v>20</v>
      </c>
      <c r="K4" s="22">
        <v>95</v>
      </c>
      <c r="L4" s="22">
        <v>80</v>
      </c>
      <c r="M4" s="93">
        <f>K4+L4</f>
        <v>175</v>
      </c>
      <c r="N4" s="104" t="s">
        <v>270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1</v>
      </c>
      <c r="K5" s="22">
        <v>10</v>
      </c>
      <c r="L5" s="22">
        <v>0</v>
      </c>
      <c r="M5" s="93">
        <f t="shared" ref="M5:M7" si="0">K5+L5</f>
        <v>10</v>
      </c>
      <c r="N5" s="104" t="s">
        <v>56</v>
      </c>
      <c r="O5" s="66">
        <v>9.3888888888888893</v>
      </c>
      <c r="P5" s="66">
        <v>1.5520833333333335</v>
      </c>
      <c r="Q5" s="66" t="s">
        <v>275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6</v>
      </c>
      <c r="G6" s="22">
        <v>4</v>
      </c>
      <c r="H6" s="22">
        <v>5</v>
      </c>
      <c r="I6" s="22">
        <v>6</v>
      </c>
      <c r="J6" s="22">
        <v>5</v>
      </c>
      <c r="K6" s="22">
        <v>20</v>
      </c>
      <c r="L6" s="22">
        <v>0</v>
      </c>
      <c r="M6" s="93">
        <f t="shared" si="0"/>
        <v>20</v>
      </c>
      <c r="N6" s="104" t="s">
        <v>56</v>
      </c>
      <c r="O6" s="96"/>
      <c r="P6" s="65"/>
      <c r="Q6" s="286" t="s">
        <v>276</v>
      </c>
    </row>
    <row r="7" spans="1:17" ht="23.25" customHeight="1" x14ac:dyDescent="0.25">
      <c r="A7" s="25"/>
      <c r="B7" s="21" t="s">
        <v>19</v>
      </c>
      <c r="C7" s="22"/>
      <c r="D7" s="22"/>
      <c r="E7" s="22"/>
      <c r="F7" s="22">
        <v>7</v>
      </c>
      <c r="G7" s="22">
        <v>8</v>
      </c>
      <c r="H7" s="22">
        <v>3</v>
      </c>
      <c r="I7" s="22" t="s">
        <v>13</v>
      </c>
      <c r="J7" s="22" t="s">
        <v>13</v>
      </c>
      <c r="K7" s="22">
        <v>7</v>
      </c>
      <c r="L7" s="22">
        <v>0</v>
      </c>
      <c r="M7" s="93">
        <f t="shared" si="0"/>
        <v>7</v>
      </c>
      <c r="N7" s="104" t="s">
        <v>248</v>
      </c>
      <c r="O7" s="97"/>
      <c r="P7" s="65"/>
      <c r="Q7" s="287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251"/>
      <c r="Q8" s="247" t="s">
        <v>13</v>
      </c>
    </row>
    <row r="9" spans="1:17" ht="15.75" customHeight="1" x14ac:dyDescent="0.25">
      <c r="A9" s="33"/>
      <c r="B9" s="34" t="s">
        <v>14</v>
      </c>
      <c r="C9" s="22"/>
      <c r="D9" s="22">
        <v>32</v>
      </c>
      <c r="E9" s="22">
        <v>38</v>
      </c>
      <c r="F9" s="22">
        <v>42</v>
      </c>
      <c r="G9" s="22">
        <v>29</v>
      </c>
      <c r="H9" s="22">
        <v>30</v>
      </c>
      <c r="I9" s="22">
        <v>37</v>
      </c>
      <c r="J9" s="22">
        <v>33</v>
      </c>
      <c r="K9" s="22">
        <v>194</v>
      </c>
      <c r="L9" s="22">
        <v>41</v>
      </c>
      <c r="M9" s="93">
        <f t="shared" ref="M9:M12" si="1">K9+L9</f>
        <v>235</v>
      </c>
      <c r="N9" s="82" t="s">
        <v>56</v>
      </c>
      <c r="O9" s="99"/>
      <c r="P9" s="82"/>
      <c r="Q9" s="250" t="s">
        <v>13</v>
      </c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>
        <v>2</v>
      </c>
      <c r="G10" s="22"/>
      <c r="H10" s="22">
        <v>2</v>
      </c>
      <c r="I10" s="22">
        <v>3</v>
      </c>
      <c r="J10" s="22">
        <v>2</v>
      </c>
      <c r="K10" s="22">
        <v>12</v>
      </c>
      <c r="L10" s="22">
        <v>10</v>
      </c>
      <c r="M10" s="93">
        <f t="shared" si="1"/>
        <v>22</v>
      </c>
      <c r="N10" s="82" t="s">
        <v>56</v>
      </c>
      <c r="O10" s="275" t="s">
        <v>126</v>
      </c>
      <c r="P10" s="276"/>
      <c r="Q10" s="16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5</v>
      </c>
      <c r="L11" s="22">
        <v>0</v>
      </c>
      <c r="M11" s="93">
        <f t="shared" si="1"/>
        <v>5</v>
      </c>
      <c r="N11" s="82" t="s">
        <v>174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34</v>
      </c>
      <c r="L12" s="22">
        <v>5</v>
      </c>
      <c r="M12" s="93">
        <f t="shared" si="1"/>
        <v>39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206" t="s">
        <v>13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40</v>
      </c>
      <c r="G14" s="22">
        <v>30</v>
      </c>
      <c r="H14" s="22">
        <v>35</v>
      </c>
      <c r="I14" s="22">
        <v>50</v>
      </c>
      <c r="J14" s="22">
        <v>39</v>
      </c>
      <c r="K14" s="22">
        <v>113</v>
      </c>
      <c r="L14" s="22">
        <v>15</v>
      </c>
      <c r="M14" s="93">
        <f t="shared" ref="M14:M17" si="2">K14+L14</f>
        <v>128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40</v>
      </c>
      <c r="L16" s="22">
        <v>0</v>
      </c>
      <c r="M16" s="93">
        <f t="shared" si="2"/>
        <v>40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3</v>
      </c>
      <c r="F17" s="22"/>
      <c r="G17" s="22"/>
      <c r="H17" s="22">
        <v>5</v>
      </c>
      <c r="I17" s="22">
        <v>2</v>
      </c>
      <c r="J17" s="22"/>
      <c r="K17" s="22">
        <v>18</v>
      </c>
      <c r="L17" s="22">
        <v>0</v>
      </c>
      <c r="M17" s="93">
        <f t="shared" si="2"/>
        <v>18</v>
      </c>
      <c r="N17" s="103"/>
      <c r="O17" s="103" t="s">
        <v>268</v>
      </c>
      <c r="P17" s="82" t="s">
        <v>271</v>
      </c>
      <c r="Q17" s="65" t="s">
        <v>272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538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32</v>
      </c>
      <c r="O19" s="69">
        <v>1685</v>
      </c>
      <c r="P19" s="46" t="s">
        <v>160</v>
      </c>
      <c r="Q19" s="65" t="s">
        <v>273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65</v>
      </c>
      <c r="O20" s="77" t="s">
        <v>64</v>
      </c>
      <c r="P20" s="75">
        <v>40</v>
      </c>
      <c r="Q20" s="65">
        <v>2797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2" si="3">C21-B21</f>
        <v>0.29166666666665719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206.96875</v>
      </c>
      <c r="I21" s="66">
        <v>207.20833333333334</v>
      </c>
      <c r="J21" s="71">
        <f>I21-H21-K21</f>
        <v>0.23958333333334281</v>
      </c>
      <c r="K21" s="66"/>
      <c r="L21" s="73">
        <f>D21+G21+J21</f>
        <v>0.82291666666665719</v>
      </c>
      <c r="M21" s="154" t="s">
        <v>47</v>
      </c>
      <c r="N21" s="65">
        <f>M17+M12+M7</f>
        <v>64</v>
      </c>
      <c r="O21" s="78" t="s">
        <v>68</v>
      </c>
      <c r="P21" s="75">
        <v>157</v>
      </c>
      <c r="Q21" s="65">
        <v>5658</v>
      </c>
    </row>
    <row r="22" spans="1:20" ht="27" customHeight="1" x14ac:dyDescent="0.25">
      <c r="A22" s="16" t="s">
        <v>48</v>
      </c>
      <c r="B22" s="66">
        <v>206.25</v>
      </c>
      <c r="C22" s="66">
        <v>206.52083333333334</v>
      </c>
      <c r="D22" s="66">
        <f t="shared" si="3"/>
        <v>0.27083333333334281</v>
      </c>
      <c r="E22" s="66">
        <v>206.57986111111111</v>
      </c>
      <c r="F22" s="66">
        <v>206.875</v>
      </c>
      <c r="G22" s="66">
        <f t="shared" ref="G22" si="4">F22-E22</f>
        <v>0.29513888888888573</v>
      </c>
      <c r="H22" s="66">
        <v>206.97222222222223</v>
      </c>
      <c r="I22" s="66">
        <v>207.20833333333334</v>
      </c>
      <c r="J22" s="71">
        <f>I22-H22-K22</f>
        <v>0.23611111111111427</v>
      </c>
      <c r="K22" s="75"/>
      <c r="L22" s="73">
        <f>D22+G22+J22</f>
        <v>0.80208333333334281</v>
      </c>
      <c r="M22" s="49" t="s">
        <v>49</v>
      </c>
      <c r="N22" s="65">
        <v>37111</v>
      </c>
      <c r="O22" s="80" t="s">
        <v>65</v>
      </c>
      <c r="P22" s="75">
        <v>90</v>
      </c>
      <c r="Q22" s="65">
        <v>1999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ref="D23" si="5">C23-B23</f>
        <v>0.27083333333331439</v>
      </c>
      <c r="E23" s="66">
        <v>206.58333333333334</v>
      </c>
      <c r="F23" s="66">
        <v>206.875</v>
      </c>
      <c r="G23" s="66">
        <f t="shared" ref="G23" si="6">F23-E23</f>
        <v>0.29166666666665719</v>
      </c>
      <c r="H23" s="66">
        <v>206.96875</v>
      </c>
      <c r="I23" s="66">
        <v>207.20833333333334</v>
      </c>
      <c r="J23" s="71">
        <f>I23-H23-K23</f>
        <v>0.23958333333334281</v>
      </c>
      <c r="K23" s="155"/>
      <c r="L23" s="156">
        <f>D23+G23+J23</f>
        <v>0.80208333333331439</v>
      </c>
      <c r="M23" s="154" t="s">
        <v>63</v>
      </c>
      <c r="N23" s="85">
        <v>10</v>
      </c>
      <c r="O23" s="86" t="s">
        <v>66</v>
      </c>
      <c r="P23" s="76">
        <v>20</v>
      </c>
      <c r="Q23" s="65">
        <v>1069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0.83333333333331439</v>
      </c>
      <c r="E24" s="68"/>
      <c r="F24" s="68"/>
      <c r="G24" s="66">
        <f>SUM(G21:G23)</f>
        <v>0.87847222222220012</v>
      </c>
      <c r="H24" s="68"/>
      <c r="I24" s="68"/>
      <c r="J24" s="71">
        <f>SUM(J21:J23)</f>
        <v>0.71527777777779988</v>
      </c>
      <c r="K24" s="75"/>
      <c r="L24" s="249">
        <f>SUM(L21:L23)</f>
        <v>2.4270833333333144</v>
      </c>
      <c r="M24" s="65" t="s">
        <v>77</v>
      </c>
      <c r="N24" s="65">
        <v>29434</v>
      </c>
      <c r="P24" s="79" t="s">
        <v>67</v>
      </c>
      <c r="Q24" s="43">
        <v>43548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 t="s">
        <v>13</v>
      </c>
      <c r="K25" s="75"/>
      <c r="L25" s="84"/>
      <c r="M25" s="84"/>
      <c r="N25" s="51" t="s">
        <v>78</v>
      </c>
      <c r="O25" s="69">
        <f>N24+Sheet9!O25</f>
        <v>348935.09</v>
      </c>
      <c r="P25" s="154" t="s">
        <v>76</v>
      </c>
      <c r="Q25" s="87">
        <v>46360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Q24+Sheet9!Q26</f>
        <v>322184.25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57.5</v>
      </c>
      <c r="M27" s="55"/>
      <c r="N27" s="88">
        <f>N22/L27</f>
        <v>645.40869565217395</v>
      </c>
      <c r="O27" s="81" t="s">
        <v>13</v>
      </c>
      <c r="P27" s="69"/>
      <c r="Q27" s="65" t="s">
        <v>274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2" workbookViewId="0">
      <selection activeCell="K32" sqref="K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269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26</v>
      </c>
      <c r="F4" s="22">
        <v>26</v>
      </c>
      <c r="G4" s="22">
        <v>3</v>
      </c>
      <c r="H4" s="22">
        <v>26</v>
      </c>
      <c r="I4" s="22">
        <v>35</v>
      </c>
      <c r="J4" s="22">
        <v>20</v>
      </c>
      <c r="K4" s="22">
        <v>98</v>
      </c>
      <c r="L4" s="22">
        <v>63</v>
      </c>
      <c r="M4" s="93">
        <f>K4+L4</f>
        <v>161</v>
      </c>
      <c r="N4" s="104" t="s">
        <v>270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1</v>
      </c>
      <c r="K5" s="22">
        <v>8</v>
      </c>
      <c r="L5" s="22">
        <v>0</v>
      </c>
      <c r="M5" s="93">
        <f t="shared" ref="M5:M7" si="0">K5+L5</f>
        <v>8</v>
      </c>
      <c r="N5" s="104" t="s">
        <v>56</v>
      </c>
      <c r="O5" s="66">
        <v>9.3888888888888893</v>
      </c>
      <c r="P5" s="66">
        <v>1.5520833333333335</v>
      </c>
      <c r="Q5" s="66" t="s">
        <v>275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6</v>
      </c>
      <c r="G6" s="22">
        <v>4</v>
      </c>
      <c r="H6" s="22">
        <v>5</v>
      </c>
      <c r="I6" s="22">
        <v>6</v>
      </c>
      <c r="J6" s="22">
        <v>5</v>
      </c>
      <c r="K6" s="22">
        <v>41</v>
      </c>
      <c r="L6" s="22">
        <v>0</v>
      </c>
      <c r="M6" s="93">
        <f t="shared" si="0"/>
        <v>41</v>
      </c>
      <c r="N6" s="104" t="s">
        <v>56</v>
      </c>
      <c r="O6" s="96"/>
      <c r="P6" s="65"/>
      <c r="Q6" s="286" t="s">
        <v>276</v>
      </c>
    </row>
    <row r="7" spans="1:17" ht="24.75" customHeight="1" x14ac:dyDescent="0.25">
      <c r="A7" s="25"/>
      <c r="B7" s="21" t="s">
        <v>19</v>
      </c>
      <c r="C7" s="22"/>
      <c r="D7" s="22"/>
      <c r="E7" s="22"/>
      <c r="F7" s="22">
        <v>7</v>
      </c>
      <c r="G7" s="22">
        <v>8</v>
      </c>
      <c r="H7" s="22">
        <v>3</v>
      </c>
      <c r="I7" s="22" t="s">
        <v>13</v>
      </c>
      <c r="J7" s="22" t="s">
        <v>13</v>
      </c>
      <c r="K7" s="22">
        <v>18</v>
      </c>
      <c r="L7" s="22">
        <v>0</v>
      </c>
      <c r="M7" s="93">
        <f t="shared" si="0"/>
        <v>18</v>
      </c>
      <c r="N7" s="104" t="s">
        <v>248</v>
      </c>
      <c r="O7" s="97"/>
      <c r="P7" s="65"/>
      <c r="Q7" s="287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251"/>
      <c r="Q8" s="247" t="s">
        <v>278</v>
      </c>
    </row>
    <row r="9" spans="1:17" ht="15.75" customHeight="1" x14ac:dyDescent="0.25">
      <c r="A9" s="33"/>
      <c r="B9" s="34" t="s">
        <v>14</v>
      </c>
      <c r="C9" s="22"/>
      <c r="D9" s="22">
        <v>32</v>
      </c>
      <c r="E9" s="22">
        <v>38</v>
      </c>
      <c r="F9" s="22">
        <v>42</v>
      </c>
      <c r="G9" s="22">
        <v>29</v>
      </c>
      <c r="H9" s="22">
        <v>30</v>
      </c>
      <c r="I9" s="22">
        <v>37</v>
      </c>
      <c r="J9" s="22">
        <v>33</v>
      </c>
      <c r="K9" s="22">
        <v>180</v>
      </c>
      <c r="L9" s="22">
        <v>61</v>
      </c>
      <c r="M9" s="93">
        <f t="shared" ref="M9:M12" si="1">K9+L9</f>
        <v>241</v>
      </c>
      <c r="N9" s="82" t="s">
        <v>56</v>
      </c>
      <c r="O9" s="99"/>
      <c r="P9" s="82"/>
      <c r="Q9" s="250" t="s">
        <v>277</v>
      </c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>
        <v>2</v>
      </c>
      <c r="G10" s="22"/>
      <c r="H10" s="22">
        <v>2</v>
      </c>
      <c r="I10" s="22">
        <v>3</v>
      </c>
      <c r="J10" s="22">
        <v>2</v>
      </c>
      <c r="K10" s="22">
        <v>5</v>
      </c>
      <c r="L10" s="22">
        <v>10</v>
      </c>
      <c r="M10" s="93">
        <f t="shared" si="1"/>
        <v>15</v>
      </c>
      <c r="N10" s="82" t="s">
        <v>56</v>
      </c>
      <c r="O10" s="275" t="s">
        <v>126</v>
      </c>
      <c r="P10" s="276"/>
      <c r="Q10" s="16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5</v>
      </c>
      <c r="L11" s="22">
        <v>0</v>
      </c>
      <c r="M11" s="93">
        <f t="shared" si="1"/>
        <v>5</v>
      </c>
      <c r="N11" s="82" t="s">
        <v>174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22</v>
      </c>
      <c r="L12" s="22">
        <v>0</v>
      </c>
      <c r="M12" s="93">
        <f t="shared" si="1"/>
        <v>22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206" t="s">
        <v>13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40</v>
      </c>
      <c r="G14" s="22">
        <v>30</v>
      </c>
      <c r="H14" s="22">
        <v>35</v>
      </c>
      <c r="I14" s="22">
        <v>50</v>
      </c>
      <c r="J14" s="22">
        <v>39</v>
      </c>
      <c r="K14" s="22">
        <v>185</v>
      </c>
      <c r="L14" s="22">
        <v>74</v>
      </c>
      <c r="M14" s="93">
        <f t="shared" ref="M14:M17" si="2">K14+L14</f>
        <v>259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3">
        <f t="shared" si="2"/>
        <v>10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3</v>
      </c>
      <c r="F17" s="22"/>
      <c r="G17" s="22"/>
      <c r="H17" s="22">
        <v>5</v>
      </c>
      <c r="I17" s="22">
        <v>2</v>
      </c>
      <c r="J17" s="22"/>
      <c r="K17" s="22">
        <v>13</v>
      </c>
      <c r="L17" s="22">
        <v>0</v>
      </c>
      <c r="M17" s="93">
        <f t="shared" si="2"/>
        <v>13</v>
      </c>
      <c r="N17" s="103"/>
      <c r="O17" s="103" t="s">
        <v>268</v>
      </c>
      <c r="P17" s="82" t="s">
        <v>271</v>
      </c>
      <c r="Q17" s="65" t="s">
        <v>272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661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23</v>
      </c>
      <c r="O19" s="69">
        <v>1685</v>
      </c>
      <c r="P19" s="46" t="s">
        <v>160</v>
      </c>
      <c r="Q19" s="65" t="s">
        <v>273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56</v>
      </c>
      <c r="O20" s="77" t="s">
        <v>64</v>
      </c>
      <c r="P20" s="75">
        <v>40</v>
      </c>
      <c r="Q20" s="65">
        <v>2797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3">C21-B21</f>
        <v>0.29166666666665719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0.875</v>
      </c>
      <c r="M21" s="154" t="s">
        <v>47</v>
      </c>
      <c r="N21" s="65">
        <f>M17+M12+M7</f>
        <v>53</v>
      </c>
      <c r="O21" s="78" t="s">
        <v>68</v>
      </c>
      <c r="P21" s="75">
        <v>157</v>
      </c>
      <c r="Q21" s="65">
        <v>5658</v>
      </c>
    </row>
    <row r="22" spans="1:20" ht="27" customHeight="1" x14ac:dyDescent="0.25">
      <c r="A22" s="16" t="s">
        <v>48</v>
      </c>
      <c r="B22" s="66">
        <v>206.25</v>
      </c>
      <c r="C22" s="66">
        <v>206.38888888888889</v>
      </c>
      <c r="D22" s="66">
        <f t="shared" si="3"/>
        <v>0.13888888888888573</v>
      </c>
      <c r="E22" s="66">
        <v>206.58333333333334</v>
      </c>
      <c r="F22" s="66">
        <v>206.875</v>
      </c>
      <c r="G22" s="66">
        <f t="shared" ref="G22:G23" si="4"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0.72222222222222854</v>
      </c>
      <c r="M22" s="49" t="s">
        <v>49</v>
      </c>
      <c r="N22" s="65">
        <v>37111</v>
      </c>
      <c r="O22" s="80" t="s">
        <v>65</v>
      </c>
      <c r="P22" s="75">
        <v>90</v>
      </c>
      <c r="Q22" s="65">
        <v>1999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3"/>
        <v>0.27083333333331439</v>
      </c>
      <c r="E23" s="66">
        <v>206.60763888888889</v>
      </c>
      <c r="F23" s="66">
        <v>206.875</v>
      </c>
      <c r="G23" s="66">
        <f t="shared" si="4"/>
        <v>0.26736111111111427</v>
      </c>
      <c r="H23" s="66">
        <v>206.93402777777777</v>
      </c>
      <c r="I23" s="66">
        <v>207.20833333333334</v>
      </c>
      <c r="J23" s="71">
        <f>I23-H23-K23</f>
        <v>0.27430555555557135</v>
      </c>
      <c r="K23" s="155"/>
      <c r="L23" s="156">
        <f>D23+G23+J23</f>
        <v>0.8125</v>
      </c>
      <c r="M23" s="154" t="s">
        <v>63</v>
      </c>
      <c r="N23" s="85">
        <v>10</v>
      </c>
      <c r="O23" s="86" t="s">
        <v>66</v>
      </c>
      <c r="P23" s="76">
        <v>20</v>
      </c>
      <c r="Q23" s="65">
        <v>1069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0.70138888888885731</v>
      </c>
      <c r="E24" s="68"/>
      <c r="F24" s="68"/>
      <c r="G24" s="66">
        <f>SUM(G21:G23)</f>
        <v>0.85069444444442865</v>
      </c>
      <c r="H24" s="68"/>
      <c r="I24" s="68"/>
      <c r="J24" s="71">
        <f>SUM(J21:J23)</f>
        <v>0.85763888888894257</v>
      </c>
      <c r="K24" s="75"/>
      <c r="L24" s="249">
        <f>SUM(L21:L23)</f>
        <v>2.4097222222222285</v>
      </c>
      <c r="M24" s="65" t="s">
        <v>77</v>
      </c>
      <c r="N24" s="65">
        <v>36935</v>
      </c>
      <c r="P24" s="79" t="s">
        <v>67</v>
      </c>
      <c r="Q24" s="43">
        <v>43548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 t="s">
        <v>13</v>
      </c>
      <c r="K25" s="75"/>
      <c r="L25" s="84"/>
      <c r="M25" s="84"/>
      <c r="N25" s="51" t="s">
        <v>78</v>
      </c>
      <c r="O25" s="69">
        <f>N24+Sheet10!O25</f>
        <v>385870.09</v>
      </c>
      <c r="P25" s="154" t="s">
        <v>76</v>
      </c>
      <c r="Q25" s="87">
        <v>46360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Q24+Sheet9!Q26</f>
        <v>322184.25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57.5</v>
      </c>
      <c r="M27" s="55"/>
      <c r="N27" s="88">
        <f>N22/L27</f>
        <v>645.40869565217395</v>
      </c>
      <c r="O27" s="81" t="s">
        <v>13</v>
      </c>
      <c r="P27" s="69"/>
      <c r="Q27" s="65" t="s">
        <v>274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7" workbookViewId="0">
      <selection activeCell="O25" sqref="O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5.140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280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34</v>
      </c>
      <c r="E4" s="22">
        <v>36</v>
      </c>
      <c r="F4" s="22">
        <v>39</v>
      </c>
      <c r="G4" s="22">
        <v>19</v>
      </c>
      <c r="H4" s="22">
        <v>22</v>
      </c>
      <c r="I4" s="22">
        <v>20</v>
      </c>
      <c r="J4" s="22">
        <v>10</v>
      </c>
      <c r="K4" s="22">
        <v>95</v>
      </c>
      <c r="L4" s="22">
        <v>85</v>
      </c>
      <c r="M4" s="93">
        <f>K4+L4</f>
        <v>180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3</v>
      </c>
      <c r="J5" s="22">
        <v>4</v>
      </c>
      <c r="K5" s="22">
        <v>7</v>
      </c>
      <c r="L5" s="22">
        <v>0</v>
      </c>
      <c r="M5" s="93">
        <f t="shared" ref="M5:M7" si="0">K5+L5</f>
        <v>7</v>
      </c>
      <c r="N5" s="104" t="s">
        <v>56</v>
      </c>
      <c r="O5" s="66" t="s">
        <v>13</v>
      </c>
      <c r="P5" s="66" t="s">
        <v>13</v>
      </c>
      <c r="Q5" s="66" t="s">
        <v>283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7</v>
      </c>
      <c r="F6" s="22">
        <v>7</v>
      </c>
      <c r="G6" s="22">
        <v>3</v>
      </c>
      <c r="H6" s="22"/>
      <c r="I6" s="22"/>
      <c r="J6" s="22"/>
      <c r="K6" s="22">
        <v>23</v>
      </c>
      <c r="L6" s="22">
        <v>0</v>
      </c>
      <c r="M6" s="93">
        <f t="shared" si="0"/>
        <v>23</v>
      </c>
      <c r="N6" s="104" t="s">
        <v>172</v>
      </c>
      <c r="O6" s="96"/>
      <c r="P6" s="65"/>
      <c r="Q6" s="281" t="s">
        <v>284</v>
      </c>
    </row>
    <row r="7" spans="1:17" ht="15" customHeight="1" x14ac:dyDescent="0.25">
      <c r="A7" s="25"/>
      <c r="B7" s="21" t="s">
        <v>19</v>
      </c>
      <c r="C7" s="22"/>
      <c r="D7" s="22">
        <v>1</v>
      </c>
      <c r="E7" s="22">
        <v>2</v>
      </c>
      <c r="F7" s="22">
        <v>7</v>
      </c>
      <c r="G7" s="22">
        <v>10</v>
      </c>
      <c r="H7" s="22">
        <v>15</v>
      </c>
      <c r="I7" s="22">
        <v>6</v>
      </c>
      <c r="J7" s="22"/>
      <c r="K7" s="22">
        <v>34</v>
      </c>
      <c r="L7" s="22">
        <v>7</v>
      </c>
      <c r="M7" s="93">
        <f t="shared" si="0"/>
        <v>41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>
        <v>4</v>
      </c>
      <c r="D9" s="22">
        <v>30</v>
      </c>
      <c r="E9" s="22">
        <v>35</v>
      </c>
      <c r="F9" s="22">
        <v>41</v>
      </c>
      <c r="G9" s="22">
        <v>19</v>
      </c>
      <c r="H9" s="22">
        <v>35</v>
      </c>
      <c r="I9" s="22">
        <v>45</v>
      </c>
      <c r="J9" s="22">
        <v>26</v>
      </c>
      <c r="K9" s="22">
        <v>184</v>
      </c>
      <c r="L9" s="22">
        <v>52</v>
      </c>
      <c r="M9" s="93">
        <f t="shared" ref="M9:M12" si="1">K9+L9</f>
        <v>236</v>
      </c>
      <c r="N9" s="82" t="s">
        <v>174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6</v>
      </c>
      <c r="E10" s="22">
        <v>5</v>
      </c>
      <c r="F10" s="22">
        <v>4</v>
      </c>
      <c r="G10" s="22">
        <v>4</v>
      </c>
      <c r="H10" s="22">
        <v>9</v>
      </c>
      <c r="I10" s="22">
        <v>4</v>
      </c>
      <c r="J10" s="22"/>
      <c r="K10" s="22">
        <v>33</v>
      </c>
      <c r="L10" s="22">
        <v>0</v>
      </c>
      <c r="M10" s="93">
        <f t="shared" si="1"/>
        <v>33</v>
      </c>
      <c r="N10" s="82" t="s">
        <v>174</v>
      </c>
      <c r="O10" s="275" t="s">
        <v>125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3</v>
      </c>
      <c r="F11" s="22"/>
      <c r="G11" s="22">
        <v>2</v>
      </c>
      <c r="H11" s="22">
        <v>3</v>
      </c>
      <c r="I11" s="22"/>
      <c r="J11" s="22"/>
      <c r="K11" s="22">
        <v>10</v>
      </c>
      <c r="L11" s="22">
        <v>0</v>
      </c>
      <c r="M11" s="93">
        <f t="shared" si="1"/>
        <v>10</v>
      </c>
      <c r="N11" s="82" t="s">
        <v>56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2</v>
      </c>
      <c r="F12" s="22"/>
      <c r="G12" s="22">
        <v>3</v>
      </c>
      <c r="H12" s="22">
        <v>3</v>
      </c>
      <c r="I12" s="22">
        <v>2</v>
      </c>
      <c r="J12" s="22"/>
      <c r="K12" s="22">
        <v>3</v>
      </c>
      <c r="L12" s="22">
        <v>9</v>
      </c>
      <c r="M12" s="93">
        <f t="shared" si="1"/>
        <v>12</v>
      </c>
      <c r="N12" s="82" t="s">
        <v>56</v>
      </c>
      <c r="O12" s="82"/>
      <c r="P12" s="82"/>
      <c r="Q12" s="37"/>
    </row>
    <row r="13" spans="1:17" ht="30.7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40</v>
      </c>
      <c r="E14" s="22">
        <v>50</v>
      </c>
      <c r="F14" s="22">
        <v>40</v>
      </c>
      <c r="G14" s="22">
        <v>45</v>
      </c>
      <c r="H14" s="22">
        <v>20</v>
      </c>
      <c r="I14" s="22">
        <v>30</v>
      </c>
      <c r="J14" s="22">
        <v>20</v>
      </c>
      <c r="K14" s="22">
        <v>165</v>
      </c>
      <c r="L14" s="22">
        <v>81</v>
      </c>
      <c r="M14" s="93">
        <f t="shared" ref="M14:M17" si="2">K14+L14</f>
        <v>246</v>
      </c>
      <c r="N14" s="22" t="s">
        <v>56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2"/>
        <v>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9</v>
      </c>
      <c r="E17" s="22">
        <v>6</v>
      </c>
      <c r="F17" s="22"/>
      <c r="G17" s="22"/>
      <c r="H17" s="22"/>
      <c r="I17" s="22">
        <v>4</v>
      </c>
      <c r="J17" s="22">
        <v>5</v>
      </c>
      <c r="K17" s="22">
        <v>20</v>
      </c>
      <c r="L17" s="22">
        <v>4</v>
      </c>
      <c r="M17" s="93">
        <f t="shared" si="2"/>
        <v>24</v>
      </c>
      <c r="N17" s="103"/>
      <c r="O17" s="252" t="s">
        <v>166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662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40</v>
      </c>
      <c r="O19" s="69" t="s">
        <v>13</v>
      </c>
      <c r="P19" s="46" t="s">
        <v>160</v>
      </c>
      <c r="Q19" s="65" t="s">
        <v>281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38</v>
      </c>
      <c r="O20" s="77" t="s">
        <v>64</v>
      </c>
      <c r="P20" s="75">
        <v>40</v>
      </c>
      <c r="Q20" s="65">
        <v>2800</v>
      </c>
    </row>
    <row r="21" spans="1:20" ht="25.5" customHeight="1" x14ac:dyDescent="0.25">
      <c r="A21" s="16" t="s">
        <v>46</v>
      </c>
      <c r="B21" s="66">
        <v>206.25</v>
      </c>
      <c r="C21" s="66">
        <v>206.44791666666666</v>
      </c>
      <c r="D21" s="66">
        <f t="shared" ref="D21" si="3">C21-B21</f>
        <v>0.19791666666665719</v>
      </c>
      <c r="E21" s="66">
        <v>206.57638888888889</v>
      </c>
      <c r="F21" s="66">
        <v>206.875</v>
      </c>
      <c r="G21" s="66">
        <f t="shared" ref="G21" si="4">F21-E21</f>
        <v>0.29861111111111427</v>
      </c>
      <c r="H21" s="66">
        <v>206.92013888888889</v>
      </c>
      <c r="I21" s="66">
        <v>207.20833333333334</v>
      </c>
      <c r="J21" s="71">
        <f>I21-H21-K21</f>
        <v>0.28819444444445708</v>
      </c>
      <c r="K21" s="66"/>
      <c r="L21" s="73">
        <f>D21+G21+J21</f>
        <v>0.78472222222222854</v>
      </c>
      <c r="M21" s="154" t="s">
        <v>47</v>
      </c>
      <c r="N21" s="65">
        <f>M17+M12+M7</f>
        <v>77</v>
      </c>
      <c r="O21" s="78" t="s">
        <v>68</v>
      </c>
      <c r="P21" s="75">
        <v>142</v>
      </c>
      <c r="Q21" s="65">
        <v>4210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" si="5">C22-B22</f>
        <v>0.29166666666665719</v>
      </c>
      <c r="E22" s="66">
        <v>206.58333333333334</v>
      </c>
      <c r="F22" s="66">
        <v>206.875</v>
      </c>
      <c r="G22" s="66">
        <f t="shared" ref="G22" si="6">F22-E22</f>
        <v>0.29166666666665719</v>
      </c>
      <c r="H22" s="66">
        <v>206.91666666666666</v>
      </c>
      <c r="I22" s="66">
        <v>207.20833333333334</v>
      </c>
      <c r="J22" s="71">
        <f t="shared" ref="J22:J23" si="7">I22-H22-K22</f>
        <v>0.29166666666668561</v>
      </c>
      <c r="K22" s="75"/>
      <c r="L22" s="73">
        <f>D22+G22+J22</f>
        <v>0.875</v>
      </c>
      <c r="M22" s="49" t="s">
        <v>49</v>
      </c>
      <c r="N22" s="65">
        <v>36941</v>
      </c>
      <c r="O22" s="80" t="s">
        <v>65</v>
      </c>
      <c r="P22" s="75">
        <v>74</v>
      </c>
      <c r="Q22" s="65">
        <v>1903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8">C23-B23</f>
        <v>0.25</v>
      </c>
      <c r="E23" s="66">
        <v>206.58333333333334</v>
      </c>
      <c r="F23" s="66">
        <v>206.875</v>
      </c>
      <c r="G23" s="66">
        <f t="shared" ref="G23" si="9">F23-E23</f>
        <v>0.29166666666665719</v>
      </c>
      <c r="H23" s="66">
        <v>206.91666666666666</v>
      </c>
      <c r="I23" s="66">
        <v>207.20833333333334</v>
      </c>
      <c r="J23" s="71">
        <f t="shared" si="7"/>
        <v>0.29166666666668561</v>
      </c>
      <c r="K23" s="155"/>
      <c r="L23" s="156">
        <f>D23+G23+J23</f>
        <v>0.83333333333334281</v>
      </c>
      <c r="M23" s="154" t="s">
        <v>63</v>
      </c>
      <c r="N23" s="85">
        <v>10</v>
      </c>
      <c r="O23" s="86" t="s">
        <v>66</v>
      </c>
      <c r="P23" s="76">
        <v>41</v>
      </c>
      <c r="Q23" s="65">
        <v>1393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0.73958333333331439</v>
      </c>
      <c r="E24" s="68"/>
      <c r="F24" s="68"/>
      <c r="G24" s="66">
        <f>SUM(G21:G23)</f>
        <v>0.88194444444442865</v>
      </c>
      <c r="H24" s="68"/>
      <c r="I24" s="68"/>
      <c r="J24" s="71">
        <f>SUM(J21:J23)</f>
        <v>0.87152777777782831</v>
      </c>
      <c r="K24" s="75"/>
      <c r="L24" s="83">
        <f>SUM(L21:L23)</f>
        <v>2.4930555555555713</v>
      </c>
      <c r="M24" s="65" t="s">
        <v>77</v>
      </c>
      <c r="N24" s="65">
        <v>37085</v>
      </c>
      <c r="P24" s="79" t="s">
        <v>67</v>
      </c>
      <c r="Q24" s="43">
        <v>43799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N24+Sheet11!O25</f>
        <v>422955.09</v>
      </c>
      <c r="P25" s="154" t="s">
        <v>76</v>
      </c>
      <c r="Q25" s="87">
        <v>46600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86</v>
      </c>
      <c r="Q26" s="69">
        <f>Q24+Sheet11!Q26</f>
        <v>365983.25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8">
        <f>N22/L27</f>
        <v>656.145648312611</v>
      </c>
      <c r="O27" s="81" t="s">
        <v>73</v>
      </c>
      <c r="P27" s="69"/>
      <c r="Q27" s="65" t="s">
        <v>282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9" workbookViewId="0">
      <selection activeCell="O26" sqref="O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5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285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34</v>
      </c>
      <c r="E4" s="22">
        <v>36</v>
      </c>
      <c r="F4" s="22">
        <v>30</v>
      </c>
      <c r="G4" s="22">
        <v>10</v>
      </c>
      <c r="H4" s="22">
        <v>30</v>
      </c>
      <c r="I4" s="22">
        <v>32</v>
      </c>
      <c r="J4" s="22">
        <v>28</v>
      </c>
      <c r="K4" s="22">
        <v>115</v>
      </c>
      <c r="L4" s="22">
        <v>85</v>
      </c>
      <c r="M4" s="93">
        <f t="shared" ref="M4:M7" si="0">K4+L4</f>
        <v>200</v>
      </c>
      <c r="N4" s="104" t="s">
        <v>174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>
        <v>2</v>
      </c>
      <c r="E5" s="22"/>
      <c r="F5" s="22"/>
      <c r="G5" s="22"/>
      <c r="H5" s="22">
        <v>1</v>
      </c>
      <c r="I5" s="22">
        <v>2</v>
      </c>
      <c r="J5" s="22"/>
      <c r="K5" s="22">
        <v>15</v>
      </c>
      <c r="L5" s="22">
        <v>0</v>
      </c>
      <c r="M5" s="93">
        <f t="shared" si="0"/>
        <v>15</v>
      </c>
      <c r="N5" s="104" t="s">
        <v>56</v>
      </c>
      <c r="O5" s="66" t="s">
        <v>13</v>
      </c>
      <c r="P5" s="66" t="s">
        <v>13</v>
      </c>
      <c r="Q5" s="66" t="s">
        <v>288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3</v>
      </c>
      <c r="G6" s="22"/>
      <c r="H6" s="22">
        <v>4</v>
      </c>
      <c r="I6" s="22">
        <v>2</v>
      </c>
      <c r="J6" s="22">
        <v>1</v>
      </c>
      <c r="K6" s="22">
        <v>10</v>
      </c>
      <c r="L6" s="22">
        <v>0</v>
      </c>
      <c r="M6" s="93">
        <f t="shared" si="0"/>
        <v>10</v>
      </c>
      <c r="N6" s="104" t="s">
        <v>286</v>
      </c>
      <c r="O6" s="96"/>
      <c r="P6" s="65"/>
      <c r="Q6" s="281" t="s">
        <v>289</v>
      </c>
    </row>
    <row r="7" spans="1:17" ht="15" customHeight="1" x14ac:dyDescent="0.25">
      <c r="A7" s="25"/>
      <c r="B7" s="21" t="s">
        <v>19</v>
      </c>
      <c r="C7" s="22"/>
      <c r="D7" s="22"/>
      <c r="E7" s="22">
        <v>13</v>
      </c>
      <c r="F7" s="22">
        <v>12</v>
      </c>
      <c r="G7" s="22">
        <v>15</v>
      </c>
      <c r="H7" s="22">
        <v>20</v>
      </c>
      <c r="I7" s="22">
        <v>15</v>
      </c>
      <c r="J7" s="22">
        <v>5</v>
      </c>
      <c r="K7" s="22">
        <v>55</v>
      </c>
      <c r="L7" s="22">
        <v>25</v>
      </c>
      <c r="M7" s="93">
        <f t="shared" si="0"/>
        <v>80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71">
        <v>9.5</v>
      </c>
      <c r="P8" s="253">
        <v>13</v>
      </c>
      <c r="Q8" s="159" t="s">
        <v>290</v>
      </c>
    </row>
    <row r="9" spans="1:17" ht="12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180</v>
      </c>
      <c r="L9" s="22">
        <v>63</v>
      </c>
      <c r="M9" s="93">
        <f t="shared" ref="M9:M12" si="1">K9+L9</f>
        <v>243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12</v>
      </c>
      <c r="L10" s="22">
        <v>0</v>
      </c>
      <c r="M10" s="93">
        <f t="shared" si="1"/>
        <v>12</v>
      </c>
      <c r="N10" s="82" t="s">
        <v>174</v>
      </c>
      <c r="O10" s="275" t="s">
        <v>125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25</v>
      </c>
      <c r="L11" s="22">
        <v>5</v>
      </c>
      <c r="M11" s="93">
        <f t="shared" si="1"/>
        <v>30</v>
      </c>
      <c r="N11" s="82" t="s">
        <v>56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7</v>
      </c>
      <c r="L12" s="22">
        <v>7</v>
      </c>
      <c r="M12" s="93">
        <f t="shared" si="1"/>
        <v>14</v>
      </c>
      <c r="N12" s="82" t="s">
        <v>56</v>
      </c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P13" s="82"/>
      <c r="Q13" s="37"/>
    </row>
    <row r="14" spans="1:17" ht="15" x14ac:dyDescent="0.25">
      <c r="A14" s="33"/>
      <c r="B14" s="21" t="s">
        <v>14</v>
      </c>
      <c r="C14" s="22">
        <v>20</v>
      </c>
      <c r="D14" s="22">
        <v>50</v>
      </c>
      <c r="E14" s="22">
        <v>50</v>
      </c>
      <c r="F14" s="22">
        <v>20</v>
      </c>
      <c r="G14" s="22">
        <v>18</v>
      </c>
      <c r="H14" s="22">
        <v>22</v>
      </c>
      <c r="I14" s="22">
        <v>22</v>
      </c>
      <c r="J14" s="22">
        <v>20</v>
      </c>
      <c r="K14" s="22">
        <v>167</v>
      </c>
      <c r="L14" s="22">
        <v>55</v>
      </c>
      <c r="M14" s="93">
        <f t="shared" ref="M14" si="2">K14+L14</f>
        <v>222</v>
      </c>
      <c r="N14" s="22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ref="M15" si="3">K15+L15</f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8</v>
      </c>
      <c r="E16" s="22">
        <v>7</v>
      </c>
      <c r="F16" s="22">
        <v>8</v>
      </c>
      <c r="G16" s="22">
        <v>10</v>
      </c>
      <c r="H16" s="22"/>
      <c r="I16" s="22"/>
      <c r="J16" s="22"/>
      <c r="K16" s="22">
        <v>35</v>
      </c>
      <c r="L16" s="22">
        <v>0</v>
      </c>
      <c r="M16" s="93">
        <f t="shared" ref="M16:M17" si="4">K16+L16</f>
        <v>35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3">
        <f t="shared" si="4"/>
        <v>0</v>
      </c>
      <c r="N17" s="103"/>
      <c r="O17" s="252" t="s">
        <v>166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665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27</v>
      </c>
      <c r="O19" s="69" t="s">
        <v>13</v>
      </c>
      <c r="P19" s="46" t="s">
        <v>160</v>
      </c>
      <c r="Q19" s="65" t="s">
        <v>287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75</v>
      </c>
      <c r="O20" s="77" t="s">
        <v>64</v>
      </c>
      <c r="P20" s="75">
        <v>40</v>
      </c>
      <c r="Q20" s="65">
        <v>2800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5">C21-B21</f>
        <v>0.29166666666665719</v>
      </c>
      <c r="E21" s="66">
        <v>206.57638888888889</v>
      </c>
      <c r="F21" s="66">
        <v>206.875</v>
      </c>
      <c r="G21" s="66">
        <f t="shared" ref="G21:G23" si="6">F21-E21</f>
        <v>0.29861111111111427</v>
      </c>
      <c r="H21" s="66">
        <v>206.90625</v>
      </c>
      <c r="I21" s="66">
        <v>207.20833333333334</v>
      </c>
      <c r="J21" s="71">
        <f>I21-H21-K21</f>
        <v>0.30208333333334281</v>
      </c>
      <c r="K21" s="66"/>
      <c r="L21" s="73">
        <f>D21+G21+J21</f>
        <v>0.89236111111111427</v>
      </c>
      <c r="M21" s="154" t="s">
        <v>47</v>
      </c>
      <c r="N21" s="65">
        <f>M17+M12+M7</f>
        <v>94</v>
      </c>
      <c r="O21" s="78" t="s">
        <v>68</v>
      </c>
      <c r="P21" s="75">
        <v>117</v>
      </c>
      <c r="Q21" s="65">
        <v>3488</v>
      </c>
    </row>
    <row r="22" spans="1:20" ht="27" customHeight="1" x14ac:dyDescent="0.25">
      <c r="A22" s="16" t="s">
        <v>48</v>
      </c>
      <c r="B22" s="66">
        <v>206.25</v>
      </c>
      <c r="C22" s="66">
        <v>206.41666666666666</v>
      </c>
      <c r="D22" s="66">
        <f t="shared" ref="D22:D23" si="7">C22-B22</f>
        <v>0.16666666666665719</v>
      </c>
      <c r="E22" s="66">
        <v>206.58333333333334</v>
      </c>
      <c r="F22" s="66">
        <v>206.875</v>
      </c>
      <c r="G22" s="66">
        <f t="shared" si="6"/>
        <v>0.29166666666665719</v>
      </c>
      <c r="H22" s="66">
        <v>206.875</v>
      </c>
      <c r="I22" s="66">
        <v>207.20833333333334</v>
      </c>
      <c r="J22" s="71">
        <f t="shared" ref="J22:J23" si="8">I22-H22-K22</f>
        <v>0.33333333333334281</v>
      </c>
      <c r="K22" s="75"/>
      <c r="L22" s="73">
        <f>D22+G22+J22</f>
        <v>0.79166666666665719</v>
      </c>
      <c r="M22" s="49" t="s">
        <v>49</v>
      </c>
      <c r="N22" s="65">
        <v>37926</v>
      </c>
      <c r="O22" s="80" t="s">
        <v>65</v>
      </c>
      <c r="P22" s="75">
        <v>75</v>
      </c>
      <c r="Q22" s="65">
        <v>1957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si="7"/>
        <v>0.29166666666665719</v>
      </c>
      <c r="E23" s="66">
        <v>206.58333333333334</v>
      </c>
      <c r="F23" s="66">
        <v>206.875</v>
      </c>
      <c r="G23" s="66">
        <f t="shared" si="6"/>
        <v>0.29166666666665719</v>
      </c>
      <c r="H23" s="66">
        <v>206.93055555555554</v>
      </c>
      <c r="I23" s="66">
        <v>207.20833333333334</v>
      </c>
      <c r="J23" s="71">
        <f t="shared" si="8"/>
        <v>0.27777777777779988</v>
      </c>
      <c r="K23" s="155"/>
      <c r="L23" s="156">
        <f>D23+G23+J23</f>
        <v>0.86111111111111427</v>
      </c>
      <c r="M23" s="154" t="s">
        <v>63</v>
      </c>
      <c r="N23" s="85">
        <v>10</v>
      </c>
      <c r="O23" s="86" t="s">
        <v>66</v>
      </c>
      <c r="P23" s="76">
        <v>111</v>
      </c>
      <c r="Q23" s="65">
        <v>3540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0.74999999999997158</v>
      </c>
      <c r="E24" s="68"/>
      <c r="F24" s="68"/>
      <c r="G24" s="66">
        <f>SUM(G21:G23)</f>
        <v>0.88194444444442865</v>
      </c>
      <c r="H24" s="68"/>
      <c r="I24" s="68"/>
      <c r="J24" s="71">
        <f>SUM(J21:J23)</f>
        <v>0.9131944444444855</v>
      </c>
      <c r="K24" s="75"/>
      <c r="L24" s="83">
        <f>SUM(L21:L23)</f>
        <v>2.5451388888888857</v>
      </c>
      <c r="M24" s="65" t="s">
        <v>77</v>
      </c>
      <c r="N24" s="65">
        <v>36785</v>
      </c>
      <c r="P24" s="79" t="s">
        <v>67</v>
      </c>
      <c r="Q24" s="43">
        <v>45472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N24+Sheet12!O25</f>
        <v>459740.09</v>
      </c>
      <c r="P25" s="154" t="s">
        <v>76</v>
      </c>
      <c r="Q25" s="87">
        <v>48146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86</v>
      </c>
      <c r="Q26" s="69">
        <f>Q24+Sheet11!Q26</f>
        <v>367656.25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61.05</v>
      </c>
      <c r="M27" s="55"/>
      <c r="N27" s="88">
        <f>N22/L27</f>
        <v>621.22850122850127</v>
      </c>
      <c r="O27" s="81" t="s">
        <v>73</v>
      </c>
      <c r="P27" s="69"/>
      <c r="Q27" s="65" t="s">
        <v>282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P15" sqref="P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4.42578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291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48</v>
      </c>
      <c r="E4" s="22">
        <v>52</v>
      </c>
      <c r="F4" s="22">
        <v>40</v>
      </c>
      <c r="G4" s="22">
        <v>28</v>
      </c>
      <c r="H4" s="22">
        <v>32</v>
      </c>
      <c r="I4" s="22">
        <v>30</v>
      </c>
      <c r="J4" s="22">
        <v>20</v>
      </c>
      <c r="K4" s="22">
        <v>148</v>
      </c>
      <c r="L4" s="22">
        <v>102</v>
      </c>
      <c r="M4" s="93">
        <f t="shared" ref="M4" si="0">K4+L4</f>
        <v>250</v>
      </c>
      <c r="N4" s="105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4</v>
      </c>
      <c r="J5" s="22">
        <v>3</v>
      </c>
      <c r="K5" s="22">
        <v>7</v>
      </c>
      <c r="L5" s="22">
        <v>0</v>
      </c>
      <c r="M5" s="93">
        <f t="shared" ref="M5" si="1">K5+L5</f>
        <v>7</v>
      </c>
      <c r="N5" s="66" t="s">
        <v>56</v>
      </c>
      <c r="O5" s="66" t="s">
        <v>168</v>
      </c>
      <c r="P5" s="66" t="s">
        <v>167</v>
      </c>
      <c r="Q5" s="255" t="s">
        <v>292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5</v>
      </c>
      <c r="F6" s="22">
        <v>3</v>
      </c>
      <c r="G6" s="22">
        <v>2</v>
      </c>
      <c r="H6" s="22"/>
      <c r="I6" s="22"/>
      <c r="J6" s="22"/>
      <c r="K6" s="22">
        <v>15</v>
      </c>
      <c r="L6" s="22">
        <v>0</v>
      </c>
      <c r="M6" s="93">
        <f t="shared" ref="M6:M7" si="2">K6+L6</f>
        <v>15</v>
      </c>
      <c r="N6" s="104" t="s">
        <v>56</v>
      </c>
      <c r="O6" s="96"/>
      <c r="P6" s="44"/>
      <c r="Q6" s="289" t="s">
        <v>294</v>
      </c>
    </row>
    <row r="7" spans="1:17" ht="15" customHeight="1" x14ac:dyDescent="0.25">
      <c r="A7" s="25"/>
      <c r="B7" s="21" t="s">
        <v>19</v>
      </c>
      <c r="C7" s="22"/>
      <c r="D7" s="22">
        <v>1</v>
      </c>
      <c r="E7" s="22"/>
      <c r="F7" s="22">
        <v>3</v>
      </c>
      <c r="G7" s="22">
        <v>2</v>
      </c>
      <c r="H7" s="22">
        <v>3</v>
      </c>
      <c r="I7" s="22">
        <v>4</v>
      </c>
      <c r="J7" s="22">
        <v>7</v>
      </c>
      <c r="K7" s="22">
        <v>13</v>
      </c>
      <c r="L7" s="22">
        <v>7</v>
      </c>
      <c r="M7" s="93">
        <f t="shared" si="2"/>
        <v>20</v>
      </c>
      <c r="N7" s="104" t="s">
        <v>174</v>
      </c>
      <c r="O7" s="97"/>
      <c r="P7" s="44"/>
      <c r="Q7" s="290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254" t="s">
        <v>13</v>
      </c>
      <c r="Q8" s="256" t="s">
        <v>293</v>
      </c>
    </row>
    <row r="9" spans="1:17" ht="15.75" customHeight="1" x14ac:dyDescent="0.25">
      <c r="A9" s="33"/>
      <c r="B9" s="34" t="s">
        <v>14</v>
      </c>
      <c r="C9" s="22"/>
      <c r="D9" s="22">
        <v>30</v>
      </c>
      <c r="E9" s="22">
        <v>40</v>
      </c>
      <c r="F9" s="22">
        <v>29</v>
      </c>
      <c r="G9" s="22">
        <v>17</v>
      </c>
      <c r="H9" s="22">
        <v>32</v>
      </c>
      <c r="I9" s="22">
        <v>33</v>
      </c>
      <c r="J9" s="22">
        <v>34</v>
      </c>
      <c r="K9" s="22">
        <v>132</v>
      </c>
      <c r="L9" s="22">
        <v>85</v>
      </c>
      <c r="M9" s="93">
        <f t="shared" ref="M9:M12" si="3">K9+L9</f>
        <v>217</v>
      </c>
      <c r="N9" s="82" t="s">
        <v>56</v>
      </c>
      <c r="O9" s="99"/>
      <c r="P9" s="82"/>
      <c r="Q9" s="288" t="s">
        <v>13</v>
      </c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3</v>
      </c>
      <c r="F10" s="22">
        <v>4</v>
      </c>
      <c r="G10" s="22">
        <v>8</v>
      </c>
      <c r="H10" s="22">
        <v>5</v>
      </c>
      <c r="I10" s="22">
        <v>5</v>
      </c>
      <c r="J10" s="22"/>
      <c r="K10" s="22">
        <v>29</v>
      </c>
      <c r="L10" s="22">
        <v>0</v>
      </c>
      <c r="M10" s="93">
        <f t="shared" si="3"/>
        <v>29</v>
      </c>
      <c r="N10" s="82" t="s">
        <v>295</v>
      </c>
      <c r="O10" s="275" t="s">
        <v>126</v>
      </c>
      <c r="P10" s="276"/>
      <c r="Q10" s="274"/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5</v>
      </c>
      <c r="F11" s="22">
        <v>2</v>
      </c>
      <c r="G11" s="22"/>
      <c r="H11" s="22">
        <v>8</v>
      </c>
      <c r="I11" s="22">
        <v>9</v>
      </c>
      <c r="J11" s="22">
        <v>18</v>
      </c>
      <c r="K11" s="22">
        <v>40</v>
      </c>
      <c r="L11" s="22">
        <v>5</v>
      </c>
      <c r="M11" s="93">
        <f t="shared" si="3"/>
        <v>45</v>
      </c>
      <c r="N11" s="82" t="s">
        <v>56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7</v>
      </c>
      <c r="F12" s="22">
        <v>11</v>
      </c>
      <c r="G12" s="22">
        <v>1</v>
      </c>
      <c r="H12" s="22"/>
      <c r="I12" s="22">
        <v>1</v>
      </c>
      <c r="J12" s="22"/>
      <c r="K12" s="22">
        <v>15</v>
      </c>
      <c r="L12" s="22">
        <v>0</v>
      </c>
      <c r="M12" s="93">
        <f t="shared" si="3"/>
        <v>15</v>
      </c>
      <c r="N12" s="82" t="s">
        <v>56</v>
      </c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>
        <v>20</v>
      </c>
      <c r="D14" s="22">
        <v>35</v>
      </c>
      <c r="E14" s="22">
        <v>28</v>
      </c>
      <c r="F14" s="22">
        <v>38</v>
      </c>
      <c r="G14" s="22">
        <v>22</v>
      </c>
      <c r="H14" s="22">
        <v>28</v>
      </c>
      <c r="I14" s="22">
        <v>25</v>
      </c>
      <c r="J14" s="22">
        <v>20</v>
      </c>
      <c r="K14" s="22">
        <v>151</v>
      </c>
      <c r="L14" s="22">
        <v>75</v>
      </c>
      <c r="M14" s="93">
        <f t="shared" ref="M14:M17" si="4">K14+L14</f>
        <v>226</v>
      </c>
      <c r="N14" s="103" t="s">
        <v>56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>
        <v>9</v>
      </c>
      <c r="D16" s="22">
        <v>4</v>
      </c>
      <c r="E16" s="22">
        <v>5</v>
      </c>
      <c r="F16" s="22"/>
      <c r="G16" s="22"/>
      <c r="H16" s="22"/>
      <c r="I16" s="22"/>
      <c r="J16" s="22"/>
      <c r="K16" s="22">
        <v>18</v>
      </c>
      <c r="L16" s="22">
        <v>0</v>
      </c>
      <c r="M16" s="93">
        <f t="shared" si="4"/>
        <v>18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3">
        <f t="shared" si="4"/>
        <v>0</v>
      </c>
      <c r="N17" s="103"/>
      <c r="O17" s="103" t="s">
        <v>132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693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36</v>
      </c>
      <c r="O19" s="69">
        <v>1529</v>
      </c>
      <c r="P19" s="46" t="s">
        <v>160</v>
      </c>
      <c r="Q19" s="65" t="s">
        <v>297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78</v>
      </c>
      <c r="O20" s="77" t="s">
        <v>64</v>
      </c>
      <c r="P20" s="75">
        <v>40</v>
      </c>
      <c r="Q20" s="65">
        <v>2683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5">C21-B21</f>
        <v>0.29166666666665719</v>
      </c>
      <c r="E21" s="66">
        <v>206.63888888888889</v>
      </c>
      <c r="F21" s="66">
        <v>206.875</v>
      </c>
      <c r="G21" s="66">
        <f t="shared" ref="G21:G22" si="6">F21-E21</f>
        <v>0.23611111111111427</v>
      </c>
      <c r="H21" s="66">
        <v>206.91666666666666</v>
      </c>
      <c r="I21" s="66">
        <v>207.20833333333334</v>
      </c>
      <c r="J21" s="71">
        <f>I21-H21-K21</f>
        <v>0.29166666666668561</v>
      </c>
      <c r="K21" s="66">
        <v>0</v>
      </c>
      <c r="L21" s="73">
        <f>D21+G21+J21</f>
        <v>0.81944444444445708</v>
      </c>
      <c r="M21" s="154" t="s">
        <v>47</v>
      </c>
      <c r="N21" s="65">
        <f>M17+M12+M7</f>
        <v>35</v>
      </c>
      <c r="O21" s="78" t="s">
        <v>68</v>
      </c>
      <c r="P21" s="75">
        <v>108</v>
      </c>
      <c r="Q21" s="65">
        <v>3291</v>
      </c>
    </row>
    <row r="22" spans="1:20" ht="27" customHeight="1" x14ac:dyDescent="0.25">
      <c r="A22" s="16" t="s">
        <v>48</v>
      </c>
      <c r="B22" s="66">
        <v>206.24305555555554</v>
      </c>
      <c r="C22" s="66">
        <v>206.38888888888889</v>
      </c>
      <c r="D22" s="66">
        <f t="shared" ref="D22" si="7">C22-B22</f>
        <v>0.14583333333334281</v>
      </c>
      <c r="E22" s="66">
        <v>206.59375</v>
      </c>
      <c r="F22" s="66">
        <v>206.875</v>
      </c>
      <c r="G22" s="66">
        <f t="shared" si="6"/>
        <v>0.28125</v>
      </c>
      <c r="H22" s="66">
        <v>206.875</v>
      </c>
      <c r="I22" s="66">
        <v>207.20833333333334</v>
      </c>
      <c r="J22" s="71">
        <f>I22-H22-K22</f>
        <v>0.33333333333334281</v>
      </c>
      <c r="K22" s="75"/>
      <c r="L22" s="73">
        <f>D22+G22+J22</f>
        <v>0.76041666666668561</v>
      </c>
      <c r="M22" s="49" t="s">
        <v>49</v>
      </c>
      <c r="N22" s="65">
        <v>41029</v>
      </c>
      <c r="O22" s="80" t="s">
        <v>65</v>
      </c>
      <c r="P22" s="75">
        <v>53</v>
      </c>
      <c r="Q22" s="65">
        <v>1372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8">C23-B23</f>
        <v>0.25</v>
      </c>
      <c r="E23" s="66">
        <v>206.58333333333334</v>
      </c>
      <c r="F23" s="66">
        <v>206.875</v>
      </c>
      <c r="G23" s="66">
        <f t="shared" ref="G23" si="9">F23-E23</f>
        <v>0.29166666666665719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0.84027777777777146</v>
      </c>
      <c r="M23" s="154" t="s">
        <v>63</v>
      </c>
      <c r="N23" s="85">
        <v>10</v>
      </c>
      <c r="O23" s="86" t="s">
        <v>66</v>
      </c>
      <c r="P23" s="76">
        <v>152</v>
      </c>
      <c r="Q23" s="65">
        <v>4854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0.6875</v>
      </c>
      <c r="E24" s="68"/>
      <c r="F24" s="68"/>
      <c r="G24" s="66">
        <f>SUM(G21:G23)</f>
        <v>0.80902777777777146</v>
      </c>
      <c r="H24" s="68"/>
      <c r="I24" s="68"/>
      <c r="J24" s="71">
        <f>SUM(J21:J23)</f>
        <v>0.92361111111114269</v>
      </c>
      <c r="K24" s="75"/>
      <c r="L24" s="83">
        <f>SUM(L21:L23)</f>
        <v>2.4201388888889142</v>
      </c>
      <c r="M24" s="65" t="s">
        <v>77</v>
      </c>
      <c r="N24" s="65">
        <v>37059</v>
      </c>
      <c r="P24" s="79" t="s">
        <v>67</v>
      </c>
      <c r="Q24" s="43">
        <v>47079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N24+Sheet13!O25</f>
        <v>496799.09</v>
      </c>
      <c r="P25" s="154" t="s">
        <v>76</v>
      </c>
      <c r="Q25" s="87">
        <v>49762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Q24+Sheet13!Q26</f>
        <v>414735.25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58.05</v>
      </c>
      <c r="M27" s="55"/>
      <c r="N27" s="88">
        <f>N22/L27</f>
        <v>706.78725236864773</v>
      </c>
      <c r="O27" s="81" t="s">
        <v>73</v>
      </c>
      <c r="P27" s="69"/>
      <c r="Q27" s="65" t="s">
        <v>296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8">
    <mergeCell ref="Q9:Q10"/>
    <mergeCell ref="O3:P3"/>
    <mergeCell ref="O10:P10"/>
    <mergeCell ref="O18:P18"/>
    <mergeCell ref="B19:D19"/>
    <mergeCell ref="E19:G19"/>
    <mergeCell ref="H19:J19"/>
    <mergeCell ref="Q6:Q7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K25" sqref="K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18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298</v>
      </c>
    </row>
    <row r="3" spans="1:17" ht="27.7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47</v>
      </c>
      <c r="E4" s="22">
        <v>53</v>
      </c>
      <c r="F4" s="22">
        <v>37</v>
      </c>
      <c r="G4" s="22">
        <v>33</v>
      </c>
      <c r="H4" s="22">
        <v>32</v>
      </c>
      <c r="I4" s="22">
        <v>30</v>
      </c>
      <c r="J4" s="22">
        <v>14</v>
      </c>
      <c r="K4" s="22">
        <v>153</v>
      </c>
      <c r="L4" s="22">
        <v>93</v>
      </c>
      <c r="M4" s="93">
        <f t="shared" ref="M4" si="0">K4+L4</f>
        <v>246</v>
      </c>
      <c r="N4" s="104" t="s">
        <v>248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1">K5+L5</f>
        <v>0</v>
      </c>
      <c r="N5" s="104" t="s">
        <v>56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 t="s">
        <v>56</v>
      </c>
      <c r="O6" s="96"/>
      <c r="P6" s="65"/>
      <c r="Q6" s="281" t="s">
        <v>13</v>
      </c>
    </row>
    <row r="7" spans="1:17" ht="15" customHeight="1" x14ac:dyDescent="0.25">
      <c r="A7" s="25"/>
      <c r="B7" s="21" t="s">
        <v>19</v>
      </c>
      <c r="C7" s="22"/>
      <c r="D7" s="22"/>
      <c r="E7" s="22">
        <v>5</v>
      </c>
      <c r="F7" s="22">
        <v>6</v>
      </c>
      <c r="G7" s="22"/>
      <c r="H7" s="22">
        <v>4</v>
      </c>
      <c r="I7" s="22">
        <v>10</v>
      </c>
      <c r="J7" s="22">
        <v>5</v>
      </c>
      <c r="K7" s="22">
        <v>19</v>
      </c>
      <c r="L7" s="22">
        <v>12</v>
      </c>
      <c r="M7" s="93">
        <f t="shared" si="2"/>
        <v>31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/>
      <c r="E9" s="22">
        <v>28</v>
      </c>
      <c r="F9" s="22">
        <v>35</v>
      </c>
      <c r="G9" s="22">
        <v>25</v>
      </c>
      <c r="H9" s="22">
        <v>21</v>
      </c>
      <c r="I9" s="22">
        <v>23</v>
      </c>
      <c r="J9" s="22">
        <v>32</v>
      </c>
      <c r="K9" s="22">
        <v>145</v>
      </c>
      <c r="L9" s="22">
        <v>47</v>
      </c>
      <c r="M9" s="93">
        <f t="shared" ref="M9:M12" si="3">K9+L9</f>
        <v>192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4</v>
      </c>
      <c r="F10" s="22">
        <v>5</v>
      </c>
      <c r="G10" s="22">
        <v>7</v>
      </c>
      <c r="H10" s="22">
        <v>8</v>
      </c>
      <c r="I10" s="22">
        <v>5</v>
      </c>
      <c r="J10" s="22"/>
      <c r="K10" s="22">
        <v>34</v>
      </c>
      <c r="L10" s="22">
        <v>0</v>
      </c>
      <c r="M10" s="93">
        <f t="shared" si="3"/>
        <v>34</v>
      </c>
      <c r="N10" s="82" t="s">
        <v>174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3</v>
      </c>
      <c r="F12" s="22">
        <v>5</v>
      </c>
      <c r="G12" s="22">
        <v>3</v>
      </c>
      <c r="H12" s="22">
        <v>4</v>
      </c>
      <c r="I12" s="22">
        <v>6</v>
      </c>
      <c r="J12" s="22">
        <v>2</v>
      </c>
      <c r="K12" s="22">
        <v>15</v>
      </c>
      <c r="L12" s="22">
        <v>10</v>
      </c>
      <c r="M12" s="93">
        <f t="shared" si="3"/>
        <v>25</v>
      </c>
      <c r="N12" s="82" t="s">
        <v>56</v>
      </c>
      <c r="O12" s="82"/>
      <c r="P12" s="82"/>
      <c r="Q12" s="37"/>
    </row>
    <row r="13" spans="1:17" ht="33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27</v>
      </c>
      <c r="E14" s="22">
        <v>30</v>
      </c>
      <c r="F14" s="22">
        <v>32</v>
      </c>
      <c r="G14" s="22">
        <v>28</v>
      </c>
      <c r="H14" s="22">
        <v>30</v>
      </c>
      <c r="I14" s="22">
        <v>25</v>
      </c>
      <c r="J14" s="22">
        <v>20</v>
      </c>
      <c r="K14" s="22">
        <v>130</v>
      </c>
      <c r="L14" s="22">
        <v>62</v>
      </c>
      <c r="M14" s="93">
        <f t="shared" ref="M14:M17" si="4">K14+L14</f>
        <v>192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164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/>
      <c r="H17" s="22">
        <v>4</v>
      </c>
      <c r="I17" s="22">
        <v>1</v>
      </c>
      <c r="J17" s="22"/>
      <c r="K17" s="22">
        <v>8</v>
      </c>
      <c r="L17" s="22">
        <v>0</v>
      </c>
      <c r="M17" s="93">
        <f t="shared" si="4"/>
        <v>8</v>
      </c>
      <c r="N17" s="103"/>
      <c r="O17" s="103" t="s">
        <v>244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630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34</v>
      </c>
      <c r="O19" s="69">
        <v>1677</v>
      </c>
      <c r="P19" s="46" t="s">
        <v>160</v>
      </c>
      <c r="Q19" s="65" t="s">
        <v>299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40</v>
      </c>
      <c r="Q20" s="65">
        <v>2577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" si="5">C21-B21</f>
        <v>0.29166666666665719</v>
      </c>
      <c r="E21" s="66">
        <v>206.57986111111111</v>
      </c>
      <c r="F21" s="66">
        <v>206.875</v>
      </c>
      <c r="G21" s="66">
        <f t="shared" ref="G21" si="6">F21-E21</f>
        <v>0.29513888888888573</v>
      </c>
      <c r="H21" s="66">
        <v>206.9375</v>
      </c>
      <c r="I21" s="66">
        <v>207.20833333333334</v>
      </c>
      <c r="J21" s="71">
        <f>I21-H21-K21</f>
        <v>0.27083333333334281</v>
      </c>
      <c r="K21" s="66">
        <v>0</v>
      </c>
      <c r="L21" s="73">
        <f>D21+G21+J21</f>
        <v>0.85763888888888573</v>
      </c>
      <c r="M21" s="154" t="s">
        <v>47</v>
      </c>
      <c r="N21" s="65">
        <f>M17+M12+M7</f>
        <v>64</v>
      </c>
      <c r="O21" s="78" t="s">
        <v>68</v>
      </c>
      <c r="P21" s="75">
        <v>122</v>
      </c>
      <c r="Q21" s="65">
        <v>3488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:D23" si="7">C22-B22</f>
        <v>0.29166666666665719</v>
      </c>
      <c r="E22" s="66">
        <v>206.58333333333334</v>
      </c>
      <c r="F22" s="66">
        <v>206.875</v>
      </c>
      <c r="G22" s="66">
        <f t="shared" ref="G22" si="8"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0.875</v>
      </c>
      <c r="M22" s="49" t="s">
        <v>49</v>
      </c>
      <c r="N22" s="65">
        <v>29445.26</v>
      </c>
      <c r="O22" s="80" t="s">
        <v>65</v>
      </c>
      <c r="P22" s="75">
        <v>92</v>
      </c>
      <c r="Q22" s="65">
        <v>2373</v>
      </c>
    </row>
    <row r="23" spans="1:20" ht="27" customHeight="1" x14ac:dyDescent="0.25">
      <c r="A23" s="157" t="s">
        <v>50</v>
      </c>
      <c r="B23" s="66">
        <v>206.26388888888889</v>
      </c>
      <c r="C23" s="66">
        <v>206.54166666666666</v>
      </c>
      <c r="D23" s="66">
        <f t="shared" si="7"/>
        <v>0.27777777777777146</v>
      </c>
      <c r="E23" s="66">
        <v>206.60416666666666</v>
      </c>
      <c r="F23" s="66">
        <v>206.875</v>
      </c>
      <c r="G23" s="66">
        <f t="shared" ref="G23" si="9">F23-E23</f>
        <v>0.27083333333334281</v>
      </c>
      <c r="H23" s="66">
        <v>206.92013888888889</v>
      </c>
      <c r="I23" s="66">
        <v>207.20833333333334</v>
      </c>
      <c r="J23" s="71">
        <f>I23-H23-K23</f>
        <v>0.28819444444445708</v>
      </c>
      <c r="K23" s="155"/>
      <c r="L23" s="156">
        <f>D23+G23+J23</f>
        <v>0.83680555555557135</v>
      </c>
      <c r="M23" s="154" t="s">
        <v>63</v>
      </c>
      <c r="N23" s="85">
        <v>11</v>
      </c>
      <c r="O23" s="86" t="s">
        <v>66</v>
      </c>
      <c r="P23" s="76">
        <v>235</v>
      </c>
      <c r="Q23" s="65">
        <v>7406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0.86111111111108585</v>
      </c>
      <c r="E24" s="68"/>
      <c r="F24" s="68"/>
      <c r="G24" s="66">
        <f>SUM(G21:G23)</f>
        <v>0.85763888888888573</v>
      </c>
      <c r="H24" s="68"/>
      <c r="I24" s="68"/>
      <c r="J24" s="71">
        <f>SUM(J21:J23)</f>
        <v>0.8506944444444855</v>
      </c>
      <c r="K24" s="75"/>
      <c r="L24" s="83">
        <f>SUM(L21:L23)</f>
        <v>2.5694444444444571</v>
      </c>
      <c r="M24" s="65" t="s">
        <v>77</v>
      </c>
      <c r="N24" s="65">
        <v>41133</v>
      </c>
      <c r="P24" s="79" t="s">
        <v>67</v>
      </c>
      <c r="Q24" s="43">
        <v>53501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N24+Sheet14!O25</f>
        <v>537932.09000000008</v>
      </c>
      <c r="P25" s="154" t="s">
        <v>76</v>
      </c>
      <c r="Q25" s="87">
        <v>56078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86</v>
      </c>
      <c r="Q26" s="69">
        <f>Q24+Sheet14!Q26</f>
        <v>468236.25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61.4</v>
      </c>
      <c r="M27" s="55"/>
      <c r="N27" s="88">
        <f>N22/L27</f>
        <v>479.56449511400649</v>
      </c>
      <c r="O27" s="81" t="s">
        <v>73</v>
      </c>
      <c r="P27" s="69"/>
      <c r="Q27" s="65" t="s">
        <v>300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7" workbookViewId="0">
      <selection activeCell="K1" sqref="K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9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3.855468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301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28</v>
      </c>
      <c r="E4" s="22">
        <v>32</v>
      </c>
      <c r="F4" s="22">
        <v>40</v>
      </c>
      <c r="G4" s="22">
        <v>21</v>
      </c>
      <c r="H4" s="22">
        <v>20</v>
      </c>
      <c r="I4" s="22">
        <v>20</v>
      </c>
      <c r="J4" s="22">
        <v>20</v>
      </c>
      <c r="K4" s="22">
        <v>101</v>
      </c>
      <c r="L4" s="22">
        <v>80</v>
      </c>
      <c r="M4" s="93">
        <f>K4+L4</f>
        <v>181</v>
      </c>
      <c r="N4" s="104" t="s">
        <v>56</v>
      </c>
      <c r="O4" s="95" t="s">
        <v>87</v>
      </c>
      <c r="P4" s="105" t="s">
        <v>88</v>
      </c>
      <c r="Q4" s="33" t="s">
        <v>13</v>
      </c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56</v>
      </c>
      <c r="O5" s="66" t="s">
        <v>13</v>
      </c>
      <c r="P5" s="66" t="s">
        <v>13</v>
      </c>
      <c r="Q5" s="33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56</v>
      </c>
      <c r="O6" s="96" t="s">
        <v>13</v>
      </c>
      <c r="P6" s="65"/>
      <c r="Q6" s="66" t="s">
        <v>13</v>
      </c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8</v>
      </c>
      <c r="F7" s="22">
        <v>11</v>
      </c>
      <c r="G7" s="22">
        <v>5</v>
      </c>
      <c r="H7" s="22">
        <v>2</v>
      </c>
      <c r="I7" s="22">
        <v>2</v>
      </c>
      <c r="J7" s="22">
        <v>1</v>
      </c>
      <c r="K7" s="22">
        <v>15</v>
      </c>
      <c r="L7" s="22">
        <v>20</v>
      </c>
      <c r="M7" s="93">
        <f t="shared" si="0"/>
        <v>35</v>
      </c>
      <c r="N7" s="104" t="s">
        <v>56</v>
      </c>
      <c r="O7" s="97"/>
      <c r="P7" s="65"/>
      <c r="Q7" s="181" t="s">
        <v>13</v>
      </c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182"/>
    </row>
    <row r="9" spans="1:17" ht="15" customHeight="1" x14ac:dyDescent="0.25">
      <c r="A9" s="33"/>
      <c r="B9" s="34" t="s">
        <v>14</v>
      </c>
      <c r="C9" s="22">
        <v>32</v>
      </c>
      <c r="D9" s="22">
        <v>27</v>
      </c>
      <c r="E9" s="22">
        <v>31</v>
      </c>
      <c r="F9" s="22">
        <v>26</v>
      </c>
      <c r="G9" s="22">
        <v>25</v>
      </c>
      <c r="H9" s="22">
        <v>25</v>
      </c>
      <c r="I9" s="22">
        <v>24</v>
      </c>
      <c r="J9" s="22">
        <v>21</v>
      </c>
      <c r="K9" s="22">
        <v>108</v>
      </c>
      <c r="L9" s="22">
        <v>78</v>
      </c>
      <c r="M9" s="93">
        <f t="shared" ref="M9:M12" si="1">K9+L9</f>
        <v>186</v>
      </c>
      <c r="N9" s="82" t="s">
        <v>174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8</v>
      </c>
      <c r="G10" s="22">
        <v>7</v>
      </c>
      <c r="H10" s="22"/>
      <c r="I10" s="22">
        <v>10</v>
      </c>
      <c r="J10" s="22">
        <v>11</v>
      </c>
      <c r="K10" s="22">
        <v>36</v>
      </c>
      <c r="L10" s="22">
        <v>0</v>
      </c>
      <c r="M10" s="93">
        <f t="shared" si="1"/>
        <v>36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56</v>
      </c>
      <c r="O11" s="82" t="s">
        <v>308</v>
      </c>
      <c r="P11" s="82" t="s">
        <v>309</v>
      </c>
      <c r="Q11" s="33" t="s">
        <v>306</v>
      </c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3</v>
      </c>
      <c r="F12" s="22">
        <v>6</v>
      </c>
      <c r="G12" s="22">
        <v>4</v>
      </c>
      <c r="H12" s="22"/>
      <c r="I12" s="22"/>
      <c r="J12" s="22"/>
      <c r="K12" s="22">
        <v>14</v>
      </c>
      <c r="L12" s="22">
        <v>4</v>
      </c>
      <c r="M12" s="93">
        <f t="shared" si="1"/>
        <v>18</v>
      </c>
      <c r="N12" s="82" t="s">
        <v>13</v>
      </c>
      <c r="O12" s="82"/>
      <c r="P12" s="82"/>
      <c r="Q12" s="37" t="s">
        <v>307</v>
      </c>
    </row>
    <row r="13" spans="1:17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34</v>
      </c>
      <c r="E14" s="22">
        <v>40</v>
      </c>
      <c r="F14" s="22">
        <v>41</v>
      </c>
      <c r="G14" s="22">
        <v>32</v>
      </c>
      <c r="H14" s="22">
        <v>30</v>
      </c>
      <c r="I14" s="22">
        <v>30</v>
      </c>
      <c r="J14" s="22">
        <v>24</v>
      </c>
      <c r="K14" s="22">
        <v>156</v>
      </c>
      <c r="L14" s="22">
        <v>75</v>
      </c>
      <c r="M14" s="93">
        <f t="shared" ref="M14:M17" si="2">K14+L14</f>
        <v>231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 t="s">
        <v>13</v>
      </c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2</v>
      </c>
      <c r="F16" s="22"/>
      <c r="G16" s="22">
        <v>1</v>
      </c>
      <c r="H16" s="22">
        <v>2</v>
      </c>
      <c r="I16" s="22">
        <v>3</v>
      </c>
      <c r="J16" s="22">
        <v>2</v>
      </c>
      <c r="K16" s="22">
        <v>10</v>
      </c>
      <c r="L16" s="22">
        <v>0</v>
      </c>
      <c r="M16" s="93">
        <f t="shared" si="2"/>
        <v>10</v>
      </c>
      <c r="N16" s="103"/>
      <c r="O16" s="103" t="s">
        <v>244</v>
      </c>
      <c r="P16" s="160" t="s">
        <v>302</v>
      </c>
      <c r="Q16" s="37"/>
    </row>
    <row r="17" spans="1:20" ht="17.25" customHeight="1" x14ac:dyDescent="0.25">
      <c r="A17" s="37"/>
      <c r="B17" s="21" t="s">
        <v>19</v>
      </c>
      <c r="C17" s="22"/>
      <c r="D17" s="22">
        <v>6</v>
      </c>
      <c r="E17" s="22"/>
      <c r="F17" s="22"/>
      <c r="G17" s="22">
        <v>3</v>
      </c>
      <c r="H17" s="22"/>
      <c r="I17" s="22"/>
      <c r="J17" s="22"/>
      <c r="K17" s="22">
        <v>8</v>
      </c>
      <c r="L17" s="22">
        <v>1</v>
      </c>
      <c r="M17" s="93">
        <f t="shared" si="2"/>
        <v>9</v>
      </c>
      <c r="N17" s="103"/>
      <c r="O17" s="257"/>
      <c r="P17" s="257" t="s">
        <v>303</v>
      </c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598</v>
      </c>
      <c r="O18" s="277" t="s">
        <v>70</v>
      </c>
      <c r="P18" s="278"/>
      <c r="Q18" s="65" t="s">
        <v>169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36</v>
      </c>
      <c r="O19" s="69">
        <v>1735.24</v>
      </c>
      <c r="P19" s="46" t="s">
        <v>304</v>
      </c>
      <c r="Q19" s="65" t="s">
        <v>305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M16+M11+M6</f>
        <v>10</v>
      </c>
      <c r="O20" s="77" t="s">
        <v>64</v>
      </c>
      <c r="P20" s="75">
        <v>60</v>
      </c>
      <c r="Q20" s="65">
        <v>4092</v>
      </c>
    </row>
    <row r="21" spans="1:20" ht="25.5" customHeight="1" x14ac:dyDescent="0.25">
      <c r="A21" s="16" t="s">
        <v>46</v>
      </c>
      <c r="B21" s="66">
        <v>206.25694444444446</v>
      </c>
      <c r="C21" s="66">
        <v>206.29166666666666</v>
      </c>
      <c r="D21" s="66">
        <f t="shared" ref="D21" si="3">C21-B21</f>
        <v>3.4722222222200116E-2</v>
      </c>
      <c r="E21" s="66">
        <v>206.625</v>
      </c>
      <c r="F21" s="66">
        <v>206.875</v>
      </c>
      <c r="G21" s="66">
        <f t="shared" ref="G21" si="4">F21-E21</f>
        <v>0.25</v>
      </c>
      <c r="H21" s="66">
        <v>206.92361111111111</v>
      </c>
      <c r="I21" s="66">
        <v>207.20833333333334</v>
      </c>
      <c r="J21" s="71">
        <f>I21-H21-K21</f>
        <v>0.28472222222222854</v>
      </c>
      <c r="K21" s="75"/>
      <c r="L21" s="73">
        <f>D21+G21+J21</f>
        <v>0.56944444444442865</v>
      </c>
      <c r="M21" s="154" t="s">
        <v>47</v>
      </c>
      <c r="N21" s="65">
        <f>M17+M12+M7</f>
        <v>62</v>
      </c>
      <c r="O21" s="78" t="s">
        <v>68</v>
      </c>
      <c r="P21" s="75">
        <v>151</v>
      </c>
      <c r="Q21" s="65">
        <v>4382.09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ref="D22:D23" si="5">C22-B22</f>
        <v>0.29513888888888573</v>
      </c>
      <c r="E22" s="66">
        <v>206.58333333333334</v>
      </c>
      <c r="F22" s="66">
        <v>206.875</v>
      </c>
      <c r="G22" s="66">
        <f t="shared" ref="G22" si="6">F22-E22</f>
        <v>0.29166666666665719</v>
      </c>
      <c r="H22" s="66">
        <v>206.93055555555554</v>
      </c>
      <c r="I22" s="66">
        <v>207.20833333333334</v>
      </c>
      <c r="J22" s="71">
        <f>I22-H22-K22</f>
        <v>0.27777777777779988</v>
      </c>
      <c r="K22" s="75"/>
      <c r="L22" s="73">
        <f>D22+G22+J22</f>
        <v>0.86458333333334281</v>
      </c>
      <c r="M22" s="49" t="s">
        <v>49</v>
      </c>
      <c r="N22" s="65">
        <v>31245.13</v>
      </c>
      <c r="O22" s="80" t="s">
        <v>65</v>
      </c>
      <c r="P22" s="75">
        <v>111</v>
      </c>
      <c r="Q22" s="65">
        <v>2867.45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si="5"/>
        <v>0.29166666666665719</v>
      </c>
      <c r="E23" s="66">
        <v>206.59027777777777</v>
      </c>
      <c r="F23" s="66">
        <v>206.875</v>
      </c>
      <c r="G23" s="66">
        <f t="shared" ref="G23" si="7">F23-E23</f>
        <v>0.28472222222222854</v>
      </c>
      <c r="H23" s="66">
        <v>206.94444444444446</v>
      </c>
      <c r="I23" s="66">
        <v>207.20833333333334</v>
      </c>
      <c r="J23" s="71">
        <f>I23-H23-K23</f>
        <v>0.26388888888888573</v>
      </c>
      <c r="K23" s="155"/>
      <c r="L23" s="156">
        <f>D23+G23+J23</f>
        <v>0.84027777777777146</v>
      </c>
      <c r="M23" s="154" t="s">
        <v>63</v>
      </c>
      <c r="N23" s="85">
        <v>9</v>
      </c>
      <c r="O23" s="86" t="s">
        <v>66</v>
      </c>
      <c r="P23" s="76">
        <v>206</v>
      </c>
      <c r="Q23" s="65">
        <v>6419.12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0.62152777777774304</v>
      </c>
      <c r="E24" s="68"/>
      <c r="F24" s="68"/>
      <c r="G24" s="66">
        <f>SUM(G21:G23)</f>
        <v>0.82638888888888573</v>
      </c>
      <c r="H24" s="68"/>
      <c r="I24" s="68"/>
      <c r="J24" s="71">
        <f>SUM(J21:J23)</f>
        <v>0.82638888888891415</v>
      </c>
      <c r="K24" s="75"/>
      <c r="L24" s="83">
        <f>SUM(L21:L23)</f>
        <v>2.2743055555555429</v>
      </c>
      <c r="M24" s="65" t="s">
        <v>77</v>
      </c>
      <c r="N24" s="65">
        <v>33195.49</v>
      </c>
      <c r="P24" s="79" t="s">
        <v>67</v>
      </c>
      <c r="Q24" s="43">
        <v>47458.02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N24+Sheet15!O25</f>
        <v>571127.58000000007</v>
      </c>
      <c r="P25" s="154" t="s">
        <v>76</v>
      </c>
      <c r="Q25" s="87">
        <v>51550.22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51000</v>
      </c>
      <c r="P26" s="51" t="s">
        <v>86</v>
      </c>
      <c r="Q26" s="69">
        <f>Q24+Sheet15!Q26</f>
        <v>515694.27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54.35</v>
      </c>
      <c r="M27" s="55"/>
      <c r="N27" s="88">
        <f>N22/L27</f>
        <v>574.88739650413982</v>
      </c>
      <c r="O27" s="81" t="s">
        <v>73</v>
      </c>
      <c r="P27" s="69" t="s">
        <v>129</v>
      </c>
      <c r="Q27" s="65">
        <v>0.45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J21" sqref="J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" style="1" customWidth="1"/>
    <col min="16" max="16" width="13.42578125" style="1" customWidth="1"/>
    <col min="17" max="17" width="24.855468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310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28</v>
      </c>
      <c r="E4" s="22">
        <v>32</v>
      </c>
      <c r="F4" s="22">
        <v>28</v>
      </c>
      <c r="G4" s="22">
        <v>14</v>
      </c>
      <c r="H4" s="22">
        <v>18</v>
      </c>
      <c r="I4" s="22">
        <v>22</v>
      </c>
      <c r="J4" s="22">
        <v>20</v>
      </c>
      <c r="K4" s="22">
        <v>112</v>
      </c>
      <c r="L4" s="22">
        <v>50</v>
      </c>
      <c r="M4" s="93">
        <f>K4+L4</f>
        <v>162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3</v>
      </c>
      <c r="F5" s="22">
        <v>2</v>
      </c>
      <c r="G5" s="22">
        <v>2</v>
      </c>
      <c r="H5" s="22">
        <v>2</v>
      </c>
      <c r="I5" s="22">
        <v>3</v>
      </c>
      <c r="J5" s="22">
        <v>0</v>
      </c>
      <c r="K5" s="22">
        <v>12</v>
      </c>
      <c r="L5" s="22">
        <v>0</v>
      </c>
      <c r="M5" s="93">
        <f t="shared" ref="M5:M7" si="0">K5+L5</f>
        <v>12</v>
      </c>
      <c r="N5" s="104" t="s">
        <v>248</v>
      </c>
      <c r="O5" s="66"/>
      <c r="P5" s="66"/>
      <c r="Q5" s="33" t="s">
        <v>314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2</v>
      </c>
      <c r="G6" s="22">
        <v>3</v>
      </c>
      <c r="H6" s="22"/>
      <c r="I6" s="22"/>
      <c r="J6" s="22"/>
      <c r="K6" s="22">
        <v>5</v>
      </c>
      <c r="L6" s="22">
        <v>0</v>
      </c>
      <c r="M6" s="93">
        <f t="shared" si="0"/>
        <v>5</v>
      </c>
      <c r="N6" s="104" t="s">
        <v>56</v>
      </c>
      <c r="O6" s="96"/>
      <c r="P6" s="65"/>
      <c r="Q6" s="66" t="s">
        <v>313</v>
      </c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>
        <v>1</v>
      </c>
      <c r="H7" s="22"/>
      <c r="I7" s="22">
        <v>2</v>
      </c>
      <c r="J7" s="22"/>
      <c r="K7" s="22">
        <v>3</v>
      </c>
      <c r="L7" s="22">
        <v>0</v>
      </c>
      <c r="M7" s="93">
        <f t="shared" si="0"/>
        <v>3</v>
      </c>
      <c r="N7" s="104" t="s">
        <v>13</v>
      </c>
      <c r="O7" s="97"/>
      <c r="P7" s="65"/>
      <c r="Q7" s="183" t="s">
        <v>315</v>
      </c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159" t="s">
        <v>316</v>
      </c>
    </row>
    <row r="9" spans="1:17" ht="15" customHeight="1" x14ac:dyDescent="0.25">
      <c r="A9" s="33"/>
      <c r="B9" s="34" t="s">
        <v>14</v>
      </c>
      <c r="C9" s="22"/>
      <c r="D9" s="22">
        <v>25</v>
      </c>
      <c r="E9" s="22">
        <v>29</v>
      </c>
      <c r="F9" s="22">
        <v>30</v>
      </c>
      <c r="G9" s="22">
        <v>17</v>
      </c>
      <c r="H9" s="22">
        <v>26</v>
      </c>
      <c r="I9" s="22">
        <v>24</v>
      </c>
      <c r="J9" s="22">
        <v>23</v>
      </c>
      <c r="K9" s="22">
        <v>129</v>
      </c>
      <c r="L9" s="22">
        <v>55</v>
      </c>
      <c r="M9" s="93">
        <f t="shared" ref="M9:M12" si="1">K9+L9</f>
        <v>184</v>
      </c>
      <c r="N9" s="82" t="s">
        <v>224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164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56</v>
      </c>
      <c r="O11" s="82" t="s">
        <v>13</v>
      </c>
      <c r="P11" s="82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8</v>
      </c>
      <c r="E12" s="22">
        <v>2</v>
      </c>
      <c r="F12" s="22"/>
      <c r="G12" s="22"/>
      <c r="H12" s="22">
        <v>3</v>
      </c>
      <c r="I12" s="22">
        <v>3</v>
      </c>
      <c r="J12" s="22"/>
      <c r="K12" s="22">
        <v>16</v>
      </c>
      <c r="L12" s="22">
        <v>0</v>
      </c>
      <c r="M12" s="93">
        <f t="shared" si="1"/>
        <v>16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40</v>
      </c>
      <c r="G14" s="22">
        <v>30</v>
      </c>
      <c r="H14" s="22">
        <v>20</v>
      </c>
      <c r="I14" s="22">
        <v>24</v>
      </c>
      <c r="J14" s="22">
        <v>21</v>
      </c>
      <c r="K14" s="22">
        <v>195</v>
      </c>
      <c r="L14" s="22">
        <v>7</v>
      </c>
      <c r="M14" s="93">
        <f t="shared" ref="M14:M17" si="2">K14+L14</f>
        <v>202</v>
      </c>
      <c r="N14" s="103" t="s">
        <v>56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>
        <v>7</v>
      </c>
      <c r="H15" s="22">
        <v>7</v>
      </c>
      <c r="I15" s="22">
        <v>3</v>
      </c>
      <c r="J15" s="22">
        <v>5</v>
      </c>
      <c r="K15" s="22">
        <v>22</v>
      </c>
      <c r="L15" s="22">
        <v>0</v>
      </c>
      <c r="M15" s="93">
        <f t="shared" si="2"/>
        <v>22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2"/>
        <v>0</v>
      </c>
      <c r="N16" s="103"/>
      <c r="O16" s="103"/>
      <c r="P16" s="82"/>
      <c r="Q16" s="37"/>
    </row>
    <row r="17" spans="1:20" ht="14.25" customHeight="1" x14ac:dyDescent="0.25">
      <c r="A17" s="37"/>
      <c r="B17" s="21" t="s">
        <v>19</v>
      </c>
      <c r="C17" s="22"/>
      <c r="D17" s="22"/>
      <c r="E17" s="22">
        <v>3</v>
      </c>
      <c r="F17" s="22">
        <v>3</v>
      </c>
      <c r="G17" s="22"/>
      <c r="H17" s="22"/>
      <c r="I17" s="22"/>
      <c r="J17" s="22"/>
      <c r="K17" s="22">
        <v>8</v>
      </c>
      <c r="L17" s="22">
        <v>0</v>
      </c>
      <c r="M17" s="93">
        <f t="shared" si="2"/>
        <v>8</v>
      </c>
      <c r="N17" s="103"/>
      <c r="O17" s="103" t="s">
        <v>244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548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34</v>
      </c>
      <c r="O19" s="69">
        <v>2027.76</v>
      </c>
      <c r="P19" s="46" t="s">
        <v>173</v>
      </c>
      <c r="Q19" s="65" t="s">
        <v>311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5</v>
      </c>
      <c r="O20" s="77" t="s">
        <v>64</v>
      </c>
      <c r="P20" s="75">
        <v>79</v>
      </c>
      <c r="Q20" s="65">
        <v>5024.57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2" si="3">C21-B21</f>
        <v>0.29166666666665719</v>
      </c>
      <c r="E21" s="66">
        <v>206.58333333333334</v>
      </c>
      <c r="F21" s="66">
        <v>206.875</v>
      </c>
      <c r="G21" s="66">
        <f t="shared" ref="G21" si="4"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0.875</v>
      </c>
      <c r="M21" s="154" t="s">
        <v>47</v>
      </c>
      <c r="N21" s="65">
        <f>M17+M12+M7</f>
        <v>27</v>
      </c>
      <c r="O21" s="78" t="s">
        <v>68</v>
      </c>
      <c r="P21" s="75">
        <v>184</v>
      </c>
      <c r="Q21" s="65">
        <v>5290.08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si="3"/>
        <v>0.29861111111111427</v>
      </c>
      <c r="E22" s="66">
        <v>206.71527777777777</v>
      </c>
      <c r="F22" s="66">
        <v>206.875</v>
      </c>
      <c r="G22" s="66">
        <f t="shared" ref="G22:G23" si="5">F22-E22</f>
        <v>0.15972222222222854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0.75694444444445708</v>
      </c>
      <c r="M22" s="49" t="s">
        <v>49</v>
      </c>
      <c r="N22" s="65">
        <v>29927.759999999998</v>
      </c>
      <c r="O22" s="80" t="s">
        <v>65</v>
      </c>
      <c r="P22" s="75">
        <v>129</v>
      </c>
      <c r="Q22" s="65">
        <v>3328.38</v>
      </c>
      <c r="T22" s="258">
        <f>601367.5</f>
        <v>601367.5</v>
      </c>
    </row>
    <row r="23" spans="1:20" ht="27" customHeight="1" x14ac:dyDescent="0.25">
      <c r="A23" s="157" t="s">
        <v>50</v>
      </c>
      <c r="B23" s="66">
        <v>206.28819444444446</v>
      </c>
      <c r="C23" s="66">
        <v>206.54166666666666</v>
      </c>
      <c r="D23" s="66">
        <f t="shared" ref="D23" si="6">C23-B23</f>
        <v>0.25347222222220012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207.14583333333334</v>
      </c>
      <c r="I23" s="66">
        <v>207.20833333333334</v>
      </c>
      <c r="J23" s="71">
        <f>I23-H23-K23</f>
        <v>6.25E-2</v>
      </c>
      <c r="K23" s="155"/>
      <c r="L23" s="156">
        <f>D23+G23+J23</f>
        <v>0.60763888888885731</v>
      </c>
      <c r="M23" s="154" t="s">
        <v>63</v>
      </c>
      <c r="N23" s="85">
        <v>8</v>
      </c>
      <c r="O23" s="86" t="s">
        <v>66</v>
      </c>
      <c r="P23" s="76">
        <v>119</v>
      </c>
      <c r="Q23" s="65">
        <v>3776.99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0.84374999999997158</v>
      </c>
      <c r="E24" s="68"/>
      <c r="F24" s="68"/>
      <c r="G24" s="66">
        <f>SUM(G21:G23)</f>
        <v>0.74305555555554292</v>
      </c>
      <c r="H24" s="68"/>
      <c r="I24" s="68"/>
      <c r="J24" s="71">
        <f>SUM(J21:J23)</f>
        <v>0.65277777777779988</v>
      </c>
      <c r="K24" s="75"/>
      <c r="L24" s="83">
        <f>SUM(L21:L23)</f>
        <v>2.2395833333333144</v>
      </c>
      <c r="M24" s="65" t="s">
        <v>77</v>
      </c>
      <c r="N24" s="65">
        <v>30239.919999999998</v>
      </c>
      <c r="P24" s="79" t="s">
        <v>67</v>
      </c>
      <c r="Q24" s="43">
        <v>44345.99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N24+Sheet16!O25</f>
        <v>601367.50000000012</v>
      </c>
      <c r="P25" s="154" t="s">
        <v>76</v>
      </c>
      <c r="Q25" s="87">
        <v>49370.36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Q24+Sheet16!Q26</f>
        <v>560040.26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53.45</v>
      </c>
      <c r="M27" s="55"/>
      <c r="N27" s="88">
        <f>N22/L27</f>
        <v>559.92067352666038</v>
      </c>
      <c r="O27" s="81" t="s">
        <v>73</v>
      </c>
      <c r="P27" s="69"/>
      <c r="Q27" s="65" t="s">
        <v>312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K25" sqref="K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7.425781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317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33</v>
      </c>
      <c r="E4" s="22">
        <v>28</v>
      </c>
      <c r="F4" s="22">
        <v>22</v>
      </c>
      <c r="G4" s="22">
        <v>14</v>
      </c>
      <c r="H4" s="22">
        <v>26</v>
      </c>
      <c r="I4" s="22">
        <v>30</v>
      </c>
      <c r="J4" s="22">
        <v>20</v>
      </c>
      <c r="K4" s="22">
        <v>97</v>
      </c>
      <c r="L4" s="22">
        <v>76</v>
      </c>
      <c r="M4" s="93">
        <f t="shared" ref="M4" si="0">K4+L4</f>
        <v>173</v>
      </c>
      <c r="N4" s="104" t="s">
        <v>164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1">K5+L5</f>
        <v>0</v>
      </c>
      <c r="N5" s="104" t="s">
        <v>56</v>
      </c>
      <c r="O5" s="66" t="s">
        <v>319</v>
      </c>
      <c r="P5" s="66" t="s">
        <v>321</v>
      </c>
      <c r="Q5" s="66" t="s">
        <v>320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2</v>
      </c>
      <c r="F6" s="22">
        <v>3</v>
      </c>
      <c r="G6" s="22"/>
      <c r="H6" s="22"/>
      <c r="I6" s="22"/>
      <c r="J6" s="22"/>
      <c r="K6" s="22">
        <v>5</v>
      </c>
      <c r="L6" s="22">
        <v>0</v>
      </c>
      <c r="M6" s="93">
        <f t="shared" ref="M6:M7" si="2">K6+L6</f>
        <v>5</v>
      </c>
      <c r="N6" s="104" t="s">
        <v>56</v>
      </c>
      <c r="O6" s="96"/>
      <c r="P6" s="65"/>
      <c r="Q6" s="281" t="s">
        <v>322</v>
      </c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4</v>
      </c>
      <c r="F7" s="22">
        <v>5</v>
      </c>
      <c r="G7" s="22"/>
      <c r="H7" s="22">
        <v>3</v>
      </c>
      <c r="I7" s="22">
        <v>6</v>
      </c>
      <c r="J7" s="22"/>
      <c r="K7" s="22">
        <v>21</v>
      </c>
      <c r="L7" s="22">
        <v>0</v>
      </c>
      <c r="M7" s="93">
        <f t="shared" si="2"/>
        <v>21</v>
      </c>
      <c r="N7" s="104" t="s">
        <v>323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25</v>
      </c>
      <c r="E9" s="22">
        <v>30</v>
      </c>
      <c r="F9" s="22">
        <v>30</v>
      </c>
      <c r="G9" s="22">
        <v>24</v>
      </c>
      <c r="H9" s="22">
        <v>30</v>
      </c>
      <c r="I9" s="22">
        <v>43</v>
      </c>
      <c r="J9" s="22">
        <v>40</v>
      </c>
      <c r="K9" s="22">
        <v>162</v>
      </c>
      <c r="L9" s="22">
        <v>60</v>
      </c>
      <c r="M9" s="93">
        <f t="shared" ref="M9:M12" si="3">K9+L9</f>
        <v>222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3"/>
        <v>0</v>
      </c>
      <c r="N12" s="82" t="s">
        <v>13</v>
      </c>
      <c r="O12" s="82" t="s">
        <v>13</v>
      </c>
      <c r="P12" s="82"/>
      <c r="Q12" s="37" t="s">
        <v>13</v>
      </c>
    </row>
    <row r="13" spans="1:17" ht="30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40</v>
      </c>
      <c r="G14" s="22">
        <v>38</v>
      </c>
      <c r="H14" s="22">
        <v>42</v>
      </c>
      <c r="I14" s="22">
        <v>48</v>
      </c>
      <c r="J14" s="22">
        <v>47</v>
      </c>
      <c r="K14" s="22">
        <v>210</v>
      </c>
      <c r="L14" s="22">
        <v>85</v>
      </c>
      <c r="M14" s="93">
        <f t="shared" ref="M14:M17" si="4">K14+L14</f>
        <v>295</v>
      </c>
      <c r="N14" s="103" t="s">
        <v>324</v>
      </c>
      <c r="O14" s="101"/>
      <c r="P14" s="82"/>
      <c r="Q14" s="37"/>
    </row>
    <row r="15" spans="1:17" ht="12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>
        <v>7</v>
      </c>
      <c r="J15" s="22">
        <v>3</v>
      </c>
      <c r="K15" s="22">
        <v>3</v>
      </c>
      <c r="L15" s="22">
        <v>7</v>
      </c>
      <c r="M15" s="93">
        <f t="shared" si="4"/>
        <v>10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15</v>
      </c>
      <c r="G17" s="22">
        <v>10</v>
      </c>
      <c r="H17" s="22">
        <v>5</v>
      </c>
      <c r="I17" s="22">
        <v>9</v>
      </c>
      <c r="J17" s="22">
        <v>1</v>
      </c>
      <c r="K17" s="22">
        <v>20</v>
      </c>
      <c r="L17" s="22">
        <v>20</v>
      </c>
      <c r="M17" s="93">
        <f t="shared" si="4"/>
        <v>40</v>
      </c>
      <c r="N17" s="103"/>
      <c r="O17" s="103" t="s">
        <v>318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690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10</v>
      </c>
      <c r="O19" s="69">
        <v>1745.07</v>
      </c>
      <c r="P19" s="46" t="s">
        <v>251</v>
      </c>
      <c r="Q19" s="65" t="s">
        <v>325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5</v>
      </c>
      <c r="O20" s="77" t="s">
        <v>64</v>
      </c>
      <c r="P20" s="75">
        <v>100</v>
      </c>
      <c r="Q20" s="65">
        <v>6194.08</v>
      </c>
    </row>
    <row r="21" spans="1:20" ht="25.5" customHeight="1" x14ac:dyDescent="0.25">
      <c r="A21" s="16" t="s">
        <v>46</v>
      </c>
      <c r="B21" s="66">
        <v>206.24652777777777</v>
      </c>
      <c r="C21" s="66">
        <v>206.54166666666666</v>
      </c>
      <c r="D21" s="66">
        <f t="shared" ref="D21" si="5">C21-B21</f>
        <v>0.29513888888888573</v>
      </c>
      <c r="E21" s="66">
        <v>206.59722222222223</v>
      </c>
      <c r="F21" s="66">
        <v>206.875</v>
      </c>
      <c r="G21" s="66">
        <f>F21-E21</f>
        <v>0.27777777777777146</v>
      </c>
      <c r="H21" s="66">
        <v>206.90972222222223</v>
      </c>
      <c r="I21" s="66">
        <v>207.20833333333334</v>
      </c>
      <c r="J21" s="71">
        <f>I21-H21-K21</f>
        <v>0.29861111111111427</v>
      </c>
      <c r="K21" s="66">
        <v>0</v>
      </c>
      <c r="L21" s="73">
        <f>D21+G21+J21</f>
        <v>0.87152777777777146</v>
      </c>
      <c r="M21" s="154" t="s">
        <v>47</v>
      </c>
      <c r="N21" s="65">
        <f>M17+M12+M7</f>
        <v>61</v>
      </c>
      <c r="O21" s="78" t="s">
        <v>68</v>
      </c>
      <c r="P21" s="75">
        <v>221</v>
      </c>
      <c r="Q21" s="65">
        <v>6327.5</v>
      </c>
    </row>
    <row r="22" spans="1:20" ht="27" customHeight="1" x14ac:dyDescent="0.25">
      <c r="A22" s="16" t="s">
        <v>48</v>
      </c>
      <c r="B22" s="66">
        <v>206.25</v>
      </c>
      <c r="C22" s="66">
        <v>206.39583333333334</v>
      </c>
      <c r="D22" s="66">
        <f t="shared" ref="D22:D23" si="6">C22-B22</f>
        <v>0.14583333333334281</v>
      </c>
      <c r="E22" s="66">
        <v>206.59027777777777</v>
      </c>
      <c r="F22" s="66">
        <v>206.875</v>
      </c>
      <c r="G22" s="66">
        <f>F22-E22</f>
        <v>0.28472222222222854</v>
      </c>
      <c r="H22" s="66">
        <v>206.90625</v>
      </c>
      <c r="I22" s="66">
        <v>207.20833333333334</v>
      </c>
      <c r="J22" s="71">
        <f>I22-H22-K22</f>
        <v>0.30208333333334281</v>
      </c>
      <c r="K22" s="75"/>
      <c r="L22" s="73">
        <f>D22+G22+J22</f>
        <v>0.73263888888891415</v>
      </c>
      <c r="M22" s="49" t="s">
        <v>49</v>
      </c>
      <c r="N22" s="65">
        <v>36493.07</v>
      </c>
      <c r="O22" s="80" t="s">
        <v>65</v>
      </c>
      <c r="P22" s="75">
        <v>161</v>
      </c>
      <c r="Q22" s="65">
        <v>4109.0200000000004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si="6"/>
        <v>0.29166666666665719</v>
      </c>
      <c r="E23" s="66">
        <v>206.58680555555554</v>
      </c>
      <c r="F23" s="66">
        <v>206.875</v>
      </c>
      <c r="G23" s="66">
        <f>F23-E23</f>
        <v>0.28819444444445708</v>
      </c>
      <c r="H23" s="66">
        <v>206.90625</v>
      </c>
      <c r="I23" s="66">
        <v>207.20833333333334</v>
      </c>
      <c r="J23" s="71">
        <f>I23-H23-K23</f>
        <v>0.30208333333334281</v>
      </c>
      <c r="K23" s="155"/>
      <c r="L23" s="156">
        <f>D23+G23+J23</f>
        <v>0.88194444444445708</v>
      </c>
      <c r="M23" s="154" t="s">
        <v>63</v>
      </c>
      <c r="N23" s="85">
        <v>9</v>
      </c>
      <c r="O23" s="86" t="s">
        <v>66</v>
      </c>
      <c r="P23" s="76">
        <v>223</v>
      </c>
      <c r="Q23" s="65">
        <v>6950.85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0.73263888888888573</v>
      </c>
      <c r="E24" s="68"/>
      <c r="F24" s="68"/>
      <c r="G24" s="66">
        <f>SUM(G21:G23)</f>
        <v>0.85069444444445708</v>
      </c>
      <c r="H24" s="68"/>
      <c r="I24" s="68"/>
      <c r="J24" s="71">
        <f>SUM(J21:J23)</f>
        <v>0.90277777777779988</v>
      </c>
      <c r="K24" s="75"/>
      <c r="L24" s="83">
        <f>SUM(L21:L23)</f>
        <v>2.4861111111111427</v>
      </c>
      <c r="M24" s="65" t="s">
        <v>77</v>
      </c>
      <c r="N24" s="65">
        <v>33060.86</v>
      </c>
      <c r="P24" s="79" t="s">
        <v>67</v>
      </c>
      <c r="Q24" s="43">
        <v>48090.17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N24+Sheet17!O25</f>
        <v>634428.3600000001</v>
      </c>
      <c r="P25" s="154" t="s">
        <v>76</v>
      </c>
      <c r="Q25" s="43">
        <v>54284.25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Q24+Sheet17!Q26</f>
        <v>608130.43000000005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59.4</v>
      </c>
      <c r="M27" s="55"/>
      <c r="N27" s="88">
        <f>N22/L27</f>
        <v>614.36144781144787</v>
      </c>
      <c r="O27" s="81" t="s">
        <v>73</v>
      </c>
      <c r="P27" s="69"/>
      <c r="Q27" s="65" t="s">
        <v>326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2" workbookViewId="0">
      <selection activeCell="O13" sqref="O1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4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327</v>
      </c>
    </row>
    <row r="3" spans="1:17" ht="31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28</v>
      </c>
      <c r="E4" s="22">
        <v>40</v>
      </c>
      <c r="F4" s="22">
        <v>40</v>
      </c>
      <c r="G4" s="22">
        <v>34</v>
      </c>
      <c r="H4" s="22">
        <v>18</v>
      </c>
      <c r="I4" s="22">
        <v>24</v>
      </c>
      <c r="J4" s="22">
        <v>16</v>
      </c>
      <c r="K4" s="22">
        <v>150</v>
      </c>
      <c r="L4" s="22">
        <v>50</v>
      </c>
      <c r="M4" s="93">
        <f>K4+L4</f>
        <v>200</v>
      </c>
      <c r="N4" s="104" t="s">
        <v>56</v>
      </c>
      <c r="O4" s="95" t="s">
        <v>87</v>
      </c>
      <c r="P4" s="105" t="s">
        <v>88</v>
      </c>
      <c r="Q4" s="33" t="s">
        <v>331</v>
      </c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>
        <v>2</v>
      </c>
      <c r="I5" s="22">
        <v>2</v>
      </c>
      <c r="J5" s="22">
        <v>2</v>
      </c>
      <c r="K5" s="22">
        <v>8</v>
      </c>
      <c r="L5" s="22">
        <v>0</v>
      </c>
      <c r="M5" s="93">
        <f t="shared" ref="M5:M7" si="0">K5+L5</f>
        <v>8</v>
      </c>
      <c r="N5" s="104" t="s">
        <v>164</v>
      </c>
      <c r="O5" s="66"/>
      <c r="P5" s="66"/>
      <c r="Q5" s="66" t="s">
        <v>330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56</v>
      </c>
      <c r="O6" s="96"/>
      <c r="P6" s="65"/>
      <c r="Q6" s="281" t="s">
        <v>13</v>
      </c>
    </row>
    <row r="7" spans="1:17" ht="15" customHeight="1" x14ac:dyDescent="0.25">
      <c r="A7" s="25"/>
      <c r="B7" s="21" t="s">
        <v>19</v>
      </c>
      <c r="C7" s="22"/>
      <c r="D7" s="22">
        <v>9</v>
      </c>
      <c r="E7" s="22">
        <v>8</v>
      </c>
      <c r="F7" s="22">
        <v>9</v>
      </c>
      <c r="G7" s="22"/>
      <c r="H7" s="22">
        <v>10</v>
      </c>
      <c r="I7" s="22">
        <v>8</v>
      </c>
      <c r="J7" s="22">
        <v>6</v>
      </c>
      <c r="K7" s="22">
        <v>45</v>
      </c>
      <c r="L7" s="22">
        <v>5</v>
      </c>
      <c r="M7" s="93">
        <f t="shared" si="0"/>
        <v>50</v>
      </c>
      <c r="N7" s="104" t="s">
        <v>248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11</v>
      </c>
      <c r="E9" s="22">
        <v>16</v>
      </c>
      <c r="F9" s="22">
        <v>46</v>
      </c>
      <c r="G9" s="22">
        <v>26</v>
      </c>
      <c r="H9" s="22">
        <v>24</v>
      </c>
      <c r="I9" s="22">
        <v>34</v>
      </c>
      <c r="J9" s="22">
        <v>30</v>
      </c>
      <c r="K9" s="22">
        <v>135</v>
      </c>
      <c r="L9" s="22">
        <v>52</v>
      </c>
      <c r="M9" s="93">
        <f t="shared" ref="M9:M12" si="1">K9+L9</f>
        <v>187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15</v>
      </c>
      <c r="L10" s="22">
        <v>0</v>
      </c>
      <c r="M10" s="93">
        <f t="shared" si="1"/>
        <v>15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>
        <v>3</v>
      </c>
      <c r="F11" s="22">
        <v>3</v>
      </c>
      <c r="G11" s="22">
        <v>3</v>
      </c>
      <c r="H11" s="22">
        <v>5</v>
      </c>
      <c r="I11" s="22">
        <v>4</v>
      </c>
      <c r="J11" s="22"/>
      <c r="K11" s="22">
        <v>18</v>
      </c>
      <c r="L11" s="22">
        <v>0</v>
      </c>
      <c r="M11" s="93">
        <f t="shared" si="1"/>
        <v>18</v>
      </c>
      <c r="N11" s="82" t="s">
        <v>56</v>
      </c>
      <c r="O11" s="66"/>
      <c r="P11" s="66"/>
      <c r="Q11" s="33"/>
    </row>
    <row r="12" spans="1:17" ht="13.5" customHeight="1" x14ac:dyDescent="0.25">
      <c r="A12" s="36"/>
      <c r="B12" s="34" t="s">
        <v>19</v>
      </c>
      <c r="C12" s="22"/>
      <c r="D12" s="22">
        <v>8</v>
      </c>
      <c r="E12" s="22"/>
      <c r="F12" s="22"/>
      <c r="G12" s="22"/>
      <c r="H12" s="22">
        <v>4</v>
      </c>
      <c r="I12" s="22">
        <v>3</v>
      </c>
      <c r="J12" s="22"/>
      <c r="K12" s="22">
        <v>15</v>
      </c>
      <c r="L12" s="22">
        <v>0</v>
      </c>
      <c r="M12" s="93">
        <f t="shared" si="1"/>
        <v>15</v>
      </c>
      <c r="N12" s="82"/>
      <c r="O12" s="82" t="s">
        <v>13</v>
      </c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107</v>
      </c>
      <c r="L14" s="22">
        <v>70</v>
      </c>
      <c r="M14" s="93">
        <f t="shared" ref="M14:M17" si="2">K14+L14</f>
        <v>177</v>
      </c>
      <c r="N14" s="103" t="s">
        <v>56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16</v>
      </c>
      <c r="L15" s="22">
        <v>0</v>
      </c>
      <c r="M15" s="93">
        <f t="shared" si="2"/>
        <v>16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</v>
      </c>
      <c r="L16" s="22">
        <v>5</v>
      </c>
      <c r="M16" s="93">
        <f t="shared" si="2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20</v>
      </c>
      <c r="L17" s="22">
        <v>0</v>
      </c>
      <c r="M17" s="93">
        <f t="shared" si="2"/>
        <v>20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564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39</v>
      </c>
      <c r="O19" s="69">
        <v>1545.44</v>
      </c>
      <c r="P19" s="46" t="s">
        <v>304</v>
      </c>
      <c r="Q19" s="65" t="s">
        <v>328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28</v>
      </c>
      <c r="O20" s="77" t="s">
        <v>64</v>
      </c>
      <c r="P20" s="75">
        <v>60</v>
      </c>
      <c r="Q20" s="65">
        <v>3880.98</v>
      </c>
    </row>
    <row r="21" spans="1:20" ht="25.5" customHeight="1" x14ac:dyDescent="0.25">
      <c r="A21" s="16" t="s">
        <v>46</v>
      </c>
      <c r="B21" s="66">
        <v>206.3125</v>
      </c>
      <c r="C21" s="66">
        <v>206.54166666666666</v>
      </c>
      <c r="D21" s="66">
        <f t="shared" ref="D21" si="3">C21-B21</f>
        <v>0.22916666666665719</v>
      </c>
      <c r="E21" s="66">
        <v>206.59375</v>
      </c>
      <c r="F21" s="66">
        <v>206.875</v>
      </c>
      <c r="G21" s="66">
        <f t="shared" ref="G21" si="4">F21-E21</f>
        <v>0.28125</v>
      </c>
      <c r="H21" s="66">
        <v>206.91666666666666</v>
      </c>
      <c r="I21" s="66">
        <v>207.20833333333334</v>
      </c>
      <c r="J21" s="71">
        <f>I21-H21-K21</f>
        <v>0.29166666666668561</v>
      </c>
      <c r="K21" s="66">
        <v>0</v>
      </c>
      <c r="L21" s="73">
        <f>D21+G21+J21</f>
        <v>0.80208333333334281</v>
      </c>
      <c r="M21" s="154" t="s">
        <v>47</v>
      </c>
      <c r="N21" s="65">
        <f>M17+M12+M7</f>
        <v>85</v>
      </c>
      <c r="O21" s="78" t="s">
        <v>68</v>
      </c>
      <c r="P21" s="75">
        <v>170</v>
      </c>
      <c r="Q21" s="65">
        <v>5068.58</v>
      </c>
    </row>
    <row r="22" spans="1:20" ht="27" customHeight="1" x14ac:dyDescent="0.25">
      <c r="A22" s="16" t="s">
        <v>48</v>
      </c>
      <c r="B22" s="66">
        <v>206.30208333333334</v>
      </c>
      <c r="C22" s="66">
        <v>206.54166666666666</v>
      </c>
      <c r="D22" s="66">
        <f>C22-B22</f>
        <v>0.23958333333331439</v>
      </c>
      <c r="E22" s="66">
        <v>206.58333333333334</v>
      </c>
      <c r="F22" s="66">
        <v>206.67361111111111</v>
      </c>
      <c r="G22" s="66">
        <f t="shared" ref="G22" si="5">F22-E22</f>
        <v>9.0277777777771462E-2</v>
      </c>
      <c r="H22" s="66">
        <v>206.93055555555554</v>
      </c>
      <c r="I22" s="66">
        <v>207.20833333333334</v>
      </c>
      <c r="J22" s="71">
        <f>I22-H22-K22</f>
        <v>0.27777777777779988</v>
      </c>
      <c r="K22" s="75"/>
      <c r="L22" s="73">
        <f>D22+G22+J22</f>
        <v>0.60763888888888573</v>
      </c>
      <c r="M22" s="49" t="s">
        <v>49</v>
      </c>
      <c r="N22" s="65">
        <v>30200</v>
      </c>
      <c r="O22" s="80" t="s">
        <v>65</v>
      </c>
      <c r="P22" s="75">
        <v>148</v>
      </c>
      <c r="Q22" s="65">
        <v>3790.81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ref="D23" si="6">C23-B23</f>
        <v>0.29166666666665719</v>
      </c>
      <c r="E23" s="66">
        <v>206.57986111111111</v>
      </c>
      <c r="F23" s="66">
        <v>206.875</v>
      </c>
      <c r="G23" s="66">
        <f t="shared" ref="G23" si="7">F23-E23</f>
        <v>0.29513888888888573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0.88541666666665719</v>
      </c>
      <c r="M23" s="154" t="s">
        <v>63</v>
      </c>
      <c r="N23" s="85">
        <v>8</v>
      </c>
      <c r="O23" s="86" t="s">
        <v>66</v>
      </c>
      <c r="P23" s="76">
        <v>220</v>
      </c>
      <c r="Q23" s="65">
        <v>6241.86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0.76041666666662877</v>
      </c>
      <c r="E24" s="68"/>
      <c r="F24" s="68"/>
      <c r="G24" s="66">
        <f>SUM(G21:G23)</f>
        <v>0.66666666666665719</v>
      </c>
      <c r="H24" s="68"/>
      <c r="I24" s="68"/>
      <c r="J24" s="71">
        <f>SUM(J21:J23)</f>
        <v>0.86805555555559977</v>
      </c>
      <c r="K24" s="75"/>
      <c r="L24" s="83">
        <f>SUM(L21:L23)</f>
        <v>2.2951388888888857</v>
      </c>
      <c r="M24" s="65" t="s">
        <v>77</v>
      </c>
      <c r="N24" s="65">
        <v>29689.7</v>
      </c>
      <c r="P24" s="79" t="s">
        <v>67</v>
      </c>
      <c r="Q24" s="43">
        <v>43434.8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N24+Sheet18!O25</f>
        <v>664118.06000000006</v>
      </c>
      <c r="P25" s="154" t="s">
        <v>76</v>
      </c>
      <c r="Q25" s="87">
        <v>47315.78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Q24+Sheet18!Q26</f>
        <v>651565.2300000001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55.05</v>
      </c>
      <c r="M27" s="55"/>
      <c r="N27" s="88">
        <f>N22/L27</f>
        <v>548.59218891916441</v>
      </c>
      <c r="O27" s="81" t="s">
        <v>73</v>
      </c>
      <c r="P27" s="69"/>
      <c r="Q27" s="65" t="s">
        <v>329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L1" sqref="L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216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35</v>
      </c>
      <c r="E4" s="22">
        <v>40</v>
      </c>
      <c r="F4" s="22">
        <v>35</v>
      </c>
      <c r="G4" s="22">
        <v>28</v>
      </c>
      <c r="H4" s="22">
        <v>29</v>
      </c>
      <c r="I4" s="22">
        <v>24</v>
      </c>
      <c r="J4" s="22">
        <v>20</v>
      </c>
      <c r="K4" s="22">
        <v>176</v>
      </c>
      <c r="L4" s="22">
        <v>35</v>
      </c>
      <c r="M4" s="93">
        <f t="shared" ref="M4" si="0">K4+L4</f>
        <v>211</v>
      </c>
      <c r="N4" s="104" t="s">
        <v>172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3</v>
      </c>
      <c r="G5" s="22">
        <v>4</v>
      </c>
      <c r="H5" s="22">
        <v>2</v>
      </c>
      <c r="I5" s="22">
        <v>3</v>
      </c>
      <c r="J5" s="22">
        <v>2</v>
      </c>
      <c r="K5" s="22">
        <v>16</v>
      </c>
      <c r="L5" s="22">
        <v>0</v>
      </c>
      <c r="M5" s="93">
        <f t="shared" ref="M5" si="1">K5+L5</f>
        <v>16</v>
      </c>
      <c r="N5" s="104" t="s">
        <v>56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 t="s">
        <v>56</v>
      </c>
      <c r="O6" s="96"/>
      <c r="P6" s="65"/>
      <c r="Q6" s="281" t="s">
        <v>13</v>
      </c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7</v>
      </c>
      <c r="F7" s="22">
        <v>6</v>
      </c>
      <c r="G7" s="22">
        <v>4</v>
      </c>
      <c r="H7" s="22">
        <v>5</v>
      </c>
      <c r="I7" s="22">
        <v>4</v>
      </c>
      <c r="J7" s="22">
        <v>2</v>
      </c>
      <c r="K7" s="22">
        <v>31</v>
      </c>
      <c r="L7" s="22">
        <v>1</v>
      </c>
      <c r="M7" s="93">
        <f t="shared" si="2"/>
        <v>32</v>
      </c>
      <c r="N7" s="104" t="s">
        <v>13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27</v>
      </c>
      <c r="G9" s="22">
        <v>18</v>
      </c>
      <c r="H9" s="22">
        <v>20</v>
      </c>
      <c r="I9" s="22">
        <v>27</v>
      </c>
      <c r="J9" s="22">
        <v>22</v>
      </c>
      <c r="K9" s="22">
        <v>97</v>
      </c>
      <c r="L9" s="22">
        <v>39</v>
      </c>
      <c r="M9" s="93">
        <f t="shared" ref="M9:M12" si="3">K9+L9</f>
        <v>136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 t="s">
        <v>13</v>
      </c>
      <c r="F11" s="22">
        <v>4</v>
      </c>
      <c r="G11" s="22">
        <v>4</v>
      </c>
      <c r="H11" s="22">
        <v>2</v>
      </c>
      <c r="I11" s="22">
        <v>1</v>
      </c>
      <c r="J11" s="22">
        <v>2</v>
      </c>
      <c r="K11" s="22">
        <v>15</v>
      </c>
      <c r="L11" s="22">
        <v>0</v>
      </c>
      <c r="M11" s="93">
        <f t="shared" si="3"/>
        <v>15</v>
      </c>
      <c r="N11" s="66" t="s">
        <v>159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>
        <v>9</v>
      </c>
      <c r="G12" s="22">
        <v>9</v>
      </c>
      <c r="H12" s="22"/>
      <c r="I12" s="22">
        <v>2</v>
      </c>
      <c r="J12" s="22">
        <v>1</v>
      </c>
      <c r="K12" s="22">
        <v>2</v>
      </c>
      <c r="L12" s="22">
        <v>22</v>
      </c>
      <c r="M12" s="93">
        <f t="shared" si="3"/>
        <v>24</v>
      </c>
      <c r="N12" s="82"/>
      <c r="O12" s="82"/>
      <c r="P12" s="82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 t="s">
        <v>219</v>
      </c>
      <c r="P13" s="82" t="s">
        <v>220</v>
      </c>
      <c r="Q13" s="37"/>
    </row>
    <row r="14" spans="1:17" ht="15" x14ac:dyDescent="0.25">
      <c r="A14" s="33"/>
      <c r="B14" s="21" t="s">
        <v>14</v>
      </c>
      <c r="C14" s="22"/>
      <c r="D14" s="22">
        <v>38</v>
      </c>
      <c r="E14" s="22">
        <v>37</v>
      </c>
      <c r="F14" s="22">
        <v>36</v>
      </c>
      <c r="G14" s="22">
        <v>38</v>
      </c>
      <c r="H14" s="22">
        <v>38</v>
      </c>
      <c r="I14" s="22">
        <v>40</v>
      </c>
      <c r="J14" s="22">
        <v>53</v>
      </c>
      <c r="K14" s="22">
        <v>180</v>
      </c>
      <c r="L14" s="22">
        <v>85</v>
      </c>
      <c r="M14" s="93">
        <f t="shared" ref="M14:M17" si="4">K14+L14</f>
        <v>265</v>
      </c>
      <c r="N14" s="103" t="s">
        <v>56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>
        <v>2</v>
      </c>
      <c r="G15" s="22">
        <v>1</v>
      </c>
      <c r="H15" s="22">
        <v>1</v>
      </c>
      <c r="I15" s="22"/>
      <c r="J15" s="22"/>
      <c r="K15" s="22">
        <v>4</v>
      </c>
      <c r="L15" s="22">
        <v>0</v>
      </c>
      <c r="M15" s="93">
        <f t="shared" si="4"/>
        <v>4</v>
      </c>
      <c r="N15" s="103" t="s">
        <v>175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2</v>
      </c>
      <c r="F16" s="22">
        <v>1</v>
      </c>
      <c r="G16" s="22">
        <v>2</v>
      </c>
      <c r="H16" s="22">
        <v>2</v>
      </c>
      <c r="I16" s="22">
        <v>2</v>
      </c>
      <c r="J16" s="22">
        <v>1</v>
      </c>
      <c r="K16" s="22">
        <v>10</v>
      </c>
      <c r="L16" s="22">
        <v>0</v>
      </c>
      <c r="M16" s="93">
        <f t="shared" si="4"/>
        <v>10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4</v>
      </c>
      <c r="F17" s="22">
        <v>3</v>
      </c>
      <c r="G17" s="22">
        <v>4</v>
      </c>
      <c r="H17" s="22">
        <v>2</v>
      </c>
      <c r="I17" s="22">
        <v>2</v>
      </c>
      <c r="J17" s="22">
        <v>5</v>
      </c>
      <c r="K17" s="22">
        <v>4</v>
      </c>
      <c r="L17" s="22">
        <v>16</v>
      </c>
      <c r="M17" s="93">
        <f t="shared" si="4"/>
        <v>20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612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20</v>
      </c>
      <c r="O19" s="69">
        <v>1836.38</v>
      </c>
      <c r="P19" s="46" t="s">
        <v>173</v>
      </c>
      <c r="Q19" s="65" t="s">
        <v>217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25</v>
      </c>
      <c r="O20" s="77" t="s">
        <v>64</v>
      </c>
      <c r="P20" s="75">
        <v>80</v>
      </c>
      <c r="Q20" s="65">
        <v>5542.14</v>
      </c>
    </row>
    <row r="21" spans="1:20" ht="25.5" customHeight="1" x14ac:dyDescent="0.25">
      <c r="A21" s="16" t="s">
        <v>46</v>
      </c>
      <c r="B21" s="66">
        <v>206.31597222222223</v>
      </c>
      <c r="C21" s="66">
        <v>206.54166666666666</v>
      </c>
      <c r="D21" s="66">
        <f t="shared" ref="D21:D23" si="5">C21-B21</f>
        <v>0.22569444444442865</v>
      </c>
      <c r="E21" s="66">
        <v>206.60416666666666</v>
      </c>
      <c r="F21" s="66">
        <v>206.875</v>
      </c>
      <c r="G21" s="66">
        <f t="shared" ref="G21:G23" si="6">F21-E21</f>
        <v>0.27083333333334281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0.78819444444445708</v>
      </c>
      <c r="M21" s="154" t="s">
        <v>47</v>
      </c>
      <c r="N21" s="65">
        <f>M17+M12+M7</f>
        <v>76</v>
      </c>
      <c r="O21" s="78" t="s">
        <v>68</v>
      </c>
      <c r="P21" s="75">
        <v>202</v>
      </c>
      <c r="Q21" s="65">
        <v>5836</v>
      </c>
    </row>
    <row r="22" spans="1:20" ht="27" customHeight="1" x14ac:dyDescent="0.25">
      <c r="A22" s="16" t="s">
        <v>48</v>
      </c>
      <c r="B22" s="66">
        <v>206.26736111111111</v>
      </c>
      <c r="C22" s="66">
        <v>206.54166666666666</v>
      </c>
      <c r="D22" s="66">
        <f t="shared" si="5"/>
        <v>0.27430555555554292</v>
      </c>
      <c r="E22" s="66">
        <v>206.67361111111111</v>
      </c>
      <c r="F22" s="66">
        <v>206.875</v>
      </c>
      <c r="G22" s="66">
        <f t="shared" si="6"/>
        <v>0.20138888888888573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0.76388888888888573</v>
      </c>
      <c r="M22" s="49" t="s">
        <v>49</v>
      </c>
      <c r="N22" s="65">
        <v>35336.68</v>
      </c>
      <c r="O22" s="80" t="s">
        <v>65</v>
      </c>
      <c r="P22" s="75">
        <v>175</v>
      </c>
      <c r="Q22" s="65">
        <v>4501.7</v>
      </c>
    </row>
    <row r="23" spans="1:20" ht="27" customHeight="1" x14ac:dyDescent="0.25">
      <c r="A23" s="157" t="s">
        <v>50</v>
      </c>
      <c r="B23" s="66">
        <v>206.29861111111111</v>
      </c>
      <c r="C23" s="66">
        <v>206.54166666666666</v>
      </c>
      <c r="D23" s="66">
        <f t="shared" si="5"/>
        <v>0.24305555555554292</v>
      </c>
      <c r="E23" s="66">
        <v>206.60069444444446</v>
      </c>
      <c r="F23" s="66">
        <v>206.875</v>
      </c>
      <c r="G23" s="66">
        <f t="shared" si="6"/>
        <v>0.27430555555554292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0.80902777777777146</v>
      </c>
      <c r="M23" s="154" t="s">
        <v>63</v>
      </c>
      <c r="N23" s="85">
        <v>8</v>
      </c>
      <c r="O23" s="86" t="s">
        <v>66</v>
      </c>
      <c r="P23" s="76">
        <v>31</v>
      </c>
      <c r="Q23" s="65">
        <v>932.27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0.7430555555555145</v>
      </c>
      <c r="E24" s="68"/>
      <c r="F24" s="68"/>
      <c r="G24" s="66">
        <f>SUM(G21:G23)</f>
        <v>0.74652777777777146</v>
      </c>
      <c r="H24" s="68"/>
      <c r="I24" s="68"/>
      <c r="J24" s="71">
        <f>SUM(J21:J23)</f>
        <v>0.87152777777782831</v>
      </c>
      <c r="K24" s="75"/>
      <c r="L24" s="83">
        <f>SUM(L21:L23)</f>
        <v>2.3611111111111143</v>
      </c>
      <c r="M24" s="65" t="s">
        <v>77</v>
      </c>
      <c r="N24" s="65">
        <v>29229.83</v>
      </c>
      <c r="P24" s="79" t="s">
        <v>67</v>
      </c>
      <c r="Q24" s="43">
        <v>40761.46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 +Sheet1!N24</f>
        <v>66272.950000000012</v>
      </c>
      <c r="P25" s="154" t="s">
        <v>76</v>
      </c>
      <c r="Q25" s="87">
        <v>463030.6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51000</v>
      </c>
      <c r="P26" s="51" t="s">
        <v>86</v>
      </c>
      <c r="Q26" s="69">
        <f>Q24 +Sheet1!Q25</f>
        <v>94326.459999999992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56.4</v>
      </c>
      <c r="M27" s="55"/>
      <c r="N27" s="88">
        <f>N22/L27</f>
        <v>626.53687943262412</v>
      </c>
      <c r="O27" s="81" t="s">
        <v>73</v>
      </c>
      <c r="P27" s="69"/>
      <c r="Q27" s="65" t="s">
        <v>218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0" workbookViewId="0">
      <selection activeCell="N30" sqref="N30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3.85546875" style="1" customWidth="1"/>
    <col min="15" max="15" width="10.140625" style="1" customWidth="1"/>
    <col min="16" max="16" width="13.42578125" style="1" customWidth="1"/>
    <col min="17" max="17" width="22.855468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332</v>
      </c>
    </row>
    <row r="3" spans="1:17" ht="27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45</v>
      </c>
      <c r="G4" s="22">
        <v>27</v>
      </c>
      <c r="H4" s="22">
        <v>27</v>
      </c>
      <c r="I4" s="22">
        <v>34</v>
      </c>
      <c r="J4" s="22">
        <v>26</v>
      </c>
      <c r="K4" s="22">
        <v>148</v>
      </c>
      <c r="L4" s="22">
        <v>76</v>
      </c>
      <c r="M4" s="93">
        <f>K4+L4</f>
        <v>224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>
        <v>2</v>
      </c>
      <c r="I5" s="22"/>
      <c r="J5" s="22"/>
      <c r="K5" s="22">
        <v>4</v>
      </c>
      <c r="L5" s="22">
        <v>0</v>
      </c>
      <c r="M5" s="93">
        <f t="shared" ref="M5:M7" si="0">K5+L5</f>
        <v>4</v>
      </c>
      <c r="N5" s="104" t="s">
        <v>56</v>
      </c>
      <c r="O5" s="66">
        <v>10.416666666666666</v>
      </c>
      <c r="P5" s="66">
        <v>15.458333333333334</v>
      </c>
      <c r="Q5" s="33" t="s">
        <v>333</v>
      </c>
    </row>
    <row r="6" spans="1:17" ht="15.75" customHeight="1" x14ac:dyDescent="0.25">
      <c r="A6" s="23" t="s">
        <v>17</v>
      </c>
      <c r="B6" s="21" t="s">
        <v>18</v>
      </c>
      <c r="C6" s="22"/>
      <c r="D6" s="164"/>
      <c r="E6" s="164"/>
      <c r="F6" s="164"/>
      <c r="G6" s="164" t="s">
        <v>13</v>
      </c>
      <c r="H6" s="164">
        <v>5</v>
      </c>
      <c r="I6" s="164">
        <v>3</v>
      </c>
      <c r="J6" s="164">
        <v>2</v>
      </c>
      <c r="K6" s="22">
        <v>10</v>
      </c>
      <c r="L6" s="22">
        <v>15</v>
      </c>
      <c r="M6" s="93">
        <f t="shared" si="0"/>
        <v>25</v>
      </c>
      <c r="N6" s="104" t="s">
        <v>56</v>
      </c>
      <c r="O6" s="96"/>
      <c r="P6" s="65"/>
      <c r="Q6" s="66" t="s">
        <v>334</v>
      </c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3</v>
      </c>
      <c r="F7" s="22">
        <v>4</v>
      </c>
      <c r="G7" s="22">
        <v>4</v>
      </c>
      <c r="H7" s="22"/>
      <c r="I7" s="22"/>
      <c r="J7" s="22"/>
      <c r="K7" s="22">
        <v>14</v>
      </c>
      <c r="L7" s="22">
        <v>0</v>
      </c>
      <c r="M7" s="93">
        <f t="shared" si="0"/>
        <v>14</v>
      </c>
      <c r="N7" s="104" t="s">
        <v>248</v>
      </c>
      <c r="O7" s="97"/>
      <c r="P7" s="65"/>
      <c r="Q7" s="184" t="s">
        <v>336</v>
      </c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259" t="s">
        <v>335</v>
      </c>
    </row>
    <row r="9" spans="1:17" ht="13.5" customHeight="1" x14ac:dyDescent="0.25">
      <c r="A9" s="33"/>
      <c r="B9" s="34" t="s">
        <v>14</v>
      </c>
      <c r="C9" s="22"/>
      <c r="D9" s="22">
        <v>29</v>
      </c>
      <c r="E9" s="22">
        <v>32</v>
      </c>
      <c r="F9" s="22">
        <v>44</v>
      </c>
      <c r="G9" s="22">
        <v>23</v>
      </c>
      <c r="H9" s="22">
        <v>39</v>
      </c>
      <c r="I9" s="22">
        <v>31</v>
      </c>
      <c r="J9" s="22">
        <v>30</v>
      </c>
      <c r="K9" s="22">
        <v>201</v>
      </c>
      <c r="L9" s="22">
        <v>35</v>
      </c>
      <c r="M9" s="93">
        <f t="shared" ref="M9:M12" si="1">K9+L9</f>
        <v>236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3</v>
      </c>
      <c r="F11" s="22">
        <v>4</v>
      </c>
      <c r="G11" s="22">
        <v>4</v>
      </c>
      <c r="H11" s="22"/>
      <c r="I11" s="22"/>
      <c r="J11" s="22"/>
      <c r="K11" s="22">
        <v>14</v>
      </c>
      <c r="L11" s="22">
        <v>0</v>
      </c>
      <c r="M11" s="93">
        <f t="shared" si="1"/>
        <v>14</v>
      </c>
      <c r="N11" s="82" t="s">
        <v>340</v>
      </c>
      <c r="O11" s="205" t="s">
        <v>13</v>
      </c>
      <c r="P11" s="205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9</v>
      </c>
      <c r="L12" s="22">
        <v>0</v>
      </c>
      <c r="M12" s="93">
        <f t="shared" si="1"/>
        <v>9</v>
      </c>
      <c r="N12" s="82" t="s">
        <v>56</v>
      </c>
      <c r="O12" s="82"/>
      <c r="P12" s="82"/>
      <c r="Q12" s="37"/>
    </row>
    <row r="13" spans="1:17" ht="28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206" t="s">
        <v>13</v>
      </c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173</v>
      </c>
      <c r="L14" s="22">
        <v>26</v>
      </c>
      <c r="M14" s="93">
        <f t="shared" ref="M14:M17" si="2">K14+L14</f>
        <v>199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</v>
      </c>
      <c r="L16" s="22">
        <v>0</v>
      </c>
      <c r="M16" s="93">
        <f t="shared" si="2"/>
        <v>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11</v>
      </c>
      <c r="L17" s="22">
        <v>0</v>
      </c>
      <c r="M17" s="93">
        <f t="shared" si="2"/>
        <v>11</v>
      </c>
      <c r="N17" s="103"/>
      <c r="O17" s="206" t="s">
        <v>165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659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4</v>
      </c>
      <c r="O19" s="69">
        <v>1516.97</v>
      </c>
      <c r="P19" s="46" t="s">
        <v>337</v>
      </c>
      <c r="Q19" s="65" t="s">
        <v>338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44</v>
      </c>
      <c r="O20" s="77" t="s">
        <v>64</v>
      </c>
      <c r="P20" s="75">
        <v>79</v>
      </c>
      <c r="Q20" s="65">
        <v>5046.93</v>
      </c>
    </row>
    <row r="21" spans="1:20" ht="25.5" customHeight="1" x14ac:dyDescent="0.25">
      <c r="A21" s="16" t="s">
        <v>46</v>
      </c>
      <c r="B21" s="66">
        <v>206.28819444444446</v>
      </c>
      <c r="C21" s="66">
        <v>206.54166666666666</v>
      </c>
      <c r="D21" s="66">
        <f t="shared" ref="D21" si="3">C21-B21</f>
        <v>0.25347222222220012</v>
      </c>
      <c r="E21" s="66">
        <v>206.59027777777777</v>
      </c>
      <c r="F21" s="66">
        <v>206.875</v>
      </c>
      <c r="G21" s="66">
        <f t="shared" ref="G21:G22" si="4">F21-E21</f>
        <v>0.28472222222222854</v>
      </c>
      <c r="H21" s="66">
        <v>206.92013888888889</v>
      </c>
      <c r="I21" s="66">
        <v>207.125</v>
      </c>
      <c r="J21" s="71">
        <f>I21-H21-K21</f>
        <v>0.20486111111111427</v>
      </c>
      <c r="K21" s="66"/>
      <c r="L21" s="73">
        <f>D21+G21+J21</f>
        <v>0.74305555555554292</v>
      </c>
      <c r="M21" s="154" t="s">
        <v>47</v>
      </c>
      <c r="N21" s="65">
        <f>M17+M12+M7</f>
        <v>34</v>
      </c>
      <c r="O21" s="78" t="s">
        <v>68</v>
      </c>
      <c r="P21" s="75">
        <v>177</v>
      </c>
      <c r="Q21" s="65">
        <v>5262.89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5">C22-B22</f>
        <v>0.29861111111111427</v>
      </c>
      <c r="E22" s="66">
        <v>206.58333333333334</v>
      </c>
      <c r="F22" s="66">
        <v>206.875</v>
      </c>
      <c r="G22" s="66">
        <f t="shared" si="4"/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0.88194444444445708</v>
      </c>
      <c r="M22" s="49" t="s">
        <v>49</v>
      </c>
      <c r="N22" s="65">
        <v>36166.97</v>
      </c>
      <c r="O22" s="80" t="s">
        <v>65</v>
      </c>
      <c r="P22" s="75">
        <v>134</v>
      </c>
      <c r="Q22" s="65">
        <v>3441.01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6">C23-B23</f>
        <v>0.25</v>
      </c>
      <c r="E23" s="66">
        <v>206.58333333333334</v>
      </c>
      <c r="F23" s="66">
        <v>206.875</v>
      </c>
      <c r="G23" s="66">
        <f t="shared" ref="G23" si="7">F23-E23</f>
        <v>0.29166666666665719</v>
      </c>
      <c r="H23" s="66">
        <v>206.90972222222223</v>
      </c>
      <c r="I23" s="66">
        <v>207.20833333333334</v>
      </c>
      <c r="J23" s="71">
        <f>I23-H23-K23</f>
        <v>0.29861111111111427</v>
      </c>
      <c r="K23" s="155"/>
      <c r="L23" s="156">
        <f>D23+G23+J23</f>
        <v>0.84027777777777146</v>
      </c>
      <c r="M23" s="154" t="s">
        <v>63</v>
      </c>
      <c r="N23" s="85">
        <v>10</v>
      </c>
      <c r="O23" s="86" t="s">
        <v>66</v>
      </c>
      <c r="P23" s="76">
        <v>256</v>
      </c>
      <c r="Q23" s="65">
        <v>8050.71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0.80208333333331439</v>
      </c>
      <c r="E24" s="68"/>
      <c r="F24" s="68"/>
      <c r="G24" s="66">
        <f>SUM(G21:G23)</f>
        <v>0.86805555555554292</v>
      </c>
      <c r="H24" s="68"/>
      <c r="I24" s="68"/>
      <c r="J24" s="71">
        <f>SUM(J21:J23)</f>
        <v>0.79513888888891415</v>
      </c>
      <c r="K24" s="75"/>
      <c r="L24" s="83">
        <f>SUM(L21:L23)</f>
        <v>2.4652777777777715</v>
      </c>
      <c r="M24" s="65" t="s">
        <v>77</v>
      </c>
      <c r="N24" s="65">
        <v>37574.82</v>
      </c>
      <c r="P24" s="79" t="s">
        <v>67</v>
      </c>
      <c r="Q24" s="43">
        <v>55463.98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N24+Sheet19!O25</f>
        <v>701692.88</v>
      </c>
      <c r="P25" s="154" t="s">
        <v>76</v>
      </c>
      <c r="Q25" s="87">
        <v>60510.97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Q24+Sheet19!Q26</f>
        <v>707029.21000000008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</v>
      </c>
      <c r="M27" s="55"/>
      <c r="N27" s="69">
        <f>N22/L27</f>
        <v>611.96226734348568</v>
      </c>
      <c r="O27" s="81" t="s">
        <v>73</v>
      </c>
      <c r="P27" s="69"/>
      <c r="Q27" s="65" t="s">
        <v>339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M27" sqref="M2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7.28515625" style="1" customWidth="1"/>
    <col min="17" max="17" width="20.85546875" style="1" customWidth="1"/>
    <col min="18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341</v>
      </c>
    </row>
    <row r="3" spans="1:18" ht="29.2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8" ht="15" customHeight="1" x14ac:dyDescent="0.25">
      <c r="A4" s="20"/>
      <c r="B4" s="21" t="s">
        <v>14</v>
      </c>
      <c r="C4" s="22"/>
      <c r="D4" s="22">
        <v>35</v>
      </c>
      <c r="E4" s="22">
        <v>45</v>
      </c>
      <c r="F4" s="22">
        <v>44</v>
      </c>
      <c r="G4" s="22">
        <v>27</v>
      </c>
      <c r="H4" s="22">
        <v>29</v>
      </c>
      <c r="I4" s="22">
        <v>36</v>
      </c>
      <c r="J4" s="22">
        <v>24</v>
      </c>
      <c r="K4" s="22">
        <v>174</v>
      </c>
      <c r="L4" s="22">
        <v>66</v>
      </c>
      <c r="M4" s="93">
        <f t="shared" ref="M4:M5" si="0">K4+L4</f>
        <v>240</v>
      </c>
      <c r="N4" s="104" t="s">
        <v>56</v>
      </c>
      <c r="O4" s="95" t="s">
        <v>87</v>
      </c>
      <c r="P4" s="105" t="s">
        <v>88</v>
      </c>
      <c r="Q4" s="65"/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3</v>
      </c>
      <c r="J5" s="22">
        <v>1</v>
      </c>
      <c r="K5" s="22">
        <v>6</v>
      </c>
      <c r="L5" s="22">
        <v>0</v>
      </c>
      <c r="M5" s="93">
        <f t="shared" si="0"/>
        <v>6</v>
      </c>
      <c r="N5" s="104" t="s">
        <v>56</v>
      </c>
      <c r="O5" s="66"/>
      <c r="P5" s="66"/>
      <c r="Q5" s="33"/>
    </row>
    <row r="6" spans="1:18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" si="1">K6+L6</f>
        <v>0</v>
      </c>
      <c r="N6" s="104" t="s">
        <v>248</v>
      </c>
      <c r="O6" s="96"/>
      <c r="P6" s="65"/>
      <c r="Q6" s="66"/>
    </row>
    <row r="7" spans="1:18" ht="15" customHeight="1" x14ac:dyDescent="0.25">
      <c r="A7" s="25"/>
      <c r="B7" s="21" t="s">
        <v>19</v>
      </c>
      <c r="C7" s="22"/>
      <c r="D7" s="22">
        <v>2</v>
      </c>
      <c r="E7" s="22">
        <v>1</v>
      </c>
      <c r="F7" s="22"/>
      <c r="G7" s="22"/>
      <c r="H7" s="22">
        <v>1</v>
      </c>
      <c r="I7" s="22"/>
      <c r="J7" s="22"/>
      <c r="K7" s="22">
        <v>4</v>
      </c>
      <c r="L7" s="22">
        <v>0</v>
      </c>
      <c r="M7" s="93">
        <f t="shared" ref="M7" si="2">K7+L7</f>
        <v>4</v>
      </c>
      <c r="N7" s="104" t="s">
        <v>56</v>
      </c>
      <c r="O7" s="97"/>
      <c r="P7" s="65"/>
      <c r="Q7" s="184"/>
    </row>
    <row r="8" spans="1:18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66" t="s">
        <v>13</v>
      </c>
      <c r="P8" s="66" t="s">
        <v>13</v>
      </c>
      <c r="Q8" s="66" t="s">
        <v>13</v>
      </c>
    </row>
    <row r="9" spans="1:18" ht="16.5" customHeight="1" x14ac:dyDescent="0.25">
      <c r="A9" s="33"/>
      <c r="B9" s="34" t="s">
        <v>14</v>
      </c>
      <c r="C9" s="22"/>
      <c r="D9" s="22">
        <v>36</v>
      </c>
      <c r="E9" s="22">
        <v>38</v>
      </c>
      <c r="F9" s="22">
        <v>46</v>
      </c>
      <c r="G9" s="22">
        <v>23</v>
      </c>
      <c r="H9" s="22">
        <v>20</v>
      </c>
      <c r="I9" s="22">
        <v>29</v>
      </c>
      <c r="J9" s="22">
        <v>28</v>
      </c>
      <c r="K9" s="22">
        <v>165</v>
      </c>
      <c r="L9" s="22">
        <v>0</v>
      </c>
      <c r="M9" s="93">
        <f t="shared" ref="M9:M12" si="3">K9+L9</f>
        <v>165</v>
      </c>
      <c r="N9" s="82" t="s">
        <v>56</v>
      </c>
      <c r="O9" s="99"/>
      <c r="P9" s="82"/>
      <c r="Q9" s="36" t="s">
        <v>13</v>
      </c>
    </row>
    <row r="10" spans="1:18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37</v>
      </c>
      <c r="L10" s="22">
        <v>0</v>
      </c>
      <c r="M10" s="93">
        <f t="shared" si="3"/>
        <v>37</v>
      </c>
      <c r="N10" s="82" t="s">
        <v>174</v>
      </c>
      <c r="O10" s="275" t="s">
        <v>126</v>
      </c>
      <c r="P10" s="276"/>
      <c r="Q10" s="43" t="s">
        <v>72</v>
      </c>
    </row>
    <row r="11" spans="1:18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66"/>
      <c r="P11" s="66"/>
      <c r="Q11" s="66"/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/>
      <c r="E12" s="22"/>
      <c r="F12" s="22">
        <v>2</v>
      </c>
      <c r="G12" s="22"/>
      <c r="H12" s="22">
        <v>5</v>
      </c>
      <c r="I12" s="22"/>
      <c r="J12" s="22"/>
      <c r="K12" s="22">
        <v>7</v>
      </c>
      <c r="L12" s="22">
        <v>0</v>
      </c>
      <c r="M12" s="93">
        <f t="shared" si="3"/>
        <v>7</v>
      </c>
      <c r="N12" s="82"/>
      <c r="O12" s="82"/>
      <c r="P12" s="82"/>
      <c r="Q12" s="65" t="s">
        <v>13</v>
      </c>
    </row>
    <row r="13" spans="1:18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8" ht="15" x14ac:dyDescent="0.25">
      <c r="A14" s="33"/>
      <c r="B14" s="21" t="s">
        <v>14</v>
      </c>
      <c r="C14" s="22"/>
      <c r="D14" s="22">
        <v>33</v>
      </c>
      <c r="E14" s="22">
        <v>36</v>
      </c>
      <c r="F14" s="22">
        <v>35</v>
      </c>
      <c r="G14" s="22">
        <v>28</v>
      </c>
      <c r="H14" s="22">
        <v>36</v>
      </c>
      <c r="I14" s="22">
        <v>25</v>
      </c>
      <c r="J14" s="22">
        <v>24</v>
      </c>
      <c r="K14" s="22">
        <v>164</v>
      </c>
      <c r="L14" s="22">
        <v>45</v>
      </c>
      <c r="M14" s="93">
        <f t="shared" ref="M14:M17" si="4">K14+L14</f>
        <v>209</v>
      </c>
      <c r="N14" s="103" t="s">
        <v>174</v>
      </c>
      <c r="O14" s="101"/>
      <c r="P14" s="82"/>
      <c r="Q14" s="37"/>
    </row>
    <row r="15" spans="1:18" ht="15.75" customHeight="1" x14ac:dyDescent="0.25">
      <c r="A15" s="106" t="s">
        <v>36</v>
      </c>
      <c r="B15" s="21" t="s">
        <v>16</v>
      </c>
      <c r="C15" s="22"/>
      <c r="D15" s="22"/>
      <c r="E15" s="22">
        <v>3</v>
      </c>
      <c r="F15" s="22"/>
      <c r="G15" s="22"/>
      <c r="H15" s="22">
        <v>4</v>
      </c>
      <c r="I15" s="22">
        <v>13</v>
      </c>
      <c r="J15" s="22">
        <v>2</v>
      </c>
      <c r="K15" s="22">
        <v>22</v>
      </c>
      <c r="L15" s="22">
        <v>0</v>
      </c>
      <c r="M15" s="93">
        <f t="shared" si="4"/>
        <v>22</v>
      </c>
      <c r="N15" s="103" t="s">
        <v>56</v>
      </c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4</v>
      </c>
      <c r="F17" s="22">
        <v>1</v>
      </c>
      <c r="G17" s="22">
        <v>1</v>
      </c>
      <c r="H17" s="22">
        <v>1</v>
      </c>
      <c r="I17" s="22"/>
      <c r="J17" s="22"/>
      <c r="K17" s="22">
        <v>11</v>
      </c>
      <c r="L17" s="22">
        <v>0</v>
      </c>
      <c r="M17" s="93">
        <f t="shared" si="4"/>
        <v>11</v>
      </c>
      <c r="N17" s="103"/>
      <c r="O17" s="103" t="s">
        <v>342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614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65</v>
      </c>
      <c r="O19" s="69">
        <v>1846.3</v>
      </c>
      <c r="P19" s="46" t="s">
        <v>343</v>
      </c>
      <c r="Q19" s="65" t="s">
        <v>344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100</v>
      </c>
      <c r="Q20" s="65" t="s">
        <v>120</v>
      </c>
    </row>
    <row r="21" spans="1:20" ht="25.5" customHeight="1" x14ac:dyDescent="0.25">
      <c r="A21" s="16" t="s">
        <v>46</v>
      </c>
      <c r="B21" s="66">
        <v>206.29861111111111</v>
      </c>
      <c r="C21" s="66">
        <v>206.54166666666666</v>
      </c>
      <c r="D21" s="66">
        <f t="shared" ref="D21" si="5">C21-B21</f>
        <v>0.24305555555554292</v>
      </c>
      <c r="E21" s="66">
        <v>206.59027777777777</v>
      </c>
      <c r="F21" s="66">
        <v>206.875</v>
      </c>
      <c r="G21" s="66">
        <f t="shared" ref="G21" si="6">F21-E21</f>
        <v>0.28472222222222854</v>
      </c>
      <c r="H21" s="66">
        <v>206.90972222222223</v>
      </c>
      <c r="I21" s="66">
        <v>207.20833333333334</v>
      </c>
      <c r="J21" s="71">
        <f>I21-H21-K21</f>
        <v>0.29861111111111427</v>
      </c>
      <c r="K21" s="66">
        <v>0</v>
      </c>
      <c r="L21" s="73">
        <f>D21+G21+J21</f>
        <v>0.82638888888888573</v>
      </c>
      <c r="M21" s="154" t="s">
        <v>47</v>
      </c>
      <c r="N21" s="65">
        <f>M17+M12+M7</f>
        <v>22</v>
      </c>
      <c r="O21" s="78" t="s">
        <v>68</v>
      </c>
      <c r="P21" s="75">
        <v>244</v>
      </c>
      <c r="Q21" s="65">
        <v>7189.91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:D23" si="7">C22-B22</f>
        <v>0.29861111111111427</v>
      </c>
      <c r="E22" s="66">
        <v>206.59375</v>
      </c>
      <c r="F22" s="66">
        <v>206.875</v>
      </c>
      <c r="G22" s="66">
        <f t="shared" ref="G22:G23" si="8">F22-E22</f>
        <v>0.28125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0.875</v>
      </c>
      <c r="M22" s="49" t="s">
        <v>49</v>
      </c>
      <c r="N22" s="65">
        <v>35846.300000000003</v>
      </c>
      <c r="O22" s="80" t="s">
        <v>65</v>
      </c>
      <c r="P22" s="76">
        <v>178</v>
      </c>
      <c r="Q22" s="65">
        <v>40598.449999999997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7"/>
        <v>0.27083333333331439</v>
      </c>
      <c r="E23" s="66">
        <v>206.59722222222223</v>
      </c>
      <c r="F23" s="66">
        <v>206.875</v>
      </c>
      <c r="G23" s="66">
        <f t="shared" si="8"/>
        <v>0.27777777777777146</v>
      </c>
      <c r="H23" s="66">
        <v>206.91319444444446</v>
      </c>
      <c r="I23" s="66">
        <v>207.20833333333334</v>
      </c>
      <c r="J23" s="71">
        <f>I23-H23-K23</f>
        <v>0.29513888888888573</v>
      </c>
      <c r="K23" s="155"/>
      <c r="L23" s="156">
        <f>D23+G23+J23</f>
        <v>0.84374999999997158</v>
      </c>
      <c r="M23" s="154" t="s">
        <v>63</v>
      </c>
      <c r="N23" s="85">
        <v>9</v>
      </c>
      <c r="O23" s="86" t="s">
        <v>66</v>
      </c>
      <c r="P23" s="76">
        <v>238</v>
      </c>
      <c r="Q23" s="65">
        <v>7434.97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0.81249999999997158</v>
      </c>
      <c r="E24" s="68"/>
      <c r="F24" s="68"/>
      <c r="G24" s="66">
        <f>SUM(G21:G23)</f>
        <v>0.84375</v>
      </c>
      <c r="H24" s="68"/>
      <c r="I24" s="68"/>
      <c r="J24" s="71">
        <f>SUM(J21:J23)</f>
        <v>0.88888888888888573</v>
      </c>
      <c r="K24" s="75"/>
      <c r="L24" s="83">
        <f>SUM(L21:L23)</f>
        <v>2.5451388888888573</v>
      </c>
      <c r="M24" s="65" t="s">
        <v>77</v>
      </c>
      <c r="N24" s="65">
        <v>33049.629999999997</v>
      </c>
      <c r="P24" s="79" t="s">
        <v>67</v>
      </c>
      <c r="Q24" s="43">
        <v>52831.48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N24+Sheet20!O25</f>
        <v>734742.51</v>
      </c>
      <c r="P25" s="154" t="s">
        <v>76</v>
      </c>
      <c r="Q25" s="87">
        <v>59195.85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Q24+Sheet20!Q26</f>
        <v>759860.69000000006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61.05</v>
      </c>
      <c r="M27" s="55"/>
      <c r="N27" s="88">
        <f>N22/L27</f>
        <v>587.16298116298128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B10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7109375" style="1" customWidth="1"/>
    <col min="16" max="16" width="16" style="1" customWidth="1"/>
    <col min="17" max="17" width="20.28515625" style="1" customWidth="1"/>
    <col min="18" max="18" width="9.140625" style="1"/>
    <col min="19" max="19" width="27.140625" style="1" customWidth="1"/>
    <col min="20" max="16384" width="9.140625" style="1"/>
  </cols>
  <sheetData>
    <row r="1" spans="1:19" ht="3" customHeight="1" x14ac:dyDescent="0.25"/>
    <row r="2" spans="1:19" s="13" customFormat="1" ht="18" customHeight="1" x14ac:dyDescent="0.25">
      <c r="A2" s="7" t="s">
        <v>120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345</v>
      </c>
    </row>
    <row r="3" spans="1:19" ht="29.2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9" ht="15" customHeight="1" x14ac:dyDescent="0.25">
      <c r="A4" s="20"/>
      <c r="B4" s="21" t="s">
        <v>14</v>
      </c>
      <c r="C4" s="22"/>
      <c r="D4" s="22">
        <v>35</v>
      </c>
      <c r="E4" s="22">
        <v>45</v>
      </c>
      <c r="F4" s="22">
        <v>39</v>
      </c>
      <c r="G4" s="22">
        <v>31</v>
      </c>
      <c r="H4" s="22">
        <v>27</v>
      </c>
      <c r="I4" s="22">
        <v>30</v>
      </c>
      <c r="J4" s="22">
        <v>20</v>
      </c>
      <c r="K4" s="22">
        <v>142</v>
      </c>
      <c r="L4" s="22">
        <v>85</v>
      </c>
      <c r="M4" s="93">
        <f t="shared" ref="M4:M5" si="0">K4+L4</f>
        <v>227</v>
      </c>
      <c r="N4" s="104" t="s">
        <v>248</v>
      </c>
      <c r="O4" s="95" t="s">
        <v>87</v>
      </c>
      <c r="P4" s="105" t="s">
        <v>88</v>
      </c>
      <c r="Q4" s="33"/>
    </row>
    <row r="5" spans="1:19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3</v>
      </c>
      <c r="K5" s="22">
        <v>10</v>
      </c>
      <c r="L5" s="22">
        <v>0</v>
      </c>
      <c r="M5" s="93">
        <f t="shared" si="0"/>
        <v>10</v>
      </c>
      <c r="N5" s="104" t="s">
        <v>56</v>
      </c>
      <c r="O5" s="66"/>
      <c r="P5" s="66"/>
      <c r="Q5" s="33"/>
    </row>
    <row r="6" spans="1:19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" si="1">K6+L6</f>
        <v>0</v>
      </c>
      <c r="N6" s="104" t="s">
        <v>56</v>
      </c>
      <c r="O6" s="96"/>
      <c r="P6" s="65"/>
      <c r="Q6" s="66"/>
    </row>
    <row r="7" spans="1:19" ht="15" customHeight="1" x14ac:dyDescent="0.25">
      <c r="A7" s="25"/>
      <c r="B7" s="21" t="s">
        <v>19</v>
      </c>
      <c r="C7" s="22"/>
      <c r="D7" s="22">
        <v>2</v>
      </c>
      <c r="E7" s="22">
        <v>3</v>
      </c>
      <c r="F7" s="22"/>
      <c r="G7" s="22">
        <v>1</v>
      </c>
      <c r="H7" s="22">
        <v>4</v>
      </c>
      <c r="I7" s="22">
        <v>3</v>
      </c>
      <c r="J7" s="22"/>
      <c r="K7" s="22">
        <v>12</v>
      </c>
      <c r="L7" s="22">
        <v>0</v>
      </c>
      <c r="M7" s="93">
        <f t="shared" ref="M7" si="2">K7+L7</f>
        <v>12</v>
      </c>
      <c r="N7" s="104" t="s">
        <v>56</v>
      </c>
      <c r="O7" s="97"/>
      <c r="P7" s="65"/>
      <c r="Q7" s="185"/>
    </row>
    <row r="8" spans="1:19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9" ht="16.5" customHeight="1" x14ac:dyDescent="0.25">
      <c r="A9" s="33"/>
      <c r="B9" s="34" t="s">
        <v>14</v>
      </c>
      <c r="C9" s="22">
        <v>10</v>
      </c>
      <c r="D9" s="22">
        <v>24</v>
      </c>
      <c r="E9" s="22">
        <v>20</v>
      </c>
      <c r="F9" s="22">
        <v>20</v>
      </c>
      <c r="G9" s="22">
        <v>12</v>
      </c>
      <c r="H9" s="22">
        <v>20</v>
      </c>
      <c r="I9" s="22">
        <v>25</v>
      </c>
      <c r="J9" s="22">
        <v>24</v>
      </c>
      <c r="K9" s="22">
        <v>115</v>
      </c>
      <c r="L9" s="22">
        <v>40</v>
      </c>
      <c r="M9" s="93">
        <f t="shared" ref="M9:M12" si="3">K9+L9</f>
        <v>155</v>
      </c>
      <c r="N9" s="82" t="s">
        <v>56</v>
      </c>
      <c r="O9" s="99"/>
      <c r="P9" s="82"/>
      <c r="Q9" s="36"/>
    </row>
    <row r="10" spans="1:19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3</v>
      </c>
      <c r="F10" s="22">
        <v>3</v>
      </c>
      <c r="G10" s="22"/>
      <c r="H10" s="22"/>
      <c r="I10" s="22"/>
      <c r="J10" s="22"/>
      <c r="K10" s="22">
        <v>35</v>
      </c>
      <c r="L10" s="22">
        <v>0</v>
      </c>
      <c r="M10" s="93">
        <f t="shared" si="3"/>
        <v>35</v>
      </c>
      <c r="N10" s="82" t="s">
        <v>56</v>
      </c>
      <c r="O10" s="275" t="s">
        <v>126</v>
      </c>
      <c r="P10" s="276"/>
      <c r="Q10" s="43" t="s">
        <v>72</v>
      </c>
    </row>
    <row r="11" spans="1:19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66" t="s">
        <v>13</v>
      </c>
      <c r="P11" s="66" t="s">
        <v>13</v>
      </c>
      <c r="Q11" s="33" t="s">
        <v>13</v>
      </c>
    </row>
    <row r="12" spans="1:19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>
        <v>3</v>
      </c>
      <c r="I12" s="22">
        <v>2</v>
      </c>
      <c r="J12" s="22"/>
      <c r="K12" s="22">
        <v>3</v>
      </c>
      <c r="L12" s="22">
        <v>2</v>
      </c>
      <c r="M12" s="93">
        <f t="shared" si="3"/>
        <v>5</v>
      </c>
      <c r="N12" s="82"/>
      <c r="O12" s="66" t="s">
        <v>13</v>
      </c>
      <c r="P12" s="66" t="s">
        <v>13</v>
      </c>
      <c r="Q12" s="37" t="s">
        <v>13</v>
      </c>
    </row>
    <row r="13" spans="1:19" ht="32.2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159" t="s">
        <v>13</v>
      </c>
    </row>
    <row r="14" spans="1:19" ht="15" x14ac:dyDescent="0.25">
      <c r="A14" s="33"/>
      <c r="B14" s="21" t="s">
        <v>14</v>
      </c>
      <c r="C14" s="22"/>
      <c r="D14" s="22">
        <v>30</v>
      </c>
      <c r="E14" s="22">
        <v>33</v>
      </c>
      <c r="F14" s="22">
        <v>32</v>
      </c>
      <c r="G14" s="22">
        <v>25</v>
      </c>
      <c r="H14" s="22">
        <v>20</v>
      </c>
      <c r="I14" s="22">
        <v>22</v>
      </c>
      <c r="J14" s="22">
        <v>20</v>
      </c>
      <c r="K14" s="22">
        <v>113</v>
      </c>
      <c r="L14" s="22">
        <v>69</v>
      </c>
      <c r="M14" s="93">
        <f t="shared" ref="M14:M17" si="4">K14+L14</f>
        <v>182</v>
      </c>
      <c r="N14" s="103" t="s">
        <v>56</v>
      </c>
      <c r="O14" s="101"/>
      <c r="P14" s="82"/>
      <c r="Q14" s="37"/>
      <c r="S14" s="69" t="s">
        <v>13</v>
      </c>
    </row>
    <row r="15" spans="1:19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>
        <v>7</v>
      </c>
      <c r="J15" s="22">
        <v>9</v>
      </c>
      <c r="K15" s="22">
        <v>16</v>
      </c>
      <c r="L15" s="22">
        <v>0</v>
      </c>
      <c r="M15" s="93">
        <f t="shared" si="4"/>
        <v>16</v>
      </c>
      <c r="N15" s="103" t="s">
        <v>56</v>
      </c>
      <c r="O15" s="102"/>
      <c r="P15" s="82"/>
      <c r="Q15" s="37"/>
    </row>
    <row r="16" spans="1:19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 t="s">
        <v>13</v>
      </c>
      <c r="O16" s="103"/>
      <c r="P16" s="82"/>
      <c r="Q16" s="37"/>
      <c r="S16" s="1">
        <v>540799.61</v>
      </c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>
        <v>3</v>
      </c>
      <c r="G17" s="22">
        <v>3</v>
      </c>
      <c r="H17" s="22">
        <v>2</v>
      </c>
      <c r="I17" s="22"/>
      <c r="J17" s="22"/>
      <c r="K17" s="22">
        <v>10</v>
      </c>
      <c r="L17" s="22">
        <v>0</v>
      </c>
      <c r="M17" s="93">
        <f t="shared" si="4"/>
        <v>10</v>
      </c>
      <c r="N17" s="103"/>
      <c r="O17" s="103" t="s">
        <v>342</v>
      </c>
      <c r="P17" s="82"/>
      <c r="Q17" s="36"/>
      <c r="S17" s="1">
        <v>27337.93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564</v>
      </c>
      <c r="O18" s="277" t="s">
        <v>70</v>
      </c>
      <c r="P18" s="278"/>
      <c r="Q18" s="65" t="s">
        <v>13</v>
      </c>
      <c r="S18" s="1">
        <f>SUM(S16:S17)</f>
        <v>568137.54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61</v>
      </c>
      <c r="O19" s="69">
        <v>1857.75</v>
      </c>
      <c r="P19" s="46" t="s">
        <v>346</v>
      </c>
      <c r="Q19" s="65" t="s">
        <v>347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100</v>
      </c>
      <c r="Q20" s="65">
        <v>6449.39</v>
      </c>
    </row>
    <row r="21" spans="1:20" ht="25.5" customHeight="1" x14ac:dyDescent="0.25">
      <c r="A21" s="16" t="s">
        <v>46</v>
      </c>
      <c r="B21" s="66">
        <v>206.32291666666666</v>
      </c>
      <c r="C21" s="66">
        <v>206.54166666666666</v>
      </c>
      <c r="D21" s="66">
        <f t="shared" ref="D21:D23" si="5">C21-B21</f>
        <v>0.21875</v>
      </c>
      <c r="E21" s="66">
        <v>206.59375</v>
      </c>
      <c r="F21" s="66">
        <v>206.875</v>
      </c>
      <c r="G21" s="66">
        <f t="shared" ref="G21:G22" si="6">F21-E21</f>
        <v>0.28125</v>
      </c>
      <c r="H21" s="66">
        <v>206.91666666666666</v>
      </c>
      <c r="I21" s="66">
        <v>207.20833333333334</v>
      </c>
      <c r="J21" s="71">
        <f>I21-H21-K21</f>
        <v>0.29166666666668561</v>
      </c>
      <c r="K21" s="66">
        <v>0</v>
      </c>
      <c r="L21" s="73">
        <f>D21+G21+J21</f>
        <v>0.79166666666668561</v>
      </c>
      <c r="M21" s="154" t="s">
        <v>47</v>
      </c>
      <c r="N21" s="65">
        <f>M17+M12+M7</f>
        <v>27</v>
      </c>
      <c r="O21" s="78" t="s">
        <v>68</v>
      </c>
      <c r="P21" s="75">
        <v>218</v>
      </c>
      <c r="Q21" s="65">
        <v>6275.8</v>
      </c>
    </row>
    <row r="22" spans="1:20" ht="27" customHeight="1" x14ac:dyDescent="0.25">
      <c r="A22" s="16" t="s">
        <v>48</v>
      </c>
      <c r="B22" s="66">
        <v>206.28472222222223</v>
      </c>
      <c r="C22" s="66">
        <v>206.54166666666666</v>
      </c>
      <c r="D22" s="66">
        <f t="shared" si="5"/>
        <v>0.25694444444442865</v>
      </c>
      <c r="E22" s="66">
        <v>206.58333333333334</v>
      </c>
      <c r="F22" s="66">
        <v>206.875</v>
      </c>
      <c r="G22" s="66">
        <f t="shared" si="6"/>
        <v>0.29166666666665719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0.84374999999997158</v>
      </c>
      <c r="M22" s="49" t="s">
        <v>49</v>
      </c>
      <c r="N22" s="65">
        <v>30857.75</v>
      </c>
      <c r="O22" s="80" t="s">
        <v>65</v>
      </c>
      <c r="P22" s="75">
        <v>154</v>
      </c>
      <c r="Q22" s="65">
        <v>4000.9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si="5"/>
        <v>0.29166666666665719</v>
      </c>
      <c r="E23" s="66">
        <v>206.58333333333334</v>
      </c>
      <c r="F23" s="66">
        <v>206.875</v>
      </c>
      <c r="G23" s="66">
        <f t="shared" ref="G23" si="7">F23-E23</f>
        <v>0.29166666666665719</v>
      </c>
      <c r="H23" s="66">
        <v>206.91319444444446</v>
      </c>
      <c r="I23" s="66">
        <v>207.20833333333334</v>
      </c>
      <c r="J23" s="71">
        <f>I23-H23-K23</f>
        <v>0.29513888888888573</v>
      </c>
      <c r="K23" s="155"/>
      <c r="L23" s="156">
        <f>D23+G23+J23</f>
        <v>0.87847222222220012</v>
      </c>
      <c r="M23" s="154" t="s">
        <v>63</v>
      </c>
      <c r="N23" s="85">
        <v>9</v>
      </c>
      <c r="O23" s="86" t="s">
        <v>66</v>
      </c>
      <c r="P23" s="76">
        <v>179</v>
      </c>
      <c r="Q23" s="65">
        <v>5655.17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0.76736111111108585</v>
      </c>
      <c r="E24" s="68"/>
      <c r="F24" s="68"/>
      <c r="G24" s="66">
        <f>SUM(G21:G23)</f>
        <v>0.86458333333331439</v>
      </c>
      <c r="H24" s="68"/>
      <c r="I24" s="68"/>
      <c r="J24" s="71">
        <f>SUM(J21:J23)</f>
        <v>0.88194444444445708</v>
      </c>
      <c r="K24" s="75"/>
      <c r="L24" s="83">
        <f>SUM(L21:L23)</f>
        <v>2.5138888888888573</v>
      </c>
      <c r="M24" s="65" t="s">
        <v>77</v>
      </c>
      <c r="N24" s="65">
        <v>33321.1</v>
      </c>
      <c r="O24" s="69" t="s">
        <v>13</v>
      </c>
      <c r="P24" s="79" t="s">
        <v>67</v>
      </c>
      <c r="Q24" s="43">
        <v>51359.19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N24+Sheet21!O25</f>
        <v>768063.61</v>
      </c>
      <c r="P25" s="154" t="s">
        <v>76</v>
      </c>
      <c r="Q25" s="87">
        <v>57808.58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Q24+Sheet21!Q26</f>
        <v>811219.88000000012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60.2</v>
      </c>
      <c r="M27" s="55"/>
      <c r="N27" s="88">
        <f>N22/L27</f>
        <v>512.5872093023255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6"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O2" sqref="O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3.140625" style="1" customWidth="1"/>
    <col min="18" max="19" width="9.140625" style="1"/>
    <col min="20" max="20" width="20.28515625" style="1" customWidth="1"/>
    <col min="21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348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K4" s="22">
        <v>214</v>
      </c>
      <c r="L4" s="22">
        <v>0</v>
      </c>
      <c r="M4" s="93">
        <f>K4+L4</f>
        <v>214</v>
      </c>
      <c r="N4" s="104" t="s">
        <v>164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8</v>
      </c>
      <c r="L5" s="22">
        <v>0</v>
      </c>
      <c r="M5" s="93">
        <f t="shared" ref="M5:M7" si="0">K5+L5</f>
        <v>8</v>
      </c>
      <c r="N5" s="104" t="s">
        <v>56</v>
      </c>
      <c r="O5" s="66"/>
      <c r="P5" s="66"/>
      <c r="Q5" s="66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248</v>
      </c>
      <c r="O6" s="96"/>
      <c r="P6" s="65"/>
      <c r="Q6" s="27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10</v>
      </c>
      <c r="L7" s="22">
        <v>0</v>
      </c>
      <c r="M7" s="93">
        <f t="shared" si="0"/>
        <v>10</v>
      </c>
      <c r="N7" s="104" t="s">
        <v>56</v>
      </c>
      <c r="O7" s="97"/>
      <c r="P7" s="65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8" customHeight="1" x14ac:dyDescent="0.25">
      <c r="A9" s="33"/>
      <c r="B9" s="34" t="s">
        <v>14</v>
      </c>
      <c r="C9" s="22"/>
      <c r="D9" s="22">
        <v>25</v>
      </c>
      <c r="E9" s="22">
        <v>30</v>
      </c>
      <c r="F9" s="22">
        <v>36</v>
      </c>
      <c r="G9" s="22">
        <v>20</v>
      </c>
      <c r="H9" s="22">
        <v>32</v>
      </c>
      <c r="I9" s="22">
        <v>35</v>
      </c>
      <c r="J9" s="22">
        <v>29</v>
      </c>
      <c r="K9" s="22">
        <v>155</v>
      </c>
      <c r="L9" s="22">
        <v>50</v>
      </c>
      <c r="M9" s="93">
        <f t="shared" ref="M9:M12" si="1">K9+L9</f>
        <v>205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1"/>
        <v>0</v>
      </c>
      <c r="N10" s="82" t="s">
        <v>56</v>
      </c>
      <c r="O10" s="275" t="s">
        <v>123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174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4</v>
      </c>
      <c r="E12" s="22">
        <v>3</v>
      </c>
      <c r="F12" s="22">
        <v>7</v>
      </c>
      <c r="G12" s="22"/>
      <c r="H12" s="22">
        <v>1</v>
      </c>
      <c r="I12" s="22"/>
      <c r="J12" s="22">
        <v>1</v>
      </c>
      <c r="K12" s="22">
        <v>16</v>
      </c>
      <c r="L12" s="22">
        <v>0</v>
      </c>
      <c r="M12" s="93">
        <f t="shared" si="1"/>
        <v>16</v>
      </c>
      <c r="N12" s="82" t="s">
        <v>13</v>
      </c>
      <c r="O12" s="82"/>
      <c r="P12" s="82"/>
      <c r="Q12" s="37" t="s">
        <v>13</v>
      </c>
    </row>
    <row r="13" spans="1:17" ht="33.7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159" t="s">
        <v>13</v>
      </c>
    </row>
    <row r="14" spans="1:17" ht="15" x14ac:dyDescent="0.25">
      <c r="A14" s="33"/>
      <c r="B14" s="21" t="s">
        <v>14</v>
      </c>
      <c r="C14" s="22"/>
      <c r="D14" s="22">
        <v>30</v>
      </c>
      <c r="E14" s="22">
        <v>28</v>
      </c>
      <c r="F14" s="22">
        <v>29</v>
      </c>
      <c r="G14" s="22">
        <v>38</v>
      </c>
      <c r="H14" s="22">
        <v>30</v>
      </c>
      <c r="I14" s="22">
        <v>29</v>
      </c>
      <c r="J14" s="22">
        <v>34</v>
      </c>
      <c r="K14" s="22">
        <v>168</v>
      </c>
      <c r="L14" s="22">
        <v>60</v>
      </c>
      <c r="M14" s="93">
        <f t="shared" ref="M14:M17" si="2">K14+L14</f>
        <v>228</v>
      </c>
      <c r="N14" s="103" t="s">
        <v>56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>
        <v>5</v>
      </c>
      <c r="F15" s="22">
        <v>5</v>
      </c>
      <c r="G15" s="22">
        <v>6</v>
      </c>
      <c r="H15" s="22">
        <v>5</v>
      </c>
      <c r="I15" s="22">
        <v>2</v>
      </c>
      <c r="J15" s="22">
        <v>2</v>
      </c>
      <c r="K15" s="22">
        <v>25</v>
      </c>
      <c r="L15" s="22">
        <v>0</v>
      </c>
      <c r="M15" s="93">
        <f t="shared" si="2"/>
        <v>25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5</v>
      </c>
      <c r="F16" s="22">
        <v>5</v>
      </c>
      <c r="G16" s="22">
        <v>6</v>
      </c>
      <c r="H16" s="22">
        <v>5</v>
      </c>
      <c r="I16" s="22">
        <v>2</v>
      </c>
      <c r="J16" s="22">
        <v>2</v>
      </c>
      <c r="K16" s="22">
        <v>25</v>
      </c>
      <c r="L16" s="22">
        <v>0</v>
      </c>
      <c r="M16" s="93">
        <f t="shared" si="2"/>
        <v>25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1</v>
      </c>
      <c r="G17" s="22">
        <v>1</v>
      </c>
      <c r="H17" s="22">
        <v>3</v>
      </c>
      <c r="I17" s="22"/>
      <c r="J17" s="22"/>
      <c r="K17" s="22">
        <v>3</v>
      </c>
      <c r="L17" s="22">
        <v>0</v>
      </c>
      <c r="M17" s="93">
        <f t="shared" si="2"/>
        <v>3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647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33</v>
      </c>
      <c r="O19" s="69"/>
      <c r="P19" s="46" t="s">
        <v>251</v>
      </c>
      <c r="Q19" s="65" t="s">
        <v>349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25</v>
      </c>
      <c r="O20" s="77" t="s">
        <v>64</v>
      </c>
      <c r="P20" s="75">
        <v>100</v>
      </c>
      <c r="Q20" s="65">
        <v>6466.85</v>
      </c>
      <c r="T20" s="1">
        <v>30888.37</v>
      </c>
    </row>
    <row r="21" spans="1:20" ht="25.5" customHeight="1" x14ac:dyDescent="0.25">
      <c r="A21" s="16" t="s">
        <v>46</v>
      </c>
      <c r="B21" s="66">
        <v>206.35763888888889</v>
      </c>
      <c r="C21" s="66">
        <v>206.54166666666666</v>
      </c>
      <c r="D21" s="66">
        <f t="shared" ref="D21:D23" si="3">C21-B21</f>
        <v>0.18402777777777146</v>
      </c>
      <c r="E21" s="66">
        <v>206.64236111111111</v>
      </c>
      <c r="F21" s="66">
        <v>206.875</v>
      </c>
      <c r="G21" s="66">
        <f t="shared" ref="G21" si="4">F21-E21</f>
        <v>0.23263888888888573</v>
      </c>
      <c r="H21" s="66">
        <v>206.91319444444446</v>
      </c>
      <c r="I21" s="66">
        <v>207.20833333333334</v>
      </c>
      <c r="J21" s="71">
        <f>I21-H21-K21</f>
        <v>0.29513888888888573</v>
      </c>
      <c r="K21" s="66"/>
      <c r="L21" s="73">
        <f>D21+G21+J21</f>
        <v>0.71180555555554292</v>
      </c>
      <c r="M21" s="154" t="s">
        <v>47</v>
      </c>
      <c r="N21" s="65">
        <f>M17+M12+M7</f>
        <v>29</v>
      </c>
      <c r="O21" s="78" t="s">
        <v>68</v>
      </c>
      <c r="P21" s="75">
        <v>253</v>
      </c>
      <c r="Q21" s="65">
        <v>7381.25</v>
      </c>
      <c r="T21" s="1">
        <v>568137.54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ref="D22" si="5">C22-B22</f>
        <v>0.29513888888888573</v>
      </c>
      <c r="E22" s="66">
        <v>206.59722222222223</v>
      </c>
      <c r="F22" s="66">
        <v>206.875</v>
      </c>
      <c r="G22" s="66">
        <f t="shared" ref="G22" si="6">F22-E22</f>
        <v>0.27777777777777146</v>
      </c>
      <c r="H22" s="66">
        <v>206.90972222222223</v>
      </c>
      <c r="I22" s="66">
        <v>207.20833333333334</v>
      </c>
      <c r="J22" s="71">
        <f t="shared" ref="J22:J23" si="7">I22-H22-K22</f>
        <v>0.29861111111111427</v>
      </c>
      <c r="K22" s="75"/>
      <c r="L22" s="73">
        <f>D22+G22+J22</f>
        <v>0.87152777777777146</v>
      </c>
      <c r="M22" s="49" t="s">
        <v>49</v>
      </c>
      <c r="N22" s="65">
        <v>35835.65</v>
      </c>
      <c r="O22" s="80" t="s">
        <v>65</v>
      </c>
      <c r="P22" s="75">
        <v>160</v>
      </c>
      <c r="Q22" s="65">
        <v>4086.7</v>
      </c>
      <c r="T22" s="1">
        <f>SUM(T20:T21)</f>
        <v>599025.91</v>
      </c>
    </row>
    <row r="23" spans="1:20" ht="27" customHeight="1" x14ac:dyDescent="0.25">
      <c r="A23" s="157" t="s">
        <v>50</v>
      </c>
      <c r="B23" s="66">
        <v>206.28819444444446</v>
      </c>
      <c r="C23" s="66">
        <v>206.54166666666666</v>
      </c>
      <c r="D23" s="66">
        <f t="shared" si="3"/>
        <v>0.25347222222220012</v>
      </c>
      <c r="E23" s="66">
        <v>206.58333333333334</v>
      </c>
      <c r="F23" s="66">
        <v>206.875</v>
      </c>
      <c r="G23" s="66">
        <f t="shared" ref="G23" si="8">F23-E23</f>
        <v>0.29166666666665719</v>
      </c>
      <c r="H23" s="66">
        <v>206.91666666666666</v>
      </c>
      <c r="I23" s="66">
        <v>207.20833333333334</v>
      </c>
      <c r="J23" s="71">
        <f t="shared" si="7"/>
        <v>0.29166666666668561</v>
      </c>
      <c r="K23" s="155"/>
      <c r="L23" s="156">
        <f>D23+G23+J23</f>
        <v>0.83680555555554292</v>
      </c>
      <c r="M23" s="154" t="s">
        <v>63</v>
      </c>
      <c r="N23" s="85">
        <v>9</v>
      </c>
      <c r="O23" s="86" t="s">
        <v>66</v>
      </c>
      <c r="P23" s="76">
        <v>219</v>
      </c>
      <c r="Q23" s="65">
        <v>6935.83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0.73263888888885731</v>
      </c>
      <c r="E24" s="68"/>
      <c r="F24" s="68"/>
      <c r="G24" s="66">
        <f>SUM(G21:G23)</f>
        <v>0.80208333333331439</v>
      </c>
      <c r="H24" s="68"/>
      <c r="I24" s="68"/>
      <c r="J24" s="71">
        <f>SUM(J21:J23)</f>
        <v>0.88541666666668561</v>
      </c>
      <c r="K24" s="75"/>
      <c r="L24" s="83">
        <f>SUM(L21:L23)</f>
        <v>2.4201388888888573</v>
      </c>
      <c r="M24" s="65" t="s">
        <v>77</v>
      </c>
      <c r="N24" s="65">
        <v>29714.25</v>
      </c>
      <c r="P24" s="79" t="s">
        <v>67</v>
      </c>
      <c r="Q24" s="43">
        <v>49000.35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N24+Sheet22!O25</f>
        <v>797777.86</v>
      </c>
      <c r="P25" s="154" t="s">
        <v>76</v>
      </c>
      <c r="Q25" s="87">
        <v>55467.08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Q24+Sheet22!Q26</f>
        <v>860220.2300000001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58.05</v>
      </c>
      <c r="M27" s="55"/>
      <c r="N27" s="88">
        <f>N22/L27</f>
        <v>617.32385874246347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zoomScaleNormal="100" workbookViewId="0">
      <selection activeCell="K24" sqref="K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3.42578125" style="1" customWidth="1"/>
    <col min="18" max="19" width="9.140625" style="1"/>
    <col min="20" max="20" width="17.28515625" style="1" customWidth="1"/>
    <col min="21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350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29</v>
      </c>
      <c r="E4" s="22">
        <v>31</v>
      </c>
      <c r="F4" s="22">
        <v>29</v>
      </c>
      <c r="G4" s="22">
        <v>26</v>
      </c>
      <c r="H4" s="22">
        <v>29</v>
      </c>
      <c r="I4" s="22">
        <v>28</v>
      </c>
      <c r="J4" s="22">
        <v>28</v>
      </c>
      <c r="K4" s="22">
        <v>155</v>
      </c>
      <c r="L4" s="22">
        <v>45</v>
      </c>
      <c r="M4" s="93">
        <f t="shared" ref="M4" si="0">K4+L4</f>
        <v>200</v>
      </c>
      <c r="N4" s="104"/>
      <c r="O4" s="95" t="s">
        <v>87</v>
      </c>
      <c r="P4" s="186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1">K5+L5</f>
        <v>0</v>
      </c>
      <c r="N5" s="104"/>
      <c r="O5" s="66"/>
      <c r="P5" s="71"/>
      <c r="Q5" s="188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:M7" si="2">K6+L6</f>
        <v>0</v>
      </c>
      <c r="N6" s="104"/>
      <c r="O6" s="96"/>
      <c r="P6" s="44"/>
      <c r="Q6" s="288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>
        <v>3</v>
      </c>
      <c r="I7" s="22">
        <v>9</v>
      </c>
      <c r="J7" s="22">
        <v>4</v>
      </c>
      <c r="K7" s="22">
        <v>16</v>
      </c>
      <c r="L7" s="22">
        <v>0</v>
      </c>
      <c r="M7" s="93">
        <f t="shared" si="2"/>
        <v>16</v>
      </c>
      <c r="N7" s="104"/>
      <c r="O7" s="97"/>
      <c r="P7" s="44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187"/>
      <c r="Q8" s="37"/>
    </row>
    <row r="9" spans="1:17" ht="15" customHeight="1" x14ac:dyDescent="0.25">
      <c r="A9" s="33"/>
      <c r="B9" s="34" t="s">
        <v>14</v>
      </c>
      <c r="C9" s="22"/>
      <c r="D9" s="22">
        <v>26</v>
      </c>
      <c r="E9" s="22">
        <v>24</v>
      </c>
      <c r="F9" s="22">
        <v>20</v>
      </c>
      <c r="G9" s="22">
        <v>20</v>
      </c>
      <c r="H9" s="22">
        <v>20</v>
      </c>
      <c r="I9" s="22">
        <v>19</v>
      </c>
      <c r="J9" s="22">
        <v>23</v>
      </c>
      <c r="K9" s="22">
        <v>127</v>
      </c>
      <c r="L9" s="22">
        <v>25</v>
      </c>
      <c r="M9" s="93">
        <f t="shared" ref="M9:M12" si="3">K9+L9</f>
        <v>152</v>
      </c>
      <c r="N9" s="82"/>
      <c r="O9" s="99"/>
      <c r="P9" s="187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1</v>
      </c>
      <c r="E10" s="22">
        <v>2</v>
      </c>
      <c r="F10" s="22">
        <v>1</v>
      </c>
      <c r="G10" s="22"/>
      <c r="H10" s="22"/>
      <c r="I10" s="22"/>
      <c r="J10" s="22">
        <v>2</v>
      </c>
      <c r="K10" s="22">
        <v>6</v>
      </c>
      <c r="L10" s="22">
        <v>0</v>
      </c>
      <c r="M10" s="93">
        <f t="shared" si="3"/>
        <v>6</v>
      </c>
      <c r="N10" s="82"/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2</v>
      </c>
      <c r="F11" s="22">
        <v>2</v>
      </c>
      <c r="G11" s="22"/>
      <c r="H11" s="22"/>
      <c r="I11" s="22">
        <v>1</v>
      </c>
      <c r="J11" s="22">
        <v>2</v>
      </c>
      <c r="K11" s="22">
        <v>10</v>
      </c>
      <c r="L11" s="22">
        <v>0</v>
      </c>
      <c r="M11" s="93">
        <f t="shared" si="3"/>
        <v>10</v>
      </c>
      <c r="N11" s="82"/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4</v>
      </c>
      <c r="G12" s="22">
        <v>5</v>
      </c>
      <c r="H12" s="22">
        <v>4</v>
      </c>
      <c r="I12" s="22"/>
      <c r="J12" s="22"/>
      <c r="K12" s="22">
        <v>15</v>
      </c>
      <c r="L12" s="22">
        <v>0</v>
      </c>
      <c r="M12" s="93">
        <f t="shared" si="3"/>
        <v>15</v>
      </c>
      <c r="N12" s="82"/>
      <c r="O12" s="82"/>
      <c r="P12" s="82"/>
      <c r="Q12" s="37" t="s">
        <v>13</v>
      </c>
    </row>
    <row r="13" spans="1:17" ht="34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35</v>
      </c>
      <c r="E14" s="22">
        <v>40</v>
      </c>
      <c r="F14" s="22">
        <v>45</v>
      </c>
      <c r="G14" s="22">
        <v>32</v>
      </c>
      <c r="H14" s="22">
        <v>38</v>
      </c>
      <c r="I14" s="22">
        <v>34</v>
      </c>
      <c r="J14" s="22">
        <v>29</v>
      </c>
      <c r="K14" s="22">
        <v>188</v>
      </c>
      <c r="L14" s="22">
        <v>65</v>
      </c>
      <c r="M14" s="93">
        <f t="shared" ref="M14:M17" si="4">K14+L14</f>
        <v>253</v>
      </c>
      <c r="N14" s="103"/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>
        <v>2</v>
      </c>
      <c r="F15" s="22">
        <v>3</v>
      </c>
      <c r="G15" s="22">
        <v>4</v>
      </c>
      <c r="H15" s="22"/>
      <c r="I15" s="22">
        <v>2</v>
      </c>
      <c r="J15" s="22"/>
      <c r="K15" s="22">
        <v>10</v>
      </c>
      <c r="L15" s="22">
        <v>1</v>
      </c>
      <c r="M15" s="93">
        <f t="shared" si="4"/>
        <v>11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4</v>
      </c>
      <c r="F16" s="22">
        <v>5</v>
      </c>
      <c r="G16" s="22"/>
      <c r="H16" s="22">
        <v>5</v>
      </c>
      <c r="I16" s="22"/>
      <c r="J16" s="22">
        <v>3</v>
      </c>
      <c r="K16" s="22">
        <v>20</v>
      </c>
      <c r="L16" s="22">
        <v>0</v>
      </c>
      <c r="M16" s="93">
        <f t="shared" si="4"/>
        <v>20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3">
        <f t="shared" si="4"/>
        <v>0</v>
      </c>
      <c r="N17" s="103"/>
      <c r="O17" s="103"/>
      <c r="P17" s="82"/>
      <c r="Q17" s="36"/>
      <c r="T17" s="1">
        <f>SUM(T15:T16)</f>
        <v>0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605</v>
      </c>
      <c r="O18" s="277" t="s">
        <v>70</v>
      </c>
      <c r="P18" s="278"/>
      <c r="Q18" s="65" t="s">
        <v>13</v>
      </c>
      <c r="T18" s="1">
        <v>599025.81000000006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17</v>
      </c>
      <c r="O19" s="69">
        <v>2106.16</v>
      </c>
      <c r="P19" s="46" t="s">
        <v>170</v>
      </c>
      <c r="Q19" s="65" t="s">
        <v>351</v>
      </c>
      <c r="T19" s="1">
        <v>30888.37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30</v>
      </c>
      <c r="O20" s="77" t="s">
        <v>64</v>
      </c>
      <c r="P20" s="75">
        <v>80</v>
      </c>
      <c r="Q20" s="65">
        <v>5051.88</v>
      </c>
      <c r="T20" s="1">
        <f>SUM(T18:T19)</f>
        <v>629914.18000000005</v>
      </c>
    </row>
    <row r="21" spans="1:20" ht="25.5" customHeight="1" x14ac:dyDescent="0.25">
      <c r="A21" s="16" t="s">
        <v>46</v>
      </c>
      <c r="B21" s="66">
        <v>206.25</v>
      </c>
      <c r="C21" s="66">
        <v>206.4375</v>
      </c>
      <c r="D21" s="66">
        <f t="shared" ref="D21" si="5">C21-B21</f>
        <v>0.1875</v>
      </c>
      <c r="E21" s="66">
        <v>206.6875</v>
      </c>
      <c r="F21" s="66">
        <v>206.875</v>
      </c>
      <c r="G21" s="66">
        <f t="shared" ref="G21" si="6">F21-E21</f>
        <v>0.1875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0.67361111111111427</v>
      </c>
      <c r="M21" s="154" t="s">
        <v>47</v>
      </c>
      <c r="N21" s="65">
        <f>M17+M12+M7</f>
        <v>31</v>
      </c>
      <c r="O21" s="78" t="s">
        <v>68</v>
      </c>
      <c r="P21" s="75">
        <v>214</v>
      </c>
      <c r="Q21" s="65">
        <v>6416.14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ref="D22:D23" si="7">C22-B22</f>
        <v>0.28819444444442865</v>
      </c>
      <c r="E22" s="66">
        <v>206.57986111111111</v>
      </c>
      <c r="F22" s="66">
        <v>206.875</v>
      </c>
      <c r="G22" s="66">
        <f t="shared" ref="G22" si="8">F22-E22</f>
        <v>0.29513888888888573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0.875</v>
      </c>
      <c r="M22" s="49" t="s">
        <v>49</v>
      </c>
      <c r="N22" s="65">
        <v>34356.160000000003</v>
      </c>
      <c r="O22" s="80" t="s">
        <v>65</v>
      </c>
      <c r="P22" s="75">
        <v>176</v>
      </c>
      <c r="Q22" s="65">
        <v>4270.66</v>
      </c>
    </row>
    <row r="23" spans="1:20" ht="27" customHeight="1" x14ac:dyDescent="0.25">
      <c r="A23" s="157" t="s">
        <v>50</v>
      </c>
      <c r="B23" s="66">
        <v>206.29166666666666</v>
      </c>
      <c r="C23" s="66">
        <v>206.52083333333334</v>
      </c>
      <c r="D23" s="66">
        <f t="shared" si="7"/>
        <v>0.22916666666668561</v>
      </c>
      <c r="E23" s="66">
        <v>206.58333333333334</v>
      </c>
      <c r="F23" s="66">
        <v>206.875</v>
      </c>
      <c r="G23" s="66">
        <f t="shared" ref="G23" si="9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0.81250000000002842</v>
      </c>
      <c r="M23" s="154" t="s">
        <v>63</v>
      </c>
      <c r="N23" s="85">
        <v>9</v>
      </c>
      <c r="O23" s="86" t="s">
        <v>66</v>
      </c>
      <c r="P23" s="76">
        <v>215</v>
      </c>
      <c r="Q23" s="65">
        <v>6832.77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0.70486111111111427</v>
      </c>
      <c r="E24" s="68"/>
      <c r="F24" s="68"/>
      <c r="G24" s="66">
        <f>SUM(G21:G23)</f>
        <v>0.77430555555554292</v>
      </c>
      <c r="H24" s="68"/>
      <c r="I24" s="68"/>
      <c r="J24" s="71">
        <f>SUM(J21:J23)</f>
        <v>0.8819444444444855</v>
      </c>
      <c r="K24" s="75"/>
      <c r="L24" s="55">
        <v>56.4</v>
      </c>
      <c r="M24" s="65" t="s">
        <v>77</v>
      </c>
      <c r="N24" s="65">
        <v>33263.18</v>
      </c>
      <c r="P24" s="79" t="s">
        <v>67</v>
      </c>
      <c r="Q24" s="43">
        <v>49820.25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N24+Sheet23!O25</f>
        <v>831041.04</v>
      </c>
      <c r="P25" s="154" t="s">
        <v>76</v>
      </c>
      <c r="Q25" s="163">
        <v>54872.13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51000</v>
      </c>
      <c r="P26" s="51" t="s">
        <v>86</v>
      </c>
      <c r="Q26" s="69">
        <f>Q24+Sheet23!Q26</f>
        <v>910040.4800000001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56.4</v>
      </c>
      <c r="M27" s="55"/>
      <c r="N27" s="88">
        <f>N22/L27</f>
        <v>609.1517730496455</v>
      </c>
      <c r="O27" s="81" t="s">
        <v>73</v>
      </c>
      <c r="P27" s="69"/>
      <c r="Q27" s="65" t="s">
        <v>352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J1" sqref="J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4.28515625" style="1" customWidth="1"/>
    <col min="16" max="16" width="13.42578125" style="1" customWidth="1"/>
    <col min="17" max="17" width="23.140625" style="1" customWidth="1"/>
    <col min="18" max="19" width="9.140625" style="1"/>
    <col min="20" max="20" width="14.42578125" style="1" customWidth="1"/>
    <col min="21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353</v>
      </c>
    </row>
    <row r="3" spans="1:18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8" ht="15" customHeight="1" x14ac:dyDescent="0.25">
      <c r="A4" s="20"/>
      <c r="B4" s="21" t="s">
        <v>14</v>
      </c>
      <c r="C4" s="22"/>
      <c r="D4" s="22">
        <v>30</v>
      </c>
      <c r="E4" s="22">
        <v>45</v>
      </c>
      <c r="F4" s="22">
        <v>40</v>
      </c>
      <c r="G4" s="22">
        <v>12</v>
      </c>
      <c r="H4" s="22">
        <v>15</v>
      </c>
      <c r="I4" s="22">
        <v>18</v>
      </c>
      <c r="J4" s="22">
        <v>18</v>
      </c>
      <c r="K4" s="22">
        <v>155</v>
      </c>
      <c r="L4" s="22">
        <v>53</v>
      </c>
      <c r="M4" s="93">
        <f t="shared" ref="M4" si="0">K4+L4</f>
        <v>208</v>
      </c>
      <c r="N4" s="82"/>
      <c r="O4" s="95" t="s">
        <v>87</v>
      </c>
      <c r="P4" s="105" t="s">
        <v>88</v>
      </c>
      <c r="Q4" s="43" t="s">
        <v>13</v>
      </c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1">K5+L5</f>
        <v>0</v>
      </c>
      <c r="N5" s="82"/>
      <c r="O5" s="66"/>
      <c r="P5" s="66"/>
      <c r="Q5" s="66"/>
    </row>
    <row r="6" spans="1:18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3</v>
      </c>
      <c r="F6" s="22">
        <v>2</v>
      </c>
      <c r="G6" s="22">
        <v>2</v>
      </c>
      <c r="H6" s="22"/>
      <c r="I6" s="22"/>
      <c r="J6" s="22"/>
      <c r="K6" s="22">
        <v>10</v>
      </c>
      <c r="L6" s="22">
        <v>0</v>
      </c>
      <c r="M6" s="93">
        <f t="shared" ref="M6:M7" si="2">K6+L6</f>
        <v>10</v>
      </c>
      <c r="N6" s="82"/>
      <c r="O6" s="96"/>
      <c r="P6" s="65"/>
      <c r="Q6" s="281"/>
    </row>
    <row r="7" spans="1:18" ht="15" customHeight="1" x14ac:dyDescent="0.25">
      <c r="A7" s="25"/>
      <c r="B7" s="21" t="s">
        <v>19</v>
      </c>
      <c r="C7" s="22"/>
      <c r="D7" s="22">
        <v>8</v>
      </c>
      <c r="E7" s="22">
        <v>7</v>
      </c>
      <c r="F7" s="22">
        <v>7</v>
      </c>
      <c r="G7" s="22">
        <v>2</v>
      </c>
      <c r="H7" s="22"/>
      <c r="I7" s="22">
        <v>2</v>
      </c>
      <c r="J7" s="22"/>
      <c r="K7" s="22">
        <v>26</v>
      </c>
      <c r="L7" s="22">
        <v>0</v>
      </c>
      <c r="M7" s="93">
        <f t="shared" si="2"/>
        <v>26</v>
      </c>
      <c r="N7" s="82"/>
      <c r="O7" s="97"/>
      <c r="P7" s="65"/>
      <c r="Q7" s="282"/>
    </row>
    <row r="8" spans="1:18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8" ht="17.2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25</v>
      </c>
      <c r="G9" s="22">
        <v>25</v>
      </c>
      <c r="H9" s="22">
        <v>35</v>
      </c>
      <c r="I9" s="22">
        <v>30</v>
      </c>
      <c r="J9" s="22">
        <v>38</v>
      </c>
      <c r="K9" s="22">
        <v>145</v>
      </c>
      <c r="L9" s="22">
        <v>43</v>
      </c>
      <c r="M9" s="93">
        <f t="shared" ref="M9:M12" si="3">K9+L9</f>
        <v>188</v>
      </c>
      <c r="N9" s="82"/>
      <c r="O9" s="99"/>
      <c r="P9" s="82"/>
      <c r="Q9" s="36"/>
    </row>
    <row r="10" spans="1:18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2</v>
      </c>
      <c r="F10" s="22">
        <v>3</v>
      </c>
      <c r="G10" s="22"/>
      <c r="H10" s="22"/>
      <c r="I10" s="22">
        <v>4</v>
      </c>
      <c r="J10" s="22">
        <v>4</v>
      </c>
      <c r="K10" s="22">
        <v>16</v>
      </c>
      <c r="L10" s="22">
        <v>0</v>
      </c>
      <c r="M10" s="93">
        <f t="shared" si="3"/>
        <v>16</v>
      </c>
      <c r="N10" s="82"/>
      <c r="O10" s="275" t="s">
        <v>126</v>
      </c>
      <c r="P10" s="276"/>
      <c r="Q10" s="43" t="s">
        <v>72</v>
      </c>
    </row>
    <row r="11" spans="1:18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2</v>
      </c>
      <c r="F11" s="22">
        <v>1</v>
      </c>
      <c r="G11" s="22"/>
      <c r="H11" s="22"/>
      <c r="I11" s="22"/>
      <c r="J11" s="22"/>
      <c r="K11" s="22">
        <v>5</v>
      </c>
      <c r="L11" s="22">
        <v>0</v>
      </c>
      <c r="M11" s="93">
        <f t="shared" si="3"/>
        <v>5</v>
      </c>
      <c r="N11" s="82"/>
      <c r="O11" s="66" t="s">
        <v>13</v>
      </c>
      <c r="P11" s="66" t="s">
        <v>13</v>
      </c>
      <c r="Q11" s="33" t="s">
        <v>13</v>
      </c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3"/>
        <v>0</v>
      </c>
      <c r="N12" s="82" t="s">
        <v>13</v>
      </c>
      <c r="O12" s="82"/>
      <c r="P12" s="82"/>
      <c r="Q12" s="37" t="s">
        <v>13</v>
      </c>
    </row>
    <row r="13" spans="1:18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89" t="s">
        <v>13</v>
      </c>
      <c r="P13" s="103"/>
      <c r="Q13" s="159"/>
    </row>
    <row r="14" spans="1:18" x14ac:dyDescent="0.25">
      <c r="A14" s="33"/>
      <c r="B14" s="21" t="s">
        <v>14</v>
      </c>
      <c r="C14" s="22">
        <v>5</v>
      </c>
      <c r="D14" s="22">
        <v>33</v>
      </c>
      <c r="E14" s="22">
        <v>42</v>
      </c>
      <c r="F14" s="22">
        <v>46</v>
      </c>
      <c r="G14" s="22">
        <v>30</v>
      </c>
      <c r="H14" s="22">
        <v>45</v>
      </c>
      <c r="I14" s="22">
        <v>40</v>
      </c>
      <c r="J14" s="22">
        <v>32</v>
      </c>
      <c r="K14" s="22">
        <v>215</v>
      </c>
      <c r="L14" s="22">
        <v>0</v>
      </c>
      <c r="M14" s="93">
        <f t="shared" ref="M14:M17" si="4">K14+L14</f>
        <v>215</v>
      </c>
      <c r="N14" s="103"/>
      <c r="O14" s="66" t="s">
        <v>13</v>
      </c>
      <c r="P14" s="66"/>
      <c r="Q14" s="37"/>
    </row>
    <row r="15" spans="1:18" ht="16.5" customHeight="1" x14ac:dyDescent="0.25">
      <c r="A15" s="106" t="s">
        <v>36</v>
      </c>
      <c r="B15" s="21" t="s">
        <v>16</v>
      </c>
      <c r="C15" s="22"/>
      <c r="D15" s="22">
        <v>2</v>
      </c>
      <c r="E15" s="22">
        <v>2</v>
      </c>
      <c r="F15" s="22">
        <v>1</v>
      </c>
      <c r="G15" s="22"/>
      <c r="H15" s="22">
        <v>2</v>
      </c>
      <c r="I15" s="22">
        <v>1</v>
      </c>
      <c r="J15" s="22" t="s">
        <v>13</v>
      </c>
      <c r="K15" s="22">
        <v>8</v>
      </c>
      <c r="L15" s="22">
        <v>0</v>
      </c>
      <c r="M15" s="93">
        <f t="shared" si="4"/>
        <v>8</v>
      </c>
      <c r="N15" s="103"/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/>
      <c r="G17" s="22">
        <v>3</v>
      </c>
      <c r="H17" s="22">
        <v>3</v>
      </c>
      <c r="I17" s="22"/>
      <c r="J17" s="22"/>
      <c r="K17" s="22">
        <v>8</v>
      </c>
      <c r="L17" s="22">
        <v>0</v>
      </c>
      <c r="M17" s="93">
        <f t="shared" si="4"/>
        <v>8</v>
      </c>
      <c r="N17" s="103"/>
      <c r="O17" s="189" t="s">
        <v>171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611</v>
      </c>
      <c r="O18" s="277" t="s">
        <v>70</v>
      </c>
      <c r="P18" s="278"/>
      <c r="Q18" s="65" t="s">
        <v>13</v>
      </c>
      <c r="T18" s="1">
        <v>631021.06000000006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24</v>
      </c>
      <c r="O19" s="69">
        <v>1104</v>
      </c>
      <c r="P19" s="46" t="s">
        <v>354</v>
      </c>
      <c r="Q19" s="65" t="s">
        <v>355</v>
      </c>
      <c r="T19" s="1">
        <v>27942.55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15</v>
      </c>
      <c r="O20" s="77" t="s">
        <v>64</v>
      </c>
      <c r="P20" s="75">
        <v>100</v>
      </c>
      <c r="Q20" s="65">
        <v>6446.83</v>
      </c>
      <c r="T20" s="1">
        <f>SUM(T18:T19)</f>
        <v>658963.6100000001</v>
      </c>
    </row>
    <row r="21" spans="1:20" ht="25.5" customHeight="1" x14ac:dyDescent="0.25">
      <c r="A21" s="16" t="s">
        <v>46</v>
      </c>
      <c r="B21" s="66">
        <v>206.30902777777777</v>
      </c>
      <c r="C21" s="66">
        <v>206.54166666666666</v>
      </c>
      <c r="D21" s="66">
        <f t="shared" ref="D21" si="5">C21-B21</f>
        <v>0.23263888888888573</v>
      </c>
      <c r="E21" s="66">
        <v>206.58680555555554</v>
      </c>
      <c r="F21" s="66">
        <v>206.875</v>
      </c>
      <c r="G21" s="66">
        <f>F21-E21</f>
        <v>0.28819444444445708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0.81944444444445708</v>
      </c>
      <c r="M21" s="154" t="s">
        <v>47</v>
      </c>
      <c r="N21" s="65">
        <f>M17+M12+M7</f>
        <v>34</v>
      </c>
      <c r="O21" s="78" t="s">
        <v>68</v>
      </c>
      <c r="P21" s="75">
        <v>222</v>
      </c>
      <c r="Q21" s="65">
        <v>6517.48</v>
      </c>
    </row>
    <row r="22" spans="1:20" ht="27" customHeight="1" x14ac:dyDescent="0.25">
      <c r="A22" s="16" t="s">
        <v>48</v>
      </c>
      <c r="B22" s="66">
        <v>206.26041666666666</v>
      </c>
      <c r="C22" s="66">
        <v>206.54166666666666</v>
      </c>
      <c r="D22" s="66">
        <f t="shared" ref="D22" si="6">C22-B22</f>
        <v>0.28125</v>
      </c>
      <c r="E22" s="66">
        <v>206.58333333333334</v>
      </c>
      <c r="F22" s="66">
        <v>206.875</v>
      </c>
      <c r="G22" s="66">
        <f t="shared" ref="G22" si="7"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0.86458333333334281</v>
      </c>
      <c r="M22" s="49" t="s">
        <v>49</v>
      </c>
      <c r="N22" s="65">
        <v>35504.67</v>
      </c>
      <c r="O22" s="80" t="s">
        <v>65</v>
      </c>
      <c r="P22" s="75">
        <v>191</v>
      </c>
      <c r="Q22" s="65">
        <v>4764.83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8">C23-B23</f>
        <v>0.25</v>
      </c>
      <c r="E23" s="66">
        <v>206.57638888888889</v>
      </c>
      <c r="F23" s="66">
        <v>206.875</v>
      </c>
      <c r="G23" s="66">
        <f t="shared" ref="G23" si="9">F23-E23</f>
        <v>0.29861111111111427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0.84027777777779988</v>
      </c>
      <c r="M23" s="154" t="s">
        <v>63</v>
      </c>
      <c r="N23" s="85">
        <v>9</v>
      </c>
      <c r="O23" s="86" t="s">
        <v>66</v>
      </c>
      <c r="P23" s="76">
        <v>191</v>
      </c>
      <c r="Q23" s="65">
        <v>6088.46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0.76388888888888573</v>
      </c>
      <c r="E24" s="68"/>
      <c r="F24" s="68"/>
      <c r="G24" s="66">
        <f>SUM(G21:G23)</f>
        <v>0.87847222222222854</v>
      </c>
      <c r="H24" s="68"/>
      <c r="I24" s="68"/>
      <c r="J24" s="71">
        <f>SUM(J21:J23)</f>
        <v>0.8819444444444855</v>
      </c>
      <c r="K24" s="75"/>
      <c r="L24" s="55">
        <v>60.35</v>
      </c>
      <c r="M24" s="65" t="s">
        <v>77</v>
      </c>
      <c r="N24" s="65">
        <v>33632.089999999997</v>
      </c>
      <c r="P24" s="79" t="s">
        <v>67</v>
      </c>
      <c r="Q24" s="43">
        <v>52162.15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N24+Sheet24!O25</f>
        <v>864673.13</v>
      </c>
      <c r="P25" s="154" t="s">
        <v>76</v>
      </c>
      <c r="Q25" s="87">
        <v>58609.78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51000</v>
      </c>
      <c r="P26" s="51" t="s">
        <v>86</v>
      </c>
      <c r="Q26" s="69">
        <f>Q24+Sheet24!Q26</f>
        <v>962202.63000000012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60.35</v>
      </c>
      <c r="M27" s="55"/>
      <c r="N27" s="88">
        <f>N22/L27</f>
        <v>588.31267605633798</v>
      </c>
      <c r="O27" s="81" t="s">
        <v>73</v>
      </c>
      <c r="P27" s="69"/>
      <c r="Q27" s="65" t="s">
        <v>356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J2" sqref="J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120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357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32</v>
      </c>
      <c r="E4" s="22">
        <v>33</v>
      </c>
      <c r="F4" s="22">
        <v>32</v>
      </c>
      <c r="G4" s="22">
        <v>28</v>
      </c>
      <c r="H4" s="22">
        <v>35</v>
      </c>
      <c r="I4" s="22">
        <v>30</v>
      </c>
      <c r="J4" s="22">
        <v>41</v>
      </c>
      <c r="K4" s="22">
        <v>185</v>
      </c>
      <c r="L4" s="22">
        <v>46</v>
      </c>
      <c r="M4" s="93">
        <f t="shared" ref="M4:M5" si="0">K4+L4</f>
        <v>231</v>
      </c>
      <c r="N4" s="104" t="s">
        <v>248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10</v>
      </c>
      <c r="L5" s="22">
        <v>0</v>
      </c>
      <c r="M5" s="93">
        <f t="shared" si="0"/>
        <v>10</v>
      </c>
      <c r="N5" s="104" t="s">
        <v>56</v>
      </c>
      <c r="O5" s="66"/>
      <c r="P5" s="66"/>
      <c r="Q5" s="66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" si="1">K6+L6</f>
        <v>0</v>
      </c>
      <c r="N6" s="104" t="s">
        <v>56</v>
      </c>
      <c r="O6" s="96"/>
      <c r="P6" s="65"/>
      <c r="Q6" s="281"/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10</v>
      </c>
      <c r="F7" s="22">
        <v>6</v>
      </c>
      <c r="G7" s="22"/>
      <c r="H7" s="22"/>
      <c r="I7" s="22">
        <v>2</v>
      </c>
      <c r="J7" s="22"/>
      <c r="K7" s="22">
        <v>26</v>
      </c>
      <c r="L7" s="22">
        <v>0</v>
      </c>
      <c r="M7" s="93">
        <f t="shared" ref="M7" si="2">K7+L7</f>
        <v>26</v>
      </c>
      <c r="N7" s="104" t="s">
        <v>164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191</v>
      </c>
      <c r="L9" s="22">
        <v>0</v>
      </c>
      <c r="M9" s="93">
        <f t="shared" ref="M9:M12" si="3">K9+L9</f>
        <v>191</v>
      </c>
      <c r="N9" s="82" t="s">
        <v>361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</v>
      </c>
      <c r="L10" s="22">
        <v>0</v>
      </c>
      <c r="M10" s="93">
        <f t="shared" si="3"/>
        <v>2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11</v>
      </c>
      <c r="L12" s="22">
        <v>0</v>
      </c>
      <c r="M12" s="93">
        <f t="shared" si="3"/>
        <v>11</v>
      </c>
      <c r="N12" s="82"/>
      <c r="O12" s="82"/>
      <c r="P12" s="82"/>
      <c r="Q12" s="37" t="s">
        <v>13</v>
      </c>
    </row>
    <row r="13" spans="1:17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89" t="s">
        <v>13</v>
      </c>
      <c r="P13" s="103"/>
      <c r="Q13" s="159"/>
    </row>
    <row r="14" spans="1:17" x14ac:dyDescent="0.25">
      <c r="A14" s="33"/>
      <c r="B14" s="21" t="s">
        <v>14</v>
      </c>
      <c r="C14" s="22"/>
      <c r="D14" s="22">
        <v>30</v>
      </c>
      <c r="E14" s="22">
        <v>45</v>
      </c>
      <c r="F14" s="22">
        <v>48</v>
      </c>
      <c r="G14" s="22">
        <v>25</v>
      </c>
      <c r="H14" s="22">
        <v>42</v>
      </c>
      <c r="I14" s="22">
        <v>40</v>
      </c>
      <c r="J14" s="22">
        <v>32</v>
      </c>
      <c r="K14" s="22">
        <v>180</v>
      </c>
      <c r="L14" s="22">
        <v>92</v>
      </c>
      <c r="M14" s="93">
        <f t="shared" ref="M14:M17" si="4">K14+L14</f>
        <v>272</v>
      </c>
      <c r="N14" s="103" t="s">
        <v>56</v>
      </c>
      <c r="O14" s="66"/>
      <c r="P14" s="66"/>
      <c r="Q14" s="37" t="s">
        <v>13</v>
      </c>
    </row>
    <row r="15" spans="1:17" ht="19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>
        <v>2</v>
      </c>
      <c r="I17" s="22">
        <v>2</v>
      </c>
      <c r="J17" s="22"/>
      <c r="K17" s="22">
        <v>4</v>
      </c>
      <c r="L17" s="22">
        <v>0</v>
      </c>
      <c r="M17" s="93">
        <f t="shared" si="4"/>
        <v>4</v>
      </c>
      <c r="N17" s="103"/>
      <c r="O17" s="189" t="s">
        <v>171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694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12</v>
      </c>
      <c r="O19" s="69">
        <v>717.14</v>
      </c>
      <c r="P19" s="46" t="s">
        <v>358</v>
      </c>
      <c r="Q19" s="65" t="s">
        <v>359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100</v>
      </c>
      <c r="Q20" s="65">
        <v>6337.14</v>
      </c>
    </row>
    <row r="21" spans="1:20" ht="25.5" customHeight="1" x14ac:dyDescent="0.25">
      <c r="A21" s="16" t="s">
        <v>46</v>
      </c>
      <c r="B21" s="66">
        <v>206.30208333333334</v>
      </c>
      <c r="C21" s="66">
        <v>206.54166666666666</v>
      </c>
      <c r="D21" s="66">
        <f t="shared" ref="D21:D22" si="5">C21-B21</f>
        <v>0.23958333333331439</v>
      </c>
      <c r="E21" s="66">
        <v>206.62152777777777</v>
      </c>
      <c r="F21" s="66">
        <v>206.875</v>
      </c>
      <c r="G21" s="66">
        <f>F21-E21</f>
        <v>0.25347222222222854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0.79166666666665719</v>
      </c>
      <c r="M21" s="154" t="s">
        <v>47</v>
      </c>
      <c r="N21" s="65">
        <f>M17+M12+M7</f>
        <v>41</v>
      </c>
      <c r="O21" s="78" t="s">
        <v>68</v>
      </c>
      <c r="P21" s="75">
        <v>243</v>
      </c>
      <c r="Q21" s="65">
        <v>6863.36</v>
      </c>
    </row>
    <row r="22" spans="1:20" ht="27" customHeight="1" x14ac:dyDescent="0.25">
      <c r="A22" s="16" t="s">
        <v>48</v>
      </c>
      <c r="B22" s="66">
        <v>206.36458333333334</v>
      </c>
      <c r="C22" s="66">
        <v>206.54166666666666</v>
      </c>
      <c r="D22" s="66">
        <f t="shared" si="5"/>
        <v>0.17708333333331439</v>
      </c>
      <c r="E22" s="66">
        <v>206.625</v>
      </c>
      <c r="F22" s="66">
        <v>206.875</v>
      </c>
      <c r="G22" s="66">
        <f t="shared" ref="G22" si="6">F22-E22</f>
        <v>0.25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0.72222222222220012</v>
      </c>
      <c r="M22" s="49" t="s">
        <v>49</v>
      </c>
      <c r="N22" s="65">
        <v>35617.4</v>
      </c>
      <c r="O22" s="80" t="s">
        <v>65</v>
      </c>
      <c r="P22" s="75">
        <v>173</v>
      </c>
      <c r="Q22" s="65">
        <v>4324</v>
      </c>
    </row>
    <row r="23" spans="1:20" ht="27" customHeight="1" x14ac:dyDescent="0.25">
      <c r="A23" s="157" t="s">
        <v>50</v>
      </c>
      <c r="B23" s="66">
        <v>206.30208333333334</v>
      </c>
      <c r="C23" s="66">
        <v>206.54166666666666</v>
      </c>
      <c r="D23" s="66">
        <f t="shared" ref="D23" si="7">C23-B23</f>
        <v>0.23958333333331439</v>
      </c>
      <c r="E23" s="66">
        <v>206.57986111111111</v>
      </c>
      <c r="F23" s="66">
        <v>206.875</v>
      </c>
      <c r="G23" s="66">
        <f>F23-E23</f>
        <v>0.29513888888888573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0.82638888888888573</v>
      </c>
      <c r="M23" s="154" t="s">
        <v>63</v>
      </c>
      <c r="N23" s="85">
        <v>9</v>
      </c>
      <c r="O23" s="86" t="s">
        <v>66</v>
      </c>
      <c r="P23" s="76">
        <v>182</v>
      </c>
      <c r="Q23" s="65">
        <v>5846.57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0.65624999999994316</v>
      </c>
      <c r="E24" s="68"/>
      <c r="F24" s="68"/>
      <c r="G24" s="66">
        <f>SUM(G21:G23)</f>
        <v>0.79861111111111427</v>
      </c>
      <c r="H24" s="68"/>
      <c r="I24" s="68"/>
      <c r="J24" s="71">
        <f>SUM(J21:J23)</f>
        <v>0.88541666666668561</v>
      </c>
      <c r="K24" s="75"/>
      <c r="L24" s="83">
        <f>SUM(L21:L23)</f>
        <v>2.340277777777743</v>
      </c>
      <c r="M24" s="65" t="s">
        <v>77</v>
      </c>
      <c r="N24" s="65">
        <v>33944.699999999997</v>
      </c>
      <c r="P24" s="79" t="s">
        <v>67</v>
      </c>
      <c r="Q24" s="43">
        <v>52024.25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N24+Sheet25!O25</f>
        <v>898617.83</v>
      </c>
      <c r="P25" s="154" t="s">
        <v>76</v>
      </c>
      <c r="Q25" s="43">
        <v>58361.39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53000</v>
      </c>
      <c r="P26" s="51" t="s">
        <v>86</v>
      </c>
      <c r="Q26" s="69">
        <f>Q24+Sheet25!Q26</f>
        <v>1014226.8800000001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</v>
      </c>
      <c r="M27" s="55"/>
      <c r="N27" s="88">
        <f>N22/L27</f>
        <v>634.89126559714794</v>
      </c>
      <c r="O27" s="81" t="s">
        <v>73</v>
      </c>
      <c r="P27" s="69"/>
      <c r="Q27" s="65" t="s">
        <v>360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N24" sqref="N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367</v>
      </c>
    </row>
    <row r="3" spans="1:17" ht="31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40</v>
      </c>
      <c r="E4" s="22">
        <v>46</v>
      </c>
      <c r="F4" s="22">
        <v>46</v>
      </c>
      <c r="G4" s="22">
        <v>12</v>
      </c>
      <c r="H4" s="22">
        <v>20</v>
      </c>
      <c r="I4" s="22">
        <v>15</v>
      </c>
      <c r="J4" s="22">
        <v>21</v>
      </c>
      <c r="K4" s="22">
        <v>135</v>
      </c>
      <c r="L4" s="22">
        <v>65</v>
      </c>
      <c r="M4" s="93">
        <f t="shared" ref="M4:M5" si="0">K4+L4</f>
        <v>200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04" t="s">
        <v>248</v>
      </c>
      <c r="O5" s="66" t="s">
        <v>13</v>
      </c>
      <c r="P5" s="66" t="s">
        <v>13</v>
      </c>
      <c r="Q5" s="33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>
        <v>3</v>
      </c>
      <c r="I6" s="22"/>
      <c r="J6" s="22">
        <v>2</v>
      </c>
      <c r="K6" s="22">
        <v>5</v>
      </c>
      <c r="L6" s="22">
        <v>0</v>
      </c>
      <c r="M6" s="93">
        <f t="shared" ref="M6" si="1">K6+L6</f>
        <v>5</v>
      </c>
      <c r="N6" s="104" t="s">
        <v>56</v>
      </c>
      <c r="O6" s="96"/>
      <c r="P6" s="65"/>
      <c r="Q6" s="281" t="s">
        <v>13</v>
      </c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3</v>
      </c>
      <c r="G7" s="22">
        <v>4</v>
      </c>
      <c r="H7" s="22">
        <v>5</v>
      </c>
      <c r="I7" s="22">
        <v>4</v>
      </c>
      <c r="J7" s="22"/>
      <c r="K7" s="22">
        <v>25</v>
      </c>
      <c r="L7" s="22">
        <v>5</v>
      </c>
      <c r="M7" s="93">
        <f t="shared" ref="M7" si="2">K7+L7</f>
        <v>30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 t="s">
        <v>13</v>
      </c>
    </row>
    <row r="9" spans="1:17" ht="15" customHeight="1" x14ac:dyDescent="0.25">
      <c r="A9" s="33"/>
      <c r="B9" s="34" t="s">
        <v>14</v>
      </c>
      <c r="C9" s="22"/>
      <c r="D9" s="22">
        <v>32</v>
      </c>
      <c r="E9" s="22">
        <v>38</v>
      </c>
      <c r="F9" s="22">
        <v>35</v>
      </c>
      <c r="G9" s="22">
        <v>25</v>
      </c>
      <c r="H9" s="22">
        <v>34</v>
      </c>
      <c r="I9" s="22">
        <v>36</v>
      </c>
      <c r="J9" s="22">
        <v>22</v>
      </c>
      <c r="K9" s="22">
        <v>170</v>
      </c>
      <c r="L9" s="22">
        <v>0</v>
      </c>
      <c r="M9" s="93">
        <f t="shared" ref="M9:M12" si="3">K9+L9</f>
        <v>170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5</v>
      </c>
      <c r="L10" s="22">
        <v>0</v>
      </c>
      <c r="M10" s="93">
        <f t="shared" si="3"/>
        <v>5</v>
      </c>
      <c r="N10" s="82" t="s">
        <v>56</v>
      </c>
      <c r="O10" s="275" t="s">
        <v>122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56</v>
      </c>
      <c r="O11" s="82" t="s">
        <v>362</v>
      </c>
      <c r="P11" s="82" t="s">
        <v>363</v>
      </c>
      <c r="Q11" s="33" t="s">
        <v>364</v>
      </c>
    </row>
    <row r="12" spans="1:17" ht="13.5" customHeight="1" x14ac:dyDescent="0.25">
      <c r="A12" s="36"/>
      <c r="B12" s="34" t="s">
        <v>19</v>
      </c>
      <c r="C12" s="22"/>
      <c r="D12" s="22">
        <v>8</v>
      </c>
      <c r="E12" s="22">
        <v>7</v>
      </c>
      <c r="F12" s="22"/>
      <c r="G12" s="22"/>
      <c r="H12" s="22"/>
      <c r="I12" s="22"/>
      <c r="J12" s="22"/>
      <c r="K12" s="22">
        <v>12</v>
      </c>
      <c r="L12" s="22">
        <v>3</v>
      </c>
      <c r="M12" s="93">
        <f t="shared" si="3"/>
        <v>15</v>
      </c>
      <c r="N12" s="82"/>
      <c r="O12" s="82"/>
      <c r="P12" s="82"/>
      <c r="Q12" s="37" t="s">
        <v>48</v>
      </c>
    </row>
    <row r="13" spans="1:17" ht="34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35</v>
      </c>
      <c r="G14" s="22">
        <v>25</v>
      </c>
      <c r="H14" s="22">
        <v>26</v>
      </c>
      <c r="I14" s="22">
        <v>28</v>
      </c>
      <c r="J14" s="22">
        <v>22</v>
      </c>
      <c r="K14" s="22">
        <v>161</v>
      </c>
      <c r="L14" s="22">
        <v>35</v>
      </c>
      <c r="M14" s="93">
        <f t="shared" ref="M14:M17" si="4">K14+L14</f>
        <v>196</v>
      </c>
      <c r="N14" s="103" t="s">
        <v>56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6</v>
      </c>
      <c r="F17" s="22">
        <v>5</v>
      </c>
      <c r="G17" s="22">
        <v>5</v>
      </c>
      <c r="H17" s="22">
        <v>2</v>
      </c>
      <c r="I17" s="22">
        <v>4</v>
      </c>
      <c r="J17" s="22">
        <v>2</v>
      </c>
      <c r="K17" s="22">
        <v>18</v>
      </c>
      <c r="L17" s="22">
        <v>6</v>
      </c>
      <c r="M17" s="93">
        <f t="shared" si="4"/>
        <v>24</v>
      </c>
      <c r="N17" s="103"/>
      <c r="O17" s="260" t="s">
        <v>134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566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5</v>
      </c>
      <c r="O19" s="69">
        <v>118.81</v>
      </c>
      <c r="P19" s="46" t="s">
        <v>251</v>
      </c>
      <c r="Q19" s="65" t="s">
        <v>365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5</v>
      </c>
      <c r="O20" s="77" t="s">
        <v>64</v>
      </c>
      <c r="P20" s="75">
        <v>100</v>
      </c>
      <c r="Q20" s="65">
        <v>6352.1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" si="5">C21-B21</f>
        <v>0.25</v>
      </c>
      <c r="E21" s="66">
        <v>206.57291666666666</v>
      </c>
      <c r="F21" s="66">
        <v>206.875</v>
      </c>
      <c r="G21" s="66">
        <f>F21-E21</f>
        <v>0.30208333333334281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0.85069444444445708</v>
      </c>
      <c r="M21" s="154" t="s">
        <v>47</v>
      </c>
      <c r="N21" s="65">
        <f>M17+M12+M7</f>
        <v>69</v>
      </c>
      <c r="O21" s="78" t="s">
        <v>68</v>
      </c>
      <c r="P21" s="75">
        <v>237</v>
      </c>
      <c r="Q21" s="65">
        <v>6733.96</v>
      </c>
    </row>
    <row r="22" spans="1:20" ht="27" customHeight="1" x14ac:dyDescent="0.25">
      <c r="A22" s="16" t="s">
        <v>48</v>
      </c>
      <c r="B22" s="66">
        <v>206.25347222222223</v>
      </c>
      <c r="C22" s="66">
        <v>206.36458333333334</v>
      </c>
      <c r="D22" s="66">
        <f t="shared" ref="D22" si="6">C22-B22</f>
        <v>0.11111111111111427</v>
      </c>
      <c r="E22" s="66">
        <v>206.58333333333334</v>
      </c>
      <c r="F22" s="66">
        <v>206.875</v>
      </c>
      <c r="G22" s="66">
        <f>F22-E22</f>
        <v>0.29166666666665719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0.69791666666665719</v>
      </c>
      <c r="M22" s="49" t="s">
        <v>49</v>
      </c>
      <c r="N22" s="65">
        <v>31568.81</v>
      </c>
      <c r="O22" s="80" t="s">
        <v>65</v>
      </c>
      <c r="P22" s="75">
        <v>192</v>
      </c>
      <c r="Q22" s="65">
        <v>4846.3900000000003</v>
      </c>
    </row>
    <row r="23" spans="1:20" ht="27" customHeight="1" x14ac:dyDescent="0.25">
      <c r="A23" s="157" t="s">
        <v>50</v>
      </c>
      <c r="B23" s="66">
        <v>206.25</v>
      </c>
      <c r="C23" s="66">
        <v>206.54166666666666</v>
      </c>
      <c r="D23" s="66">
        <f t="shared" ref="D23" si="7">C23-B23</f>
        <v>0.29166666666665719</v>
      </c>
      <c r="E23" s="66">
        <v>206.60416666666666</v>
      </c>
      <c r="F23" s="66">
        <v>206.875</v>
      </c>
      <c r="G23" s="66">
        <f t="shared" ref="G23" si="8">F23-E23</f>
        <v>0.27083333333334281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0.85416666666668561</v>
      </c>
      <c r="M23" s="154" t="s">
        <v>63</v>
      </c>
      <c r="N23" s="85">
        <v>9</v>
      </c>
      <c r="O23" s="86" t="s">
        <v>66</v>
      </c>
      <c r="P23" s="76">
        <v>164</v>
      </c>
      <c r="Q23" s="65">
        <v>5241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0.65277777777777146</v>
      </c>
      <c r="E24" s="68"/>
      <c r="F24" s="68"/>
      <c r="G24" s="66">
        <f>SUM(G21:G23)</f>
        <v>0.86458333333334281</v>
      </c>
      <c r="H24" s="68"/>
      <c r="I24" s="68"/>
      <c r="J24" s="71">
        <f>SUM(J21:J23)</f>
        <v>0.88541666666668561</v>
      </c>
      <c r="K24" s="75"/>
      <c r="L24" s="83">
        <f>SUM(L21:L23)</f>
        <v>2.4027777777777999</v>
      </c>
      <c r="M24" s="65" t="s">
        <v>77</v>
      </c>
      <c r="N24" s="65">
        <v>34542.26</v>
      </c>
      <c r="P24" s="79" t="s">
        <v>67</v>
      </c>
      <c r="Q24" s="43">
        <v>51915.8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N24+Sheet26!O25</f>
        <v>933160.09</v>
      </c>
      <c r="P25" s="154" t="s">
        <v>76</v>
      </c>
      <c r="Q25" s="87">
        <v>58267.9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Q24+Sheet26!Q26</f>
        <v>1066142.6800000002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57.4</v>
      </c>
      <c r="M27" s="55"/>
      <c r="N27" s="88">
        <f>N22/L27</f>
        <v>549.97926829268295</v>
      </c>
      <c r="O27" s="81" t="s">
        <v>73</v>
      </c>
      <c r="P27" s="69"/>
      <c r="Q27" s="65" t="s">
        <v>366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S17" sqref="S1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85546875" style="1" customWidth="1"/>
    <col min="16" max="16" width="13.42578125" style="1" customWidth="1"/>
    <col min="17" max="17" width="23.42578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368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32</v>
      </c>
      <c r="F4" s="22">
        <v>38</v>
      </c>
      <c r="G4" s="22">
        <v>10</v>
      </c>
      <c r="H4" s="22">
        <v>20</v>
      </c>
      <c r="I4" s="22">
        <v>25</v>
      </c>
      <c r="J4" s="22">
        <v>30</v>
      </c>
      <c r="K4" s="22">
        <v>165</v>
      </c>
      <c r="L4" s="22">
        <v>20</v>
      </c>
      <c r="M4" s="93">
        <f t="shared" ref="M4:M5" si="0">K4+L4</f>
        <v>185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04" t="s">
        <v>56</v>
      </c>
      <c r="O5" s="66">
        <v>10.416666666666666</v>
      </c>
      <c r="P5" s="66">
        <v>2.6041666666666665</v>
      </c>
      <c r="Q5" s="66" t="s">
        <v>370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" si="1">K6+L6</f>
        <v>0</v>
      </c>
      <c r="N6" s="104" t="s">
        <v>248</v>
      </c>
      <c r="O6" s="96"/>
      <c r="P6" s="65"/>
      <c r="Q6" s="281" t="s">
        <v>371</v>
      </c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7</v>
      </c>
      <c r="F7" s="22">
        <v>7</v>
      </c>
      <c r="G7" s="22"/>
      <c r="H7" s="22"/>
      <c r="I7" s="22"/>
      <c r="J7" s="22"/>
      <c r="K7" s="22">
        <v>20</v>
      </c>
      <c r="L7" s="22">
        <v>0</v>
      </c>
      <c r="M7" s="93">
        <f t="shared" ref="M7" si="2">K7+L7</f>
        <v>20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159" t="s">
        <v>13</v>
      </c>
    </row>
    <row r="9" spans="1:17" ht="14.25" customHeight="1" x14ac:dyDescent="0.25">
      <c r="A9" s="33"/>
      <c r="B9" s="34" t="s">
        <v>14</v>
      </c>
      <c r="C9" s="22"/>
      <c r="D9" s="22">
        <v>24</v>
      </c>
      <c r="E9" s="22">
        <v>28</v>
      </c>
      <c r="F9" s="22">
        <v>22</v>
      </c>
      <c r="G9" s="22"/>
      <c r="H9" s="22"/>
      <c r="I9" s="22"/>
      <c r="J9" s="22"/>
      <c r="K9" s="22">
        <v>92</v>
      </c>
      <c r="L9" s="22">
        <v>31</v>
      </c>
      <c r="M9" s="93">
        <f t="shared" ref="M9:M12" si="3">K9+L9</f>
        <v>123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3"/>
        <v>0</v>
      </c>
      <c r="N11" s="82" t="s">
        <v>13</v>
      </c>
      <c r="O11" s="210" t="s">
        <v>13</v>
      </c>
      <c r="P11" s="82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7</v>
      </c>
      <c r="E12" s="22">
        <v>8</v>
      </c>
      <c r="F12" s="22">
        <v>2</v>
      </c>
      <c r="G12" s="22"/>
      <c r="H12" s="22"/>
      <c r="I12" s="22"/>
      <c r="J12" s="22"/>
      <c r="K12" s="22">
        <v>38</v>
      </c>
      <c r="L12" s="22">
        <v>0</v>
      </c>
      <c r="M12" s="93">
        <f t="shared" si="3"/>
        <v>38</v>
      </c>
      <c r="N12" s="82"/>
      <c r="O12" s="82"/>
      <c r="P12" s="82"/>
      <c r="Q12" s="37" t="s">
        <v>13</v>
      </c>
    </row>
    <row r="13" spans="1:17" ht="36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25</v>
      </c>
      <c r="E14" s="22">
        <v>30</v>
      </c>
      <c r="F14" s="22">
        <v>20</v>
      </c>
      <c r="G14" s="22">
        <v>8</v>
      </c>
      <c r="H14" s="22">
        <v>40</v>
      </c>
      <c r="I14" s="22">
        <v>44</v>
      </c>
      <c r="J14" s="22">
        <v>30</v>
      </c>
      <c r="K14" s="22">
        <v>135</v>
      </c>
      <c r="L14" s="22">
        <v>72</v>
      </c>
      <c r="M14" s="93">
        <f t="shared" ref="M14:M17" si="4">K14+L14</f>
        <v>207</v>
      </c>
      <c r="N14" s="103" t="s">
        <v>133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>
        <v>4</v>
      </c>
      <c r="F15" s="22">
        <v>3</v>
      </c>
      <c r="G15" s="22"/>
      <c r="H15" s="22">
        <v>2</v>
      </c>
      <c r="I15" s="22">
        <v>3</v>
      </c>
      <c r="J15" s="22"/>
      <c r="K15" s="22">
        <v>12</v>
      </c>
      <c r="L15" s="22">
        <v>0</v>
      </c>
      <c r="M15" s="93">
        <f t="shared" si="4"/>
        <v>12</v>
      </c>
      <c r="N15" s="103" t="s">
        <v>174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 t="s">
        <v>13</v>
      </c>
      <c r="H16" s="22" t="s">
        <v>13</v>
      </c>
      <c r="I16" s="22" t="s">
        <v>13</v>
      </c>
      <c r="J16" s="22"/>
      <c r="K16" s="22">
        <v>0</v>
      </c>
      <c r="L16" s="22">
        <v>0</v>
      </c>
      <c r="M16" s="93"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>
        <v>4</v>
      </c>
      <c r="H17" s="22">
        <v>8</v>
      </c>
      <c r="I17" s="22">
        <v>4</v>
      </c>
      <c r="J17" s="22"/>
      <c r="K17" s="22">
        <v>16</v>
      </c>
      <c r="L17" s="22">
        <v>0</v>
      </c>
      <c r="M17" s="93">
        <f t="shared" si="4"/>
        <v>16</v>
      </c>
      <c r="N17" s="103"/>
      <c r="O17" s="103" t="s">
        <v>132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515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12</v>
      </c>
      <c r="O19" s="69">
        <v>424.56</v>
      </c>
      <c r="P19" s="46" t="s">
        <v>343</v>
      </c>
      <c r="Q19" s="65" t="s">
        <v>369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100</v>
      </c>
      <c r="Q20" s="65">
        <v>6168.38</v>
      </c>
    </row>
    <row r="21" spans="1:20" ht="25.5" customHeight="1" x14ac:dyDescent="0.25">
      <c r="A21" s="16" t="s">
        <v>46</v>
      </c>
      <c r="B21" s="66">
        <v>206.27083333333334</v>
      </c>
      <c r="C21" s="66">
        <v>206.54166666666666</v>
      </c>
      <c r="D21" s="66">
        <f t="shared" ref="D21" si="5">C21-B21</f>
        <v>0.27083333333331439</v>
      </c>
      <c r="E21" s="66">
        <v>206.69097222222223</v>
      </c>
      <c r="F21" s="66">
        <v>206.875</v>
      </c>
      <c r="G21" s="66">
        <f>F21-E21</f>
        <v>0.18402777777777146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0.75347222222220012</v>
      </c>
      <c r="M21" s="154" t="s">
        <v>47</v>
      </c>
      <c r="N21" s="65">
        <f>M17+M12+M7</f>
        <v>74</v>
      </c>
      <c r="O21" s="78" t="s">
        <v>68</v>
      </c>
      <c r="P21" s="75">
        <v>209</v>
      </c>
      <c r="Q21" s="65">
        <v>5817.23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ref="D22" si="6">C22-B22</f>
        <v>0.28819444444442865</v>
      </c>
      <c r="E22" s="66">
        <v>206.73263888888889</v>
      </c>
      <c r="F22" s="66">
        <v>206.875</v>
      </c>
      <c r="G22" s="66">
        <f t="shared" ref="G22" si="7">F22-E22</f>
        <v>0.14236111111111427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0.72222222222222854</v>
      </c>
      <c r="M22" s="49" t="s">
        <v>49</v>
      </c>
      <c r="N22" s="65">
        <v>26774.5</v>
      </c>
      <c r="O22" s="80" t="s">
        <v>65</v>
      </c>
      <c r="P22" s="75">
        <v>175</v>
      </c>
      <c r="Q22" s="65">
        <v>4368.71</v>
      </c>
    </row>
    <row r="23" spans="1:20" ht="27" customHeight="1" x14ac:dyDescent="0.25">
      <c r="A23" s="157" t="s">
        <v>50</v>
      </c>
      <c r="B23" s="66">
        <v>206.25694444444446</v>
      </c>
      <c r="C23" s="66">
        <v>206.41666666666666</v>
      </c>
      <c r="D23" s="66">
        <f t="shared" ref="D23" si="8">C23-B23</f>
        <v>0.15972222222220012</v>
      </c>
      <c r="E23" s="66">
        <v>206.71875</v>
      </c>
      <c r="F23" s="66">
        <v>206.875</v>
      </c>
      <c r="G23" s="66">
        <f>F23-E23</f>
        <v>0.15625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0.60763888888888573</v>
      </c>
      <c r="M23" s="154" t="s">
        <v>63</v>
      </c>
      <c r="N23" s="85">
        <v>8</v>
      </c>
      <c r="O23" s="86" t="s">
        <v>66</v>
      </c>
      <c r="P23" s="76">
        <v>93</v>
      </c>
      <c r="Q23" s="65">
        <v>3048.19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0.71874999999994316</v>
      </c>
      <c r="E24" s="68"/>
      <c r="F24" s="68"/>
      <c r="G24" s="66">
        <f>SUM(G21:G23)</f>
        <v>0.48263888888888573</v>
      </c>
      <c r="H24" s="68"/>
      <c r="I24" s="68"/>
      <c r="J24" s="71">
        <f>SUM(J21:J23)</f>
        <v>0.8819444444444855</v>
      </c>
      <c r="K24" s="75"/>
      <c r="L24" s="83">
        <f>SUM(L21:L23)</f>
        <v>2.0833333333333144</v>
      </c>
      <c r="M24" s="65" t="s">
        <v>77</v>
      </c>
      <c r="N24" s="65">
        <v>30544.83</v>
      </c>
      <c r="P24" s="79" t="s">
        <v>67</v>
      </c>
      <c r="Q24" s="43">
        <v>45559.66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N24+Sheet27!O25</f>
        <v>963704.91999999993</v>
      </c>
      <c r="P25" s="154" t="s">
        <v>76</v>
      </c>
      <c r="Q25" s="87">
        <v>51727.98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Q24+Sheet27!Q26</f>
        <v>1111702.3400000001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</v>
      </c>
      <c r="M27" s="55"/>
      <c r="N27" s="88">
        <f>N22/L27</f>
        <v>535.49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O25" sqref="O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373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38</v>
      </c>
      <c r="E4" s="22">
        <v>42</v>
      </c>
      <c r="F4" s="22">
        <v>40</v>
      </c>
      <c r="G4" s="22">
        <v>23</v>
      </c>
      <c r="H4" s="22">
        <v>25</v>
      </c>
      <c r="I4" s="22">
        <v>27</v>
      </c>
      <c r="J4" s="22">
        <v>26</v>
      </c>
      <c r="K4" s="22">
        <v>161</v>
      </c>
      <c r="L4" s="22">
        <v>0</v>
      </c>
      <c r="M4" s="93">
        <f t="shared" ref="M4:M5" si="0">K4+L4</f>
        <v>161</v>
      </c>
      <c r="N4" s="104" t="s">
        <v>174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04" t="s">
        <v>56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ref="M6" si="1">K6+L6</f>
        <v>0</v>
      </c>
      <c r="N6" s="104" t="s">
        <v>56</v>
      </c>
      <c r="O6" s="96"/>
      <c r="P6" s="65"/>
      <c r="Q6" s="273"/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8</v>
      </c>
      <c r="F7" s="22">
        <v>5</v>
      </c>
      <c r="G7" s="22"/>
      <c r="H7" s="22">
        <v>16</v>
      </c>
      <c r="I7" s="22">
        <v>10</v>
      </c>
      <c r="J7" s="22"/>
      <c r="K7" s="22">
        <v>30</v>
      </c>
      <c r="L7" s="22">
        <v>14</v>
      </c>
      <c r="M7" s="93">
        <f t="shared" ref="M7" si="2">K7+L7</f>
        <v>44</v>
      </c>
      <c r="N7" s="104" t="s">
        <v>133</v>
      </c>
      <c r="O7" s="97"/>
      <c r="P7" s="65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34</v>
      </c>
      <c r="E9" s="22">
        <v>36</v>
      </c>
      <c r="F9" s="22">
        <v>41</v>
      </c>
      <c r="G9" s="22">
        <v>23</v>
      </c>
      <c r="H9" s="22">
        <v>30</v>
      </c>
      <c r="I9" s="22">
        <v>30</v>
      </c>
      <c r="J9" s="22">
        <v>11</v>
      </c>
      <c r="K9" s="22">
        <v>145</v>
      </c>
      <c r="L9" s="22">
        <v>50</v>
      </c>
      <c r="M9" s="93">
        <f t="shared" ref="M9:M12" si="3">K9+L9</f>
        <v>195</v>
      </c>
      <c r="N9" s="82" t="s">
        <v>164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>
        <v>5</v>
      </c>
      <c r="H10" s="22">
        <v>5</v>
      </c>
      <c r="I10" s="22">
        <v>6</v>
      </c>
      <c r="J10" s="22">
        <v>2</v>
      </c>
      <c r="K10" s="22">
        <v>18</v>
      </c>
      <c r="L10" s="22">
        <v>0</v>
      </c>
      <c r="M10" s="93">
        <f t="shared" si="3"/>
        <v>18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3</v>
      </c>
      <c r="F11" s="22">
        <v>4</v>
      </c>
      <c r="G11" s="22"/>
      <c r="H11" s="22"/>
      <c r="I11" s="22"/>
      <c r="J11" s="22"/>
      <c r="K11" s="22">
        <v>10</v>
      </c>
      <c r="L11" s="22">
        <v>0</v>
      </c>
      <c r="M11" s="93">
        <f t="shared" si="3"/>
        <v>10</v>
      </c>
      <c r="N11" s="82" t="s">
        <v>56</v>
      </c>
      <c r="O11" s="66" t="s">
        <v>13</v>
      </c>
      <c r="P11" s="66" t="s">
        <v>13</v>
      </c>
      <c r="Q11" s="33"/>
    </row>
    <row r="12" spans="1:17" ht="13.5" customHeight="1" x14ac:dyDescent="0.25">
      <c r="A12" s="36"/>
      <c r="B12" s="34" t="s">
        <v>19</v>
      </c>
      <c r="C12" s="22"/>
      <c r="D12" s="22">
        <v>15</v>
      </c>
      <c r="E12" s="22">
        <v>10</v>
      </c>
      <c r="F12" s="22"/>
      <c r="G12" s="22"/>
      <c r="H12" s="22">
        <v>10</v>
      </c>
      <c r="I12" s="22">
        <v>15</v>
      </c>
      <c r="J12" s="22">
        <v>9</v>
      </c>
      <c r="K12" s="22">
        <v>29</v>
      </c>
      <c r="L12" s="22">
        <v>30</v>
      </c>
      <c r="M12" s="93">
        <f t="shared" si="3"/>
        <v>59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45</v>
      </c>
      <c r="F14" s="22">
        <v>55</v>
      </c>
      <c r="G14" s="22">
        <v>50</v>
      </c>
      <c r="H14" s="22">
        <v>35</v>
      </c>
      <c r="I14" s="22">
        <v>30</v>
      </c>
      <c r="J14" s="22">
        <v>24</v>
      </c>
      <c r="K14" s="22">
        <v>178</v>
      </c>
      <c r="L14" s="22">
        <v>86</v>
      </c>
      <c r="M14" s="93">
        <f t="shared" ref="M14:M17" si="4">K14+L14</f>
        <v>264</v>
      </c>
      <c r="N14" s="103" t="s">
        <v>213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9</v>
      </c>
      <c r="F17" s="22">
        <v>12</v>
      </c>
      <c r="G17" s="22">
        <v>14</v>
      </c>
      <c r="H17" s="22">
        <v>7</v>
      </c>
      <c r="I17" s="22">
        <v>6</v>
      </c>
      <c r="J17" s="22"/>
      <c r="K17" s="22">
        <v>30</v>
      </c>
      <c r="L17" s="22">
        <v>18</v>
      </c>
      <c r="M17" s="93">
        <f t="shared" si="4"/>
        <v>48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620</v>
      </c>
      <c r="O18" s="277" t="s">
        <v>70</v>
      </c>
      <c r="P18" s="278"/>
      <c r="Q18" s="65" t="s">
        <v>69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18</v>
      </c>
      <c r="O19" s="69">
        <v>1369.8</v>
      </c>
      <c r="P19" s="46" t="s">
        <v>375</v>
      </c>
      <c r="Q19" s="65" t="s">
        <v>376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10</v>
      </c>
      <c r="O20" s="77" t="s">
        <v>64</v>
      </c>
      <c r="P20" s="75">
        <v>81</v>
      </c>
      <c r="Q20" s="65">
        <v>5085.18</v>
      </c>
    </row>
    <row r="21" spans="1:20" ht="25.5" customHeight="1" x14ac:dyDescent="0.25">
      <c r="A21" s="16" t="s">
        <v>46</v>
      </c>
      <c r="B21" s="66">
        <v>206.27083333333334</v>
      </c>
      <c r="C21" s="66">
        <v>206.54166666666666</v>
      </c>
      <c r="D21" s="66">
        <f t="shared" ref="D21" si="5">C21-B21</f>
        <v>0.27083333333331439</v>
      </c>
      <c r="E21" s="66">
        <v>206.64583333333334</v>
      </c>
      <c r="F21" s="66">
        <v>206.875</v>
      </c>
      <c r="G21" s="66">
        <f t="shared" ref="G21" si="6">F21-E21</f>
        <v>0.22916666666665719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0.79861111111108585</v>
      </c>
      <c r="M21" s="154" t="s">
        <v>47</v>
      </c>
      <c r="N21" s="65">
        <f>M17+M12+M7</f>
        <v>151</v>
      </c>
      <c r="O21" s="78" t="s">
        <v>68</v>
      </c>
      <c r="P21" s="75">
        <v>216</v>
      </c>
      <c r="Q21" s="65">
        <v>6298.88</v>
      </c>
    </row>
    <row r="22" spans="1:20" ht="27" customHeight="1" x14ac:dyDescent="0.25">
      <c r="A22" s="16" t="s">
        <v>48</v>
      </c>
      <c r="B22" s="66">
        <v>206.29861111111111</v>
      </c>
      <c r="C22" s="66">
        <v>206.54166666666666</v>
      </c>
      <c r="D22" s="66">
        <f t="shared" ref="D22" si="7">C22-B22</f>
        <v>0.24305555555554292</v>
      </c>
      <c r="E22" s="66">
        <v>206.57291666666666</v>
      </c>
      <c r="F22" s="66">
        <v>206.875</v>
      </c>
      <c r="G22" s="66">
        <f t="shared" ref="G22" si="8">F22-E22</f>
        <v>0.30208333333334281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0.83680555555557135</v>
      </c>
      <c r="M22" s="49" t="s">
        <v>49</v>
      </c>
      <c r="N22" s="65">
        <v>33300.67</v>
      </c>
      <c r="O22" s="80" t="s">
        <v>65</v>
      </c>
      <c r="P22" s="75">
        <v>167</v>
      </c>
      <c r="Q22" s="65">
        <v>4240.34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9">C23-B23</f>
        <v>0.25</v>
      </c>
      <c r="E23" s="66">
        <v>206.61458333333334</v>
      </c>
      <c r="F23" s="66">
        <v>206.875</v>
      </c>
      <c r="G23" s="66">
        <f t="shared" ref="G23" si="10">F23-E23</f>
        <v>0.26041666666665719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0.80208333333334281</v>
      </c>
      <c r="M23" s="154" t="s">
        <v>63</v>
      </c>
      <c r="N23" s="85">
        <v>9</v>
      </c>
      <c r="O23" s="86" t="s">
        <v>66</v>
      </c>
      <c r="P23" s="76">
        <v>96</v>
      </c>
      <c r="Q23" s="65">
        <v>3029.06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0.76388888888885731</v>
      </c>
      <c r="E24" s="68"/>
      <c r="F24" s="68"/>
      <c r="G24" s="66">
        <f>SUM(G21:G23)</f>
        <v>0.79166666666665719</v>
      </c>
      <c r="H24" s="68"/>
      <c r="I24" s="68"/>
      <c r="J24" s="71">
        <f>SUM(J21:J23)</f>
        <v>0.8819444444444855</v>
      </c>
      <c r="K24" s="75"/>
      <c r="L24" s="83">
        <f>SUM(L21:L23)</f>
        <v>2.4375</v>
      </c>
      <c r="M24" s="65" t="s">
        <v>77</v>
      </c>
      <c r="N24" s="65">
        <v>33300.67</v>
      </c>
      <c r="P24" s="79" t="s">
        <v>67</v>
      </c>
      <c r="Q24" s="43">
        <v>49911.22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N24+Sheet28!O25</f>
        <v>997005.59</v>
      </c>
      <c r="P25" s="154" t="s">
        <v>76</v>
      </c>
      <c r="Q25" s="87">
        <v>54996.4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52000</v>
      </c>
      <c r="P26" s="51" t="s">
        <v>86</v>
      </c>
      <c r="Q26" s="69">
        <f>Q24+Sheet28!Q26</f>
        <v>1161613.56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58.3</v>
      </c>
      <c r="M27" s="55"/>
      <c r="N27" s="88">
        <f>N22/L27</f>
        <v>571.19502572898796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G1" sqref="G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4" style="1" customWidth="1"/>
    <col min="16" max="16" width="13.42578125" style="1" customWidth="1"/>
    <col min="17" max="17" width="22.5703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221</v>
      </c>
    </row>
    <row r="3" spans="1:17" ht="27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33</v>
      </c>
      <c r="G4" s="22">
        <v>11</v>
      </c>
      <c r="H4" s="22">
        <v>18</v>
      </c>
      <c r="I4" s="22">
        <v>20</v>
      </c>
      <c r="J4" s="22">
        <v>17</v>
      </c>
      <c r="K4" s="22">
        <v>145</v>
      </c>
      <c r="L4" s="22">
        <v>19</v>
      </c>
      <c r="M4" s="93">
        <f>K4+L4</f>
        <v>164</v>
      </c>
      <c r="N4" s="104" t="s">
        <v>174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0">K5+L5</f>
        <v>0</v>
      </c>
      <c r="N5" s="104" t="s">
        <v>56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2</v>
      </c>
      <c r="F6" s="22">
        <v>8</v>
      </c>
      <c r="G6" s="22">
        <v>9</v>
      </c>
      <c r="H6" s="22">
        <v>4</v>
      </c>
      <c r="I6" s="22">
        <v>4</v>
      </c>
      <c r="J6" s="22"/>
      <c r="K6" s="22">
        <v>25</v>
      </c>
      <c r="L6" s="22">
        <v>5</v>
      </c>
      <c r="M6" s="93">
        <f t="shared" ref="M6:M7" si="1">K6+L6</f>
        <v>30</v>
      </c>
      <c r="N6" s="104" t="s">
        <v>56</v>
      </c>
      <c r="O6" s="96"/>
      <c r="P6" s="65"/>
      <c r="Q6" s="273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2</v>
      </c>
      <c r="F7" s="22"/>
      <c r="G7" s="22">
        <v>5</v>
      </c>
      <c r="H7" s="22">
        <v>10</v>
      </c>
      <c r="I7" s="22">
        <v>6</v>
      </c>
      <c r="J7" s="22">
        <v>5</v>
      </c>
      <c r="K7" s="22">
        <v>30</v>
      </c>
      <c r="L7" s="22">
        <v>1</v>
      </c>
      <c r="M7" s="93">
        <f t="shared" si="1"/>
        <v>31</v>
      </c>
      <c r="N7" s="104" t="s">
        <v>56</v>
      </c>
      <c r="O7" s="97"/>
      <c r="P7" s="65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28</v>
      </c>
      <c r="E9" s="22">
        <v>32</v>
      </c>
      <c r="F9" s="93">
        <v>30</v>
      </c>
      <c r="G9" s="22">
        <v>28</v>
      </c>
      <c r="H9" s="22">
        <v>35</v>
      </c>
      <c r="I9" s="22">
        <v>30</v>
      </c>
      <c r="J9" s="22">
        <v>37</v>
      </c>
      <c r="K9" s="22">
        <v>165</v>
      </c>
      <c r="L9" s="22">
        <v>85</v>
      </c>
      <c r="M9" s="93">
        <f t="shared" ref="M9:M12" si="2">K9+L9</f>
        <v>250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2</v>
      </c>
      <c r="F10" s="22">
        <v>5</v>
      </c>
      <c r="G10" s="22">
        <v>5</v>
      </c>
      <c r="H10" s="22">
        <v>2</v>
      </c>
      <c r="I10" s="22">
        <v>2</v>
      </c>
      <c r="J10" s="22"/>
      <c r="K10" s="22">
        <v>20</v>
      </c>
      <c r="L10" s="22">
        <v>0</v>
      </c>
      <c r="M10" s="93">
        <f t="shared" si="2"/>
        <v>20</v>
      </c>
      <c r="N10" s="82" t="s">
        <v>159</v>
      </c>
      <c r="O10" s="275" t="s">
        <v>123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2</v>
      </c>
      <c r="F11" s="22">
        <v>1</v>
      </c>
      <c r="G11" s="22">
        <v>2</v>
      </c>
      <c r="H11" s="22">
        <v>3</v>
      </c>
      <c r="I11" s="22"/>
      <c r="J11" s="22"/>
      <c r="K11" s="22">
        <v>10</v>
      </c>
      <c r="L11" s="22">
        <v>0</v>
      </c>
      <c r="M11" s="93">
        <f t="shared" si="2"/>
        <v>10</v>
      </c>
      <c r="N11" s="82" t="s">
        <v>56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1</v>
      </c>
      <c r="E12" s="22">
        <v>2</v>
      </c>
      <c r="F12" s="22">
        <v>2</v>
      </c>
      <c r="G12" s="22">
        <v>2</v>
      </c>
      <c r="H12" s="22">
        <v>1</v>
      </c>
      <c r="I12" s="22">
        <v>1</v>
      </c>
      <c r="J12" s="22"/>
      <c r="K12" s="22">
        <v>9</v>
      </c>
      <c r="L12" s="22">
        <v>4</v>
      </c>
      <c r="M12" s="93">
        <f t="shared" si="2"/>
        <v>13</v>
      </c>
      <c r="N12" s="82"/>
      <c r="O12" s="82"/>
      <c r="P12" s="82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28</v>
      </c>
      <c r="E14" s="22">
        <v>36</v>
      </c>
      <c r="F14" s="22">
        <v>42</v>
      </c>
      <c r="G14" s="22">
        <v>34</v>
      </c>
      <c r="H14" s="22">
        <v>30</v>
      </c>
      <c r="I14" s="22">
        <v>26</v>
      </c>
      <c r="J14" s="22">
        <v>24</v>
      </c>
      <c r="K14" s="22">
        <v>178</v>
      </c>
      <c r="L14" s="22">
        <v>42</v>
      </c>
      <c r="M14" s="93">
        <f t="shared" ref="M14:M17" si="3">K14+L14</f>
        <v>220</v>
      </c>
      <c r="N14" s="103" t="s">
        <v>224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3"/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>
        <v>3</v>
      </c>
      <c r="G16" s="22">
        <v>4</v>
      </c>
      <c r="H16" s="22">
        <v>5</v>
      </c>
      <c r="I16" s="22">
        <v>4</v>
      </c>
      <c r="J16" s="22">
        <v>4</v>
      </c>
      <c r="K16" s="22">
        <v>20</v>
      </c>
      <c r="L16" s="22">
        <v>0</v>
      </c>
      <c r="M16" s="93">
        <f t="shared" si="3"/>
        <v>20</v>
      </c>
      <c r="N16" s="103" t="s">
        <v>161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5</v>
      </c>
      <c r="F17" s="22">
        <v>4</v>
      </c>
      <c r="G17" s="22">
        <v>4</v>
      </c>
      <c r="H17" s="22">
        <v>6</v>
      </c>
      <c r="I17" s="22">
        <v>5</v>
      </c>
      <c r="J17" s="22">
        <v>2</v>
      </c>
      <c r="K17" s="22">
        <v>18</v>
      </c>
      <c r="L17" s="22">
        <v>4</v>
      </c>
      <c r="M17" s="93">
        <f t="shared" si="3"/>
        <v>22</v>
      </c>
      <c r="N17" s="103" t="s">
        <v>13</v>
      </c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634</v>
      </c>
      <c r="O18" s="277" t="s">
        <v>70</v>
      </c>
      <c r="P18" s="278"/>
      <c r="Q18" s="65" t="s">
        <v>69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20</v>
      </c>
      <c r="O19" s="69">
        <v>1137.32</v>
      </c>
      <c r="P19" s="46" t="s">
        <v>127</v>
      </c>
      <c r="Q19" s="65" t="s">
        <v>222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60</v>
      </c>
      <c r="O20" s="77" t="s">
        <v>64</v>
      </c>
      <c r="P20" s="75">
        <v>80</v>
      </c>
      <c r="Q20" s="65">
        <v>5351.66</v>
      </c>
    </row>
    <row r="21" spans="1:20" ht="25.5" customHeight="1" x14ac:dyDescent="0.25">
      <c r="A21" s="16" t="s">
        <v>46</v>
      </c>
      <c r="B21" s="66">
        <v>206.26388888888889</v>
      </c>
      <c r="C21" s="66">
        <v>206.54166666666666</v>
      </c>
      <c r="D21" s="66">
        <f t="shared" ref="D21:D23" si="4">C21-B21</f>
        <v>0.27777777777777146</v>
      </c>
      <c r="E21" s="66">
        <v>206.58333333333334</v>
      </c>
      <c r="F21" s="66">
        <v>206.875</v>
      </c>
      <c r="G21" s="66">
        <f t="shared" ref="G21" si="5">F21-E21</f>
        <v>0.29166666666665719</v>
      </c>
      <c r="H21" s="66">
        <v>206.92708333333334</v>
      </c>
      <c r="I21" s="66">
        <v>207.20833333333334</v>
      </c>
      <c r="J21" s="71">
        <f>I21-H21-K21</f>
        <v>0.28125</v>
      </c>
      <c r="K21" s="66"/>
      <c r="L21" s="73">
        <f>D21+G21+J21</f>
        <v>0.85069444444442865</v>
      </c>
      <c r="M21" s="154" t="s">
        <v>47</v>
      </c>
      <c r="N21" s="65">
        <f>M17+M12+M7</f>
        <v>66</v>
      </c>
      <c r="O21" s="78" t="s">
        <v>68</v>
      </c>
      <c r="P21" s="75">
        <v>223</v>
      </c>
      <c r="Q21" s="65">
        <v>6170.64</v>
      </c>
    </row>
    <row r="22" spans="1:20" ht="27" customHeight="1" x14ac:dyDescent="0.25">
      <c r="A22" s="16" t="s">
        <v>48</v>
      </c>
      <c r="B22" s="66">
        <v>206.25</v>
      </c>
      <c r="C22" s="66">
        <v>206.45833333333334</v>
      </c>
      <c r="D22" s="66">
        <f t="shared" si="4"/>
        <v>0.20833333333334281</v>
      </c>
      <c r="E22" s="66">
        <v>206.57986111111111</v>
      </c>
      <c r="F22" s="66">
        <v>206.875</v>
      </c>
      <c r="G22" s="66">
        <f t="shared" ref="G22" si="6">F22-E22</f>
        <v>0.29513888888888573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0.79513888888891415</v>
      </c>
      <c r="M22" s="49" t="s">
        <v>49</v>
      </c>
      <c r="N22" s="65">
        <v>31354</v>
      </c>
      <c r="O22" s="80" t="s">
        <v>65</v>
      </c>
      <c r="P22" s="75">
        <v>158</v>
      </c>
      <c r="Q22" s="65">
        <v>4060.31</v>
      </c>
    </row>
    <row r="23" spans="1:20" ht="27" customHeight="1" x14ac:dyDescent="0.25">
      <c r="A23" s="157" t="s">
        <v>50</v>
      </c>
      <c r="B23" s="66">
        <v>206.36111111111111</v>
      </c>
      <c r="C23" s="66">
        <v>206.5</v>
      </c>
      <c r="D23" s="66">
        <f t="shared" si="4"/>
        <v>0.13888888888888573</v>
      </c>
      <c r="E23" s="66">
        <v>206.59027777777777</v>
      </c>
      <c r="F23" s="66">
        <v>206.83333333333334</v>
      </c>
      <c r="G23" s="66">
        <f t="shared" ref="G23" si="7">F23-E23</f>
        <v>0.24305555555557135</v>
      </c>
      <c r="H23" s="66">
        <v>206.97916666666666</v>
      </c>
      <c r="I23" s="66">
        <v>207.20833333333334</v>
      </c>
      <c r="J23" s="71">
        <f>I23-H23-K23</f>
        <v>0.22916666666668561</v>
      </c>
      <c r="K23" s="155"/>
      <c r="L23" s="156">
        <f>D23+G23+J23</f>
        <v>0.61111111111114269</v>
      </c>
      <c r="M23" s="154" t="s">
        <v>63</v>
      </c>
      <c r="N23" s="85">
        <v>10</v>
      </c>
      <c r="O23" s="86" t="s">
        <v>66</v>
      </c>
      <c r="P23" s="76">
        <v>34</v>
      </c>
      <c r="Q23" s="65">
        <v>1068.49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0.625</v>
      </c>
      <c r="E24" s="68"/>
      <c r="F24" s="68"/>
      <c r="G24" s="66">
        <f>SUM(G21:G23)</f>
        <v>0.82986111111111427</v>
      </c>
      <c r="H24" s="68"/>
      <c r="I24" s="68"/>
      <c r="J24" s="71">
        <f>SUM(J21:J23)</f>
        <v>0.80208333333337123</v>
      </c>
      <c r="K24" s="75"/>
      <c r="L24" s="83">
        <f>SUM(L21:L23)</f>
        <v>2.2569444444444855</v>
      </c>
      <c r="M24" s="65" t="s">
        <v>77</v>
      </c>
      <c r="N24" s="65">
        <v>37170.74</v>
      </c>
      <c r="P24" s="79" t="s">
        <v>67</v>
      </c>
      <c r="Q24" s="43">
        <v>48474.28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N24+Sheet2!O25</f>
        <v>103443.69</v>
      </c>
      <c r="P25" s="154" t="s">
        <v>76</v>
      </c>
      <c r="Q25" s="87">
        <v>53825.94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46000</v>
      </c>
      <c r="P26" s="51" t="s">
        <v>86</v>
      </c>
      <c r="Q26" s="69">
        <f>Q24+Sheet2!Q26</f>
        <v>142800.74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</v>
      </c>
      <c r="M27" s="55"/>
      <c r="N27" s="88">
        <f>N22/L27</f>
        <v>579.55637707948244</v>
      </c>
      <c r="O27" s="81" t="s">
        <v>73</v>
      </c>
      <c r="P27" s="69"/>
      <c r="Q27" s="65" t="s">
        <v>13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D9" workbookViewId="0">
      <selection activeCell="M28" sqref="M28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8" width="4.140625" style="1" customWidth="1"/>
    <col min="19" max="20" width="19.28515625" style="1" customWidth="1"/>
    <col min="21" max="16384" width="9.140625" style="1"/>
  </cols>
  <sheetData>
    <row r="1" spans="1:20" ht="3" customHeight="1" x14ac:dyDescent="0.25"/>
    <row r="2" spans="1:20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374</v>
      </c>
    </row>
    <row r="3" spans="1:20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20" ht="15" customHeight="1" x14ac:dyDescent="0.25">
      <c r="A4" s="20"/>
      <c r="B4" s="21" t="s">
        <v>14</v>
      </c>
      <c r="C4" s="22">
        <v>20</v>
      </c>
      <c r="D4" s="22">
        <v>25</v>
      </c>
      <c r="E4" s="22">
        <v>27</v>
      </c>
      <c r="F4" s="22">
        <v>22</v>
      </c>
      <c r="G4" s="22">
        <v>19</v>
      </c>
      <c r="H4" s="22">
        <v>22</v>
      </c>
      <c r="I4" s="22">
        <v>20</v>
      </c>
      <c r="J4" s="22">
        <v>65</v>
      </c>
      <c r="K4" s="22">
        <v>132</v>
      </c>
      <c r="L4" s="22">
        <v>88</v>
      </c>
      <c r="M4" s="93">
        <f t="shared" ref="M4:M7" si="0" xml:space="preserve"> K4+L4</f>
        <v>220</v>
      </c>
      <c r="N4" s="104" t="s">
        <v>56</v>
      </c>
      <c r="O4" s="95" t="s">
        <v>87</v>
      </c>
      <c r="P4" s="105" t="s">
        <v>88</v>
      </c>
      <c r="Q4" s="33"/>
    </row>
    <row r="5" spans="1:20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90" t="s">
        <v>56</v>
      </c>
      <c r="O5" s="66"/>
      <c r="P5" s="66"/>
      <c r="Q5" s="66"/>
    </row>
    <row r="6" spans="1:20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174</v>
      </c>
      <c r="O6" s="96"/>
      <c r="P6" s="65"/>
      <c r="Q6" s="281"/>
    </row>
    <row r="7" spans="1:20" ht="15" customHeight="1" x14ac:dyDescent="0.25">
      <c r="A7" s="25"/>
      <c r="B7" s="21" t="s">
        <v>19</v>
      </c>
      <c r="C7" s="22">
        <v>3</v>
      </c>
      <c r="D7" s="22">
        <v>2</v>
      </c>
      <c r="E7" s="22">
        <v>3</v>
      </c>
      <c r="F7" s="22"/>
      <c r="G7" s="22"/>
      <c r="H7" s="22">
        <v>3</v>
      </c>
      <c r="I7" s="22">
        <v>4</v>
      </c>
      <c r="J7" s="22"/>
      <c r="K7" s="22">
        <v>15</v>
      </c>
      <c r="L7" s="22">
        <v>0</v>
      </c>
      <c r="M7" s="93">
        <f t="shared" si="0"/>
        <v>15</v>
      </c>
      <c r="N7" s="104" t="s">
        <v>133</v>
      </c>
      <c r="O7" s="97"/>
      <c r="P7" s="65"/>
      <c r="Q7" s="282"/>
    </row>
    <row r="8" spans="1:20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20" ht="16.5" customHeight="1" x14ac:dyDescent="0.25">
      <c r="A9" s="33"/>
      <c r="B9" s="34" t="s">
        <v>14</v>
      </c>
      <c r="C9" s="22"/>
      <c r="D9" s="22">
        <v>30</v>
      </c>
      <c r="E9" s="22">
        <v>28</v>
      </c>
      <c r="F9" s="22">
        <v>30</v>
      </c>
      <c r="G9" s="22">
        <v>30</v>
      </c>
      <c r="H9" s="22">
        <v>28</v>
      </c>
      <c r="I9" s="22">
        <v>30</v>
      </c>
      <c r="J9" s="22">
        <v>30</v>
      </c>
      <c r="K9" s="22">
        <v>160</v>
      </c>
      <c r="L9" s="22">
        <v>40</v>
      </c>
      <c r="M9" s="93">
        <f t="shared" ref="M9" si="1" xml:space="preserve"> K9+L9</f>
        <v>200</v>
      </c>
      <c r="N9" s="82" t="s">
        <v>56</v>
      </c>
      <c r="O9" s="99"/>
      <c r="P9" s="82"/>
      <c r="Q9" s="36"/>
    </row>
    <row r="10" spans="1:20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>
        <v>2</v>
      </c>
      <c r="H10" s="22">
        <v>2</v>
      </c>
      <c r="I10" s="22">
        <v>2</v>
      </c>
      <c r="J10" s="22"/>
      <c r="K10" s="22">
        <v>8</v>
      </c>
      <c r="L10" s="22">
        <v>0</v>
      </c>
      <c r="M10" s="93">
        <f t="shared" ref="M10" si="2" xml:space="preserve"> K10+L10</f>
        <v>8</v>
      </c>
      <c r="N10" s="82" t="s">
        <v>377</v>
      </c>
      <c r="O10" s="275" t="s">
        <v>126</v>
      </c>
      <c r="P10" s="276"/>
      <c r="Q10" s="43" t="s">
        <v>72</v>
      </c>
    </row>
    <row r="11" spans="1:20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ref="M11:M12" si="3" xml:space="preserve"> K11+L11</f>
        <v>0</v>
      </c>
      <c r="N11" s="82" t="s">
        <v>56</v>
      </c>
      <c r="O11" s="66" t="s">
        <v>13</v>
      </c>
      <c r="P11" s="66" t="s">
        <v>13</v>
      </c>
      <c r="Q11" s="33" t="s">
        <v>13</v>
      </c>
    </row>
    <row r="12" spans="1:20" ht="13.5" customHeight="1" x14ac:dyDescent="0.25">
      <c r="A12" s="36"/>
      <c r="B12" s="34" t="s">
        <v>19</v>
      </c>
      <c r="C12" s="22"/>
      <c r="D12" s="22">
        <v>2</v>
      </c>
      <c r="E12" s="22">
        <v>5</v>
      </c>
      <c r="F12" s="22">
        <v>2</v>
      </c>
      <c r="G12" s="22">
        <v>3</v>
      </c>
      <c r="H12" s="22">
        <v>5</v>
      </c>
      <c r="I12" s="22">
        <v>3</v>
      </c>
      <c r="J12" s="22">
        <v>1</v>
      </c>
      <c r="K12" s="22">
        <v>15</v>
      </c>
      <c r="L12" s="22">
        <v>0</v>
      </c>
      <c r="M12" s="93">
        <f t="shared" si="3"/>
        <v>15</v>
      </c>
      <c r="N12" s="82"/>
      <c r="O12" s="82"/>
      <c r="P12" s="82"/>
      <c r="Q12" s="37" t="s">
        <v>13</v>
      </c>
    </row>
    <row r="13" spans="1:20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20" ht="15" x14ac:dyDescent="0.25">
      <c r="A14" s="33"/>
      <c r="B14" s="21" t="s">
        <v>14</v>
      </c>
      <c r="C14" s="22"/>
      <c r="D14" s="22">
        <v>38</v>
      </c>
      <c r="E14" s="22">
        <v>32</v>
      </c>
      <c r="F14" s="22">
        <v>36</v>
      </c>
      <c r="G14" s="22">
        <v>35</v>
      </c>
      <c r="H14" s="22">
        <v>32</v>
      </c>
      <c r="I14" s="22">
        <v>27</v>
      </c>
      <c r="J14" s="22">
        <v>28</v>
      </c>
      <c r="K14" s="22">
        <v>200</v>
      </c>
      <c r="L14" s="22">
        <v>28</v>
      </c>
      <c r="M14" s="93">
        <f t="shared" ref="M14:M17" si="4" xml:space="preserve"> K14+L14</f>
        <v>228</v>
      </c>
      <c r="N14" s="103" t="s">
        <v>164</v>
      </c>
      <c r="O14" s="101"/>
      <c r="P14" s="82"/>
      <c r="Q14" s="37"/>
      <c r="T14" s="1">
        <v>3587.41</v>
      </c>
    </row>
    <row r="15" spans="1:20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378</v>
      </c>
      <c r="O15" s="102"/>
      <c r="P15" s="82"/>
      <c r="Q15" s="37"/>
      <c r="T15" s="1">
        <v>4052.2</v>
      </c>
    </row>
    <row r="16" spans="1:20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 t="s">
        <v>13</v>
      </c>
      <c r="O16" s="103"/>
      <c r="P16" s="82"/>
      <c r="Q16" s="37"/>
      <c r="T16" s="1">
        <v>3161.71</v>
      </c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9</v>
      </c>
      <c r="F17" s="22">
        <v>3</v>
      </c>
      <c r="G17" s="22">
        <v>5</v>
      </c>
      <c r="H17" s="22">
        <v>5</v>
      </c>
      <c r="I17" s="22">
        <v>3</v>
      </c>
      <c r="J17" s="22"/>
      <c r="K17" s="22">
        <v>29</v>
      </c>
      <c r="L17" s="22">
        <v>0</v>
      </c>
      <c r="M17" s="93">
        <f t="shared" si="4"/>
        <v>29</v>
      </c>
      <c r="N17" s="103"/>
      <c r="O17" s="103" t="s">
        <v>244</v>
      </c>
      <c r="P17" s="82"/>
      <c r="Q17" s="36"/>
      <c r="T17" s="1">
        <v>4008.8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648</v>
      </c>
      <c r="O18" s="277" t="s">
        <v>70</v>
      </c>
      <c r="P18" s="278"/>
      <c r="Q18" s="65" t="s">
        <v>69</v>
      </c>
      <c r="T18" s="1">
        <v>3610.61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8</v>
      </c>
      <c r="O19" s="69" t="s">
        <v>13</v>
      </c>
      <c r="P19" s="46" t="s">
        <v>379</v>
      </c>
      <c r="Q19" s="65" t="s">
        <v>380</v>
      </c>
      <c r="T19" s="1">
        <v>4079.84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0</v>
      </c>
      <c r="O20" s="77" t="s">
        <v>64</v>
      </c>
      <c r="P20" s="75">
        <v>60</v>
      </c>
      <c r="Q20" s="65">
        <v>3972.24</v>
      </c>
      <c r="T20" s="1">
        <v>3613.11</v>
      </c>
    </row>
    <row r="21" spans="1:20" ht="25.5" customHeight="1" x14ac:dyDescent="0.25">
      <c r="A21" s="16" t="s">
        <v>46</v>
      </c>
      <c r="B21" s="66">
        <v>206.28125</v>
      </c>
      <c r="C21" s="66">
        <v>206.54166666666666</v>
      </c>
      <c r="D21" s="66">
        <f t="shared" ref="D21:D23" si="5">C21-B21</f>
        <v>0.26041666666665719</v>
      </c>
      <c r="E21" s="66">
        <v>206.60416666666666</v>
      </c>
      <c r="F21" s="66">
        <v>206.875</v>
      </c>
      <c r="G21" s="66">
        <f t="shared" ref="G21:G23" si="6">F21-E21</f>
        <v>0.27083333333334281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0.82986111111111427</v>
      </c>
      <c r="M21" s="154" t="s">
        <v>47</v>
      </c>
      <c r="N21" s="65">
        <f>M17+M12+M7</f>
        <v>59</v>
      </c>
      <c r="O21" s="78" t="s">
        <v>68</v>
      </c>
      <c r="P21" s="75">
        <v>251</v>
      </c>
      <c r="Q21" s="65">
        <v>7425.62</v>
      </c>
      <c r="T21" s="1">
        <v>3983.96</v>
      </c>
    </row>
    <row r="22" spans="1:20" ht="27" customHeight="1" x14ac:dyDescent="0.25">
      <c r="A22" s="16" t="s">
        <v>48</v>
      </c>
      <c r="B22" s="66">
        <v>206.25347222222223</v>
      </c>
      <c r="C22" s="66">
        <v>206.54166666666666</v>
      </c>
      <c r="D22" s="66">
        <f t="shared" si="5"/>
        <v>0.28819444444442865</v>
      </c>
      <c r="E22" s="66">
        <v>206.58333333333334</v>
      </c>
      <c r="F22" s="66">
        <v>206.875</v>
      </c>
      <c r="G22" s="66">
        <f t="shared" si="6"/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0.87152777777777146</v>
      </c>
      <c r="M22" s="49" t="s">
        <v>49</v>
      </c>
      <c r="N22" s="65">
        <v>32285.11</v>
      </c>
      <c r="O22" s="80" t="s">
        <v>65</v>
      </c>
      <c r="P22" s="75">
        <v>195</v>
      </c>
      <c r="Q22" s="65">
        <v>4953.87</v>
      </c>
      <c r="T22" s="1">
        <v>3591.41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si="5"/>
        <v>0.27083333333331439</v>
      </c>
      <c r="E23" s="66">
        <v>206.58333333333334</v>
      </c>
      <c r="F23" s="66">
        <v>206.70833333333334</v>
      </c>
      <c r="G23" s="66">
        <f t="shared" si="6"/>
        <v>0.125</v>
      </c>
      <c r="H23" s="66">
        <v>206.97916666666666</v>
      </c>
      <c r="I23" s="66">
        <v>207.20833333333334</v>
      </c>
      <c r="J23" s="71">
        <f>I23-H23-K23</f>
        <v>0.22916666666668561</v>
      </c>
      <c r="K23" s="155"/>
      <c r="L23" s="156">
        <f>D23+G23+J23</f>
        <v>0.625</v>
      </c>
      <c r="M23" s="154" t="s">
        <v>63</v>
      </c>
      <c r="N23" s="85">
        <v>9</v>
      </c>
      <c r="O23" s="86" t="s">
        <v>66</v>
      </c>
      <c r="P23" s="76">
        <v>71</v>
      </c>
      <c r="Q23" s="65">
        <v>2422.36</v>
      </c>
      <c r="S23" s="1">
        <v>791518.81</v>
      </c>
      <c r="T23" s="1">
        <f>SUM(T14:T22)</f>
        <v>33689.050000000003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0.81944444444440023</v>
      </c>
      <c r="E24" s="68"/>
      <c r="F24" s="68"/>
      <c r="G24" s="66">
        <f>SUM(G21:G23)</f>
        <v>0.6875</v>
      </c>
      <c r="H24" s="68"/>
      <c r="I24" s="68"/>
      <c r="J24" s="71">
        <f>SUM(J21:J23)</f>
        <v>0.8194444444444855</v>
      </c>
      <c r="K24" s="75"/>
      <c r="L24" s="83">
        <f>SUM(L21:L23)</f>
        <v>2.3263888888888857</v>
      </c>
      <c r="M24" s="65" t="s">
        <v>77</v>
      </c>
      <c r="N24" s="65">
        <v>33414.75</v>
      </c>
      <c r="P24" s="79" t="s">
        <v>67</v>
      </c>
      <c r="Q24" s="43">
        <v>47224.2</v>
      </c>
      <c r="S24" s="1">
        <v>33689.050000000003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N24+Sheet29!O25</f>
        <v>1030420.34</v>
      </c>
      <c r="P25" s="154" t="s">
        <v>76</v>
      </c>
      <c r="Q25" s="87">
        <v>51196.44</v>
      </c>
      <c r="S25" s="1">
        <f>SUM(S23:S24)</f>
        <v>825207.8600000001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53000</v>
      </c>
      <c r="P26" s="51" t="s">
        <v>86</v>
      </c>
      <c r="Q26" s="69">
        <f>Q24+Sheet28!Q26</f>
        <v>1158926.54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55.3</v>
      </c>
      <c r="M27" s="55"/>
      <c r="N27" s="88">
        <f>N22/L27</f>
        <v>583.817540687161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selection activeCell="S6" sqref="S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8" width="4.140625" style="1" customWidth="1"/>
    <col min="19" max="20" width="19.28515625" style="1" customWidth="1"/>
    <col min="21" max="16384" width="9.140625" style="1"/>
  </cols>
  <sheetData>
    <row r="1" spans="1:20" ht="3" customHeight="1" x14ac:dyDescent="0.25"/>
    <row r="2" spans="1:20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391</v>
      </c>
    </row>
    <row r="3" spans="1:20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20" ht="15" customHeight="1" x14ac:dyDescent="0.25">
      <c r="A4" s="20"/>
      <c r="B4" s="21" t="s">
        <v>14</v>
      </c>
      <c r="C4" s="22" t="s">
        <v>13</v>
      </c>
      <c r="D4" s="22">
        <v>40</v>
      </c>
      <c r="E4" s="22">
        <v>45</v>
      </c>
      <c r="F4" s="22">
        <v>48</v>
      </c>
      <c r="G4" s="22">
        <v>20</v>
      </c>
      <c r="H4" s="22">
        <v>42</v>
      </c>
      <c r="I4" s="22">
        <v>35</v>
      </c>
      <c r="J4" s="22">
        <v>15</v>
      </c>
      <c r="K4" s="22">
        <v>168</v>
      </c>
      <c r="L4" s="22">
        <v>77</v>
      </c>
      <c r="M4" s="93">
        <f t="shared" ref="M4" si="0" xml:space="preserve"> K4+L4</f>
        <v>245</v>
      </c>
      <c r="N4" s="104"/>
      <c r="O4" s="95" t="s">
        <v>87</v>
      </c>
      <c r="P4" s="105" t="s">
        <v>88</v>
      </c>
      <c r="Q4" s="33"/>
    </row>
    <row r="5" spans="1:20" ht="16.5" customHeight="1" x14ac:dyDescent="0.25">
      <c r="A5" s="23" t="s">
        <v>15</v>
      </c>
      <c r="B5" s="21" t="s">
        <v>16</v>
      </c>
      <c r="C5" s="22"/>
      <c r="D5" s="22">
        <v>1</v>
      </c>
      <c r="E5" s="22">
        <v>1</v>
      </c>
      <c r="F5" s="22">
        <v>1</v>
      </c>
      <c r="G5" s="22">
        <v>2</v>
      </c>
      <c r="H5" s="22"/>
      <c r="I5" s="22"/>
      <c r="J5" s="22"/>
      <c r="K5" s="22">
        <v>5</v>
      </c>
      <c r="L5" s="22">
        <v>0</v>
      </c>
      <c r="M5" s="93">
        <f t="shared" ref="M5" si="1" xml:space="preserve"> K5+L5</f>
        <v>5</v>
      </c>
      <c r="N5" s="190"/>
      <c r="O5" s="66" t="s">
        <v>13</v>
      </c>
      <c r="P5" s="66" t="s">
        <v>13</v>
      </c>
      <c r="Q5" s="66" t="s">
        <v>13</v>
      </c>
    </row>
    <row r="6" spans="1:20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</v>
      </c>
      <c r="L6" s="22">
        <v>0</v>
      </c>
      <c r="M6" s="93">
        <f t="shared" ref="M6:M7" si="2" xml:space="preserve"> K6+L6</f>
        <v>2</v>
      </c>
      <c r="N6" s="104"/>
      <c r="O6" s="96"/>
      <c r="P6" s="65"/>
      <c r="Q6" s="273"/>
    </row>
    <row r="7" spans="1:20" ht="15" customHeight="1" x14ac:dyDescent="0.25">
      <c r="A7" s="25"/>
      <c r="B7" s="21" t="s">
        <v>19</v>
      </c>
      <c r="C7" s="22"/>
      <c r="D7" s="22">
        <v>5</v>
      </c>
      <c r="E7" s="22">
        <v>2</v>
      </c>
      <c r="F7" s="22">
        <v>2</v>
      </c>
      <c r="G7" s="22">
        <v>5</v>
      </c>
      <c r="H7" s="22">
        <v>3</v>
      </c>
      <c r="I7" s="22">
        <v>3</v>
      </c>
      <c r="J7" s="22">
        <v>4</v>
      </c>
      <c r="K7" s="22">
        <v>14</v>
      </c>
      <c r="L7" s="22">
        <v>10</v>
      </c>
      <c r="M7" s="93">
        <f t="shared" si="2"/>
        <v>24</v>
      </c>
      <c r="N7" s="104"/>
      <c r="O7" s="97"/>
      <c r="P7" s="65"/>
      <c r="Q7" s="274"/>
    </row>
    <row r="8" spans="1:20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20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165</v>
      </c>
      <c r="L9" s="22">
        <v>45</v>
      </c>
      <c r="M9" s="93">
        <f t="shared" ref="M9:M12" si="3" xml:space="preserve"> K9+L9</f>
        <v>210</v>
      </c>
      <c r="N9" s="82"/>
      <c r="O9" s="99"/>
      <c r="P9" s="82"/>
      <c r="Q9" s="36"/>
    </row>
    <row r="10" spans="1:20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3">
        <f t="shared" si="3"/>
        <v>0</v>
      </c>
      <c r="N10" s="82"/>
      <c r="O10" s="275" t="s">
        <v>126</v>
      </c>
      <c r="P10" s="276"/>
      <c r="Q10" s="43" t="s">
        <v>72</v>
      </c>
    </row>
    <row r="11" spans="1:20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9</v>
      </c>
      <c r="L11" s="22">
        <v>5</v>
      </c>
      <c r="M11" s="93">
        <f t="shared" si="3"/>
        <v>14</v>
      </c>
      <c r="N11" s="82"/>
      <c r="O11" s="66" t="s">
        <v>13</v>
      </c>
      <c r="P11" s="66" t="s">
        <v>13</v>
      </c>
      <c r="Q11" s="33" t="s">
        <v>13</v>
      </c>
    </row>
    <row r="12" spans="1:20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10</v>
      </c>
      <c r="L12" s="22">
        <v>15</v>
      </c>
      <c r="M12" s="93">
        <f t="shared" si="3"/>
        <v>25</v>
      </c>
      <c r="N12" s="82"/>
      <c r="O12" s="82"/>
      <c r="P12" s="82"/>
      <c r="Q12" s="37" t="s">
        <v>13</v>
      </c>
    </row>
    <row r="13" spans="1:20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P13" s="82"/>
      <c r="Q13" s="37"/>
    </row>
    <row r="14" spans="1:20" ht="15" x14ac:dyDescent="0.25">
      <c r="A14" s="33"/>
      <c r="B14" s="21" t="s">
        <v>14</v>
      </c>
      <c r="C14" s="22"/>
      <c r="D14" s="22">
        <v>45</v>
      </c>
      <c r="E14" s="22">
        <v>47</v>
      </c>
      <c r="F14" s="22">
        <v>25</v>
      </c>
      <c r="G14" s="22">
        <v>30</v>
      </c>
      <c r="H14" s="22">
        <v>30</v>
      </c>
      <c r="I14" s="22">
        <v>28</v>
      </c>
      <c r="J14" s="22">
        <v>25</v>
      </c>
      <c r="K14" s="22">
        <v>160</v>
      </c>
      <c r="L14" s="22">
        <v>70</v>
      </c>
      <c r="M14" s="93">
        <f t="shared" ref="M14:M17" si="4" xml:space="preserve"> K14+L14</f>
        <v>230</v>
      </c>
      <c r="N14" s="103"/>
      <c r="O14" s="101"/>
      <c r="P14" s="82"/>
      <c r="Q14" s="37"/>
      <c r="T14" s="1">
        <v>3587.41</v>
      </c>
    </row>
    <row r="15" spans="1:20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/>
      <c r="O15" s="102"/>
      <c r="P15" s="82"/>
      <c r="Q15" s="37"/>
      <c r="T15" s="1">
        <v>4052.2</v>
      </c>
    </row>
    <row r="16" spans="1:20" ht="15.75" customHeight="1" x14ac:dyDescent="0.25">
      <c r="A16" s="107" t="s">
        <v>17</v>
      </c>
      <c r="B16" s="21" t="s">
        <v>18</v>
      </c>
      <c r="C16" s="22"/>
      <c r="D16" s="22">
        <v>8</v>
      </c>
      <c r="E16" s="22">
        <v>7</v>
      </c>
      <c r="F16" s="22"/>
      <c r="G16" s="22"/>
      <c r="H16" s="22">
        <v>5</v>
      </c>
      <c r="I16" s="22"/>
      <c r="J16" s="22"/>
      <c r="K16" s="22">
        <v>10</v>
      </c>
      <c r="L16" s="22">
        <v>10</v>
      </c>
      <c r="M16" s="93">
        <f t="shared" si="4"/>
        <v>20</v>
      </c>
      <c r="N16" s="103"/>
      <c r="O16" s="103"/>
      <c r="P16" s="82"/>
      <c r="Q16" s="37"/>
      <c r="T16" s="1">
        <v>3161.71</v>
      </c>
    </row>
    <row r="17" spans="1:20" ht="17.25" customHeight="1" x14ac:dyDescent="0.25">
      <c r="A17" s="37"/>
      <c r="B17" s="21" t="s">
        <v>19</v>
      </c>
      <c r="C17" s="22"/>
      <c r="D17" s="22">
        <v>6</v>
      </c>
      <c r="E17" s="22">
        <v>5</v>
      </c>
      <c r="F17" s="22"/>
      <c r="G17" s="22"/>
      <c r="H17" s="22"/>
      <c r="I17" s="22">
        <v>6</v>
      </c>
      <c r="J17" s="22"/>
      <c r="K17" s="22">
        <v>17</v>
      </c>
      <c r="L17" s="22">
        <v>0</v>
      </c>
      <c r="M17" s="93">
        <f t="shared" si="4"/>
        <v>17</v>
      </c>
      <c r="N17" s="103"/>
      <c r="O17" s="189" t="s">
        <v>135</v>
      </c>
      <c r="P17" s="82"/>
      <c r="Q17" s="36"/>
      <c r="T17" s="1">
        <v>4008.8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685</v>
      </c>
      <c r="O18" s="277" t="s">
        <v>70</v>
      </c>
      <c r="P18" s="278"/>
      <c r="Q18" s="65" t="s">
        <v>69</v>
      </c>
      <c r="T18" s="1">
        <v>3610.61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v>9</v>
      </c>
      <c r="O19" s="69">
        <v>9</v>
      </c>
      <c r="P19" s="46" t="s">
        <v>375</v>
      </c>
      <c r="Q19" s="65" t="s">
        <v>393</v>
      </c>
      <c r="T19" s="1">
        <v>4079.84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36</v>
      </c>
      <c r="O20" s="77" t="s">
        <v>64</v>
      </c>
      <c r="P20" s="75">
        <v>75</v>
      </c>
      <c r="Q20" s="65">
        <v>4985</v>
      </c>
      <c r="T20" s="1">
        <v>3613.11</v>
      </c>
    </row>
    <row r="21" spans="1:20" ht="25.5" customHeight="1" x14ac:dyDescent="0.25">
      <c r="A21" s="16" t="s">
        <v>46</v>
      </c>
      <c r="B21" s="66">
        <v>206.27083333333334</v>
      </c>
      <c r="C21" s="66">
        <v>206.54166666666666</v>
      </c>
      <c r="D21" s="66">
        <f t="shared" ref="D21:D23" si="5">C21-B21</f>
        <v>0.27083333333331439</v>
      </c>
      <c r="E21" s="66">
        <v>206.59722222222223</v>
      </c>
      <c r="F21" s="66">
        <v>206.875</v>
      </c>
      <c r="G21" s="66">
        <f t="shared" ref="G21:G23" si="6">F21-E21</f>
        <v>0.27777777777777146</v>
      </c>
      <c r="H21" s="66">
        <v>206.93055555555554</v>
      </c>
      <c r="I21" s="66">
        <v>207.20833333333334</v>
      </c>
      <c r="J21" s="71">
        <f>I21-H21-K21</f>
        <v>0.27777777777779988</v>
      </c>
      <c r="K21" s="66"/>
      <c r="L21" s="73">
        <f>D21+G21+J21</f>
        <v>0.82638888888888573</v>
      </c>
      <c r="M21" s="154" t="s">
        <v>47</v>
      </c>
      <c r="N21" s="65">
        <f>M17+M12+M7</f>
        <v>66</v>
      </c>
      <c r="O21" s="78" t="s">
        <v>68</v>
      </c>
      <c r="P21" s="75">
        <v>304</v>
      </c>
      <c r="Q21" s="65">
        <v>8930</v>
      </c>
      <c r="S21" s="1">
        <v>34954.559999999998</v>
      </c>
      <c r="T21" s="1">
        <v>3983.96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5"/>
        <v>0.29166666666665719</v>
      </c>
      <c r="E22" s="66">
        <v>206.58333333333334</v>
      </c>
      <c r="F22" s="66">
        <v>206.875</v>
      </c>
      <c r="G22" s="66">
        <f t="shared" si="6"/>
        <v>0.29166666666665719</v>
      </c>
      <c r="H22" s="66">
        <v>206.9375</v>
      </c>
      <c r="I22" s="66">
        <v>207.20833333333334</v>
      </c>
      <c r="J22" s="71">
        <f>I22-H22-K22</f>
        <v>0.27083333333334281</v>
      </c>
      <c r="K22" s="75"/>
      <c r="L22" s="73">
        <f>D22+G22+J22</f>
        <v>0.85416666666665719</v>
      </c>
      <c r="M22" s="49" t="s">
        <v>49</v>
      </c>
      <c r="N22" s="65">
        <v>35990</v>
      </c>
      <c r="O22" s="80" t="s">
        <v>65</v>
      </c>
      <c r="P22" s="75">
        <v>210</v>
      </c>
      <c r="Q22" s="65">
        <v>5302</v>
      </c>
      <c r="T22" s="1">
        <v>3591.41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si="5"/>
        <v>0.25</v>
      </c>
      <c r="E23" s="66">
        <v>206.61458333333334</v>
      </c>
      <c r="F23" s="66">
        <v>206.875</v>
      </c>
      <c r="G23" s="66">
        <f t="shared" si="6"/>
        <v>0.26041666666665719</v>
      </c>
      <c r="H23" s="66">
        <v>206.97916666666666</v>
      </c>
      <c r="I23" s="66">
        <v>207.20833333333334</v>
      </c>
      <c r="J23" s="71">
        <f>I23-H23-K23</f>
        <v>0.22916666666668561</v>
      </c>
      <c r="K23" s="155"/>
      <c r="L23" s="156">
        <f>D23+G23+J23</f>
        <v>0.73958333333334281</v>
      </c>
      <c r="M23" s="154" t="s">
        <v>63</v>
      </c>
      <c r="N23" s="85">
        <v>8</v>
      </c>
      <c r="O23" s="86" t="s">
        <v>66</v>
      </c>
      <c r="P23" s="76">
        <v>25</v>
      </c>
      <c r="Q23" s="65">
        <v>923</v>
      </c>
      <c r="S23" s="1" t="s">
        <v>13</v>
      </c>
      <c r="T23" s="1">
        <f>SUM(T14:T22)</f>
        <v>33689.050000000003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0.81249999999997158</v>
      </c>
      <c r="E24" s="68"/>
      <c r="F24" s="68"/>
      <c r="G24" s="66">
        <f>SUM(G21:G23)</f>
        <v>0.82986111111108585</v>
      </c>
      <c r="H24" s="68"/>
      <c r="I24" s="68"/>
      <c r="J24" s="71">
        <f>SUM(J21:J23)</f>
        <v>0.77777777777782831</v>
      </c>
      <c r="K24" s="75"/>
      <c r="L24" s="83">
        <f>SUM(L21:L23)</f>
        <v>2.4201388888888857</v>
      </c>
      <c r="M24" s="65" t="s">
        <v>77</v>
      </c>
      <c r="N24" s="65">
        <v>29766</v>
      </c>
      <c r="P24" s="79" t="s">
        <v>67</v>
      </c>
      <c r="Q24" s="43">
        <v>4581</v>
      </c>
      <c r="S24" s="1" t="s">
        <v>13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v>1060388.32</v>
      </c>
      <c r="P25" s="154" t="s">
        <v>76</v>
      </c>
      <c r="Q25" s="87">
        <v>50167</v>
      </c>
      <c r="S25" s="1">
        <f>SUM(S23:S24)</f>
        <v>0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86</v>
      </c>
      <c r="Q26" s="69">
        <f>Q24+Sheet28!Q26</f>
        <v>1116283.3400000001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58.05</v>
      </c>
      <c r="M27" s="55"/>
      <c r="N27" s="88">
        <f>N22/L27</f>
        <v>619.98277347114561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19685039370078741" right="0.19685039370078741" top="0.19685039370078741" bottom="0.19685039370078741" header="0.31496062992125984" footer="0.31496062992125984"/>
  <pageSetup paperSize="9" scale="76" orientation="landscape" horizontalDpi="180" verticalDpi="18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S43"/>
  <sheetViews>
    <sheetView tabSelected="1" topLeftCell="E21" workbookViewId="0">
      <selection activeCell="A4" sqref="A4:S43"/>
    </sheetView>
  </sheetViews>
  <sheetFormatPr defaultRowHeight="15" x14ac:dyDescent="0.25"/>
  <cols>
    <col min="1" max="1" width="12.140625" customWidth="1"/>
    <col min="2" max="2" width="11.28515625" customWidth="1"/>
    <col min="4" max="4" width="12.28515625" customWidth="1"/>
    <col min="5" max="14" width="11.42578125" customWidth="1"/>
    <col min="15" max="15" width="14.42578125" customWidth="1"/>
    <col min="16" max="16" width="12.7109375" customWidth="1"/>
    <col min="17" max="17" width="6.140625" style="149" bestFit="1" customWidth="1"/>
    <col min="18" max="18" width="11.85546875" bestFit="1" customWidth="1"/>
    <col min="19" max="19" width="14.28515625" customWidth="1"/>
  </cols>
  <sheetData>
    <row r="4" spans="1:19" ht="18.75" x14ac:dyDescent="0.3">
      <c r="A4" s="265" t="s">
        <v>392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  <c r="R4" s="167"/>
      <c r="S4" s="167"/>
    </row>
    <row r="5" spans="1:19" ht="15.75" x14ac:dyDescent="0.25">
      <c r="A5" s="166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7"/>
      <c r="Q5" s="168"/>
      <c r="R5" s="167"/>
      <c r="S5" s="167"/>
    </row>
    <row r="6" spans="1:19" ht="15.75" x14ac:dyDescent="0.25">
      <c r="A6" s="170"/>
      <c r="B6" s="291" t="s">
        <v>80</v>
      </c>
      <c r="C6" s="291"/>
      <c r="D6" s="291"/>
      <c r="E6" s="291"/>
      <c r="F6" s="292" t="s">
        <v>418</v>
      </c>
      <c r="G6" s="293"/>
      <c r="H6" s="293"/>
      <c r="I6" s="280"/>
      <c r="J6" s="292" t="s">
        <v>419</v>
      </c>
      <c r="K6" s="293"/>
      <c r="L6" s="293"/>
      <c r="M6" s="280"/>
      <c r="N6" s="172" t="s">
        <v>418</v>
      </c>
      <c r="O6" s="172" t="s">
        <v>419</v>
      </c>
      <c r="P6" s="171" t="s">
        <v>116</v>
      </c>
      <c r="Q6" s="292" t="s">
        <v>115</v>
      </c>
      <c r="R6" s="293"/>
      <c r="S6" s="294"/>
    </row>
    <row r="7" spans="1:19" ht="15.75" x14ac:dyDescent="0.25">
      <c r="A7" s="170" t="s">
        <v>79</v>
      </c>
      <c r="B7" s="170" t="s">
        <v>81</v>
      </c>
      <c r="C7" s="170" t="s">
        <v>82</v>
      </c>
      <c r="D7" s="170" t="s">
        <v>83</v>
      </c>
      <c r="E7" s="170" t="s">
        <v>44</v>
      </c>
      <c r="F7" s="172" t="s">
        <v>14</v>
      </c>
      <c r="G7" s="172" t="s">
        <v>16</v>
      </c>
      <c r="H7" s="172" t="s">
        <v>84</v>
      </c>
      <c r="I7" s="172" t="s">
        <v>420</v>
      </c>
      <c r="J7" s="172" t="s">
        <v>14</v>
      </c>
      <c r="K7" s="172" t="s">
        <v>16</v>
      </c>
      <c r="L7" s="172" t="s">
        <v>84</v>
      </c>
      <c r="M7" s="172" t="s">
        <v>420</v>
      </c>
      <c r="N7" s="172" t="s">
        <v>421</v>
      </c>
      <c r="O7" s="172" t="s">
        <v>421</v>
      </c>
      <c r="P7" s="172" t="s">
        <v>90</v>
      </c>
      <c r="Q7" s="172" t="s">
        <v>91</v>
      </c>
      <c r="R7" s="172" t="s">
        <v>92</v>
      </c>
      <c r="S7" s="172" t="s">
        <v>93</v>
      </c>
    </row>
    <row r="8" spans="1:19" ht="15.75" x14ac:dyDescent="0.25">
      <c r="A8" s="173">
        <v>43952</v>
      </c>
      <c r="B8" s="174">
        <f>'stream I '!I5</f>
        <v>0.72222222222225696</v>
      </c>
      <c r="C8" s="174">
        <f>' stream II  '!I5</f>
        <v>0.85416666666665719</v>
      </c>
      <c r="D8" s="174">
        <f>'stream III '!I5</f>
        <v>0.82638888888888573</v>
      </c>
      <c r="E8" s="158">
        <f>B8+C8+D8</f>
        <v>2.4027777777777999</v>
      </c>
      <c r="F8" s="266">
        <f>Sheet1!$K$4+Sheet1!$K$9+Sheet1!$K$14</f>
        <v>443</v>
      </c>
      <c r="G8" s="266">
        <f>Sheet1!$K$5+Sheet1!$K$10+Sheet1!$K$15</f>
        <v>39</v>
      </c>
      <c r="H8" s="266">
        <f>Sheet1!$K$6+Sheet1!$K$11+Sheet1!$K$16</f>
        <v>17</v>
      </c>
      <c r="I8" s="266">
        <f>Sheet1!$K$7+Sheet1!$K$12+Sheet1!$K$17</f>
        <v>148</v>
      </c>
      <c r="J8" s="266">
        <f>Sheet1!$L$4+Sheet1!$L$9+Sheet1!$L$14</f>
        <v>155</v>
      </c>
      <c r="K8" s="266">
        <f>Sheet1!$L$5+Sheet1!$L$10+Sheet1!$L$15</f>
        <v>0</v>
      </c>
      <c r="L8" s="266">
        <f>Sheet1!$L$6+Sheet1!$L$11+Sheet1!$L$16</f>
        <v>0</v>
      </c>
      <c r="M8" s="266">
        <f>Sheet1!$L$7+Sheet1!$L$12+Sheet1!$M$17</f>
        <v>102</v>
      </c>
      <c r="N8" s="176">
        <f>P8-O8</f>
        <v>24358.59</v>
      </c>
      <c r="O8" s="176">
        <f>J8*50+K8*27+L8*50</f>
        <v>7750</v>
      </c>
      <c r="P8" s="176">
        <f>Sheet1!N22</f>
        <v>32108.59</v>
      </c>
      <c r="Q8" s="177">
        <f>Sheet1!N23</f>
        <v>10</v>
      </c>
      <c r="R8" s="176">
        <v>37042.519999999997</v>
      </c>
      <c r="S8" s="176">
        <f>R8</f>
        <v>37042.519999999997</v>
      </c>
    </row>
    <row r="9" spans="1:19" ht="15.75" x14ac:dyDescent="0.25">
      <c r="A9" s="173">
        <v>43953</v>
      </c>
      <c r="B9" s="174">
        <f>'stream I '!I6</f>
        <v>0.78819444444445708</v>
      </c>
      <c r="C9" s="174">
        <f>' stream II  '!I6</f>
        <v>0.76388888888888573</v>
      </c>
      <c r="D9" s="174">
        <f>'stream III '!I6</f>
        <v>0.80902777777777146</v>
      </c>
      <c r="E9" s="158">
        <f>SUM(B9:D9)</f>
        <v>2.3611111111111143</v>
      </c>
      <c r="F9" s="266">
        <f>Sheet2!$K$4+Sheet2!$K$9+Sheet2!$K$14</f>
        <v>453</v>
      </c>
      <c r="G9" s="266">
        <f>Sheet2!$K$5+Sheet2!$K$10+Sheet2!$K$15</f>
        <v>20</v>
      </c>
      <c r="H9" s="266">
        <f>Sheet2!$K$6+Sheet2!$K$11+Sheet2!$K$16</f>
        <v>25</v>
      </c>
      <c r="I9" s="266">
        <f>Sheet2!$K$7+Sheet2!$K$12+Sheet2!$K$17</f>
        <v>37</v>
      </c>
      <c r="J9" s="266">
        <f>Sheet2!$L$4+Sheet2!$L$9+Sheet2!$L$14</f>
        <v>159</v>
      </c>
      <c r="K9" s="266">
        <f>Sheet2!$L$5+Sheet2!$L$10+Sheet2!$L$15</f>
        <v>0</v>
      </c>
      <c r="L9" s="266">
        <f>Sheet2!$L$6+Sheet2!$L$11+Sheet3!$L$16</f>
        <v>0</v>
      </c>
      <c r="M9" s="266">
        <f>Sheet2!$L$7+Sheet2!$L$12+Sheet2!$M$17</f>
        <v>43</v>
      </c>
      <c r="N9" s="176">
        <f t="shared" ref="N9:N38" si="0">P9-O9</f>
        <v>27386.68</v>
      </c>
      <c r="O9" s="176">
        <f t="shared" ref="O9:O38" si="1">J9*50+K9*27+L9*50</f>
        <v>7950</v>
      </c>
      <c r="P9" s="176">
        <f>Sheet2!N22</f>
        <v>35336.68</v>
      </c>
      <c r="Q9" s="177">
        <f>Sheet2!N23</f>
        <v>8</v>
      </c>
      <c r="R9" s="176">
        <f>Sheet2!N24</f>
        <v>29229.83</v>
      </c>
      <c r="S9" s="176">
        <f>S8+R9</f>
        <v>66272.350000000006</v>
      </c>
    </row>
    <row r="10" spans="1:19" ht="15.75" x14ac:dyDescent="0.25">
      <c r="A10" s="173">
        <v>43954</v>
      </c>
      <c r="B10" s="174">
        <f>'stream I '!I7</f>
        <v>0.85069444444442865</v>
      </c>
      <c r="C10" s="174">
        <f>' stream II  '!I7</f>
        <v>0.79513888888891415</v>
      </c>
      <c r="D10" s="174">
        <f>'stream III '!I7</f>
        <v>0.61111111111114269</v>
      </c>
      <c r="E10" s="158">
        <f t="shared" ref="E10:E36" si="2">SUM(B10:D10)</f>
        <v>2.2569444444444855</v>
      </c>
      <c r="F10" s="266">
        <f>Sheet3!$K$4+Sheet3!$K$9+Sheet3!$K$14</f>
        <v>488</v>
      </c>
      <c r="G10" s="266">
        <f>Sheet3!$K$5+Sheet3!$K$10+Sheet3!$K$15</f>
        <v>20</v>
      </c>
      <c r="H10" s="266">
        <f>Sheet3!$K$6+Sheet3!$K$11+Sheet3!$K$16</f>
        <v>55</v>
      </c>
      <c r="I10" s="266">
        <f>Sheet3!$K$7+Sheet3!$K$12+Sheet3!$K$17</f>
        <v>57</v>
      </c>
      <c r="J10" s="266">
        <f>Sheet3!$L$4+Sheet3!$L$9+Sheet3!$L$14</f>
        <v>146</v>
      </c>
      <c r="K10" s="266">
        <f>Sheet3!$L$5+Sheet3!$L$10+Sheet3!$L$15</f>
        <v>0</v>
      </c>
      <c r="L10" s="266">
        <f>Sheet3!$L$6+Sheet3!$L$11+Sheet3!$L$16</f>
        <v>5</v>
      </c>
      <c r="M10" s="266">
        <f>Sheet3!$L$7+Sheet3!$L$12+Sheet3!$M$17</f>
        <v>27</v>
      </c>
      <c r="N10" s="176">
        <f t="shared" si="0"/>
        <v>23804</v>
      </c>
      <c r="O10" s="176">
        <f t="shared" si="1"/>
        <v>7550</v>
      </c>
      <c r="P10" s="176">
        <f>Sheet3!N22</f>
        <v>31354</v>
      </c>
      <c r="Q10" s="177">
        <f>Sheet3!N23</f>
        <v>10</v>
      </c>
      <c r="R10" s="176">
        <f>Sheet3!N24</f>
        <v>37170.74</v>
      </c>
      <c r="S10" s="176">
        <f t="shared" ref="S10:S36" si="3">S9+R10</f>
        <v>103443.09</v>
      </c>
    </row>
    <row r="11" spans="1:19" ht="15.75" x14ac:dyDescent="0.25">
      <c r="A11" s="173">
        <v>43955</v>
      </c>
      <c r="B11" s="174">
        <f>'stream I '!I8</f>
        <v>0.82638888888888573</v>
      </c>
      <c r="C11" s="174">
        <f>' stream II  '!I8</f>
        <v>0.86458333333334281</v>
      </c>
      <c r="D11" s="174">
        <f>'stream III '!I8</f>
        <v>0.68750000000002842</v>
      </c>
      <c r="E11" s="158">
        <f t="shared" si="2"/>
        <v>2.378472222222257</v>
      </c>
      <c r="F11" s="266">
        <f>Sheet4!$K$4+Sheet4!$K$9+Sheet4!$K$14</f>
        <v>443</v>
      </c>
      <c r="G11" s="266">
        <f>Sheet4!$K$5+Sheet4!$K$10+Sheet4!$K$15</f>
        <v>14</v>
      </c>
      <c r="H11" s="266">
        <f>Sheet4!$K$6+Sheet4!$K$11+Sheet4!$K$16</f>
        <v>38</v>
      </c>
      <c r="I11" s="266">
        <f>Sheet4!$K$7+Sheet4!$K$12+Sheet4!$K$17</f>
        <v>59</v>
      </c>
      <c r="J11" s="266">
        <f>Sheet4!$L$4+Sheet4!$L$9+Sheet4!$L$14</f>
        <v>98</v>
      </c>
      <c r="K11" s="266">
        <f>Sheet4!$L$5+Sheet4!$L$10+Sheet4!$L$15</f>
        <v>0</v>
      </c>
      <c r="L11" s="266">
        <f>Sheet4!$L$6+Sheet4!$L$11+Sheet4!$L$16</f>
        <v>0</v>
      </c>
      <c r="M11" s="266">
        <f>Sheet4!$L$7+Sheet4!$L$12+Sheet4!$M$17</f>
        <v>25</v>
      </c>
      <c r="N11" s="176">
        <f t="shared" si="0"/>
        <v>25123.62</v>
      </c>
      <c r="O11" s="176">
        <f t="shared" si="1"/>
        <v>4900</v>
      </c>
      <c r="P11" s="176">
        <f>Sheet4!N22</f>
        <v>30023.62</v>
      </c>
      <c r="Q11" s="177">
        <f>Sheet4!N23</f>
        <v>10</v>
      </c>
      <c r="R11" s="176">
        <f>Sheet4!N24</f>
        <v>37218.480000000003</v>
      </c>
      <c r="S11" s="176">
        <f t="shared" si="3"/>
        <v>140661.57</v>
      </c>
    </row>
    <row r="12" spans="1:19" ht="15.75" x14ac:dyDescent="0.25">
      <c r="A12" s="173">
        <v>43956</v>
      </c>
      <c r="B12" s="174">
        <f>'stream I '!I9</f>
        <v>0.71180555555554292</v>
      </c>
      <c r="C12" s="174">
        <f>' stream II  '!I9</f>
        <v>0.73611111111111427</v>
      </c>
      <c r="D12" s="174">
        <f>'stream III '!I9</f>
        <v>0.87152777777777146</v>
      </c>
      <c r="E12" s="158">
        <f t="shared" si="2"/>
        <v>2.3194444444444287</v>
      </c>
      <c r="F12" s="266">
        <f>Sheet5!$K$4+Sheet5!$K$9+Sheet5!$K$14</f>
        <v>294</v>
      </c>
      <c r="G12" s="266">
        <f>Sheet5!$K$5+Sheet5!$K$10+Sheet5!$K$15</f>
        <v>30</v>
      </c>
      <c r="H12" s="266">
        <f>Sheet5!$K$6+Sheet5!$K$11+Sheet5!$K$16</f>
        <v>15</v>
      </c>
      <c r="I12" s="266">
        <f>Sheet5!$K$7+Sheet5!$K$12+Sheet5!$K$17</f>
        <v>85</v>
      </c>
      <c r="J12" s="266">
        <f>Sheet5!$L$4+Sheet5!$L$9+Sheet5!$L$14</f>
        <v>190</v>
      </c>
      <c r="K12" s="266">
        <f>Sheet5!$L$5+Sheet5!$L$10+Sheet5!$L$15</f>
        <v>0</v>
      </c>
      <c r="L12" s="266">
        <f>Sheet5!$L$6+Sheet5!$L$11+Sheet5!$L$16</f>
        <v>7</v>
      </c>
      <c r="M12" s="266">
        <f>Sheet5!$L$7+Sheet5!$L$12+Sheet5!$M$17</f>
        <v>50</v>
      </c>
      <c r="N12" s="176">
        <f t="shared" si="0"/>
        <v>17122.68</v>
      </c>
      <c r="O12" s="176">
        <f t="shared" si="1"/>
        <v>9850</v>
      </c>
      <c r="P12" s="176">
        <f>Sheet5!N22</f>
        <v>26972.68</v>
      </c>
      <c r="Q12" s="177">
        <f>Sheet5!N23</f>
        <v>9</v>
      </c>
      <c r="R12" s="176">
        <f>Sheet5!N24</f>
        <v>33397.910000000003</v>
      </c>
      <c r="S12" s="176">
        <f t="shared" si="3"/>
        <v>174059.48</v>
      </c>
    </row>
    <row r="13" spans="1:19" ht="15.75" x14ac:dyDescent="0.25">
      <c r="A13" s="173">
        <v>43957</v>
      </c>
      <c r="B13" s="174">
        <f>'stream I '!I10</f>
        <v>0.72569444444442865</v>
      </c>
      <c r="C13" s="174">
        <f>' stream II  '!I10</f>
        <v>0.88541666666665719</v>
      </c>
      <c r="D13" s="174">
        <f>'stream III '!I10</f>
        <v>0.84375</v>
      </c>
      <c r="E13" s="158">
        <f t="shared" si="2"/>
        <v>2.4548611111110858</v>
      </c>
      <c r="F13" s="266">
        <f>Sheet6!$K$4+Sheet6!$K$9+Sheet6!$K$14</f>
        <v>519</v>
      </c>
      <c r="G13" s="266">
        <f>Sheet6!$K$5+Sheet6!$K$10+Sheet6!$K$15</f>
        <v>36</v>
      </c>
      <c r="H13" s="266">
        <f>Sheet6!$K$6+Sheet6!$K$11+Sheet6!$K$16</f>
        <v>20</v>
      </c>
      <c r="I13" s="266">
        <f>Sheet6!$K$7+Sheet6!$K$12+Sheet6!$K$17</f>
        <v>51</v>
      </c>
      <c r="J13" s="266">
        <f>Sheet6!$L$4+Sheet6!$L$9+Sheet6!$L$14</f>
        <v>240</v>
      </c>
      <c r="K13" s="266">
        <f>Sheet6!$L$5+Sheet6!$L$10+Sheet6!$L$15</f>
        <v>0</v>
      </c>
      <c r="L13" s="266">
        <f>Sheet6!$L$6+Sheet6!$L$11+Sheet6!$L$16</f>
        <v>5</v>
      </c>
      <c r="M13" s="266">
        <f>Sheet6!$L$7+Sheet6!$L$12+Sheet6!$M$17</f>
        <v>68</v>
      </c>
      <c r="N13" s="176">
        <f t="shared" si="0"/>
        <v>29428.28</v>
      </c>
      <c r="O13" s="176">
        <f t="shared" si="1"/>
        <v>12250</v>
      </c>
      <c r="P13" s="176">
        <f>Sheet6!N22</f>
        <v>41678.28</v>
      </c>
      <c r="Q13" s="177">
        <f>Sheet6!N23</f>
        <v>9</v>
      </c>
      <c r="R13" s="176">
        <f>Sheet6!N24</f>
        <v>33426.39</v>
      </c>
      <c r="S13" s="176">
        <f t="shared" si="3"/>
        <v>207485.87</v>
      </c>
    </row>
    <row r="14" spans="1:19" ht="15.75" x14ac:dyDescent="0.25">
      <c r="A14" s="173">
        <v>43958</v>
      </c>
      <c r="B14" s="174">
        <f>'stream I '!I11</f>
        <v>0.84722222222220012</v>
      </c>
      <c r="C14" s="174">
        <f>' stream II  '!I11</f>
        <v>0.88194444444445708</v>
      </c>
      <c r="D14" s="174">
        <f>'stream III '!I11</f>
        <v>0.82291666666665719</v>
      </c>
      <c r="E14" s="158">
        <f t="shared" si="2"/>
        <v>2.5520833333333144</v>
      </c>
      <c r="F14" s="266">
        <f>Sheet7!$K$4+Sheet7!$K$9+Sheet7!$K$14</f>
        <v>502</v>
      </c>
      <c r="G14" s="266">
        <f>Sheet7!$K$5+Sheet7!$K$10+Sheet7!$K$15</f>
        <v>28</v>
      </c>
      <c r="H14" s="266">
        <f>Sheet7!$K$6+Sheet7!$K$11+Sheet7!$K$16</f>
        <v>42</v>
      </c>
      <c r="I14" s="266">
        <f>Sheet7!$K$7+Sheet7!$K$12+Sheet7!$K$17</f>
        <v>58</v>
      </c>
      <c r="J14" s="266">
        <f>Sheet7!$L$4+Sheet7!$L$9+Sheet7!$L$14</f>
        <v>233</v>
      </c>
      <c r="K14" s="266">
        <f>Sheet7!$L$5+Sheet7!$L$10+Sheet7!$L$15</f>
        <v>0</v>
      </c>
      <c r="L14" s="266">
        <f>Sheet7!$L$6+Sheet7!$L$11+Sheet7!$L$16</f>
        <v>17</v>
      </c>
      <c r="M14" s="266">
        <f>Sheet7!$L$7+Sheet7!$L$12+Sheet7!$M$17</f>
        <v>50</v>
      </c>
      <c r="N14" s="176">
        <f t="shared" si="0"/>
        <v>29595.300000000003</v>
      </c>
      <c r="O14" s="176">
        <f t="shared" si="1"/>
        <v>12500</v>
      </c>
      <c r="P14" s="176">
        <f>Sheet7!N22</f>
        <v>42095.3</v>
      </c>
      <c r="Q14" s="177">
        <f>Sheet7!N23</f>
        <v>10</v>
      </c>
      <c r="R14" s="176">
        <f>Sheet7!N24</f>
        <v>37830.379999999997</v>
      </c>
      <c r="S14" s="176">
        <f t="shared" si="3"/>
        <v>245316.25</v>
      </c>
    </row>
    <row r="15" spans="1:19" ht="15.75" x14ac:dyDescent="0.25">
      <c r="A15" s="173">
        <v>43959</v>
      </c>
      <c r="B15" s="174">
        <f>'stream I '!I12</f>
        <v>0.73263888888888573</v>
      </c>
      <c r="C15" s="174">
        <f>' stream II  '!I12</f>
        <v>0.84722222222220012</v>
      </c>
      <c r="D15" s="174">
        <f>'stream III '!I12</f>
        <v>0.81597222222220012</v>
      </c>
      <c r="E15" s="158">
        <f t="shared" si="2"/>
        <v>2.395833333333286</v>
      </c>
      <c r="F15" s="266">
        <f>Sheet8!$K$4+Sheet8!$K$9+Sheet8!$K$14</f>
        <v>339</v>
      </c>
      <c r="G15" s="266">
        <f>Sheet8!$K$5+Sheet8!$K$10+Sheet8!$K$15</f>
        <v>12</v>
      </c>
      <c r="H15" s="266">
        <f>Sheet8!$K$6+Sheet8!$K$11+Sheet8!$K$16</f>
        <v>125</v>
      </c>
      <c r="I15" s="266">
        <f>Sheet8!$K$7+Sheet8!$K$12+Sheet8!$K$17</f>
        <v>24</v>
      </c>
      <c r="J15" s="266">
        <f>Sheet8!$L$4+Sheet8!$L$9+Sheet8!$L$14</f>
        <v>184</v>
      </c>
      <c r="K15" s="266">
        <f>Sheet8!$L$5+Sheet8!$L$10+Sheet8!$L$15</f>
        <v>12</v>
      </c>
      <c r="L15" s="266">
        <f>Sheet8!$L$6+Sheet8!$L$11+Sheet8!$L$16</f>
        <v>20</v>
      </c>
      <c r="M15" s="266">
        <f>Sheet8!$L$7+Sheet8!$L$12+Sheet8!$M$17</f>
        <v>23</v>
      </c>
      <c r="N15" s="176">
        <f t="shared" si="0"/>
        <v>24800</v>
      </c>
      <c r="O15" s="176">
        <f t="shared" si="1"/>
        <v>10524</v>
      </c>
      <c r="P15" s="176">
        <f>Sheet8!N22</f>
        <v>35324</v>
      </c>
      <c r="Q15" s="177">
        <f>Sheet8!N23</f>
        <v>10</v>
      </c>
      <c r="R15" s="176">
        <f>Sheet8!N24</f>
        <v>37567.24</v>
      </c>
      <c r="S15" s="176">
        <f t="shared" si="3"/>
        <v>282883.49</v>
      </c>
    </row>
    <row r="16" spans="1:19" ht="15.75" x14ac:dyDescent="0.25">
      <c r="A16" s="173">
        <v>43960</v>
      </c>
      <c r="B16" s="174">
        <f>'stream I '!I13</f>
        <v>0.84722222222222854</v>
      </c>
      <c r="C16" s="174">
        <f>' stream II  '!I13</f>
        <v>0.84027777777777146</v>
      </c>
      <c r="D16" s="174">
        <f>'stream III '!I13</f>
        <v>0.83333333333334281</v>
      </c>
      <c r="E16" s="158">
        <f t="shared" si="2"/>
        <v>2.5208333333333428</v>
      </c>
      <c r="F16" s="266">
        <f>Sheet9!$K$4+Sheet9!$K$9+Sheet9!$K$14</f>
        <v>444</v>
      </c>
      <c r="G16" s="266">
        <f>Sheet9!$K$5+Sheet9!$K$10+Sheet9!$K$15</f>
        <v>0</v>
      </c>
      <c r="H16" s="266">
        <f>Sheet9!$K$6+Sheet9!$K$11+Sheet9!$K$16</f>
        <v>90</v>
      </c>
      <c r="I16" s="266">
        <f>Sheet9!$K$7+Sheet9!$K$12+Sheet9!$K$17</f>
        <v>9</v>
      </c>
      <c r="J16" s="266">
        <f>Sheet9!$L$4+Sheet9!$L$9+Sheet9!$L$14</f>
        <v>169</v>
      </c>
      <c r="K16" s="266">
        <f>Sheet9!$L$5+Sheet9!$L$10+Sheet9!$L$15</f>
        <v>30</v>
      </c>
      <c r="L16" s="266">
        <f>Sheet9!$L$6+Sheet9!$L$11+Sheet9!$L$16</f>
        <v>0</v>
      </c>
      <c r="M16" s="266">
        <f>Sheet9!$L$7+Sheet9!$L$12+Sheet9!$M$17</f>
        <v>8</v>
      </c>
      <c r="N16" s="176">
        <f t="shared" si="0"/>
        <v>27648</v>
      </c>
      <c r="O16" s="176">
        <f t="shared" si="1"/>
        <v>9260</v>
      </c>
      <c r="P16" s="176">
        <f>Sheet9!N22</f>
        <v>36908</v>
      </c>
      <c r="Q16" s="177">
        <f>Sheet9!N23</f>
        <v>10</v>
      </c>
      <c r="R16" s="176">
        <v>36617.11</v>
      </c>
      <c r="S16" s="176">
        <f t="shared" si="3"/>
        <v>319500.59999999998</v>
      </c>
    </row>
    <row r="17" spans="1:19" ht="15.75" x14ac:dyDescent="0.25">
      <c r="A17" s="173">
        <v>43961</v>
      </c>
      <c r="B17" s="174">
        <f>'stream I '!I14</f>
        <v>0.82291666666665719</v>
      </c>
      <c r="C17" s="174">
        <f>' stream II  '!I14</f>
        <v>0.80208333333334281</v>
      </c>
      <c r="D17" s="174">
        <f>'stream III '!I14</f>
        <v>0.80208333333331439</v>
      </c>
      <c r="E17" s="158">
        <f t="shared" si="2"/>
        <v>2.4270833333333144</v>
      </c>
      <c r="F17" s="266">
        <f>Sheet10!$K$4+Sheet10!$K$9+Sheet10!$K$14</f>
        <v>402</v>
      </c>
      <c r="G17" s="266">
        <f>Sheet10!$K$5+Sheet10!$K$10+Sheet10!$K$15</f>
        <v>22</v>
      </c>
      <c r="H17" s="266">
        <f>Sheet10!$K$6+Sheet10!$K$11+Sheet10!$K$16</f>
        <v>65</v>
      </c>
      <c r="I17" s="266">
        <f>Sheet10!$K$7+Sheet10!$K$12+Sheet10!$K$17</f>
        <v>59</v>
      </c>
      <c r="J17" s="266">
        <f>Sheet10!$L$4+Sheet10!$L$9+Sheet10!$L$14</f>
        <v>136</v>
      </c>
      <c r="K17" s="266">
        <f>Sheet10!$L$5+Sheet10!$L$10+Sheet10!$L$15</f>
        <v>10</v>
      </c>
      <c r="L17" s="266">
        <f>Sheet10!$L$6+Sheet10!$L$11+Sheet10!$L$16</f>
        <v>0</v>
      </c>
      <c r="M17" s="266">
        <f>Sheet10!$L$7+Sheet10!$L$12+Sheet10!$M$17</f>
        <v>23</v>
      </c>
      <c r="N17" s="176">
        <f t="shared" si="0"/>
        <v>30041</v>
      </c>
      <c r="O17" s="176">
        <f t="shared" si="1"/>
        <v>7070</v>
      </c>
      <c r="P17" s="176">
        <f>Sheet10!N22</f>
        <v>37111</v>
      </c>
      <c r="Q17" s="177">
        <v>8</v>
      </c>
      <c r="R17" s="176">
        <v>29324.63</v>
      </c>
      <c r="S17" s="176">
        <f t="shared" si="3"/>
        <v>348825.23</v>
      </c>
    </row>
    <row r="18" spans="1:19" ht="15.75" x14ac:dyDescent="0.25">
      <c r="A18" s="173">
        <v>43962</v>
      </c>
      <c r="B18" s="174">
        <f>'stream I '!I15</f>
        <v>0.875</v>
      </c>
      <c r="C18" s="174">
        <f>' stream II  '!I15</f>
        <v>0.72222222222222854</v>
      </c>
      <c r="D18" s="174">
        <f>'stream III '!I15</f>
        <v>0.8125</v>
      </c>
      <c r="E18" s="158">
        <f t="shared" si="2"/>
        <v>2.4097222222222285</v>
      </c>
      <c r="F18" s="266">
        <f>Sheet11!$K$4+Sheet11!$K$9+Sheet11!$K$14</f>
        <v>463</v>
      </c>
      <c r="G18" s="266">
        <f>Sheet11!$K$5+Sheet11!$K$10+Sheet11!$K$15</f>
        <v>13</v>
      </c>
      <c r="H18" s="266">
        <f>Sheet11!$K$6+Sheet11!$K$11+Sheet11!$K$16</f>
        <v>56</v>
      </c>
      <c r="I18" s="266">
        <f>Sheet11!$K$7+Sheet11!$K$12+Sheet11!$K$17</f>
        <v>53</v>
      </c>
      <c r="J18" s="266">
        <f>Sheet11!$L$4+Sheet11!$L$9+Sheet11!$L$14</f>
        <v>198</v>
      </c>
      <c r="K18" s="266">
        <f>Sheet11!$L$5+Sheet11!$L$10+Sheet11!$L$15</f>
        <v>10</v>
      </c>
      <c r="L18" s="266">
        <f>Sheet11!$L$6+Sheet11!$L$11+Sheet11!$L$16</f>
        <v>0</v>
      </c>
      <c r="M18" s="266">
        <f>Sheet11!$L$7+Sheet11!$L$12+Sheet11!$M$17</f>
        <v>13</v>
      </c>
      <c r="N18" s="176">
        <f t="shared" si="0"/>
        <v>26941</v>
      </c>
      <c r="O18" s="176">
        <f t="shared" si="1"/>
        <v>10170</v>
      </c>
      <c r="P18" s="176">
        <f>Sheet11!N22</f>
        <v>37111</v>
      </c>
      <c r="Q18" s="177">
        <f>Sheet11!N23</f>
        <v>10</v>
      </c>
      <c r="R18" s="176">
        <v>37035.21</v>
      </c>
      <c r="S18" s="176">
        <f t="shared" si="3"/>
        <v>385860.44</v>
      </c>
    </row>
    <row r="19" spans="1:19" ht="15.75" x14ac:dyDescent="0.25">
      <c r="A19" s="173">
        <v>43963</v>
      </c>
      <c r="B19" s="174">
        <f>'stream I '!I16</f>
        <v>0.78472222222222854</v>
      </c>
      <c r="C19" s="174">
        <f>' stream II  '!I16</f>
        <v>0.875</v>
      </c>
      <c r="D19" s="174">
        <f>'stream III '!I16</f>
        <v>0.83333333333334281</v>
      </c>
      <c r="E19" s="158">
        <f t="shared" si="2"/>
        <v>2.4930555555555713</v>
      </c>
      <c r="F19" s="266">
        <f>Sheet12!$K$4+Sheet12!$K$9+Sheet12!$K$14</f>
        <v>444</v>
      </c>
      <c r="G19" s="266">
        <f>Sheet12!$K$5+Sheet12!$K$10+Sheet12!$K$15</f>
        <v>40</v>
      </c>
      <c r="H19" s="266">
        <f>Sheet12!$K$6+Sheet12!$K$11+Sheet12!$K$16</f>
        <v>38</v>
      </c>
      <c r="I19" s="266">
        <f>Sheet12!$K$7+Sheet12!$K$12+Sheet12!$K$17</f>
        <v>57</v>
      </c>
      <c r="J19" s="266">
        <f>Sheet12!$L$4+Sheet12!$L$9+Sheet12!$L$14</f>
        <v>218</v>
      </c>
      <c r="K19" s="266">
        <f>Sheet12!$L$5+Sheet12!$L$10+Sheet12!$L$15</f>
        <v>0</v>
      </c>
      <c r="L19" s="266">
        <f>Sheet12!$L$6+Sheet12!$L$11+Sheet12!$L$16</f>
        <v>0</v>
      </c>
      <c r="M19" s="266">
        <f>Sheet12!$L$7+Sheet12!$L$12+Sheet12!$M$17</f>
        <v>40</v>
      </c>
      <c r="N19" s="176">
        <f t="shared" si="0"/>
        <v>26041</v>
      </c>
      <c r="O19" s="176">
        <f t="shared" si="1"/>
        <v>10900</v>
      </c>
      <c r="P19" s="176">
        <f>Sheet12!N22</f>
        <v>36941</v>
      </c>
      <c r="Q19" s="177">
        <f>Sheet12!N23</f>
        <v>10</v>
      </c>
      <c r="R19" s="176">
        <v>37084.629999999997</v>
      </c>
      <c r="S19" s="176">
        <f t="shared" si="3"/>
        <v>422945.07</v>
      </c>
    </row>
    <row r="20" spans="1:19" ht="15.75" x14ac:dyDescent="0.25">
      <c r="A20" s="173">
        <v>43964</v>
      </c>
      <c r="B20" s="174">
        <f>'stream I '!I17</f>
        <v>0.89236111111111427</v>
      </c>
      <c r="C20" s="174">
        <f>' stream II  '!I17</f>
        <v>0.79166666666665719</v>
      </c>
      <c r="D20" s="174">
        <f>'stream III '!I17</f>
        <v>0.86111111111111427</v>
      </c>
      <c r="E20" s="158">
        <f t="shared" si="2"/>
        <v>2.5451388888888857</v>
      </c>
      <c r="F20" s="266">
        <f>Sheet13!$K$4+Sheet13!$K$9+Sheet13!$K$14</f>
        <v>462</v>
      </c>
      <c r="G20" s="266">
        <f>Sheet13!$K$5+Sheet13!$K$10+Sheet13!$K$15</f>
        <v>27</v>
      </c>
      <c r="H20" s="266">
        <f>Sheet13!$K$6+Sheet13!$K$11+Sheet13!$K$16</f>
        <v>70</v>
      </c>
      <c r="I20" s="266">
        <f>Sheet13!$K$7+Sheet13!$K$12+Sheet13!$K$17</f>
        <v>62</v>
      </c>
      <c r="J20" s="266">
        <f>Sheet13!$L$4+Sheet13!$L$9+Sheet13!$L$14</f>
        <v>203</v>
      </c>
      <c r="K20" s="266">
        <f>Sheet13!$L$5+Sheet13!$L$10+Sheet13!$L$15</f>
        <v>0</v>
      </c>
      <c r="L20" s="266">
        <f>Sheet13!$L$6+Sheet13!$L$11+Sheet13!$L$16</f>
        <v>5</v>
      </c>
      <c r="M20" s="266">
        <f>Sheet13!$L$7+Sheet13!$L$12+Sheet13!$M$17</f>
        <v>32</v>
      </c>
      <c r="N20" s="176">
        <f t="shared" si="0"/>
        <v>27526</v>
      </c>
      <c r="O20" s="176">
        <f t="shared" si="1"/>
        <v>10400</v>
      </c>
      <c r="P20" s="176">
        <f>Sheet13!N22</f>
        <v>37926</v>
      </c>
      <c r="Q20" s="177">
        <f>Sheet13!N23</f>
        <v>10</v>
      </c>
      <c r="R20" s="176">
        <v>36815.300000000003</v>
      </c>
      <c r="S20" s="176">
        <f t="shared" si="3"/>
        <v>459760.37</v>
      </c>
    </row>
    <row r="21" spans="1:19" ht="15.75" x14ac:dyDescent="0.25">
      <c r="A21" s="173">
        <v>43965</v>
      </c>
      <c r="B21" s="174">
        <f>'stream I '!I18</f>
        <v>0.81944444444445708</v>
      </c>
      <c r="C21" s="174">
        <f>' stream II  '!I18</f>
        <v>0.76041666666668561</v>
      </c>
      <c r="D21" s="174">
        <f>'stream III '!I18</f>
        <v>0.84027777777777146</v>
      </c>
      <c r="E21" s="158">
        <f t="shared" si="2"/>
        <v>2.4201388888889142</v>
      </c>
      <c r="F21" s="266">
        <f>Sheet14!$K$4+Sheet14!$K$9+Sheet14!$K$14</f>
        <v>431</v>
      </c>
      <c r="G21" s="266">
        <f>Sheet14!$K$5+Sheet14!$K$10+Sheet14!$K$15</f>
        <v>36</v>
      </c>
      <c r="H21" s="266">
        <f>Sheet14!$K$6+Sheet14!$K$11+Sheet14!$K$16</f>
        <v>73</v>
      </c>
      <c r="I21" s="266">
        <f>Sheet14!$K$7+Sheet14!$K$12+Sheet14!$K$17</f>
        <v>28</v>
      </c>
      <c r="J21" s="266">
        <f>Sheet14!$L$4+Sheet14!$L$9+Sheet14!$L$14</f>
        <v>262</v>
      </c>
      <c r="K21" s="266">
        <f>Sheet14!$L$5+Sheet14!$L$10+Sheet14!$L$15</f>
        <v>0</v>
      </c>
      <c r="L21" s="266">
        <f>Sheet14!$L$6+Sheet14!$L$11+Sheet14!$L$16</f>
        <v>5</v>
      </c>
      <c r="M21" s="266">
        <f>Sheet14!$L$7+Sheet14!$L$12+Sheet14!$M$17</f>
        <v>7</v>
      </c>
      <c r="N21" s="176">
        <f t="shared" si="0"/>
        <v>27679</v>
      </c>
      <c r="O21" s="176">
        <f t="shared" si="1"/>
        <v>13350</v>
      </c>
      <c r="P21" s="176">
        <f>Sheet14!N22</f>
        <v>41029</v>
      </c>
      <c r="Q21" s="177">
        <f>Sheet14!N23</f>
        <v>10</v>
      </c>
      <c r="R21" s="176">
        <f>Sheet14!N24</f>
        <v>37059</v>
      </c>
      <c r="S21" s="176">
        <f t="shared" si="3"/>
        <v>496819.37</v>
      </c>
    </row>
    <row r="22" spans="1:19" ht="15.75" x14ac:dyDescent="0.25">
      <c r="A22" s="173">
        <v>43966</v>
      </c>
      <c r="B22" s="174">
        <f>'stream I '!I19</f>
        <v>0.85763888888888573</v>
      </c>
      <c r="C22" s="174">
        <f>' stream II  '!I19</f>
        <v>0.875</v>
      </c>
      <c r="D22" s="174">
        <f>'stream III '!I19</f>
        <v>0.84027777777777146</v>
      </c>
      <c r="E22" s="158">
        <f t="shared" si="2"/>
        <v>2.5729166666666572</v>
      </c>
      <c r="F22" s="266">
        <f>Sheet15!$K$4+Sheet15!$K$9+Sheet15!$K$14</f>
        <v>428</v>
      </c>
      <c r="G22" s="266">
        <f>Sheet15!$K$5+Sheet15!$K$10+Sheet15!$K$15</f>
        <v>34</v>
      </c>
      <c r="H22" s="266">
        <f>Sheet15!$K$6+Sheet15!$K$11+Sheet15!$K$16</f>
        <v>0</v>
      </c>
      <c r="I22" s="266">
        <f>Sheet15!$K$7+Sheet15!$K$12+Sheet15!$K$17</f>
        <v>42</v>
      </c>
      <c r="J22" s="266">
        <f>Sheet15!$L$4+Sheet15!$L$9+Sheet15!$L$14</f>
        <v>202</v>
      </c>
      <c r="K22" s="266">
        <f>Sheet15!$L$5+Sheet15!$L$10+Sheet15!$L$15</f>
        <v>0</v>
      </c>
      <c r="L22" s="266">
        <f>Sheet15!$L$6+Sheet15!$L$11+Sheet15!$L$16</f>
        <v>0</v>
      </c>
      <c r="M22" s="266">
        <f>Sheet15!$L$7+Sheet15!$L$12+Sheet15!$M$17</f>
        <v>30</v>
      </c>
      <c r="N22" s="176">
        <f t="shared" si="0"/>
        <v>19345.259999999998</v>
      </c>
      <c r="O22" s="176">
        <f t="shared" si="1"/>
        <v>10100</v>
      </c>
      <c r="P22" s="176">
        <f>Sheet15!N22</f>
        <v>29445.26</v>
      </c>
      <c r="Q22" s="177">
        <f>Sheet15!N23</f>
        <v>11</v>
      </c>
      <c r="R22" s="176">
        <f>Sheet15!N24</f>
        <v>41133</v>
      </c>
      <c r="S22" s="176">
        <f t="shared" si="3"/>
        <v>537952.37</v>
      </c>
    </row>
    <row r="23" spans="1:19" ht="15.75" x14ac:dyDescent="0.25">
      <c r="A23" s="173">
        <v>43967</v>
      </c>
      <c r="B23" s="174">
        <f>'stream I '!I20</f>
        <v>0.56944444444442865</v>
      </c>
      <c r="C23" s="174">
        <f>' stream II  '!I20</f>
        <v>0.86458333333334281</v>
      </c>
      <c r="D23" s="174">
        <f>'stream III '!I20</f>
        <v>0.84027777777777146</v>
      </c>
      <c r="E23" s="158">
        <f t="shared" si="2"/>
        <v>2.2743055555555429</v>
      </c>
      <c r="F23" s="266">
        <f>Sheet16!$K$4+Sheet16!$K$9+Sheet16!$K$14</f>
        <v>365</v>
      </c>
      <c r="G23" s="266">
        <f>Sheet16!$K$5+Sheet16!$K$10+Sheet16!$K$15</f>
        <v>36</v>
      </c>
      <c r="H23" s="266">
        <f>Sheet16!$K$6+Sheet16!$K$11+Sheet16!$K$16</f>
        <v>10</v>
      </c>
      <c r="I23" s="266">
        <f>Sheet16!$K$7+Sheet16!$K$12+Sheet16!$K$17</f>
        <v>37</v>
      </c>
      <c r="J23" s="266">
        <f>Sheet16!$L$4+Sheet16!$L$9+Sheet16!$L$14</f>
        <v>233</v>
      </c>
      <c r="K23" s="266">
        <f>Sheet16!$L$5+Sheet16!$L$10+Sheet16!$L$15</f>
        <v>0</v>
      </c>
      <c r="L23" s="266">
        <f>Sheet16!$L$6+Sheet16!$L$11+Sheet16!$L$16</f>
        <v>0</v>
      </c>
      <c r="M23" s="266">
        <f>Sheet16!$L$7+Sheet16!$L$12+Sheet16!$M$17</f>
        <v>33</v>
      </c>
      <c r="N23" s="176">
        <f t="shared" si="0"/>
        <v>19595.13</v>
      </c>
      <c r="O23" s="176">
        <f t="shared" si="1"/>
        <v>11650</v>
      </c>
      <c r="P23" s="176">
        <f>Sheet16!N22</f>
        <v>31245.13</v>
      </c>
      <c r="Q23" s="177">
        <f>Sheet16!N23</f>
        <v>9</v>
      </c>
      <c r="R23" s="176">
        <f>33205.49-30.25</f>
        <v>33175.24</v>
      </c>
      <c r="S23" s="176">
        <f t="shared" si="3"/>
        <v>571127.61</v>
      </c>
    </row>
    <row r="24" spans="1:19" ht="15.75" x14ac:dyDescent="0.25">
      <c r="A24" s="173">
        <v>43968</v>
      </c>
      <c r="B24" s="174">
        <f>'stream I '!I21</f>
        <v>0.875</v>
      </c>
      <c r="C24" s="174">
        <f>' stream II  '!I21</f>
        <v>0.75694444444445708</v>
      </c>
      <c r="D24" s="174">
        <f>'stream III '!I21</f>
        <v>0.60763888888885731</v>
      </c>
      <c r="E24" s="158">
        <f t="shared" si="2"/>
        <v>2.2395833333333144</v>
      </c>
      <c r="F24" s="266">
        <f>Sheet17!$K$4+Sheet17!$K$9+Sheet17!$K$14</f>
        <v>436</v>
      </c>
      <c r="G24" s="266">
        <f>Sheet17!$K$5+Sheet17!$K$10+Sheet17!$K$15</f>
        <v>34</v>
      </c>
      <c r="H24" s="266">
        <f>Sheet17!$K$6+Sheet17!$K$11+Sheet17!$K$16</f>
        <v>5</v>
      </c>
      <c r="I24" s="266">
        <f>Sheet17!$K$7+Sheet17!$K$12+Sheet17!$K$17</f>
        <v>27</v>
      </c>
      <c r="J24" s="266">
        <f>Sheet17!$L$4+Sheet17!$L$9+Sheet17!$L$14</f>
        <v>112</v>
      </c>
      <c r="K24" s="266">
        <f>Sheet17!$L$5+Sheet17!$L$10+Sheet17!$L$15</f>
        <v>0</v>
      </c>
      <c r="L24" s="266">
        <f>Sheet17!$L$6+Sheet17!$L$11+Sheet17!$L$16</f>
        <v>0</v>
      </c>
      <c r="M24" s="266">
        <f>Sheet17!$L$7+Sheet17!$L$12+Sheet17!$M$17</f>
        <v>8</v>
      </c>
      <c r="N24" s="176">
        <f t="shared" si="0"/>
        <v>24327.759999999998</v>
      </c>
      <c r="O24" s="176">
        <f t="shared" si="1"/>
        <v>5600</v>
      </c>
      <c r="P24" s="176">
        <f>Sheet17!N22</f>
        <v>29927.759999999998</v>
      </c>
      <c r="Q24" s="177">
        <f>Sheet17!N23</f>
        <v>8</v>
      </c>
      <c r="R24" s="176">
        <f>Sheet17!N24</f>
        <v>30239.919999999998</v>
      </c>
      <c r="S24" s="176">
        <f t="shared" si="3"/>
        <v>601367.53</v>
      </c>
    </row>
    <row r="25" spans="1:19" ht="15.75" x14ac:dyDescent="0.25">
      <c r="A25" s="173">
        <v>43969</v>
      </c>
      <c r="B25" s="174">
        <f>'stream I '!I22</f>
        <v>0.87152777777777146</v>
      </c>
      <c r="C25" s="174">
        <f>' stream II  '!I22</f>
        <v>0.73263888888891415</v>
      </c>
      <c r="D25" s="174">
        <f>'stream III '!I22</f>
        <v>0.88194444444445708</v>
      </c>
      <c r="E25" s="158">
        <f t="shared" si="2"/>
        <v>2.4861111111111427</v>
      </c>
      <c r="F25" s="266">
        <f>Sheet18!$K$4+Sheet18!$K$9+Sheet18!$K$14</f>
        <v>469</v>
      </c>
      <c r="G25" s="266">
        <f>Sheet18!$K$5+Sheet18!$K$10+Sheet18!$K$15</f>
        <v>3</v>
      </c>
      <c r="H25" s="266">
        <f>Sheet18!$K$6+Sheet18!$K$11+Sheet18!$K$16</f>
        <v>5</v>
      </c>
      <c r="I25" s="266">
        <f>Sheet18!$K$7+Sheet18!$K$12+Sheet18!$K$17</f>
        <v>41</v>
      </c>
      <c r="J25" s="266">
        <f>Sheet18!$L$4+Sheet18!$L$9+Sheet18!$L$14</f>
        <v>221</v>
      </c>
      <c r="K25" s="266">
        <f>Sheet18!$L$5+Sheet18!$L$10+Sheet18!$L$15</f>
        <v>7</v>
      </c>
      <c r="L25" s="266">
        <f>Sheet18!$L$6+Sheet18!$L$11+Sheet18!$L$16</f>
        <v>0</v>
      </c>
      <c r="M25" s="266">
        <f>Sheet18!$L$7+Sheet18!$L$12+Sheet18!$M$17</f>
        <v>40</v>
      </c>
      <c r="N25" s="176">
        <f t="shared" si="0"/>
        <v>25254.07</v>
      </c>
      <c r="O25" s="176">
        <f t="shared" si="1"/>
        <v>11239</v>
      </c>
      <c r="P25" s="176">
        <f>Sheet18!N22</f>
        <v>36493.07</v>
      </c>
      <c r="Q25" s="177">
        <f>Sheet18!N23</f>
        <v>9</v>
      </c>
      <c r="R25" s="176">
        <v>33060.86</v>
      </c>
      <c r="S25" s="176">
        <f t="shared" si="3"/>
        <v>634428.39</v>
      </c>
    </row>
    <row r="26" spans="1:19" ht="15.75" x14ac:dyDescent="0.25">
      <c r="A26" s="173">
        <v>43970</v>
      </c>
      <c r="B26" s="174">
        <f>'stream I '!I23</f>
        <v>0.80208333333334281</v>
      </c>
      <c r="C26" s="174">
        <f>' stream II  '!I23</f>
        <v>0.60763888888888573</v>
      </c>
      <c r="D26" s="174">
        <f>'stream III '!I23</f>
        <v>0.88194444444445708</v>
      </c>
      <c r="E26" s="158">
        <f t="shared" si="2"/>
        <v>2.2916666666666856</v>
      </c>
      <c r="F26" s="266">
        <f>Sheet19!$K$4+Sheet19!$K$9+Sheet19!$K$14</f>
        <v>392</v>
      </c>
      <c r="G26" s="266">
        <f>Sheet19!$K$5+Sheet19!$K$10+Sheet19!$K$15</f>
        <v>39</v>
      </c>
      <c r="H26" s="266">
        <f>Sheet19!$K$6+Sheet19!$K$11+Sheet19!$K$16</f>
        <v>23</v>
      </c>
      <c r="I26" s="266">
        <f>Sheet19!$K$7+Sheet19!$K$12+Sheet19!$K$17</f>
        <v>80</v>
      </c>
      <c r="J26" s="266">
        <f>Sheet19!$L$4+Sheet19!$L$9+Sheet19!$L$14</f>
        <v>172</v>
      </c>
      <c r="K26" s="266">
        <f>Sheet19!$L$5+Sheet19!$L$10+Sheet19!$L$15</f>
        <v>0</v>
      </c>
      <c r="L26" s="266">
        <f>Sheet19!$L$6+Sheet19!$L$11+Sheet19!$L$16</f>
        <v>5</v>
      </c>
      <c r="M26" s="266">
        <f>Sheet19!$L$7+Sheet19!$L$12+Sheet19!$M$17</f>
        <v>25</v>
      </c>
      <c r="N26" s="176">
        <f t="shared" si="0"/>
        <v>21350</v>
      </c>
      <c r="O26" s="176">
        <f t="shared" si="1"/>
        <v>8850</v>
      </c>
      <c r="P26" s="176">
        <f>Sheet19!N22</f>
        <v>30200</v>
      </c>
      <c r="Q26" s="177">
        <f>Sheet19!N23</f>
        <v>8</v>
      </c>
      <c r="R26" s="176">
        <v>29689.7</v>
      </c>
      <c r="S26" s="176">
        <f t="shared" si="3"/>
        <v>664118.09</v>
      </c>
    </row>
    <row r="27" spans="1:19" ht="15.75" x14ac:dyDescent="0.25">
      <c r="A27" s="173">
        <v>43971</v>
      </c>
      <c r="B27" s="174">
        <f>'stream I '!I24</f>
        <v>0.74305555555554292</v>
      </c>
      <c r="C27" s="174">
        <f>' stream II  '!I24</f>
        <v>0.88194444444445708</v>
      </c>
      <c r="D27" s="174">
        <f>'stream III '!I24</f>
        <v>0.84027777777777146</v>
      </c>
      <c r="E27" s="158">
        <f t="shared" si="2"/>
        <v>2.4652777777777715</v>
      </c>
      <c r="F27" s="266">
        <f>Sheet20!$K$4+Sheet20!$K$9+Sheet20!$K$14</f>
        <v>522</v>
      </c>
      <c r="G27" s="266">
        <f>Sheet20!$K$5+Sheet20!$K$10+Sheet20!$K$15</f>
        <v>4</v>
      </c>
      <c r="H27" s="266">
        <f>Sheet20!$K$6+Sheet20!$K$11+Sheet20!$K$16</f>
        <v>29</v>
      </c>
      <c r="I27" s="266">
        <f>Sheet20!$K$7+Sheet20!$K$12+Sheet20!$K$17</f>
        <v>34</v>
      </c>
      <c r="J27" s="266">
        <f>Sheet20!$L$4+Sheet20!$L$9+Sheet20!$L$14</f>
        <v>137</v>
      </c>
      <c r="K27" s="266">
        <f>Sheet20!$L$5+Sheet20!$L$10+Sheet20!$L$15</f>
        <v>0</v>
      </c>
      <c r="L27" s="266">
        <f>Sheet20!$L$6+Sheet20!$L$11+Sheet20!$L$16</f>
        <v>15</v>
      </c>
      <c r="M27" s="266">
        <f>Sheet20!$L$7+Sheet20!$L$12+Sheet20!$M$17</f>
        <v>11</v>
      </c>
      <c r="N27" s="176">
        <f t="shared" si="0"/>
        <v>28566.97</v>
      </c>
      <c r="O27" s="176">
        <f t="shared" si="1"/>
        <v>7600</v>
      </c>
      <c r="P27" s="176">
        <f>Sheet20!N22</f>
        <v>36166.97</v>
      </c>
      <c r="Q27" s="177">
        <f>Sheet20!N23</f>
        <v>10</v>
      </c>
      <c r="R27" s="176">
        <f>Sheet20!N24</f>
        <v>37574.82</v>
      </c>
      <c r="S27" s="176">
        <f t="shared" si="3"/>
        <v>701692.90999999992</v>
      </c>
    </row>
    <row r="28" spans="1:19" ht="15.75" x14ac:dyDescent="0.25">
      <c r="A28" s="173">
        <v>43972</v>
      </c>
      <c r="B28" s="174">
        <f>'stream I '!I25</f>
        <v>0.82638888888888573</v>
      </c>
      <c r="C28" s="174">
        <f>' stream II  '!I25</f>
        <v>0.875</v>
      </c>
      <c r="D28" s="174">
        <f>'stream III '!I25</f>
        <v>0.84374999999997158</v>
      </c>
      <c r="E28" s="158">
        <f t="shared" si="2"/>
        <v>2.5451388888888573</v>
      </c>
      <c r="F28" s="266">
        <f>Sheet21!$K$4+Sheet21!$K$9+Sheet21!$K$14</f>
        <v>503</v>
      </c>
      <c r="G28" s="266">
        <f>Sheet21!$K$5+Sheet21!$K$10+Sheet21!$K$15</f>
        <v>65</v>
      </c>
      <c r="H28" s="266">
        <f>Sheet21!$K$6+Sheet21!$K$11+Sheet21!$K$16</f>
        <v>0</v>
      </c>
      <c r="I28" s="266">
        <f>Sheet21!$K$7+Sheet21!$K$12+Sheet21!$K$17</f>
        <v>22</v>
      </c>
      <c r="J28" s="266">
        <f>Sheet21!$L$4+Sheet21!$L$9+Sheet21!$L$14</f>
        <v>111</v>
      </c>
      <c r="K28" s="266">
        <f>Sheet21!$L$5+Sheet21!$L$10+Sheet21!$L$15</f>
        <v>0</v>
      </c>
      <c r="L28" s="266">
        <f>Sheet21!$L$6+Sheet21!$L$11+Sheet21!$L$16</f>
        <v>0</v>
      </c>
      <c r="M28" s="266">
        <f>Sheet21!$L$7+Sheet21!$L$12+Sheet21!$M$17</f>
        <v>11</v>
      </c>
      <c r="N28" s="176">
        <f t="shared" si="0"/>
        <v>30296.300000000003</v>
      </c>
      <c r="O28" s="176">
        <f t="shared" si="1"/>
        <v>5550</v>
      </c>
      <c r="P28" s="176">
        <f>Sheet21!N22</f>
        <v>35846.300000000003</v>
      </c>
      <c r="Q28" s="177">
        <f>Sheet21!N23</f>
        <v>9</v>
      </c>
      <c r="R28" s="176">
        <v>33321.08</v>
      </c>
      <c r="S28" s="176">
        <f t="shared" si="3"/>
        <v>735013.98999999987</v>
      </c>
    </row>
    <row r="29" spans="1:19" ht="15.75" x14ac:dyDescent="0.25">
      <c r="A29" s="173">
        <v>43973</v>
      </c>
      <c r="B29" s="174">
        <f>'stream I '!I26</f>
        <v>0.79166666666668561</v>
      </c>
      <c r="C29" s="174">
        <f>' stream II  '!I26</f>
        <v>0.84374999999997158</v>
      </c>
      <c r="D29" s="174">
        <f>'stream III '!I26</f>
        <v>0.87847222222220012</v>
      </c>
      <c r="E29" s="158">
        <f t="shared" si="2"/>
        <v>2.5138888888888573</v>
      </c>
      <c r="F29" s="266">
        <f>Sheet22!$K$4+Sheet22!$K$9+Sheet22!$K$14</f>
        <v>370</v>
      </c>
      <c r="G29" s="266">
        <f>Sheet22!$K$5+Sheet22!$K$10+Sheet22!$K$15</f>
        <v>61</v>
      </c>
      <c r="H29" s="266">
        <f>Sheet22!$K$6+Sheet22!$K$11+Sheet22!$K$16</f>
        <v>0</v>
      </c>
      <c r="I29" s="266">
        <f>Sheet22!$K$7+Sheet22!$K$12+Sheet22!$K$17</f>
        <v>25</v>
      </c>
      <c r="J29" s="266">
        <f>Sheet22!$L$4+Sheet22!$L$9+Sheet22!$L$14</f>
        <v>194</v>
      </c>
      <c r="K29" s="266">
        <f>Sheet22!$L$5+Sheet22!$L$10+Sheet22!$L$15</f>
        <v>0</v>
      </c>
      <c r="L29" s="266">
        <f>Sheet22!$L$6+Sheet22!$L$11+Sheet22!$L$16</f>
        <v>0</v>
      </c>
      <c r="M29" s="266">
        <f>Sheet22!$L$7+Sheet22!$L$12+Sheet22!$M$17</f>
        <v>12</v>
      </c>
      <c r="N29" s="176">
        <f t="shared" si="0"/>
        <v>21157.75</v>
      </c>
      <c r="O29" s="176">
        <f t="shared" si="1"/>
        <v>9700</v>
      </c>
      <c r="P29" s="176">
        <f>Sheet22!N22</f>
        <v>30857.75</v>
      </c>
      <c r="Q29" s="177">
        <f>Sheet22!N23</f>
        <v>9</v>
      </c>
      <c r="R29" s="176">
        <v>33159.019999999997</v>
      </c>
      <c r="S29" s="176">
        <f t="shared" si="3"/>
        <v>768173.00999999989</v>
      </c>
    </row>
    <row r="30" spans="1:19" ht="15.75" x14ac:dyDescent="0.25">
      <c r="A30" s="173">
        <v>43974</v>
      </c>
      <c r="B30" s="174">
        <f>'stream I '!I27</f>
        <v>0.71180555555554292</v>
      </c>
      <c r="C30" s="174">
        <f>' stream II  '!I27</f>
        <v>0.87152777777777146</v>
      </c>
      <c r="D30" s="174">
        <f>'stream III '!I27</f>
        <v>0.83680555555554292</v>
      </c>
      <c r="E30" s="158">
        <f t="shared" si="2"/>
        <v>2.4201388888888573</v>
      </c>
      <c r="F30" s="266">
        <f>Sheet23!$K$4+Sheet23!$K$9+Sheet23!$K$14</f>
        <v>537</v>
      </c>
      <c r="G30" s="266">
        <f>Sheet23!$K$5+Sheet23!$K$10+Sheet23!$K$15</f>
        <v>33</v>
      </c>
      <c r="H30" s="266">
        <f>Sheet23!$K$6+Sheet23!$K$11+Sheet23!$K$16</f>
        <v>25</v>
      </c>
      <c r="I30" s="266">
        <f>Sheet23!$K$7+Sheet23!$K$12+Sheet23!$K$17</f>
        <v>29</v>
      </c>
      <c r="J30" s="266">
        <f>Sheet23!$L$4+Sheet23!$L$9+Sheet23!$L$14</f>
        <v>110</v>
      </c>
      <c r="K30" s="266">
        <f>Sheet23!$L$5+Sheet23!$L$10+Sheet23!$L$15</f>
        <v>0</v>
      </c>
      <c r="L30" s="266">
        <f>Sheet23!$L$6+Sheet23!$L$11+Sheet23!$L$16</f>
        <v>0</v>
      </c>
      <c r="M30" s="266">
        <f>Sheet23!$L$7+Sheet23!$L$12+Sheet23!$M$17</f>
        <v>3</v>
      </c>
      <c r="N30" s="176">
        <f t="shared" si="0"/>
        <v>30335.65</v>
      </c>
      <c r="O30" s="176">
        <f t="shared" si="1"/>
        <v>5500</v>
      </c>
      <c r="P30" s="176">
        <f>Sheet23!N22</f>
        <v>35835.65</v>
      </c>
      <c r="Q30" s="177">
        <v>8</v>
      </c>
      <c r="R30" s="176">
        <f>Sheet23!N24</f>
        <v>29714.25</v>
      </c>
      <c r="S30" s="176">
        <f t="shared" si="3"/>
        <v>797887.25999999989</v>
      </c>
    </row>
    <row r="31" spans="1:19" ht="15.75" x14ac:dyDescent="0.25">
      <c r="A31" s="173">
        <v>43975</v>
      </c>
      <c r="B31" s="174">
        <f>'stream I '!I28</f>
        <v>0.67361111111111427</v>
      </c>
      <c r="C31" s="174">
        <f>' stream II  '!I28</f>
        <v>0.875</v>
      </c>
      <c r="D31" s="174">
        <f>'stream III '!I28</f>
        <v>0.81250000000002842</v>
      </c>
      <c r="E31" s="158">
        <f t="shared" si="2"/>
        <v>2.3611111111111427</v>
      </c>
      <c r="F31" s="266">
        <f>Sheet24!$K$4+Sheet24!$K$9+Sheet24!$K$14</f>
        <v>470</v>
      </c>
      <c r="G31" s="266">
        <f>Sheet24!$K$5+Sheet24!$K$10+Sheet24!$K$15</f>
        <v>16</v>
      </c>
      <c r="H31" s="266">
        <f>Sheet24!$K$6+Sheet24!$K$11+Sheet24!$K$16</f>
        <v>30</v>
      </c>
      <c r="I31" s="266">
        <f>Sheet24!$K$7+Sheet24!$K$12+Sheet24!$K$17</f>
        <v>31</v>
      </c>
      <c r="J31" s="266">
        <f>Sheet24!$L$4+Sheet24!$L$9+Sheet24!$L$14</f>
        <v>135</v>
      </c>
      <c r="K31" s="266">
        <f>Sheet24!$L$5+Sheet24!$L$10+Sheet24!$L$15</f>
        <v>1</v>
      </c>
      <c r="L31" s="266">
        <f>Sheet24!$L$6+Sheet24!$L$11+Sheet24!$L$16</f>
        <v>0</v>
      </c>
      <c r="M31" s="266">
        <f>Sheet24!$L$7+Sheet24!$L$12+Sheet24!$M$17</f>
        <v>0</v>
      </c>
      <c r="N31" s="176">
        <f t="shared" si="0"/>
        <v>27579.160000000003</v>
      </c>
      <c r="O31" s="176">
        <f t="shared" si="1"/>
        <v>6777</v>
      </c>
      <c r="P31" s="176">
        <f>Sheet24!N22</f>
        <v>34356.160000000003</v>
      </c>
      <c r="Q31" s="177">
        <f>Sheet24!N23</f>
        <v>9</v>
      </c>
      <c r="R31" s="176">
        <v>33263.18</v>
      </c>
      <c r="S31" s="176">
        <f t="shared" si="3"/>
        <v>831150.44</v>
      </c>
    </row>
    <row r="32" spans="1:19" ht="15.75" x14ac:dyDescent="0.25">
      <c r="A32" s="173">
        <v>43976</v>
      </c>
      <c r="B32" s="174">
        <f>'stream I '!I29</f>
        <v>0.81944444444445708</v>
      </c>
      <c r="C32" s="174">
        <f>' stream II  '!I29</f>
        <v>0.86458333333334281</v>
      </c>
      <c r="D32" s="174">
        <f>'stream III '!I29</f>
        <v>0.84027777777779988</v>
      </c>
      <c r="E32" s="158">
        <f t="shared" si="2"/>
        <v>2.5243055555555998</v>
      </c>
      <c r="F32" s="266">
        <f>Sheet25!$K$4+Sheet25!$K$9+Sheet25!$K$14</f>
        <v>515</v>
      </c>
      <c r="G32" s="266">
        <f>Sheet25!$K$5+Sheet25!$K$10+Sheet25!$K$15</f>
        <v>24</v>
      </c>
      <c r="H32" s="266">
        <f>Sheet25!$K$6+Sheet25!$K$11+Sheet25!$K$16</f>
        <v>15</v>
      </c>
      <c r="I32" s="266">
        <f>Sheet25!$K$7+Sheet25!$K$12+Sheet25!$K$17</f>
        <v>34</v>
      </c>
      <c r="J32" s="266">
        <f>Sheet25!$L$4+Sheet25!$L$9+Sheet25!$L$14</f>
        <v>96</v>
      </c>
      <c r="K32" s="266">
        <f>Sheet25!$L$5+Sheet25!$L$10+Sheet25!$L$15</f>
        <v>0</v>
      </c>
      <c r="L32" s="266">
        <f>Sheet25!$L$6+Sheet25!$L$11+Sheet25!$L$16</f>
        <v>0</v>
      </c>
      <c r="M32" s="266">
        <f>Sheet25!$L$7+Sheet25!$L$12+Sheet25!$M$17</f>
        <v>8</v>
      </c>
      <c r="N32" s="176">
        <f t="shared" si="0"/>
        <v>30704.67</v>
      </c>
      <c r="O32" s="176">
        <f t="shared" si="1"/>
        <v>4800</v>
      </c>
      <c r="P32" s="176">
        <f>Sheet25!N22</f>
        <v>35504.67</v>
      </c>
      <c r="Q32" s="177">
        <f>Sheet25!N23</f>
        <v>9</v>
      </c>
      <c r="R32" s="176">
        <f>Sheet25!N24</f>
        <v>33632.089999999997</v>
      </c>
      <c r="S32" s="176">
        <f t="shared" si="3"/>
        <v>864782.52999999991</v>
      </c>
    </row>
    <row r="33" spans="1:19" ht="15.75" x14ac:dyDescent="0.25">
      <c r="A33" s="173">
        <v>43977</v>
      </c>
      <c r="B33" s="174">
        <f>'stream I '!I30</f>
        <v>0.79166666666665719</v>
      </c>
      <c r="C33" s="174">
        <f>' stream II  '!I30</f>
        <v>0.72222222222220012</v>
      </c>
      <c r="D33" s="174">
        <f>'stream III '!I30</f>
        <v>0.82638888888888573</v>
      </c>
      <c r="E33" s="158">
        <f t="shared" si="2"/>
        <v>2.340277777777743</v>
      </c>
      <c r="F33" s="266">
        <f>Sheet26!$K$4+Sheet26!$K$9+Sheet26!$K$14</f>
        <v>556</v>
      </c>
      <c r="G33" s="266">
        <f>Sheet26!$K$5+Sheet26!$K$10+Sheet26!$K$15</f>
        <v>12</v>
      </c>
      <c r="H33" s="266">
        <f>Sheet26!$K$6+Sheet26!$K$11+Sheet26!$K$16</f>
        <v>0</v>
      </c>
      <c r="I33" s="266">
        <f>Sheet26!$K$7+Sheet26!$K$12+Sheet26!$K$17</f>
        <v>41</v>
      </c>
      <c r="J33" s="266">
        <f>Sheet26!$L$4+Sheet26!$L$9+Sheet26!$L$14</f>
        <v>138</v>
      </c>
      <c r="K33" s="266">
        <f>Sheet26!$L$5+Sheet26!$L$10+Sheet26!$L$15</f>
        <v>0</v>
      </c>
      <c r="L33" s="266">
        <f>Sheet26!$L$6+Sheet26!$L$11+Sheet26!$L$16</f>
        <v>0</v>
      </c>
      <c r="M33" s="266">
        <f>Sheet26!$L$7+Sheet26!$L$12+Sheet26!$M$17</f>
        <v>4</v>
      </c>
      <c r="N33" s="176">
        <f t="shared" si="0"/>
        <v>28717.4</v>
      </c>
      <c r="O33" s="176">
        <f t="shared" si="1"/>
        <v>6900</v>
      </c>
      <c r="P33" s="176">
        <f>Sheet26!N22</f>
        <v>35617.4</v>
      </c>
      <c r="Q33" s="177">
        <f>Sheet26!N23</f>
        <v>9</v>
      </c>
      <c r="R33" s="176">
        <f>Sheet26!N24</f>
        <v>33944.699999999997</v>
      </c>
      <c r="S33" s="176">
        <f t="shared" si="3"/>
        <v>898727.22999999986</v>
      </c>
    </row>
    <row r="34" spans="1:19" ht="15.75" x14ac:dyDescent="0.25">
      <c r="A34" s="173">
        <v>43978</v>
      </c>
      <c r="B34" s="174">
        <f>'stream I '!I31</f>
        <v>0.85069444444445708</v>
      </c>
      <c r="C34" s="174">
        <f>' stream II  '!I31</f>
        <v>0.69791666666665719</v>
      </c>
      <c r="D34" s="174">
        <f>'stream III '!I31</f>
        <v>0.85416666666668561</v>
      </c>
      <c r="E34" s="158">
        <f t="shared" si="2"/>
        <v>2.4027777777777999</v>
      </c>
      <c r="F34" s="266">
        <f>Sheet27!$K$4+Sheet27!$K$9+Sheet27!$K$14</f>
        <v>466</v>
      </c>
      <c r="G34" s="266">
        <f>Sheet27!$K$5+Sheet27!$K$10+Sheet27!$K$15</f>
        <v>5</v>
      </c>
      <c r="H34" s="266">
        <f>Sheet27!$K$6+Sheet27!$K$11+Sheet27!$K$16</f>
        <v>5</v>
      </c>
      <c r="I34" s="266">
        <f>Sheet27!$K$7+Sheet27!$K$12+Sheet27!$K$17</f>
        <v>55</v>
      </c>
      <c r="J34" s="266">
        <f>Sheet27!$L$4+Sheet27!$L$9+Sheet27!$L$14</f>
        <v>100</v>
      </c>
      <c r="K34" s="266">
        <f>Sheet27!$L$5+Sheet27!$L$10+Sheet27!$L$15</f>
        <v>0</v>
      </c>
      <c r="L34" s="266">
        <f>Sheet27!$L$6+Sheet27!$L$11+Sheet27!$L$16</f>
        <v>0</v>
      </c>
      <c r="M34" s="266">
        <f>Sheet27!$L$7+Sheet27!$L$12+Sheet27!$M$17</f>
        <v>32</v>
      </c>
      <c r="N34" s="176">
        <f t="shared" si="0"/>
        <v>26568.81</v>
      </c>
      <c r="O34" s="176">
        <f t="shared" si="1"/>
        <v>5000</v>
      </c>
      <c r="P34" s="176">
        <f>Sheet27!N22</f>
        <v>31568.81</v>
      </c>
      <c r="Q34" s="177">
        <f>Sheet27!N23</f>
        <v>9</v>
      </c>
      <c r="R34" s="176">
        <v>34565.47</v>
      </c>
      <c r="S34" s="176">
        <f t="shared" si="3"/>
        <v>933292.69999999984</v>
      </c>
    </row>
    <row r="35" spans="1:19" ht="15.75" x14ac:dyDescent="0.25">
      <c r="A35" s="173">
        <v>43979</v>
      </c>
      <c r="B35" s="174">
        <f>'stream I '!I32</f>
        <v>0.75347222222220012</v>
      </c>
      <c r="C35" s="174">
        <f>' stream II  '!I32</f>
        <v>0.72222222222222854</v>
      </c>
      <c r="D35" s="174">
        <f>'stream III '!I32</f>
        <v>0.60763888888888573</v>
      </c>
      <c r="E35" s="158">
        <f t="shared" si="2"/>
        <v>2.0833333333333144</v>
      </c>
      <c r="F35" s="266">
        <f>Sheet28!$K$4+Sheet28!$K$9+Sheet28!$K$14</f>
        <v>392</v>
      </c>
      <c r="G35" s="266">
        <f>Sheet28!$K$5+Sheet28!$K$10+Sheet28!$K$15</f>
        <v>12</v>
      </c>
      <c r="H35" s="266">
        <f>Sheet28!$K$6+Sheet28!$K$11+Sheet28!$K$16</f>
        <v>0</v>
      </c>
      <c r="I35" s="266">
        <f>Sheet28!$K$7+Sheet28!$K$12+Sheet28!$K$17</f>
        <v>74</v>
      </c>
      <c r="J35" s="266">
        <f>Sheet28!$L$4+Sheet28!$L$9+Sheet28!$L$14</f>
        <v>123</v>
      </c>
      <c r="K35" s="266">
        <f>Sheet28!$L$5+Sheet28!$L$10+Sheet28!$L$15</f>
        <v>0</v>
      </c>
      <c r="L35" s="266">
        <f>Sheet28!$L$6+Sheet28!$L$11+Sheet28!$L$16</f>
        <v>0</v>
      </c>
      <c r="M35" s="266">
        <f>Sheet28!$L$7+Sheet28!$L$12+Sheet28!$M$17</f>
        <v>16</v>
      </c>
      <c r="N35" s="176">
        <f t="shared" si="0"/>
        <v>20624.5</v>
      </c>
      <c r="O35" s="176">
        <f t="shared" si="1"/>
        <v>6150</v>
      </c>
      <c r="P35" s="176">
        <f>Sheet28!N22</f>
        <v>26774.5</v>
      </c>
      <c r="Q35" s="177">
        <f>Sheet28!N23</f>
        <v>8</v>
      </c>
      <c r="R35" s="176">
        <f>Sheet28!N24</f>
        <v>30544.83</v>
      </c>
      <c r="S35" s="176">
        <f t="shared" si="3"/>
        <v>963837.5299999998</v>
      </c>
    </row>
    <row r="36" spans="1:19" ht="15.75" x14ac:dyDescent="0.25">
      <c r="A36" s="173">
        <v>43980</v>
      </c>
      <c r="B36" s="174">
        <f>'stream I '!I33</f>
        <v>0.79861111111108585</v>
      </c>
      <c r="C36" s="174">
        <f>' stream II  '!I33</f>
        <v>0.83680555555557135</v>
      </c>
      <c r="D36" s="174">
        <f>'stream III '!I33</f>
        <v>0.80208333333334281</v>
      </c>
      <c r="E36" s="158">
        <f t="shared" si="2"/>
        <v>2.4375</v>
      </c>
      <c r="F36" s="266">
        <f>Sheet29!$K$4+Sheet29!$K$9+Sheet29!$K$14</f>
        <v>484</v>
      </c>
      <c r="G36" s="266">
        <f>Sheet29!$K$5+Sheet29!$K$10+Sheet29!$K$15</f>
        <v>18</v>
      </c>
      <c r="H36" s="266">
        <f>Sheet29!$K$6+Sheet29!$K$11+Sheet29!$K$16</f>
        <v>10</v>
      </c>
      <c r="I36" s="266">
        <f>Sheet29!$K$7+Sheet29!$K$12+Sheet29!$K$17</f>
        <v>89</v>
      </c>
      <c r="J36" s="266">
        <f>Sheet29!$L$4+Sheet29!$L$9+Sheet29!$L$14</f>
        <v>136</v>
      </c>
      <c r="K36" s="266">
        <f>Sheet29!$L$5+Sheet29!$L$10+Sheet29!$L$15</f>
        <v>0</v>
      </c>
      <c r="L36" s="266">
        <f>Sheet29!$L$6+Sheet29!$L$11+Sheet29!$L$16</f>
        <v>0</v>
      </c>
      <c r="M36" s="266">
        <f>Sheet29!$L$7+Sheet29!$L$12+Sheet29!$M$17</f>
        <v>92</v>
      </c>
      <c r="N36" s="176">
        <f t="shared" si="0"/>
        <v>26500.67</v>
      </c>
      <c r="O36" s="176">
        <f t="shared" si="1"/>
        <v>6800</v>
      </c>
      <c r="P36" s="176">
        <f>Sheet29!N22</f>
        <v>33300.67</v>
      </c>
      <c r="Q36" s="177">
        <f>Sheet29!N23</f>
        <v>9</v>
      </c>
      <c r="R36" s="176">
        <f>Sheet29!N24</f>
        <v>33300.67</v>
      </c>
      <c r="S36" s="176">
        <f t="shared" si="3"/>
        <v>997138.19999999984</v>
      </c>
    </row>
    <row r="37" spans="1:19" ht="15.75" x14ac:dyDescent="0.25">
      <c r="A37" s="173">
        <v>43981</v>
      </c>
      <c r="B37" s="174">
        <f>'stream I '!I34</f>
        <v>0.82986111111111427</v>
      </c>
      <c r="C37" s="174">
        <f>' stream II  '!I34</f>
        <v>0.87152777777777146</v>
      </c>
      <c r="D37" s="174">
        <f>'stream III '!I34</f>
        <v>0.625</v>
      </c>
      <c r="E37" s="158">
        <f t="shared" ref="E37:E38" si="4">SUM(B37:D37)</f>
        <v>2.3263888888888857</v>
      </c>
      <c r="F37" s="266">
        <f>'Sheet 30'!K4+'Sheet 30'!K14+'Sheet 30'!K14</f>
        <v>532</v>
      </c>
      <c r="G37" s="266">
        <f>'Sheet 30'!K5+'Sheet 30'!K10+'Sheet 30'!K15</f>
        <v>8</v>
      </c>
      <c r="H37" s="266">
        <f>'Sheet 30'!K6+'Sheet 30'!K11+'Sheet 30'!K16</f>
        <v>0</v>
      </c>
      <c r="I37" s="266">
        <f>'Sheet 30'!K7+'Sheet 30'!K12+'Sheet 30'!K17</f>
        <v>59</v>
      </c>
      <c r="J37" s="266">
        <f>'Sheet 30'!L4+'Sheet 30'!L9+'Sheet 30'!L14</f>
        <v>156</v>
      </c>
      <c r="K37" s="266">
        <f>'Sheet 30'!L5+'Sheet 30'!L10+'Sheet 30'!L15</f>
        <v>0</v>
      </c>
      <c r="L37" s="266">
        <f>'Sheet 30'!L6+'Sheet 30'!L11+'Sheet 30'!L16</f>
        <v>0</v>
      </c>
      <c r="M37" s="176">
        <f>'Sheet 30'!L7+'Sheet 30'!L12+'Sheet 30'!L17</f>
        <v>0</v>
      </c>
      <c r="N37" s="176">
        <f t="shared" si="0"/>
        <v>24485.11</v>
      </c>
      <c r="O37" s="176">
        <f t="shared" si="1"/>
        <v>7800</v>
      </c>
      <c r="P37" s="176">
        <f>'Sheet 30'!N22</f>
        <v>32285.11</v>
      </c>
      <c r="Q37" s="177">
        <f>'Sheet 30'!N23</f>
        <v>9</v>
      </c>
      <c r="R37" s="176">
        <v>33483.96</v>
      </c>
      <c r="S37" s="176">
        <f t="shared" ref="S37:S38" si="5">S36+R37</f>
        <v>1030622.1599999998</v>
      </c>
    </row>
    <row r="38" spans="1:19" ht="15.75" x14ac:dyDescent="0.25">
      <c r="A38" s="173">
        <v>43982</v>
      </c>
      <c r="B38" s="174">
        <f>'stream I '!I35</f>
        <v>0.82638888888888573</v>
      </c>
      <c r="C38" s="174">
        <f>' stream II  '!I35</f>
        <v>0.85416666666665719</v>
      </c>
      <c r="D38" s="174">
        <f>'stream III '!I35</f>
        <v>0.73958333333334281</v>
      </c>
      <c r="E38" s="158">
        <f t="shared" si="4"/>
        <v>2.4201388888888857</v>
      </c>
      <c r="F38" s="266">
        <f>'Sheet 31'!K4+'Sheet 31'!K9+'Sheet 31'!K14</f>
        <v>493</v>
      </c>
      <c r="G38" s="266">
        <f>'Sheet 31'!K5+'Sheet 31'!K10+'Sheet 31'!K15</f>
        <v>5</v>
      </c>
      <c r="H38" s="266">
        <f>'Sheet 31'!K6+'Sheet 31'!K16+'Sheet 31'!K16</f>
        <v>22</v>
      </c>
      <c r="I38" s="266">
        <f>'Sheet 31'!K7+'Sheet 31'!K12+'Sheet 31'!K17</f>
        <v>41</v>
      </c>
      <c r="J38" s="266">
        <f>'Sheet 31'!L4+'Sheet 31'!L9+'Sheet 31'!L14</f>
        <v>192</v>
      </c>
      <c r="K38" s="266">
        <f>'Sheet 31'!L5+'Sheet 31'!L10+'Sheet 31'!L15</f>
        <v>0</v>
      </c>
      <c r="L38" s="266">
        <f>'Sheet 31'!L6+'Sheet 31'!L11+'Sheet 31'!L16</f>
        <v>15</v>
      </c>
      <c r="M38" s="266">
        <f>'Sheet 31'!L7+'Sheet 31'!L12+'Sheet 31'!L17</f>
        <v>25</v>
      </c>
      <c r="N38" s="176">
        <f t="shared" si="0"/>
        <v>25640</v>
      </c>
      <c r="O38" s="176">
        <f t="shared" si="1"/>
        <v>10350</v>
      </c>
      <c r="P38" s="176">
        <f>'Sheet 31'!N22</f>
        <v>35990</v>
      </c>
      <c r="Q38" s="177">
        <f>'Sheet 31'!N23</f>
        <v>8</v>
      </c>
      <c r="R38" s="176">
        <v>29766.16</v>
      </c>
      <c r="S38" s="176">
        <f t="shared" si="5"/>
        <v>1060388.3199999998</v>
      </c>
    </row>
    <row r="39" spans="1:19" ht="15.75" x14ac:dyDescent="0.25">
      <c r="A39" s="175" t="s">
        <v>11</v>
      </c>
      <c r="B39" s="178">
        <f>SUM(B8:B38)</f>
        <v>24.638888888888829</v>
      </c>
      <c r="C39" s="178">
        <f>SUM(C8:C38)</f>
        <v>25.173611111111143</v>
      </c>
      <c r="D39" s="178">
        <f>SUM(D8:D38)</f>
        <v>24.829861111111114</v>
      </c>
      <c r="E39" s="178">
        <f>SUM(E8:E38)</f>
        <v>74.642361111111086</v>
      </c>
      <c r="F39" s="176">
        <f t="shared" ref="F39:O39" si="6">SUM(F8:F38)</f>
        <v>14057</v>
      </c>
      <c r="G39" s="176">
        <f t="shared" si="6"/>
        <v>746</v>
      </c>
      <c r="H39" s="176">
        <f t="shared" si="6"/>
        <v>908</v>
      </c>
      <c r="I39" s="176">
        <f t="shared" si="6"/>
        <v>1548</v>
      </c>
      <c r="J39" s="176">
        <f t="shared" si="6"/>
        <v>5159</v>
      </c>
      <c r="K39" s="176">
        <f t="shared" si="6"/>
        <v>70</v>
      </c>
      <c r="L39" s="176">
        <f t="shared" si="6"/>
        <v>99</v>
      </c>
      <c r="M39" s="176">
        <f t="shared" si="6"/>
        <v>861</v>
      </c>
      <c r="N39" s="176">
        <f t="shared" si="6"/>
        <v>798544.36000000034</v>
      </c>
      <c r="O39" s="176">
        <f t="shared" si="6"/>
        <v>264790</v>
      </c>
      <c r="P39" s="176">
        <f t="shared" ref="P39:R39" si="7">SUM(P8:P38)</f>
        <v>1063334.3600000003</v>
      </c>
      <c r="Q39" s="177">
        <f t="shared" si="7"/>
        <v>285</v>
      </c>
      <c r="R39" s="176">
        <f t="shared" si="7"/>
        <v>1060388.3199999998</v>
      </c>
      <c r="S39" s="176">
        <f>R39</f>
        <v>1060388.3199999998</v>
      </c>
    </row>
    <row r="40" spans="1:19" ht="15.75" x14ac:dyDescent="0.25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8"/>
      <c r="R40" s="167"/>
      <c r="S40" s="167"/>
    </row>
    <row r="41" spans="1:19" ht="15.75" x14ac:dyDescent="0.25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79">
        <f>O39+N39</f>
        <v>1063334.3600000003</v>
      </c>
      <c r="P41" s="167"/>
      <c r="Q41" s="168"/>
      <c r="R41" s="179"/>
      <c r="S41" s="167"/>
    </row>
    <row r="42" spans="1:19" ht="15.75" x14ac:dyDescent="0.25">
      <c r="A42" s="167"/>
      <c r="B42" s="136"/>
      <c r="C42" s="136"/>
      <c r="D42" s="136" t="s">
        <v>136</v>
      </c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67"/>
    </row>
    <row r="43" spans="1:19" ht="15.75" x14ac:dyDescent="0.25">
      <c r="A43" s="167"/>
      <c r="B43" s="136"/>
      <c r="C43" s="136"/>
      <c r="D43" s="179" t="s">
        <v>109</v>
      </c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80"/>
      <c r="R43" s="136"/>
      <c r="S43" s="167"/>
    </row>
  </sheetData>
  <mergeCells count="4">
    <mergeCell ref="B6:E6"/>
    <mergeCell ref="F6:I6"/>
    <mergeCell ref="Q6:S6"/>
    <mergeCell ref="J6:M6"/>
  </mergeCells>
  <printOptions horizontalCentered="1"/>
  <pageMargins left="0.19685039370078741" right="0.19685039370078741" top="0.19685039370078741" bottom="0.19685039370078741" header="0.31496062992125984" footer="0.31496062992125984"/>
  <pageSetup paperSize="39" scale="79" orientation="portrait" horizontalDpi="180" verticalDpi="18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opLeftCell="A18" workbookViewId="0">
      <selection activeCell="W40" sqref="W40"/>
    </sheetView>
  </sheetViews>
  <sheetFormatPr defaultRowHeight="15" x14ac:dyDescent="0.25"/>
  <cols>
    <col min="1" max="1" width="10.570312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10.7109375" customWidth="1"/>
    <col min="10" max="10" width="7" customWidth="1"/>
    <col min="11" max="11" width="7.5703125" customWidth="1"/>
    <col min="12" max="12" width="11.5703125" bestFit="1" customWidth="1"/>
    <col min="22" max="22" width="10.28515625" customWidth="1"/>
    <col min="23" max="23" width="36.42578125" customWidth="1"/>
    <col min="24" max="24" width="26" customWidth="1"/>
  </cols>
  <sheetData>
    <row r="1" spans="1:23" ht="22.5" x14ac:dyDescent="0.3">
      <c r="A1" s="108" t="s">
        <v>401</v>
      </c>
    </row>
    <row r="2" spans="1:23" ht="21" thickBot="1" x14ac:dyDescent="0.35">
      <c r="A2" s="109" t="s">
        <v>114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23" ht="30" x14ac:dyDescent="0.25">
      <c r="A3" s="111" t="s">
        <v>79</v>
      </c>
      <c r="B3" s="112" t="s">
        <v>94</v>
      </c>
      <c r="C3" s="116"/>
      <c r="D3" s="116"/>
      <c r="E3" s="116"/>
      <c r="F3" s="116"/>
      <c r="G3" s="116"/>
      <c r="H3" s="113"/>
      <c r="I3" s="114" t="s">
        <v>13</v>
      </c>
      <c r="J3" s="115" t="s">
        <v>95</v>
      </c>
      <c r="K3" s="116" t="s">
        <v>96</v>
      </c>
      <c r="L3" s="113"/>
      <c r="M3" s="113"/>
      <c r="N3" s="113"/>
      <c r="O3" s="117" t="s">
        <v>13</v>
      </c>
      <c r="P3" s="112" t="s">
        <v>97</v>
      </c>
      <c r="Q3" s="113"/>
      <c r="R3" s="118"/>
      <c r="S3" s="119"/>
      <c r="T3" s="120"/>
      <c r="U3" s="264" t="s">
        <v>372</v>
      </c>
      <c r="V3" s="145"/>
      <c r="W3" s="121" t="s">
        <v>98</v>
      </c>
    </row>
    <row r="4" spans="1:23" ht="16.5" thickBot="1" x14ac:dyDescent="0.3">
      <c r="A4" s="122"/>
      <c r="B4" s="123" t="s">
        <v>99</v>
      </c>
      <c r="C4" s="123"/>
      <c r="D4" s="123"/>
      <c r="E4" s="123" t="s">
        <v>100</v>
      </c>
      <c r="F4" s="123"/>
      <c r="G4" s="123"/>
      <c r="H4" s="123" t="s">
        <v>101</v>
      </c>
      <c r="I4" s="124" t="s">
        <v>102</v>
      </c>
      <c r="J4" s="125"/>
      <c r="K4" s="126" t="s">
        <v>103</v>
      </c>
      <c r="L4" s="127" t="s">
        <v>104</v>
      </c>
      <c r="M4" s="127" t="s">
        <v>105</v>
      </c>
      <c r="N4" s="127" t="s">
        <v>106</v>
      </c>
      <c r="O4" s="128" t="s">
        <v>44</v>
      </c>
      <c r="P4" s="127" t="s">
        <v>103</v>
      </c>
      <c r="Q4" s="127" t="s">
        <v>104</v>
      </c>
      <c r="R4" s="127" t="s">
        <v>105</v>
      </c>
      <c r="S4" s="127" t="s">
        <v>106</v>
      </c>
      <c r="T4" s="128" t="s">
        <v>44</v>
      </c>
      <c r="U4" s="146"/>
      <c r="V4" s="146"/>
      <c r="W4" s="129"/>
    </row>
    <row r="5" spans="1:23" ht="15.75" x14ac:dyDescent="0.25">
      <c r="A5" s="142">
        <v>43952</v>
      </c>
      <c r="B5" s="143">
        <f>Sheet1!D21</f>
        <v>0.15972222222222854</v>
      </c>
      <c r="C5" s="143">
        <f>Sheet1!E21</f>
        <v>206.60416666666666</v>
      </c>
      <c r="D5" s="143">
        <f>Sheet1!F21</f>
        <v>206.875</v>
      </c>
      <c r="E5" s="143">
        <f>Sheet1!G21</f>
        <v>0.27083333333334281</v>
      </c>
      <c r="F5" s="143">
        <f>Sheet1!H21</f>
        <v>206.91666666666666</v>
      </c>
      <c r="G5" s="143">
        <f>Sheet1!I21</f>
        <v>207.20833333333334</v>
      </c>
      <c r="H5" s="143">
        <f>Sheet1!J21</f>
        <v>0.29166666666668561</v>
      </c>
      <c r="I5" s="144">
        <f>B5+E5+H5</f>
        <v>0.72222222222225696</v>
      </c>
      <c r="J5" s="143">
        <v>0.18055555555555555</v>
      </c>
      <c r="K5" s="143">
        <v>6.5972222222222224E-2</v>
      </c>
      <c r="L5" s="143">
        <v>1.3888888888888888E-2</v>
      </c>
      <c r="M5" s="143">
        <v>0</v>
      </c>
      <c r="N5" s="143">
        <v>0</v>
      </c>
      <c r="O5" s="144">
        <f>SUM(K5:N5)</f>
        <v>7.9861111111111105E-2</v>
      </c>
      <c r="P5" s="143">
        <v>0</v>
      </c>
      <c r="Q5" s="143">
        <v>0</v>
      </c>
      <c r="R5" s="143">
        <v>0</v>
      </c>
      <c r="S5" s="143">
        <v>0</v>
      </c>
      <c r="T5" s="144">
        <f>SUM(P5:S5)</f>
        <v>0</v>
      </c>
      <c r="U5" s="143">
        <v>1.7361111111111112E-2</v>
      </c>
      <c r="V5" s="147">
        <f>I5+O5+J5+T5+U5</f>
        <v>1.0000000000000349</v>
      </c>
      <c r="W5" s="131"/>
    </row>
    <row r="6" spans="1:23" ht="15.75" x14ac:dyDescent="0.25">
      <c r="A6" s="142">
        <v>43953</v>
      </c>
      <c r="B6" s="143">
        <f>Sheet2!D21</f>
        <v>0.22569444444442865</v>
      </c>
      <c r="C6" s="143">
        <f>Sheet2!E21</f>
        <v>206.60416666666666</v>
      </c>
      <c r="D6" s="143">
        <f>Sheet2!F21</f>
        <v>206.875</v>
      </c>
      <c r="E6" s="143">
        <f>Sheet2!G21</f>
        <v>0.27083333333334281</v>
      </c>
      <c r="F6" s="143">
        <f>Sheet2!H21</f>
        <v>206.91666666666666</v>
      </c>
      <c r="G6" s="143">
        <f>Sheet2!I21</f>
        <v>207.20833333333334</v>
      </c>
      <c r="H6" s="143">
        <f>Sheet2!J21</f>
        <v>0.29166666666668561</v>
      </c>
      <c r="I6" s="144">
        <f t="shared" ref="I6:I33" si="0">B6+E6+H6</f>
        <v>0.78819444444445708</v>
      </c>
      <c r="J6" s="143">
        <v>0.20833333333333334</v>
      </c>
      <c r="K6" s="143">
        <v>0</v>
      </c>
      <c r="L6" s="143">
        <v>0</v>
      </c>
      <c r="M6" s="143">
        <v>0</v>
      </c>
      <c r="N6" s="143">
        <v>0</v>
      </c>
      <c r="O6" s="144">
        <f t="shared" ref="O6:O34" si="1">SUM(K6:N6)</f>
        <v>0</v>
      </c>
      <c r="P6" s="143">
        <v>0</v>
      </c>
      <c r="Q6" s="143">
        <v>0</v>
      </c>
      <c r="R6" s="143">
        <v>0</v>
      </c>
      <c r="S6" s="143">
        <v>0</v>
      </c>
      <c r="T6" s="144">
        <f t="shared" ref="T6:T34" si="2">SUM(P6:S6)</f>
        <v>0</v>
      </c>
      <c r="U6" s="143">
        <v>3.472222222222222E-3</v>
      </c>
      <c r="V6" s="147">
        <f t="shared" ref="V6:V35" si="3">I6+O6+J6+T6+U6</f>
        <v>1.0000000000000127</v>
      </c>
      <c r="W6" s="131"/>
    </row>
    <row r="7" spans="1:23" ht="15.75" x14ac:dyDescent="0.25">
      <c r="A7" s="142">
        <v>43954</v>
      </c>
      <c r="B7" s="143">
        <f>Sheet3!D21</f>
        <v>0.27777777777777146</v>
      </c>
      <c r="C7" s="143">
        <f>Sheet3!E21</f>
        <v>206.58333333333334</v>
      </c>
      <c r="D7" s="143">
        <f>Sheet3!F21</f>
        <v>206.875</v>
      </c>
      <c r="E7" s="143">
        <f>Sheet3!G21</f>
        <v>0.29166666666665719</v>
      </c>
      <c r="F7" s="143">
        <f>Sheet3!H21</f>
        <v>206.92708333333334</v>
      </c>
      <c r="G7" s="143">
        <f>Sheet3!I21</f>
        <v>207.20833333333334</v>
      </c>
      <c r="H7" s="143">
        <f>Sheet3!J21</f>
        <v>0.28125</v>
      </c>
      <c r="I7" s="144">
        <f t="shared" si="0"/>
        <v>0.85069444444442865</v>
      </c>
      <c r="J7" s="143">
        <v>0.14930555555555555</v>
      </c>
      <c r="K7" s="143">
        <v>0</v>
      </c>
      <c r="L7" s="143">
        <v>0</v>
      </c>
      <c r="M7" s="143">
        <v>0</v>
      </c>
      <c r="N7" s="143">
        <v>0</v>
      </c>
      <c r="O7" s="144">
        <f t="shared" si="1"/>
        <v>0</v>
      </c>
      <c r="P7" s="143">
        <v>0</v>
      </c>
      <c r="Q7" s="143">
        <v>0</v>
      </c>
      <c r="R7" s="143">
        <v>0</v>
      </c>
      <c r="S7" s="143">
        <v>0</v>
      </c>
      <c r="T7" s="144">
        <f t="shared" si="2"/>
        <v>0</v>
      </c>
      <c r="U7" s="143">
        <v>0</v>
      </c>
      <c r="V7" s="147">
        <f t="shared" si="3"/>
        <v>0.99999999999998423</v>
      </c>
      <c r="W7" s="131"/>
    </row>
    <row r="8" spans="1:23" ht="15.75" x14ac:dyDescent="0.25">
      <c r="A8" s="142">
        <v>43955</v>
      </c>
      <c r="B8" s="143">
        <f>Sheet4!D21</f>
        <v>0.25</v>
      </c>
      <c r="C8" s="143">
        <f>Sheet4!E21</f>
        <v>206.58333333333334</v>
      </c>
      <c r="D8" s="143">
        <f>Sheet4!F21</f>
        <v>206.875</v>
      </c>
      <c r="E8" s="143">
        <f>Sheet4!G21</f>
        <v>0.29166666666665719</v>
      </c>
      <c r="F8" s="143">
        <f>Sheet4!H21</f>
        <v>206.92361111111111</v>
      </c>
      <c r="G8" s="143">
        <f>Sheet4!I21</f>
        <v>207.20833333333334</v>
      </c>
      <c r="H8" s="143">
        <f>Sheet4!J21</f>
        <v>0.28472222222222854</v>
      </c>
      <c r="I8" s="144">
        <f t="shared" si="0"/>
        <v>0.82638888888888573</v>
      </c>
      <c r="J8" s="143">
        <v>0.17361111111111113</v>
      </c>
      <c r="K8" s="143">
        <v>0</v>
      </c>
      <c r="L8" s="143">
        <v>0</v>
      </c>
      <c r="M8" s="143">
        <v>0</v>
      </c>
      <c r="N8" s="143">
        <v>0</v>
      </c>
      <c r="O8" s="144">
        <f t="shared" si="1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2"/>
        <v>0</v>
      </c>
      <c r="U8" s="143">
        <v>0</v>
      </c>
      <c r="V8" s="147">
        <f t="shared" si="3"/>
        <v>0.99999999999999689</v>
      </c>
      <c r="W8" s="131"/>
    </row>
    <row r="9" spans="1:23" ht="30" x14ac:dyDescent="0.25">
      <c r="A9" s="142">
        <v>43956</v>
      </c>
      <c r="B9" s="143">
        <f>Sheet5!D21</f>
        <v>0.26388888888888573</v>
      </c>
      <c r="C9" s="143">
        <f>Sheet5!E21</f>
        <v>206.58333333333334</v>
      </c>
      <c r="D9" s="143">
        <f>Sheet5!F21</f>
        <v>206.875</v>
      </c>
      <c r="E9" s="143">
        <f>Sheet5!G21</f>
        <v>0.29166666666665719</v>
      </c>
      <c r="F9" s="143">
        <f>Sheet5!H21</f>
        <v>206.92708333333334</v>
      </c>
      <c r="G9" s="143">
        <f>Sheet5!I21</f>
        <v>207.08333333333334</v>
      </c>
      <c r="H9" s="143">
        <f>Sheet5!J21</f>
        <v>0.15625</v>
      </c>
      <c r="I9" s="144">
        <f t="shared" si="0"/>
        <v>0.71180555555554292</v>
      </c>
      <c r="J9" s="143">
        <v>0.17013888888888887</v>
      </c>
      <c r="K9" s="143">
        <v>8.3333333333333329E-2</v>
      </c>
      <c r="L9" s="143">
        <v>0</v>
      </c>
      <c r="M9" s="143">
        <v>0</v>
      </c>
      <c r="N9" s="143">
        <v>0</v>
      </c>
      <c r="O9" s="144">
        <f t="shared" si="1"/>
        <v>8.3333333333333329E-2</v>
      </c>
      <c r="P9" s="143">
        <v>0</v>
      </c>
      <c r="Q9" s="143">
        <v>0</v>
      </c>
      <c r="R9" s="143">
        <v>0</v>
      </c>
      <c r="S9" s="143">
        <v>0</v>
      </c>
      <c r="T9" s="144">
        <f t="shared" si="2"/>
        <v>0</v>
      </c>
      <c r="U9" s="143">
        <v>3.4722222222222224E-2</v>
      </c>
      <c r="V9" s="147">
        <f t="shared" si="3"/>
        <v>0.99999999999998734</v>
      </c>
      <c r="W9" s="131" t="s">
        <v>395</v>
      </c>
    </row>
    <row r="10" spans="1:23" ht="15.75" x14ac:dyDescent="0.25">
      <c r="A10" s="142">
        <v>43957</v>
      </c>
      <c r="B10" s="143">
        <f>Sheet6!D21</f>
        <v>0.13541666666665719</v>
      </c>
      <c r="C10" s="143">
        <f>Sheet6!E21</f>
        <v>206.58333333333334</v>
      </c>
      <c r="D10" s="143">
        <f>Sheet6!F21</f>
        <v>206.875</v>
      </c>
      <c r="E10" s="143">
        <f>Sheet6!G21</f>
        <v>0.29166666666665719</v>
      </c>
      <c r="F10" s="143">
        <f>Sheet6!H21</f>
        <v>206.90972222222223</v>
      </c>
      <c r="G10" s="143">
        <f>Sheet6!I21</f>
        <v>207.20833333333334</v>
      </c>
      <c r="H10" s="143">
        <f>Sheet6!J21</f>
        <v>0.29861111111111427</v>
      </c>
      <c r="I10" s="144">
        <f t="shared" si="0"/>
        <v>0.72569444444442865</v>
      </c>
      <c r="J10" s="143">
        <v>0.19791666666666666</v>
      </c>
      <c r="K10" s="143">
        <v>0</v>
      </c>
      <c r="L10" s="143">
        <v>7.6388888888888895E-2</v>
      </c>
      <c r="M10" s="143">
        <v>0</v>
      </c>
      <c r="N10" s="143">
        <v>0</v>
      </c>
      <c r="O10" s="144">
        <f t="shared" si="1"/>
        <v>7.6388888888888895E-2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si="2"/>
        <v>0</v>
      </c>
      <c r="U10" s="143">
        <v>0</v>
      </c>
      <c r="V10" s="147">
        <f t="shared" si="3"/>
        <v>0.99999999999998412</v>
      </c>
      <c r="W10" s="131"/>
    </row>
    <row r="11" spans="1:23" ht="15.75" x14ac:dyDescent="0.25">
      <c r="A11" s="142">
        <v>43958</v>
      </c>
      <c r="B11" s="143">
        <f>Sheet7!D21</f>
        <v>0.27083333333331439</v>
      </c>
      <c r="C11" s="143">
        <f>Sheet7!E21</f>
        <v>206.57986111111111</v>
      </c>
      <c r="D11" s="143">
        <f>Sheet7!F21</f>
        <v>206.875</v>
      </c>
      <c r="E11" s="143">
        <f>Sheet7!G21</f>
        <v>0.29513888888888573</v>
      </c>
      <c r="F11" s="143">
        <f>Sheet7!H21</f>
        <v>206.92708333333334</v>
      </c>
      <c r="G11" s="143">
        <f>Sheet7!I21</f>
        <v>207.20833333333334</v>
      </c>
      <c r="H11" s="143">
        <f>Sheet7!J21</f>
        <v>0.28125</v>
      </c>
      <c r="I11" s="144">
        <f t="shared" si="0"/>
        <v>0.84722222222220012</v>
      </c>
      <c r="J11" s="143">
        <v>0.15277777777777776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1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2"/>
        <v>0</v>
      </c>
      <c r="U11" s="143">
        <v>0</v>
      </c>
      <c r="V11" s="147">
        <f t="shared" si="3"/>
        <v>0.99999999999997791</v>
      </c>
      <c r="W11" s="131"/>
    </row>
    <row r="12" spans="1:23" ht="15.75" x14ac:dyDescent="0.25">
      <c r="A12" s="142">
        <v>43959</v>
      </c>
      <c r="B12" s="143">
        <f>Sheet8!D21</f>
        <v>0.23263888888888573</v>
      </c>
      <c r="C12" s="143">
        <f>Sheet8!E21</f>
        <v>206.625</v>
      </c>
      <c r="D12" s="143">
        <f>Sheet8!F21</f>
        <v>206.875</v>
      </c>
      <c r="E12" s="143">
        <f>Sheet8!G21</f>
        <v>0.25</v>
      </c>
      <c r="F12" s="143">
        <f>Sheet8!H21</f>
        <v>206.95833333333334</v>
      </c>
      <c r="G12" s="143">
        <f>Sheet8!I21</f>
        <v>207.20833333333334</v>
      </c>
      <c r="H12" s="143">
        <f>Sheet8!J21</f>
        <v>0.25</v>
      </c>
      <c r="I12" s="144">
        <f t="shared" si="0"/>
        <v>0.73263888888888573</v>
      </c>
      <c r="J12" s="143">
        <v>0.20138888888888887</v>
      </c>
      <c r="K12" s="143">
        <v>6.5972222222222224E-2</v>
      </c>
      <c r="L12" s="143">
        <v>0</v>
      </c>
      <c r="M12" s="143">
        <v>0</v>
      </c>
      <c r="N12" s="143">
        <v>0</v>
      </c>
      <c r="O12" s="144">
        <f t="shared" si="1"/>
        <v>6.5972222222222224E-2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2"/>
        <v>0</v>
      </c>
      <c r="U12" s="143">
        <v>0</v>
      </c>
      <c r="V12" s="147">
        <f t="shared" si="3"/>
        <v>0.99999999999999678</v>
      </c>
      <c r="W12" s="131"/>
    </row>
    <row r="13" spans="1:23" ht="15.75" x14ac:dyDescent="0.25">
      <c r="A13" s="142">
        <v>43960</v>
      </c>
      <c r="B13" s="143">
        <f>Sheet9!D21</f>
        <v>0.28472222222220012</v>
      </c>
      <c r="C13" s="143">
        <f>Sheet9!E21</f>
        <v>206.60416666666666</v>
      </c>
      <c r="D13" s="143">
        <f>Sheet9!F21</f>
        <v>206.875</v>
      </c>
      <c r="E13" s="143">
        <f>Sheet9!G21</f>
        <v>0.27083333333334281</v>
      </c>
      <c r="F13" s="143">
        <f>Sheet9!H21</f>
        <v>206.91666666666666</v>
      </c>
      <c r="G13" s="143">
        <f>Sheet9!I21</f>
        <v>207.20833333333334</v>
      </c>
      <c r="H13" s="143">
        <f>Sheet9!J21</f>
        <v>0.29166666666668561</v>
      </c>
      <c r="I13" s="144">
        <f t="shared" si="0"/>
        <v>0.84722222222222854</v>
      </c>
      <c r="J13" s="143">
        <v>0.15277777777777776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1"/>
        <v>0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2"/>
        <v>0</v>
      </c>
      <c r="U13" s="143">
        <v>0</v>
      </c>
      <c r="V13" s="147">
        <f t="shared" si="3"/>
        <v>1.0000000000000062</v>
      </c>
      <c r="W13" s="131"/>
    </row>
    <row r="14" spans="1:23" ht="15.75" x14ac:dyDescent="0.25">
      <c r="A14" s="142">
        <v>43961</v>
      </c>
      <c r="B14" s="143">
        <f>Sheet10!D21</f>
        <v>0.29166666666665719</v>
      </c>
      <c r="C14" s="143">
        <f>Sheet10!E21</f>
        <v>206.58333333333334</v>
      </c>
      <c r="D14" s="143">
        <f>Sheet10!F21</f>
        <v>206.875</v>
      </c>
      <c r="E14" s="143">
        <f>Sheet10!G21</f>
        <v>0.29166666666665719</v>
      </c>
      <c r="F14" s="143">
        <f>Sheet10!H21</f>
        <v>206.96875</v>
      </c>
      <c r="G14" s="143">
        <f>Sheet10!I21</f>
        <v>207.20833333333334</v>
      </c>
      <c r="H14" s="143">
        <f>Sheet10!J21</f>
        <v>0.23958333333334281</v>
      </c>
      <c r="I14" s="144">
        <f t="shared" si="0"/>
        <v>0.82291666666665719</v>
      </c>
      <c r="J14" s="143">
        <v>0.17361111111111113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1"/>
        <v>0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2"/>
        <v>0</v>
      </c>
      <c r="U14" s="143">
        <v>3.472222222222222E-3</v>
      </c>
      <c r="V14" s="147">
        <f t="shared" si="3"/>
        <v>0.99999999999999056</v>
      </c>
      <c r="W14" s="131"/>
    </row>
    <row r="15" spans="1:23" ht="15.75" x14ac:dyDescent="0.25">
      <c r="A15" s="142">
        <v>43962</v>
      </c>
      <c r="B15" s="143">
        <f>Sheet11!D21</f>
        <v>0.29166666666665719</v>
      </c>
      <c r="C15" s="143">
        <f>Sheet11!E21</f>
        <v>206.58333333333334</v>
      </c>
      <c r="D15" s="143">
        <f>Sheet11!F21</f>
        <v>206.875</v>
      </c>
      <c r="E15" s="143">
        <f>Sheet11!G21</f>
        <v>0.29166666666665719</v>
      </c>
      <c r="F15" s="143">
        <f>Sheet11!H21</f>
        <v>206.91666666666666</v>
      </c>
      <c r="G15" s="143">
        <f>Sheet11!I21</f>
        <v>207.20833333333334</v>
      </c>
      <c r="H15" s="143">
        <f>Sheet11!J21</f>
        <v>0.29166666666668561</v>
      </c>
      <c r="I15" s="144">
        <f t="shared" si="0"/>
        <v>0.875</v>
      </c>
      <c r="J15" s="143">
        <v>0.125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1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2"/>
        <v>0</v>
      </c>
      <c r="U15" s="143">
        <v>0</v>
      </c>
      <c r="V15" s="147">
        <f t="shared" si="3"/>
        <v>1</v>
      </c>
      <c r="W15" s="131" t="s">
        <v>397</v>
      </c>
    </row>
    <row r="16" spans="1:23" ht="15.75" x14ac:dyDescent="0.25">
      <c r="A16" s="142">
        <v>43963</v>
      </c>
      <c r="B16" s="143">
        <f>Sheet12!D21</f>
        <v>0.19791666666665719</v>
      </c>
      <c r="C16" s="143">
        <f>Sheet12!E21</f>
        <v>206.57638888888889</v>
      </c>
      <c r="D16" s="143">
        <f>Sheet12!F21</f>
        <v>206.875</v>
      </c>
      <c r="E16" s="143">
        <f>Sheet12!G21</f>
        <v>0.29861111111111427</v>
      </c>
      <c r="F16" s="143">
        <f>Sheet12!H21</f>
        <v>206.92013888888889</v>
      </c>
      <c r="G16" s="143">
        <f>Sheet12!I21</f>
        <v>207.20833333333334</v>
      </c>
      <c r="H16" s="143">
        <f>Sheet12!J21</f>
        <v>0.28819444444445708</v>
      </c>
      <c r="I16" s="144">
        <f t="shared" si="0"/>
        <v>0.78472222222222854</v>
      </c>
      <c r="J16" s="143">
        <v>0.17361111111111113</v>
      </c>
      <c r="K16" s="143">
        <v>3.4722222222222224E-2</v>
      </c>
      <c r="L16" s="143">
        <v>0</v>
      </c>
      <c r="M16" s="143">
        <v>0</v>
      </c>
      <c r="N16" s="143">
        <v>0</v>
      </c>
      <c r="O16" s="144">
        <f t="shared" si="1"/>
        <v>3.4722222222222224E-2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2"/>
        <v>0</v>
      </c>
      <c r="U16" s="143">
        <v>6.9444444444444441E-3</v>
      </c>
      <c r="V16" s="147">
        <f t="shared" si="3"/>
        <v>1.0000000000000064</v>
      </c>
      <c r="W16" s="131"/>
    </row>
    <row r="17" spans="1:24" ht="15.75" x14ac:dyDescent="0.25">
      <c r="A17" s="142">
        <v>43964</v>
      </c>
      <c r="B17" s="143">
        <f>Sheet13!D21</f>
        <v>0.29166666666665719</v>
      </c>
      <c r="C17" s="143">
        <f>Sheet13!E21</f>
        <v>206.57638888888889</v>
      </c>
      <c r="D17" s="143">
        <f>Sheet13!F21</f>
        <v>206.875</v>
      </c>
      <c r="E17" s="143">
        <f>Sheet13!G21</f>
        <v>0.29861111111111427</v>
      </c>
      <c r="F17" s="143">
        <f>Sheet13!H21</f>
        <v>206.90625</v>
      </c>
      <c r="G17" s="143">
        <f>Sheet13!I21</f>
        <v>207.20833333333334</v>
      </c>
      <c r="H17" s="143">
        <f>Sheet13!J21</f>
        <v>0.30208333333334281</v>
      </c>
      <c r="I17" s="144">
        <f t="shared" si="0"/>
        <v>0.89236111111111427</v>
      </c>
      <c r="J17" s="143">
        <v>0.1076388888888889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1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2"/>
        <v>0</v>
      </c>
      <c r="U17" s="143">
        <v>0</v>
      </c>
      <c r="V17" s="147">
        <f t="shared" si="3"/>
        <v>1.0000000000000031</v>
      </c>
      <c r="W17" s="131"/>
    </row>
    <row r="18" spans="1:24" ht="15.75" x14ac:dyDescent="0.25">
      <c r="A18" s="142">
        <v>43965</v>
      </c>
      <c r="B18" s="143">
        <f>Sheet14!D21</f>
        <v>0.29166666666665719</v>
      </c>
      <c r="C18" s="143">
        <f>Sheet14!E21</f>
        <v>206.63888888888889</v>
      </c>
      <c r="D18" s="143">
        <f>Sheet14!F21</f>
        <v>206.875</v>
      </c>
      <c r="E18" s="143">
        <f>Sheet14!G21</f>
        <v>0.23611111111111427</v>
      </c>
      <c r="F18" s="143">
        <f>Sheet14!H21</f>
        <v>206.91666666666666</v>
      </c>
      <c r="G18" s="143">
        <f>Sheet14!I21</f>
        <v>207.20833333333334</v>
      </c>
      <c r="H18" s="143">
        <f>Sheet14!J21</f>
        <v>0.29166666666668561</v>
      </c>
      <c r="I18" s="144">
        <f t="shared" si="0"/>
        <v>0.81944444444445708</v>
      </c>
      <c r="J18" s="143">
        <v>0.18055555555555555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1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2"/>
        <v>0</v>
      </c>
      <c r="U18" s="143">
        <v>0</v>
      </c>
      <c r="V18" s="147">
        <f t="shared" si="3"/>
        <v>1.0000000000000127</v>
      </c>
      <c r="W18" s="131" t="s">
        <v>107</v>
      </c>
    </row>
    <row r="19" spans="1:24" ht="15.75" x14ac:dyDescent="0.25">
      <c r="A19" s="142">
        <v>43966</v>
      </c>
      <c r="B19" s="143">
        <f>Sheet15!D21</f>
        <v>0.29166666666665719</v>
      </c>
      <c r="C19" s="143">
        <f>Sheet14!E21</f>
        <v>206.63888888888889</v>
      </c>
      <c r="D19" s="143">
        <f>Sheet14!F21</f>
        <v>206.875</v>
      </c>
      <c r="E19" s="143">
        <f>Sheet15!G21</f>
        <v>0.29513888888888573</v>
      </c>
      <c r="F19" s="143">
        <f>Sheet14!H21</f>
        <v>206.91666666666666</v>
      </c>
      <c r="G19" s="143">
        <f>Sheet14!I21</f>
        <v>207.20833333333334</v>
      </c>
      <c r="H19" s="143">
        <f>Sheet15!J21</f>
        <v>0.27083333333334281</v>
      </c>
      <c r="I19" s="144">
        <f t="shared" si="0"/>
        <v>0.85763888888888573</v>
      </c>
      <c r="J19" s="143">
        <v>0.1423611111111111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1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2"/>
        <v>0</v>
      </c>
      <c r="U19" s="143">
        <v>0</v>
      </c>
      <c r="V19" s="147">
        <f t="shared" si="3"/>
        <v>0.99999999999999689</v>
      </c>
      <c r="W19" s="131"/>
    </row>
    <row r="20" spans="1:24" ht="15.75" x14ac:dyDescent="0.25">
      <c r="A20" s="142">
        <v>43967</v>
      </c>
      <c r="B20" s="143">
        <f>Sheet16!D21</f>
        <v>3.4722222222200116E-2</v>
      </c>
      <c r="C20" s="143">
        <f>Sheet16!E21</f>
        <v>206.625</v>
      </c>
      <c r="D20" s="143">
        <f>Sheet16!F21</f>
        <v>206.875</v>
      </c>
      <c r="E20" s="143">
        <f>Sheet16!G21</f>
        <v>0.25</v>
      </c>
      <c r="F20" s="143">
        <f>Sheet16!H21</f>
        <v>206.92361111111111</v>
      </c>
      <c r="G20" s="143">
        <f>Sheet16!I21</f>
        <v>207.20833333333334</v>
      </c>
      <c r="H20" s="143">
        <f>Sheet16!J21</f>
        <v>0.28472222222222854</v>
      </c>
      <c r="I20" s="144">
        <f t="shared" si="0"/>
        <v>0.56944444444442865</v>
      </c>
      <c r="J20" s="143">
        <v>0.19444444444444445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1"/>
        <v>0</v>
      </c>
      <c r="P20" s="143">
        <v>0</v>
      </c>
      <c r="Q20" s="143">
        <v>0</v>
      </c>
      <c r="R20" s="143">
        <v>0.22222222222222221</v>
      </c>
      <c r="S20" s="143">
        <v>0</v>
      </c>
      <c r="T20" s="144">
        <f t="shared" si="2"/>
        <v>0.22222222222222221</v>
      </c>
      <c r="U20" s="143">
        <v>1.3888888888888888E-2</v>
      </c>
      <c r="V20" s="147">
        <f t="shared" si="3"/>
        <v>0.99999999999998412</v>
      </c>
      <c r="W20" s="131" t="s">
        <v>381</v>
      </c>
      <c r="X20" t="s">
        <v>383</v>
      </c>
    </row>
    <row r="21" spans="1:24" ht="30" x14ac:dyDescent="0.25">
      <c r="A21" s="142">
        <v>43968</v>
      </c>
      <c r="B21" s="143">
        <f>Sheet17!D21</f>
        <v>0.29166666666665719</v>
      </c>
      <c r="C21" s="143">
        <f>Sheet17!E21</f>
        <v>206.58333333333334</v>
      </c>
      <c r="D21" s="143">
        <f>Sheet17!F21</f>
        <v>206.875</v>
      </c>
      <c r="E21" s="143">
        <f>Sheet17!G21</f>
        <v>0.29166666666665719</v>
      </c>
      <c r="F21" s="143">
        <f>Sheet17!H21</f>
        <v>206.91666666666666</v>
      </c>
      <c r="G21" s="143">
        <f>Sheet17!I21</f>
        <v>207.20833333333334</v>
      </c>
      <c r="H21" s="143">
        <f>Sheet17!J21</f>
        <v>0.29166666666668561</v>
      </c>
      <c r="I21" s="144">
        <f t="shared" si="0"/>
        <v>0.875</v>
      </c>
      <c r="J21" s="143">
        <v>0.125</v>
      </c>
      <c r="K21" s="143">
        <v>0</v>
      </c>
      <c r="L21" s="143">
        <v>0</v>
      </c>
      <c r="M21" s="143">
        <v>0</v>
      </c>
      <c r="N21" s="143">
        <v>0</v>
      </c>
      <c r="O21" s="144">
        <f t="shared" si="1"/>
        <v>0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2"/>
        <v>0</v>
      </c>
      <c r="U21" s="143">
        <v>0</v>
      </c>
      <c r="V21" s="147">
        <f t="shared" si="3"/>
        <v>1</v>
      </c>
      <c r="W21" s="131" t="s">
        <v>399</v>
      </c>
    </row>
    <row r="22" spans="1:24" ht="15.75" x14ac:dyDescent="0.25">
      <c r="A22" s="142">
        <v>43969</v>
      </c>
      <c r="B22" s="143">
        <f>Sheet18!D21</f>
        <v>0.29513888888888573</v>
      </c>
      <c r="C22" s="143">
        <f>Sheet18!E21</f>
        <v>206.59722222222223</v>
      </c>
      <c r="D22" s="143">
        <f>Sheet18!F21</f>
        <v>206.875</v>
      </c>
      <c r="E22" s="143">
        <f>Sheet18!G21</f>
        <v>0.27777777777777146</v>
      </c>
      <c r="F22" s="143">
        <f>Sheet18!H21</f>
        <v>206.90972222222223</v>
      </c>
      <c r="G22" s="143">
        <f>Sheet18!I21</f>
        <v>207.20833333333334</v>
      </c>
      <c r="H22" s="143">
        <f>Sheet18!J21</f>
        <v>0.29861111111111427</v>
      </c>
      <c r="I22" s="144">
        <f t="shared" si="0"/>
        <v>0.87152777777777146</v>
      </c>
      <c r="J22" s="143">
        <v>0.12847222222222224</v>
      </c>
      <c r="K22" s="143">
        <v>0</v>
      </c>
      <c r="L22" s="143">
        <v>0</v>
      </c>
      <c r="M22" s="143">
        <v>0</v>
      </c>
      <c r="N22" s="143">
        <v>0</v>
      </c>
      <c r="O22" s="144">
        <f t="shared" si="1"/>
        <v>0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2"/>
        <v>0</v>
      </c>
      <c r="U22" s="143">
        <v>0</v>
      </c>
      <c r="V22" s="147">
        <f t="shared" si="3"/>
        <v>0.99999999999999367</v>
      </c>
      <c r="W22" s="148"/>
    </row>
    <row r="23" spans="1:24" ht="30" x14ac:dyDescent="0.25">
      <c r="A23" s="142">
        <v>43970</v>
      </c>
      <c r="B23" s="143">
        <f>Sheet19!D21</f>
        <v>0.22916666666665719</v>
      </c>
      <c r="C23" s="143">
        <f>Sheet18!E21</f>
        <v>206.59722222222223</v>
      </c>
      <c r="D23" s="143">
        <f>Sheet18!F21</f>
        <v>206.875</v>
      </c>
      <c r="E23" s="143">
        <f>Sheet19!G21</f>
        <v>0.28125</v>
      </c>
      <c r="F23" s="143">
        <f>Sheet18!H21</f>
        <v>206.90972222222223</v>
      </c>
      <c r="G23" s="143">
        <f>Sheet18!I21</f>
        <v>207.20833333333334</v>
      </c>
      <c r="H23" s="143">
        <f>Sheet19!J21</f>
        <v>0.29166666666668561</v>
      </c>
      <c r="I23" s="144">
        <f t="shared" si="0"/>
        <v>0.80208333333334281</v>
      </c>
      <c r="J23" s="143">
        <v>0.19791666666666666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1"/>
        <v>0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2"/>
        <v>0</v>
      </c>
      <c r="U23" s="143">
        <v>0</v>
      </c>
      <c r="V23" s="147">
        <f t="shared" si="3"/>
        <v>1.0000000000000095</v>
      </c>
      <c r="W23" s="131" t="s">
        <v>400</v>
      </c>
    </row>
    <row r="24" spans="1:24" ht="15.75" x14ac:dyDescent="0.25">
      <c r="A24" s="142">
        <v>43971</v>
      </c>
      <c r="B24" s="143">
        <f>Sheet20!D21</f>
        <v>0.25347222222220012</v>
      </c>
      <c r="C24" s="143">
        <f>Sheet20!E21</f>
        <v>206.59027777777777</v>
      </c>
      <c r="D24" s="143">
        <f>Sheet20!F21</f>
        <v>206.875</v>
      </c>
      <c r="E24" s="143">
        <f>Sheet20!G21</f>
        <v>0.28472222222222854</v>
      </c>
      <c r="F24" s="143">
        <f>Sheet20!H21</f>
        <v>206.92013888888889</v>
      </c>
      <c r="G24" s="143">
        <f>Sheet20!I21</f>
        <v>207.125</v>
      </c>
      <c r="H24" s="143">
        <f>Sheet20!J21</f>
        <v>0.20486111111111427</v>
      </c>
      <c r="I24" s="144">
        <f t="shared" si="0"/>
        <v>0.74305555555554292</v>
      </c>
      <c r="J24" s="143">
        <v>0.20138888888888887</v>
      </c>
      <c r="K24" s="143">
        <v>5.5555555555555552E-2</v>
      </c>
      <c r="L24" s="143">
        <v>0</v>
      </c>
      <c r="M24" s="143">
        <v>0</v>
      </c>
      <c r="N24" s="143">
        <v>0</v>
      </c>
      <c r="O24" s="144">
        <f t="shared" si="1"/>
        <v>5.5555555555555552E-2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2"/>
        <v>0</v>
      </c>
      <c r="U24" s="143">
        <v>0</v>
      </c>
      <c r="V24" s="147">
        <f t="shared" si="3"/>
        <v>0.99999999999998734</v>
      </c>
      <c r="W24" s="131" t="s">
        <v>107</v>
      </c>
    </row>
    <row r="25" spans="1:24" ht="15.75" x14ac:dyDescent="0.25">
      <c r="A25" s="142">
        <v>43972</v>
      </c>
      <c r="B25" s="143">
        <f>Sheet21!D21</f>
        <v>0.24305555555554292</v>
      </c>
      <c r="C25" s="143">
        <f>Sheet21!E21</f>
        <v>206.59027777777777</v>
      </c>
      <c r="D25" s="143">
        <f>Sheet21!F21</f>
        <v>206.875</v>
      </c>
      <c r="E25" s="143">
        <f>Sheet21!G21</f>
        <v>0.28472222222222854</v>
      </c>
      <c r="F25" s="143">
        <f>Sheet21!H21</f>
        <v>206.90972222222223</v>
      </c>
      <c r="G25" s="143">
        <f>Sheet21!I21</f>
        <v>207.20833333333334</v>
      </c>
      <c r="H25" s="143">
        <f>Sheet21!J21</f>
        <v>0.29861111111111427</v>
      </c>
      <c r="I25" s="144">
        <f t="shared" si="0"/>
        <v>0.82638888888888573</v>
      </c>
      <c r="J25" s="143">
        <v>0.17361111111111113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1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2"/>
        <v>0</v>
      </c>
      <c r="U25" s="143">
        <v>0</v>
      </c>
      <c r="V25" s="147">
        <f t="shared" si="3"/>
        <v>0.99999999999999689</v>
      </c>
      <c r="W25" s="131"/>
    </row>
    <row r="26" spans="1:24" ht="15.75" x14ac:dyDescent="0.25">
      <c r="A26" s="142">
        <v>43973</v>
      </c>
      <c r="B26" s="143">
        <f>Sheet22!D21</f>
        <v>0.21875</v>
      </c>
      <c r="C26" s="143" t="e">
        <f>Sheet22!#REF!</f>
        <v>#REF!</v>
      </c>
      <c r="D26" s="143" t="e">
        <f>Sheet22!#REF!</f>
        <v>#REF!</v>
      </c>
      <c r="E26" s="143">
        <f>Sheet22!G21</f>
        <v>0.28125</v>
      </c>
      <c r="F26" s="143" t="e">
        <f>Sheet22!#REF!</f>
        <v>#REF!</v>
      </c>
      <c r="G26" s="143" t="e">
        <f>Sheet22!#REF!</f>
        <v>#REF!</v>
      </c>
      <c r="H26" s="143">
        <f>Sheet22!J21</f>
        <v>0.29166666666668561</v>
      </c>
      <c r="I26" s="144">
        <f t="shared" si="0"/>
        <v>0.79166666666668561</v>
      </c>
      <c r="J26" s="143">
        <v>0.19444444444444445</v>
      </c>
      <c r="K26" s="143">
        <v>1.3888888888888888E-2</v>
      </c>
      <c r="L26" s="143">
        <v>0</v>
      </c>
      <c r="M26" s="143">
        <v>0</v>
      </c>
      <c r="N26" s="143">
        <v>0</v>
      </c>
      <c r="O26" s="144">
        <f t="shared" si="1"/>
        <v>1.3888888888888888E-2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2"/>
        <v>0</v>
      </c>
      <c r="U26" s="143">
        <v>0</v>
      </c>
      <c r="V26" s="147">
        <f t="shared" si="3"/>
        <v>1.0000000000000189</v>
      </c>
      <c r="W26" s="131"/>
    </row>
    <row r="27" spans="1:24" ht="15.75" x14ac:dyDescent="0.25">
      <c r="A27" s="142">
        <v>43974</v>
      </c>
      <c r="B27" s="143">
        <f>Sheet23!D21</f>
        <v>0.18402777777777146</v>
      </c>
      <c r="C27" s="143">
        <f>Sheet23!E21</f>
        <v>206.64236111111111</v>
      </c>
      <c r="D27" s="143">
        <f>Sheet23!F21</f>
        <v>206.875</v>
      </c>
      <c r="E27" s="143">
        <f>Sheet23!G21</f>
        <v>0.23263888888888573</v>
      </c>
      <c r="F27" s="143">
        <f>Sheet23!H21</f>
        <v>206.91319444444446</v>
      </c>
      <c r="G27" s="143">
        <f>Sheet23!I21</f>
        <v>207.20833333333334</v>
      </c>
      <c r="H27" s="143">
        <f>Sheet23!J21</f>
        <v>0.29513888888888573</v>
      </c>
      <c r="I27" s="144">
        <f t="shared" si="0"/>
        <v>0.71180555555554292</v>
      </c>
      <c r="J27" s="143">
        <v>0.19791666666666666</v>
      </c>
      <c r="K27" s="143">
        <v>9.0277777777777776E-2</v>
      </c>
      <c r="L27" s="143">
        <v>0</v>
      </c>
      <c r="M27" s="143">
        <v>0</v>
      </c>
      <c r="N27" s="143">
        <v>0</v>
      </c>
      <c r="O27" s="144">
        <f t="shared" si="1"/>
        <v>9.0277777777777776E-2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2"/>
        <v>0</v>
      </c>
      <c r="U27" s="143">
        <v>0</v>
      </c>
      <c r="V27" s="147">
        <f t="shared" si="3"/>
        <v>0.99999999999998734</v>
      </c>
      <c r="W27" s="131"/>
    </row>
    <row r="28" spans="1:24" ht="15.75" x14ac:dyDescent="0.25">
      <c r="A28" s="142">
        <v>43975</v>
      </c>
      <c r="B28" s="143">
        <f>Sheet24!D21</f>
        <v>0.1875</v>
      </c>
      <c r="C28" s="143">
        <f>Sheet24!E21</f>
        <v>206.6875</v>
      </c>
      <c r="D28" s="143">
        <f>Sheet24!F21</f>
        <v>206.875</v>
      </c>
      <c r="E28" s="143">
        <f>Sheet24!G21</f>
        <v>0.1875</v>
      </c>
      <c r="F28" s="143">
        <f>Sheet24!H21</f>
        <v>206.90972222222223</v>
      </c>
      <c r="G28" s="143">
        <f>Sheet24!I21</f>
        <v>207.20833333333334</v>
      </c>
      <c r="H28" s="143">
        <f>Sheet24!J21</f>
        <v>0.29861111111111427</v>
      </c>
      <c r="I28" s="144">
        <f t="shared" si="0"/>
        <v>0.67361111111111427</v>
      </c>
      <c r="J28" s="143">
        <v>0.19791666666666666</v>
      </c>
      <c r="K28" s="143">
        <v>0</v>
      </c>
      <c r="L28" s="143">
        <v>0</v>
      </c>
      <c r="M28" s="143">
        <v>0.12847222222222224</v>
      </c>
      <c r="N28" s="143">
        <v>0</v>
      </c>
      <c r="O28" s="144">
        <f t="shared" si="1"/>
        <v>0.12847222222222224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2"/>
        <v>0</v>
      </c>
      <c r="U28" s="143">
        <v>0</v>
      </c>
      <c r="V28" s="147">
        <f t="shared" si="3"/>
        <v>1.0000000000000031</v>
      </c>
      <c r="W28" s="131" t="s">
        <v>382</v>
      </c>
    </row>
    <row r="29" spans="1:24" ht="15.75" x14ac:dyDescent="0.25">
      <c r="A29" s="142">
        <v>43976</v>
      </c>
      <c r="B29" s="143">
        <f>Sheet25!D21</f>
        <v>0.23263888888888573</v>
      </c>
      <c r="C29" s="143">
        <f>Sheet25!E21</f>
        <v>206.58680555555554</v>
      </c>
      <c r="D29" s="143">
        <f>Sheet25!F21</f>
        <v>206.875</v>
      </c>
      <c r="E29" s="143">
        <f>Sheet25!G21</f>
        <v>0.28819444444445708</v>
      </c>
      <c r="F29" s="143">
        <f>Sheet25!H21</f>
        <v>206.90972222222223</v>
      </c>
      <c r="G29" s="143">
        <f>Sheet25!I21</f>
        <v>207.20833333333334</v>
      </c>
      <c r="H29" s="143">
        <f>Sheet25!J21</f>
        <v>0.29861111111111427</v>
      </c>
      <c r="I29" s="144">
        <f t="shared" si="0"/>
        <v>0.81944444444445708</v>
      </c>
      <c r="J29" s="143">
        <v>0.18055555555555555</v>
      </c>
      <c r="K29" s="143">
        <v>0</v>
      </c>
      <c r="L29" s="143">
        <v>0</v>
      </c>
      <c r="M29" s="143">
        <v>0</v>
      </c>
      <c r="N29" s="143">
        <v>0</v>
      </c>
      <c r="O29" s="144">
        <f t="shared" si="1"/>
        <v>0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2"/>
        <v>0</v>
      </c>
      <c r="U29" s="143">
        <v>0</v>
      </c>
      <c r="V29" s="147">
        <f t="shared" si="3"/>
        <v>1.0000000000000127</v>
      </c>
      <c r="W29" s="209"/>
    </row>
    <row r="30" spans="1:24" ht="15.75" x14ac:dyDescent="0.25">
      <c r="A30" s="142">
        <v>43977</v>
      </c>
      <c r="B30" s="143">
        <f>Sheet26!D21</f>
        <v>0.23958333333331439</v>
      </c>
      <c r="C30" s="143">
        <f>Sheet26!E21</f>
        <v>206.62152777777777</v>
      </c>
      <c r="D30" s="143">
        <f>Sheet26!F21</f>
        <v>206.875</v>
      </c>
      <c r="E30" s="143">
        <f>Sheet26!G21</f>
        <v>0.25347222222222854</v>
      </c>
      <c r="F30" s="143">
        <f>Sheet26!H21</f>
        <v>206.90972222222223</v>
      </c>
      <c r="G30" s="143">
        <f>Sheet26!I21</f>
        <v>207.20833333333334</v>
      </c>
      <c r="H30" s="143">
        <f>Sheet26!J21</f>
        <v>0.29861111111111427</v>
      </c>
      <c r="I30" s="144">
        <f t="shared" si="0"/>
        <v>0.79166666666665719</v>
      </c>
      <c r="J30" s="143">
        <v>0.20833333333333334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1"/>
        <v>0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2"/>
        <v>0</v>
      </c>
      <c r="U30" s="143">
        <v>0</v>
      </c>
      <c r="V30" s="147">
        <f t="shared" si="3"/>
        <v>0.99999999999999056</v>
      </c>
      <c r="W30" s="207"/>
    </row>
    <row r="31" spans="1:24" ht="15.75" x14ac:dyDescent="0.25">
      <c r="A31" s="142">
        <v>43978</v>
      </c>
      <c r="B31" s="143">
        <f>Sheet27!D21</f>
        <v>0.25</v>
      </c>
      <c r="C31" s="143">
        <f>Sheet27!E21</f>
        <v>206.57291666666666</v>
      </c>
      <c r="D31" s="143">
        <f>Sheet27!F21</f>
        <v>206.875</v>
      </c>
      <c r="E31" s="143">
        <f>Sheet27!G21</f>
        <v>0.30208333333334281</v>
      </c>
      <c r="F31" s="143">
        <f>Sheet27!H21</f>
        <v>206.90972222222223</v>
      </c>
      <c r="G31" s="143">
        <f>Sheet27!I21</f>
        <v>207.20833333333334</v>
      </c>
      <c r="H31" s="143">
        <f>Sheet27!J21</f>
        <v>0.29861111111111427</v>
      </c>
      <c r="I31" s="144">
        <f t="shared" si="0"/>
        <v>0.85069444444445708</v>
      </c>
      <c r="J31" s="143">
        <v>0.14930555555555555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1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2"/>
        <v>0</v>
      </c>
      <c r="U31" s="143">
        <v>0</v>
      </c>
      <c r="V31" s="147">
        <f t="shared" si="3"/>
        <v>1.0000000000000127</v>
      </c>
      <c r="W31" s="131" t="s">
        <v>107</v>
      </c>
    </row>
    <row r="32" spans="1:24" ht="15.75" x14ac:dyDescent="0.25">
      <c r="A32" s="142">
        <v>43979</v>
      </c>
      <c r="B32" s="143">
        <f>Sheet28!D21</f>
        <v>0.27083333333331439</v>
      </c>
      <c r="C32" s="143">
        <f>Sheet28!E21</f>
        <v>206.69097222222223</v>
      </c>
      <c r="D32" s="143">
        <f>Sheet28!F21</f>
        <v>206.875</v>
      </c>
      <c r="E32" s="143">
        <f>Sheet28!G21</f>
        <v>0.18402777777777146</v>
      </c>
      <c r="F32" s="143">
        <f>Sheet28!H21</f>
        <v>206.90972222222223</v>
      </c>
      <c r="G32" s="143">
        <f>Sheet28!I21</f>
        <v>207.20833333333334</v>
      </c>
      <c r="H32" s="143">
        <f>Sheet28!J21</f>
        <v>0.29861111111111427</v>
      </c>
      <c r="I32" s="144">
        <f t="shared" si="0"/>
        <v>0.75347222222220012</v>
      </c>
      <c r="J32" s="143">
        <v>0.20138888888888887</v>
      </c>
      <c r="K32" s="143">
        <v>0</v>
      </c>
      <c r="L32" s="143">
        <v>4.5138888888888888E-2</v>
      </c>
      <c r="M32" s="143">
        <v>0</v>
      </c>
      <c r="N32" s="143">
        <v>0</v>
      </c>
      <c r="O32" s="144">
        <f t="shared" si="1"/>
        <v>4.5138888888888888E-2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2"/>
        <v>0</v>
      </c>
      <c r="U32" s="143">
        <v>0</v>
      </c>
      <c r="V32" s="147">
        <f t="shared" si="3"/>
        <v>0.9999999999999778</v>
      </c>
      <c r="W32" s="131"/>
    </row>
    <row r="33" spans="1:23" ht="15.75" x14ac:dyDescent="0.25">
      <c r="A33" s="142">
        <v>43980</v>
      </c>
      <c r="B33" s="143">
        <f>Sheet29!D21</f>
        <v>0.27083333333331439</v>
      </c>
      <c r="C33" s="143">
        <f>Sheet29!E21</f>
        <v>206.64583333333334</v>
      </c>
      <c r="D33" s="143">
        <f>Sheet29!F21</f>
        <v>206.875</v>
      </c>
      <c r="E33" s="143">
        <f>Sheet29!G21</f>
        <v>0.22916666666665719</v>
      </c>
      <c r="F33" s="143">
        <f>Sheet29!H21</f>
        <v>206.90972222222223</v>
      </c>
      <c r="G33" s="143">
        <f>Sheet29!I21</f>
        <v>207.20833333333334</v>
      </c>
      <c r="H33" s="143">
        <f>Sheet29!J21</f>
        <v>0.29861111111111427</v>
      </c>
      <c r="I33" s="144">
        <f t="shared" si="0"/>
        <v>0.79861111111108585</v>
      </c>
      <c r="J33" s="143">
        <v>0.20138888888888887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1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2"/>
        <v>0</v>
      </c>
      <c r="U33" s="143">
        <v>0</v>
      </c>
      <c r="V33" s="147">
        <f t="shared" si="3"/>
        <v>0.99999999999997469</v>
      </c>
      <c r="W33" s="131"/>
    </row>
    <row r="34" spans="1:23" ht="15.75" x14ac:dyDescent="0.25">
      <c r="A34" s="142">
        <v>43981</v>
      </c>
      <c r="B34" s="143">
        <f>'Sheet 30'!D21</f>
        <v>0.26041666666665719</v>
      </c>
      <c r="C34" s="143">
        <f>Sheet29!E22</f>
        <v>206.57291666666666</v>
      </c>
      <c r="D34" s="143">
        <f>Sheet29!F22</f>
        <v>206.875</v>
      </c>
      <c r="E34" s="143">
        <f>'Sheet 30'!G21</f>
        <v>0.27083333333334281</v>
      </c>
      <c r="F34" s="143">
        <f>Sheet29!H22</f>
        <v>206.91666666666666</v>
      </c>
      <c r="G34" s="143">
        <f>Sheet29!I22</f>
        <v>207.20833333333334</v>
      </c>
      <c r="H34" s="143">
        <f>'Sheet 30'!J21</f>
        <v>0.29861111111111427</v>
      </c>
      <c r="I34" s="144">
        <f t="shared" ref="I34" si="4">B34+E34+H34</f>
        <v>0.82986111111111427</v>
      </c>
      <c r="J34" s="143">
        <v>0.17013888888888887</v>
      </c>
      <c r="K34" s="143">
        <v>0</v>
      </c>
      <c r="L34" s="143">
        <v>0</v>
      </c>
      <c r="M34" s="143">
        <v>0</v>
      </c>
      <c r="N34" s="143">
        <v>0</v>
      </c>
      <c r="O34" s="144">
        <f t="shared" si="1"/>
        <v>0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si="2"/>
        <v>0</v>
      </c>
      <c r="U34" s="143">
        <v>0</v>
      </c>
      <c r="V34" s="147">
        <f t="shared" si="3"/>
        <v>1.0000000000000031</v>
      </c>
      <c r="W34" s="131"/>
    </row>
    <row r="35" spans="1:23" ht="15.75" x14ac:dyDescent="0.25">
      <c r="A35" s="142">
        <v>43982</v>
      </c>
      <c r="B35" s="143">
        <f>'Sheet 31'!D21</f>
        <v>0.27083333333331439</v>
      </c>
      <c r="C35" s="143">
        <f>Sheet29!E23</f>
        <v>206.61458333333334</v>
      </c>
      <c r="D35" s="143">
        <f>Sheet29!F23</f>
        <v>206.875</v>
      </c>
      <c r="E35" s="143">
        <f>'Sheet 31'!G21</f>
        <v>0.27777777777777146</v>
      </c>
      <c r="F35" s="143">
        <f>Sheet29!H23</f>
        <v>206.91666666666666</v>
      </c>
      <c r="G35" s="143">
        <f>Sheet29!I23</f>
        <v>207.20833333333334</v>
      </c>
      <c r="H35" s="143">
        <f>'Sheet 31'!J21</f>
        <v>0.27777777777779988</v>
      </c>
      <c r="I35" s="144">
        <f t="shared" ref="I35" si="5">B35+E35+H35</f>
        <v>0.82638888888888573</v>
      </c>
      <c r="J35" s="143">
        <v>0.17361111111111113</v>
      </c>
      <c r="K35" s="143">
        <v>0</v>
      </c>
      <c r="L35" s="143">
        <v>0</v>
      </c>
      <c r="M35" s="143">
        <v>0</v>
      </c>
      <c r="N35" s="143">
        <v>0</v>
      </c>
      <c r="O35" s="144">
        <f t="shared" ref="O35" si="6">SUM(K35:N35)</f>
        <v>0</v>
      </c>
      <c r="P35" s="143">
        <v>0</v>
      </c>
      <c r="Q35" s="143">
        <v>0</v>
      </c>
      <c r="R35" s="143">
        <v>0</v>
      </c>
      <c r="S35" s="143">
        <v>0</v>
      </c>
      <c r="T35" s="144">
        <f t="shared" ref="T35" si="7">SUM(P35:S35)</f>
        <v>0</v>
      </c>
      <c r="U35" s="143">
        <v>0</v>
      </c>
      <c r="V35" s="147">
        <f t="shared" si="3"/>
        <v>0.99999999999999689</v>
      </c>
      <c r="W35" s="131"/>
    </row>
    <row r="36" spans="1:23" ht="15.75" x14ac:dyDescent="0.25">
      <c r="A36" s="132" t="s">
        <v>108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>SUM(I5:I35)</f>
        <v>24.638888888888829</v>
      </c>
      <c r="J36" s="152">
        <f>SUM(J5:J35)</f>
        <v>5.385416666666667</v>
      </c>
      <c r="K36" s="152">
        <f t="shared" ref="K36:V36" si="8">SUM(K5:K35)</f>
        <v>0.40972222222222227</v>
      </c>
      <c r="L36" s="152">
        <f t="shared" si="8"/>
        <v>0.13541666666666669</v>
      </c>
      <c r="M36" s="152">
        <f t="shared" si="8"/>
        <v>0.12847222222222224</v>
      </c>
      <c r="N36" s="152">
        <f t="shared" si="8"/>
        <v>0</v>
      </c>
      <c r="O36" s="152">
        <f t="shared" si="8"/>
        <v>0.67361111111111105</v>
      </c>
      <c r="P36" s="152">
        <f t="shared" si="8"/>
        <v>0</v>
      </c>
      <c r="Q36" s="152">
        <f t="shared" si="8"/>
        <v>0</v>
      </c>
      <c r="R36" s="152">
        <f t="shared" si="8"/>
        <v>0.22222222222222221</v>
      </c>
      <c r="S36" s="152">
        <f t="shared" si="8"/>
        <v>0</v>
      </c>
      <c r="T36" s="152">
        <f t="shared" si="8"/>
        <v>0.22222222222222221</v>
      </c>
      <c r="U36" s="152">
        <f t="shared" si="8"/>
        <v>7.9861111111111105E-2</v>
      </c>
      <c r="V36" s="152">
        <f t="shared" si="8"/>
        <v>30.99999999999994</v>
      </c>
      <c r="W36" s="89"/>
    </row>
    <row r="37" spans="1:23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  <c r="V37" s="271">
        <f>I36+J36+O36+T36+U36</f>
        <v>30.99999999999994</v>
      </c>
    </row>
    <row r="38" spans="1:23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3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177</v>
      </c>
      <c r="S39" s="133"/>
      <c r="T39" s="133"/>
      <c r="U39" s="133"/>
      <c r="V39" s="133"/>
    </row>
    <row r="40" spans="1:23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109</v>
      </c>
      <c r="S40" s="138"/>
      <c r="T40" s="133"/>
      <c r="U40" s="133"/>
      <c r="V40" s="133"/>
    </row>
    <row r="41" spans="1:23" ht="15.75" x14ac:dyDescent="0.25">
      <c r="A41" s="140" t="s">
        <v>110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  <c r="V41" s="133"/>
    </row>
    <row r="42" spans="1:23" ht="15.75" x14ac:dyDescent="0.25">
      <c r="A42" s="140" t="s">
        <v>111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  <c r="V42" s="133"/>
    </row>
    <row r="43" spans="1:23" ht="15.75" x14ac:dyDescent="0.25">
      <c r="A43" s="140">
        <v>2</v>
      </c>
      <c r="B43" s="133" t="s">
        <v>178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  <c r="V43" s="133"/>
    </row>
    <row r="44" spans="1:23" ht="15.75" x14ac:dyDescent="0.25">
      <c r="A44" s="140">
        <v>3</v>
      </c>
      <c r="B44" s="133" t="s">
        <v>112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  <c r="V44" s="133"/>
    </row>
    <row r="45" spans="1:23" x14ac:dyDescent="0.25">
      <c r="A45" s="141" t="s">
        <v>113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  <c r="V45" s="133"/>
    </row>
  </sheetData>
  <pageMargins left="0.23622047244094491" right="0.23622047244094491" top="0.31496062992125984" bottom="0.31496062992125984" header="0.31496062992125984" footer="0.31496062992125984"/>
  <pageSetup paperSize="141" scale="81" orientation="portrait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2" workbookViewId="0">
      <selection activeCell="U22" sqref="U1:W1048576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53"/>
    <col min="22" max="22" width="12.85546875" customWidth="1"/>
    <col min="23" max="23" width="27.140625" customWidth="1"/>
  </cols>
  <sheetData>
    <row r="1" spans="1:23" ht="22.5" x14ac:dyDescent="0.3">
      <c r="A1" s="108" t="s">
        <v>401</v>
      </c>
      <c r="R1"/>
    </row>
    <row r="2" spans="1:23" ht="21" thickBot="1" x14ac:dyDescent="0.35">
      <c r="A2" s="109" t="s">
        <v>130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3" ht="30" x14ac:dyDescent="0.25">
      <c r="A3" s="111" t="s">
        <v>79</v>
      </c>
      <c r="B3" s="112" t="s">
        <v>94</v>
      </c>
      <c r="C3" s="116"/>
      <c r="D3" s="116"/>
      <c r="E3" s="116"/>
      <c r="F3" s="116"/>
      <c r="G3" s="116"/>
      <c r="H3" s="113"/>
      <c r="I3" s="114" t="s">
        <v>13</v>
      </c>
      <c r="J3" s="115" t="s">
        <v>95</v>
      </c>
      <c r="K3" s="116" t="s">
        <v>96</v>
      </c>
      <c r="L3" s="113"/>
      <c r="M3" s="113"/>
      <c r="N3" s="113"/>
      <c r="O3" s="117" t="s">
        <v>13</v>
      </c>
      <c r="P3" s="112" t="s">
        <v>97</v>
      </c>
      <c r="Q3" s="113"/>
      <c r="R3" s="118"/>
      <c r="S3" s="119"/>
      <c r="T3" s="120"/>
      <c r="U3" s="264" t="s">
        <v>372</v>
      </c>
      <c r="V3" s="145"/>
      <c r="W3" s="121" t="s">
        <v>98</v>
      </c>
    </row>
    <row r="4" spans="1:23" ht="16.5" thickBot="1" x14ac:dyDescent="0.3">
      <c r="A4" s="122"/>
      <c r="B4" s="123" t="s">
        <v>99</v>
      </c>
      <c r="C4" s="123"/>
      <c r="D4" s="123"/>
      <c r="E4" s="123" t="s">
        <v>100</v>
      </c>
      <c r="F4" s="123"/>
      <c r="G4" s="123"/>
      <c r="H4" s="123" t="s">
        <v>101</v>
      </c>
      <c r="I4" s="124" t="s">
        <v>102</v>
      </c>
      <c r="J4" s="125"/>
      <c r="K4" s="126" t="s">
        <v>103</v>
      </c>
      <c r="L4" s="127" t="s">
        <v>104</v>
      </c>
      <c r="M4" s="127" t="s">
        <v>105</v>
      </c>
      <c r="N4" s="127" t="s">
        <v>106</v>
      </c>
      <c r="O4" s="128" t="s">
        <v>44</v>
      </c>
      <c r="P4" s="127" t="s">
        <v>103</v>
      </c>
      <c r="Q4" s="127" t="s">
        <v>104</v>
      </c>
      <c r="R4" s="127" t="s">
        <v>105</v>
      </c>
      <c r="S4" s="127" t="s">
        <v>106</v>
      </c>
      <c r="T4" s="128" t="s">
        <v>44</v>
      </c>
      <c r="U4" s="146"/>
      <c r="V4" s="146"/>
      <c r="W4" s="129"/>
    </row>
    <row r="5" spans="1:23" ht="15.75" x14ac:dyDescent="0.25">
      <c r="A5" s="142">
        <v>43952</v>
      </c>
      <c r="B5" s="143">
        <f>Sheet1!D22</f>
        <v>0.27430555555554292</v>
      </c>
      <c r="C5" s="143">
        <f>Sheet1!E22</f>
        <v>206.58333333333334</v>
      </c>
      <c r="D5" s="143">
        <f>Sheet1!F22</f>
        <v>206.875</v>
      </c>
      <c r="E5" s="143">
        <f>Sheet1!G22</f>
        <v>0.29166666666665719</v>
      </c>
      <c r="F5" s="143">
        <f>Sheet1!H22</f>
        <v>206.92013888888889</v>
      </c>
      <c r="G5" s="143">
        <f>Sheet1!I22</f>
        <v>207.20833333333334</v>
      </c>
      <c r="H5" s="143">
        <f>Sheet1!J22</f>
        <v>0.28819444444445708</v>
      </c>
      <c r="I5" s="144">
        <f>B5+E5+H5</f>
        <v>0.85416666666665719</v>
      </c>
      <c r="J5" s="143">
        <v>0.12847222222222224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>SUM(P5:S5)</f>
        <v>0</v>
      </c>
      <c r="U5" s="143">
        <f>'stream I '!U5</f>
        <v>1.7361111111111112E-2</v>
      </c>
      <c r="V5" s="147">
        <f>I5+O5+J5+T5+U5</f>
        <v>0.99999999999999056</v>
      </c>
      <c r="W5" s="131"/>
    </row>
    <row r="6" spans="1:23" ht="15.75" x14ac:dyDescent="0.25">
      <c r="A6" s="142">
        <v>43953</v>
      </c>
      <c r="B6" s="143">
        <f>Sheet2!D22</f>
        <v>0.27430555555554292</v>
      </c>
      <c r="C6" s="143">
        <f>Sheet2!E22</f>
        <v>206.67361111111111</v>
      </c>
      <c r="D6" s="143">
        <f>Sheet2!F22</f>
        <v>206.875</v>
      </c>
      <c r="E6" s="143">
        <f>Sheet2!G22</f>
        <v>0.20138888888888573</v>
      </c>
      <c r="F6" s="143">
        <f>Sheet2!H22</f>
        <v>206.92013888888889</v>
      </c>
      <c r="G6" s="143">
        <f>Sheet2!I22</f>
        <v>207.20833333333334</v>
      </c>
      <c r="H6" s="143">
        <f>Sheet2!J22</f>
        <v>0.28819444444445708</v>
      </c>
      <c r="I6" s="144">
        <f t="shared" ref="I6:I33" si="0">B6+E6+H6</f>
        <v>0.76388888888888573</v>
      </c>
      <c r="J6" s="143">
        <v>0.19791666666666666</v>
      </c>
      <c r="K6" s="143">
        <v>3.4722222222222224E-2</v>
      </c>
      <c r="L6" s="143">
        <v>0</v>
      </c>
      <c r="M6" s="143">
        <v>0</v>
      </c>
      <c r="N6" s="143">
        <v>0</v>
      </c>
      <c r="O6" s="144">
        <f t="shared" ref="O6:O34" si="1">SUM(K6:N6)</f>
        <v>3.4722222222222224E-2</v>
      </c>
      <c r="P6" s="143">
        <v>0</v>
      </c>
      <c r="Q6" s="143">
        <v>0</v>
      </c>
      <c r="R6" s="143">
        <v>0</v>
      </c>
      <c r="S6" s="143">
        <v>0</v>
      </c>
      <c r="T6" s="144">
        <f t="shared" ref="T6:T34" si="2">SUM(P6:S6)</f>
        <v>0</v>
      </c>
      <c r="U6" s="143">
        <f>'stream I '!U6</f>
        <v>3.472222222222222E-3</v>
      </c>
      <c r="V6" s="147">
        <f t="shared" ref="V6:V35" si="3">I6+O6+J6+T6+U6</f>
        <v>0.99999999999999678</v>
      </c>
      <c r="W6" s="131"/>
    </row>
    <row r="7" spans="1:23" ht="15.75" x14ac:dyDescent="0.25">
      <c r="A7" s="142">
        <v>43954</v>
      </c>
      <c r="B7" s="143">
        <f>Sheet3!D22</f>
        <v>0.20833333333334281</v>
      </c>
      <c r="C7" s="143">
        <f>Sheet3!E22</f>
        <v>206.57986111111111</v>
      </c>
      <c r="D7" s="143">
        <f>Sheet3!F22</f>
        <v>206.875</v>
      </c>
      <c r="E7" s="143">
        <f>Sheet3!G22</f>
        <v>0.29513888888888573</v>
      </c>
      <c r="F7" s="143">
        <f>Sheet3!H22</f>
        <v>206.91666666666666</v>
      </c>
      <c r="G7" s="143">
        <f>Sheet3!I22</f>
        <v>207.20833333333334</v>
      </c>
      <c r="H7" s="143">
        <f>Sheet3!J22</f>
        <v>0.29166666666668561</v>
      </c>
      <c r="I7" s="144">
        <f t="shared" si="0"/>
        <v>0.79513888888891415</v>
      </c>
      <c r="J7" s="143">
        <v>0.20486111111111113</v>
      </c>
      <c r="K7" s="143">
        <v>0</v>
      </c>
      <c r="L7" s="143">
        <v>0</v>
      </c>
      <c r="M7" s="143">
        <v>0</v>
      </c>
      <c r="N7" s="143">
        <v>0</v>
      </c>
      <c r="O7" s="144">
        <f t="shared" si="1"/>
        <v>0</v>
      </c>
      <c r="P7" s="143">
        <v>0</v>
      </c>
      <c r="Q7" s="143">
        <v>0</v>
      </c>
      <c r="R7" s="143">
        <v>0</v>
      </c>
      <c r="S7" s="143">
        <v>0</v>
      </c>
      <c r="T7" s="144">
        <f t="shared" si="2"/>
        <v>0</v>
      </c>
      <c r="U7" s="143">
        <f>'stream I '!U7</f>
        <v>0</v>
      </c>
      <c r="V7" s="147">
        <f t="shared" si="3"/>
        <v>1.0000000000000253</v>
      </c>
      <c r="W7" s="131"/>
    </row>
    <row r="8" spans="1:23" ht="30" x14ac:dyDescent="0.25">
      <c r="A8" s="142">
        <v>43955</v>
      </c>
      <c r="B8" s="143">
        <f>Sheet4!D22</f>
        <v>0.28125</v>
      </c>
      <c r="C8" s="143">
        <f>Sheet4!E22</f>
        <v>206.58333333333334</v>
      </c>
      <c r="D8" s="143">
        <f>Sheet4!F22</f>
        <v>206.875</v>
      </c>
      <c r="E8" s="143">
        <f>Sheet4!G22</f>
        <v>0.29166666666665719</v>
      </c>
      <c r="F8" s="143">
        <f>Sheet4!H22</f>
        <v>206.91666666666666</v>
      </c>
      <c r="G8" s="143">
        <f>Sheet4!I22</f>
        <v>207.20833333333334</v>
      </c>
      <c r="H8" s="143">
        <f>Sheet4!J22</f>
        <v>0.29166666666668561</v>
      </c>
      <c r="I8" s="144">
        <f t="shared" si="0"/>
        <v>0.86458333333334281</v>
      </c>
      <c r="J8" s="143">
        <v>0.13541666666666666</v>
      </c>
      <c r="K8" s="143">
        <v>0</v>
      </c>
      <c r="L8" s="143">
        <v>0</v>
      </c>
      <c r="M8" s="143">
        <v>0</v>
      </c>
      <c r="N8" s="143">
        <v>0</v>
      </c>
      <c r="O8" s="144">
        <f t="shared" si="1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2"/>
        <v>0</v>
      </c>
      <c r="U8" s="143">
        <f>'stream I '!U8</f>
        <v>0</v>
      </c>
      <c r="V8" s="147">
        <f t="shared" si="3"/>
        <v>1.0000000000000095</v>
      </c>
      <c r="W8" s="131" t="s">
        <v>394</v>
      </c>
    </row>
    <row r="9" spans="1:23" ht="15.75" x14ac:dyDescent="0.25">
      <c r="A9" s="142">
        <v>43956</v>
      </c>
      <c r="B9" s="143">
        <f>Sheet5!D22</f>
        <v>0.29166666666665719</v>
      </c>
      <c r="C9" s="143">
        <f>Sheet5!E22</f>
        <v>206.72916666666666</v>
      </c>
      <c r="D9" s="143">
        <f>Sheet5!F22</f>
        <v>206.875</v>
      </c>
      <c r="E9" s="143">
        <f>Sheet5!G22</f>
        <v>0.14583333333334281</v>
      </c>
      <c r="F9" s="143">
        <f>Sheet5!H22</f>
        <v>206.90972222222223</v>
      </c>
      <c r="G9" s="143">
        <f>Sheet5!I22</f>
        <v>207.20833333333334</v>
      </c>
      <c r="H9" s="143">
        <f>Sheet5!J22</f>
        <v>0.29861111111111427</v>
      </c>
      <c r="I9" s="144">
        <f t="shared" si="0"/>
        <v>0.73611111111111427</v>
      </c>
      <c r="J9" s="143">
        <v>0.22916666666666666</v>
      </c>
      <c r="K9" s="143">
        <v>0</v>
      </c>
      <c r="L9" s="143">
        <v>0</v>
      </c>
      <c r="M9" s="143">
        <v>0</v>
      </c>
      <c r="N9" s="143">
        <v>0</v>
      </c>
      <c r="O9" s="144">
        <f t="shared" si="1"/>
        <v>0</v>
      </c>
      <c r="P9" s="143">
        <v>0</v>
      </c>
      <c r="Q9" s="143">
        <v>0</v>
      </c>
      <c r="R9" s="143">
        <v>0</v>
      </c>
      <c r="S9" s="143">
        <v>0</v>
      </c>
      <c r="T9" s="144">
        <f t="shared" si="2"/>
        <v>0</v>
      </c>
      <c r="U9" s="143">
        <f>'stream I '!U9</f>
        <v>3.4722222222222224E-2</v>
      </c>
      <c r="V9" s="147">
        <f t="shared" si="3"/>
        <v>1.0000000000000031</v>
      </c>
      <c r="W9" s="151"/>
    </row>
    <row r="10" spans="1:23" ht="15.75" x14ac:dyDescent="0.25">
      <c r="A10" s="142">
        <v>43957</v>
      </c>
      <c r="B10" s="143">
        <f>Sheet6!D22</f>
        <v>0.29166666666665719</v>
      </c>
      <c r="C10" s="143">
        <f>Sheet6!E22</f>
        <v>206.58333333333334</v>
      </c>
      <c r="D10" s="143">
        <f>Sheet6!F22</f>
        <v>206.875</v>
      </c>
      <c r="E10" s="143">
        <f>Sheet6!G22</f>
        <v>0.29166666666665719</v>
      </c>
      <c r="F10" s="143">
        <f>Sheet6!H22</f>
        <v>206.90625</v>
      </c>
      <c r="G10" s="143">
        <f>Sheet6!I22</f>
        <v>207.20833333333334</v>
      </c>
      <c r="H10" s="143">
        <f>Sheet6!J22</f>
        <v>0.30208333333334281</v>
      </c>
      <c r="I10" s="144">
        <f t="shared" si="0"/>
        <v>0.88541666666665719</v>
      </c>
      <c r="J10" s="143">
        <v>0.11458333333333333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1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si="2"/>
        <v>0</v>
      </c>
      <c r="U10" s="143">
        <f>'stream I '!U10</f>
        <v>0</v>
      </c>
      <c r="V10" s="147">
        <f t="shared" si="3"/>
        <v>0.99999999999999056</v>
      </c>
      <c r="W10" s="208"/>
    </row>
    <row r="11" spans="1:23" ht="15.75" x14ac:dyDescent="0.25">
      <c r="A11" s="142">
        <v>43958</v>
      </c>
      <c r="B11" s="143">
        <f>Sheet7!D22</f>
        <v>0.29166666666668561</v>
      </c>
      <c r="C11" s="143">
        <f>Sheet7!E22</f>
        <v>206.58333333333334</v>
      </c>
      <c r="D11" s="143">
        <f>Sheet7!F22</f>
        <v>206.875</v>
      </c>
      <c r="E11" s="143">
        <f>Sheet7!G22</f>
        <v>0.29166666666665719</v>
      </c>
      <c r="F11" s="143">
        <f>Sheet7!H22</f>
        <v>206.90972222222223</v>
      </c>
      <c r="G11" s="143">
        <f>Sheet7!I22</f>
        <v>207.20833333333334</v>
      </c>
      <c r="H11" s="143">
        <f>Sheet7!J22</f>
        <v>0.29861111111111427</v>
      </c>
      <c r="I11" s="144">
        <f t="shared" si="0"/>
        <v>0.88194444444445708</v>
      </c>
      <c r="J11" s="143">
        <v>0.11805555555555557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1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2"/>
        <v>0</v>
      </c>
      <c r="U11" s="143">
        <f>'stream I '!U11</f>
        <v>0</v>
      </c>
      <c r="V11" s="147">
        <f t="shared" si="3"/>
        <v>1.0000000000000127</v>
      </c>
      <c r="W11" s="131" t="s">
        <v>396</v>
      </c>
    </row>
    <row r="12" spans="1:23" ht="15.75" x14ac:dyDescent="0.25">
      <c r="A12" s="142">
        <v>43959</v>
      </c>
      <c r="B12" s="143">
        <f>Sheet8!D22</f>
        <v>0.28472222222220012</v>
      </c>
      <c r="C12" s="143">
        <f>Sheet8!E22</f>
        <v>206.59722222222223</v>
      </c>
      <c r="D12" s="143">
        <f>Sheet8!F22</f>
        <v>206.875</v>
      </c>
      <c r="E12" s="143">
        <f>Sheet8!G22</f>
        <v>0.27777777777777146</v>
      </c>
      <c r="F12" s="143">
        <f>Sheet8!H22</f>
        <v>206.92361111111111</v>
      </c>
      <c r="G12" s="143">
        <f>Sheet8!I22</f>
        <v>207.20833333333334</v>
      </c>
      <c r="H12" s="143">
        <f>Sheet8!J22</f>
        <v>0.28472222222222854</v>
      </c>
      <c r="I12" s="144">
        <f t="shared" si="0"/>
        <v>0.84722222222220012</v>
      </c>
      <c r="J12" s="143">
        <v>0.15277777777777776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1"/>
        <v>0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2"/>
        <v>0</v>
      </c>
      <c r="U12" s="143">
        <f>'stream I '!U12</f>
        <v>0</v>
      </c>
      <c r="V12" s="147">
        <f t="shared" si="3"/>
        <v>0.99999999999997791</v>
      </c>
      <c r="W12" s="131"/>
    </row>
    <row r="13" spans="1:23" ht="15.75" x14ac:dyDescent="0.25">
      <c r="A13" s="142">
        <v>43960</v>
      </c>
      <c r="B13" s="143">
        <f>Sheet9!D22</f>
        <v>0.25</v>
      </c>
      <c r="C13" s="143">
        <f>Sheet9!E22</f>
        <v>206.57986111111111</v>
      </c>
      <c r="D13" s="143">
        <f>Sheet9!F22</f>
        <v>206.875</v>
      </c>
      <c r="E13" s="143">
        <f>Sheet9!G22</f>
        <v>0.29513888888888573</v>
      </c>
      <c r="F13" s="143">
        <f>Sheet9!H22</f>
        <v>206.91319444444446</v>
      </c>
      <c r="G13" s="143">
        <f>Sheet9!I22</f>
        <v>207.20833333333334</v>
      </c>
      <c r="H13" s="143">
        <f>Sheet9!J22</f>
        <v>0.29513888888888573</v>
      </c>
      <c r="I13" s="144">
        <f t="shared" si="0"/>
        <v>0.84027777777777146</v>
      </c>
      <c r="J13" s="143">
        <v>0.15972222222222224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1"/>
        <v>0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2"/>
        <v>0</v>
      </c>
      <c r="U13" s="143">
        <f>'stream I '!U13</f>
        <v>0</v>
      </c>
      <c r="V13" s="147">
        <f t="shared" si="3"/>
        <v>0.99999999999999367</v>
      </c>
      <c r="W13" s="131"/>
    </row>
    <row r="14" spans="1:23" ht="15.75" x14ac:dyDescent="0.25">
      <c r="A14" s="142">
        <v>43961</v>
      </c>
      <c r="B14" s="143">
        <f>Sheet10!D22</f>
        <v>0.27083333333334281</v>
      </c>
      <c r="C14" s="143">
        <f>Sheet10!E22</f>
        <v>206.57986111111111</v>
      </c>
      <c r="D14" s="143">
        <f>Sheet10!F22</f>
        <v>206.875</v>
      </c>
      <c r="E14" s="143">
        <f>Sheet10!G22</f>
        <v>0.29513888888888573</v>
      </c>
      <c r="F14" s="143">
        <f>Sheet10!H22</f>
        <v>206.97222222222223</v>
      </c>
      <c r="G14" s="143">
        <f>Sheet10!I22</f>
        <v>207.20833333333334</v>
      </c>
      <c r="H14" s="143">
        <f>Sheet10!J22</f>
        <v>0.23611111111111427</v>
      </c>
      <c r="I14" s="144">
        <f t="shared" si="0"/>
        <v>0.80208333333334281</v>
      </c>
      <c r="J14" s="143">
        <v>0.19444444444444445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1"/>
        <v>0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2"/>
        <v>0</v>
      </c>
      <c r="U14" s="143">
        <f>'stream I '!U14</f>
        <v>3.472222222222222E-3</v>
      </c>
      <c r="V14" s="147">
        <f t="shared" si="3"/>
        <v>1.0000000000000095</v>
      </c>
      <c r="W14" s="131"/>
    </row>
    <row r="15" spans="1:23" ht="15.75" x14ac:dyDescent="0.25">
      <c r="A15" s="142">
        <v>43962</v>
      </c>
      <c r="B15" s="143">
        <f>Sheet11!D22</f>
        <v>0.13888888888888573</v>
      </c>
      <c r="C15" s="143">
        <f>Sheet11!E22</f>
        <v>206.58333333333334</v>
      </c>
      <c r="D15" s="143">
        <f>Sheet11!F22</f>
        <v>206.875</v>
      </c>
      <c r="E15" s="143">
        <f>Sheet11!G22</f>
        <v>0.29166666666665719</v>
      </c>
      <c r="F15" s="143">
        <f>Sheet11!H22</f>
        <v>206.91666666666666</v>
      </c>
      <c r="G15" s="143">
        <f>Sheet11!I22</f>
        <v>207.20833333333334</v>
      </c>
      <c r="H15" s="143">
        <f>Sheet11!J22</f>
        <v>0.29166666666668561</v>
      </c>
      <c r="I15" s="144">
        <f t="shared" si="0"/>
        <v>0.72222222222222854</v>
      </c>
      <c r="J15" s="143">
        <v>0.14930555555555555</v>
      </c>
      <c r="K15" s="143">
        <v>0</v>
      </c>
      <c r="L15" s="143">
        <v>0</v>
      </c>
      <c r="M15" s="143">
        <v>0.12847222222222224</v>
      </c>
      <c r="N15" s="143">
        <v>0</v>
      </c>
      <c r="O15" s="144">
        <f t="shared" si="1"/>
        <v>0.12847222222222224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2"/>
        <v>0</v>
      </c>
      <c r="U15" s="143">
        <f>'stream I '!U15</f>
        <v>0</v>
      </c>
      <c r="V15" s="147">
        <f t="shared" si="3"/>
        <v>1.0000000000000062</v>
      </c>
      <c r="W15" s="131" t="s">
        <v>107</v>
      </c>
    </row>
    <row r="16" spans="1:23" ht="30" x14ac:dyDescent="0.25">
      <c r="A16" s="142">
        <v>43963</v>
      </c>
      <c r="B16" s="143">
        <f>Sheet12!D22</f>
        <v>0.29166666666665719</v>
      </c>
      <c r="C16" s="143">
        <f>Sheet12!E22</f>
        <v>206.58333333333334</v>
      </c>
      <c r="D16" s="143">
        <f>Sheet12!F22</f>
        <v>206.875</v>
      </c>
      <c r="E16" s="143">
        <f>Sheet12!G22</f>
        <v>0.29166666666665719</v>
      </c>
      <c r="F16" s="143">
        <f>Sheet12!H22</f>
        <v>206.91666666666666</v>
      </c>
      <c r="G16" s="143">
        <f>Sheet12!I22</f>
        <v>207.20833333333334</v>
      </c>
      <c r="H16" s="143">
        <f>Sheet12!J22</f>
        <v>0.29166666666668561</v>
      </c>
      <c r="I16" s="144">
        <f t="shared" si="0"/>
        <v>0.875</v>
      </c>
      <c r="J16" s="143">
        <v>0.11805555555555557</v>
      </c>
      <c r="K16" s="143">
        <v>0</v>
      </c>
      <c r="L16" s="143">
        <v>0</v>
      </c>
      <c r="M16" s="143">
        <v>0</v>
      </c>
      <c r="N16" s="143">
        <v>0</v>
      </c>
      <c r="O16" s="144">
        <f t="shared" si="1"/>
        <v>0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2"/>
        <v>0</v>
      </c>
      <c r="U16" s="143">
        <f>'stream I '!U16</f>
        <v>6.9444444444444441E-3</v>
      </c>
      <c r="V16" s="147">
        <f t="shared" si="3"/>
        <v>1</v>
      </c>
      <c r="W16" s="131" t="s">
        <v>398</v>
      </c>
    </row>
    <row r="17" spans="1:23" ht="15.75" x14ac:dyDescent="0.25">
      <c r="A17" s="142">
        <v>43964</v>
      </c>
      <c r="B17" s="143">
        <f>Sheet13!D22</f>
        <v>0.16666666666665719</v>
      </c>
      <c r="C17" s="143">
        <f>Sheet13!E22</f>
        <v>206.58333333333334</v>
      </c>
      <c r="D17" s="143">
        <f>Sheet13!F22</f>
        <v>206.875</v>
      </c>
      <c r="E17" s="143">
        <f>Sheet13!G22</f>
        <v>0.29166666666665719</v>
      </c>
      <c r="F17" s="143">
        <f>Sheet13!H22</f>
        <v>206.875</v>
      </c>
      <c r="G17" s="143">
        <f>Sheet13!I22</f>
        <v>207.20833333333334</v>
      </c>
      <c r="H17" s="143">
        <f>Sheet13!J22</f>
        <v>0.33333333333334281</v>
      </c>
      <c r="I17" s="144">
        <f t="shared" si="0"/>
        <v>0.79166666666665719</v>
      </c>
      <c r="J17" s="143">
        <v>0.20833333333333334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1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2"/>
        <v>0</v>
      </c>
      <c r="U17" s="143">
        <f>'stream I '!U17</f>
        <v>0</v>
      </c>
      <c r="V17" s="147">
        <f t="shared" si="3"/>
        <v>0.99999999999999056</v>
      </c>
      <c r="W17" s="131" t="s">
        <v>107</v>
      </c>
    </row>
    <row r="18" spans="1:23" ht="15.75" x14ac:dyDescent="0.25">
      <c r="A18" s="142">
        <v>43965</v>
      </c>
      <c r="B18" s="143">
        <f>Sheet14!D22</f>
        <v>0.14583333333334281</v>
      </c>
      <c r="C18" s="143">
        <f>Sheet14!E22</f>
        <v>206.59375</v>
      </c>
      <c r="D18" s="143">
        <f>Sheet14!F22</f>
        <v>206.875</v>
      </c>
      <c r="E18" s="143">
        <f>Sheet14!G22</f>
        <v>0.28125</v>
      </c>
      <c r="F18" s="143">
        <f>Sheet14!H22</f>
        <v>206.875</v>
      </c>
      <c r="G18" s="143">
        <f>Sheet14!I22</f>
        <v>207.20833333333334</v>
      </c>
      <c r="H18" s="143">
        <f>Sheet14!J22</f>
        <v>0.33333333333334281</v>
      </c>
      <c r="I18" s="144">
        <f t="shared" si="0"/>
        <v>0.76041666666668561</v>
      </c>
      <c r="J18" s="143">
        <v>0.20138888888888887</v>
      </c>
      <c r="K18" s="143">
        <v>0</v>
      </c>
      <c r="L18" s="143">
        <v>3.8194444444444441E-2</v>
      </c>
      <c r="M18" s="143">
        <v>0</v>
      </c>
      <c r="N18" s="143">
        <v>0</v>
      </c>
      <c r="O18" s="144">
        <f t="shared" si="1"/>
        <v>3.8194444444444441E-2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2"/>
        <v>0</v>
      </c>
      <c r="U18" s="143">
        <f>'stream I '!U18</f>
        <v>0</v>
      </c>
      <c r="V18" s="147">
        <f t="shared" si="3"/>
        <v>1.0000000000000189</v>
      </c>
      <c r="W18" s="131"/>
    </row>
    <row r="19" spans="1:23" ht="15.75" x14ac:dyDescent="0.25">
      <c r="A19" s="142">
        <v>43966</v>
      </c>
      <c r="B19" s="143">
        <f>Sheet15!D22</f>
        <v>0.29166666666665719</v>
      </c>
      <c r="C19" s="143">
        <f>Sheet14!E22</f>
        <v>206.59375</v>
      </c>
      <c r="D19" s="143">
        <f>Sheet14!F22</f>
        <v>206.875</v>
      </c>
      <c r="E19" s="143">
        <f>Sheet15!G22</f>
        <v>0.29166666666665719</v>
      </c>
      <c r="F19" s="143">
        <f>Sheet14!H22</f>
        <v>206.875</v>
      </c>
      <c r="G19" s="143">
        <f>Sheet14!I22</f>
        <v>207.20833333333334</v>
      </c>
      <c r="H19" s="143">
        <f>Sheet15!J22</f>
        <v>0.29166666666668561</v>
      </c>
      <c r="I19" s="144">
        <f t="shared" si="0"/>
        <v>0.875</v>
      </c>
      <c r="J19" s="143">
        <v>0.125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1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2"/>
        <v>0</v>
      </c>
      <c r="U19" s="143">
        <f>'stream I '!U19</f>
        <v>0</v>
      </c>
      <c r="V19" s="147">
        <f t="shared" si="3"/>
        <v>1</v>
      </c>
      <c r="W19" s="131"/>
    </row>
    <row r="20" spans="1:23" ht="15.75" x14ac:dyDescent="0.25">
      <c r="A20" s="142">
        <v>43967</v>
      </c>
      <c r="B20" s="143">
        <f>Sheet16!D22</f>
        <v>0.29513888888888573</v>
      </c>
      <c r="C20" s="143">
        <f>Sheet16!E22</f>
        <v>206.58333333333334</v>
      </c>
      <c r="D20" s="143">
        <f>Sheet16!F22</f>
        <v>206.875</v>
      </c>
      <c r="E20" s="143">
        <f>Sheet16!G22</f>
        <v>0.29166666666665719</v>
      </c>
      <c r="F20" s="143">
        <f>Sheet16!H22</f>
        <v>206.93055555555554</v>
      </c>
      <c r="G20" s="143">
        <f>Sheet16!I22</f>
        <v>207.20833333333334</v>
      </c>
      <c r="H20" s="143">
        <f>Sheet16!J22</f>
        <v>0.27777777777779988</v>
      </c>
      <c r="I20" s="144">
        <f t="shared" si="0"/>
        <v>0.86458333333334281</v>
      </c>
      <c r="J20" s="143">
        <v>0.12152777777777778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1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2"/>
        <v>0</v>
      </c>
      <c r="U20" s="143">
        <f>'stream I '!U20</f>
        <v>1.3888888888888888E-2</v>
      </c>
      <c r="V20" s="147">
        <f t="shared" si="3"/>
        <v>1.0000000000000095</v>
      </c>
      <c r="W20" s="131"/>
    </row>
    <row r="21" spans="1:23" ht="15.75" x14ac:dyDescent="0.25">
      <c r="A21" s="142">
        <v>43968</v>
      </c>
      <c r="B21" s="143">
        <f>Sheet17!D22</f>
        <v>0.29861111111111427</v>
      </c>
      <c r="C21" s="143">
        <f>Sheet17!E22</f>
        <v>206.71527777777777</v>
      </c>
      <c r="D21" s="143">
        <f>Sheet17!F22</f>
        <v>206.875</v>
      </c>
      <c r="E21" s="143">
        <f>Sheet17!G22</f>
        <v>0.15972222222222854</v>
      </c>
      <c r="F21" s="143">
        <f>Sheet17!H22</f>
        <v>206.90972222222223</v>
      </c>
      <c r="G21" s="143">
        <f>Sheet17!I22</f>
        <v>207.20833333333334</v>
      </c>
      <c r="H21" s="143">
        <f>Sheet17!J22</f>
        <v>0.29861111111111427</v>
      </c>
      <c r="I21" s="144">
        <f t="shared" si="0"/>
        <v>0.75694444444445708</v>
      </c>
      <c r="J21" s="143">
        <v>0.16666666666666666</v>
      </c>
      <c r="K21" s="143">
        <v>7.6388888888888895E-2</v>
      </c>
      <c r="L21" s="143">
        <v>0</v>
      </c>
      <c r="M21" s="143">
        <v>0</v>
      </c>
      <c r="N21" s="143">
        <v>0</v>
      </c>
      <c r="O21" s="144">
        <f t="shared" si="1"/>
        <v>7.6388888888888895E-2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2"/>
        <v>0</v>
      </c>
      <c r="U21" s="143">
        <f>'stream I '!U21</f>
        <v>0</v>
      </c>
      <c r="V21" s="147">
        <f t="shared" si="3"/>
        <v>1.0000000000000127</v>
      </c>
      <c r="W21" s="261"/>
    </row>
    <row r="22" spans="1:23" ht="15.75" x14ac:dyDescent="0.25">
      <c r="A22" s="142">
        <v>43969</v>
      </c>
      <c r="B22" s="143">
        <f>Sheet18!D22</f>
        <v>0.14583333333334281</v>
      </c>
      <c r="C22" s="143">
        <f>Sheet18!E22</f>
        <v>206.59027777777777</v>
      </c>
      <c r="D22" s="143">
        <f>Sheet18!F22</f>
        <v>206.875</v>
      </c>
      <c r="E22" s="143">
        <f>Sheet18!G22</f>
        <v>0.28472222222222854</v>
      </c>
      <c r="F22" s="143">
        <f>Sheet18!H22</f>
        <v>206.90625</v>
      </c>
      <c r="G22" s="143">
        <f>Sheet18!I22</f>
        <v>207.20833333333334</v>
      </c>
      <c r="H22" s="143">
        <f>Sheet18!J22</f>
        <v>0.30208333333334281</v>
      </c>
      <c r="I22" s="144">
        <f t="shared" si="0"/>
        <v>0.73263888888891415</v>
      </c>
      <c r="J22" s="143">
        <v>0.18402777777777779</v>
      </c>
      <c r="K22" s="143">
        <v>0</v>
      </c>
      <c r="L22" s="143">
        <v>8.3333333333333329E-2</v>
      </c>
      <c r="M22" s="143">
        <v>0</v>
      </c>
      <c r="N22" s="143">
        <v>0</v>
      </c>
      <c r="O22" s="144">
        <f t="shared" si="1"/>
        <v>8.3333333333333329E-2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2"/>
        <v>0</v>
      </c>
      <c r="U22" s="143">
        <f>'stream I '!U22</f>
        <v>0</v>
      </c>
      <c r="V22" s="147">
        <f t="shared" si="3"/>
        <v>1.0000000000000253</v>
      </c>
      <c r="W22" s="262"/>
    </row>
    <row r="23" spans="1:23" ht="15.75" x14ac:dyDescent="0.25">
      <c r="A23" s="142">
        <v>43970</v>
      </c>
      <c r="B23" s="143">
        <f>Sheet19!D22</f>
        <v>0.23958333333331439</v>
      </c>
      <c r="C23" s="143">
        <f>Sheet18!E22</f>
        <v>206.59027777777777</v>
      </c>
      <c r="D23" s="143">
        <f>Sheet18!F22</f>
        <v>206.875</v>
      </c>
      <c r="E23" s="143">
        <f>Sheet19!G22</f>
        <v>9.0277777777771462E-2</v>
      </c>
      <c r="F23" s="143">
        <f>Sheet18!H22</f>
        <v>206.90625</v>
      </c>
      <c r="G23" s="143">
        <f>Sheet18!I22</f>
        <v>207.20833333333334</v>
      </c>
      <c r="H23" s="143">
        <f>Sheet19!J22</f>
        <v>0.27777777777779988</v>
      </c>
      <c r="I23" s="144">
        <f t="shared" si="0"/>
        <v>0.60763888888888573</v>
      </c>
      <c r="J23" s="143">
        <v>0.16319444444444445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1"/>
        <v>0</v>
      </c>
      <c r="P23" s="143">
        <v>0</v>
      </c>
      <c r="Q23" s="143">
        <v>0</v>
      </c>
      <c r="R23" s="143">
        <v>0.22916666666666666</v>
      </c>
      <c r="S23" s="143">
        <v>0</v>
      </c>
      <c r="T23" s="144">
        <f t="shared" si="2"/>
        <v>0.22916666666666666</v>
      </c>
      <c r="U23" s="143">
        <f>'stream I '!U23</f>
        <v>0</v>
      </c>
      <c r="V23" s="147">
        <f t="shared" si="3"/>
        <v>0.99999999999999678</v>
      </c>
      <c r="W23" s="263" t="s">
        <v>386</v>
      </c>
    </row>
    <row r="24" spans="1:23" ht="15.75" customHeight="1" x14ac:dyDescent="0.25">
      <c r="A24" s="142">
        <v>43971</v>
      </c>
      <c r="B24" s="143">
        <f>Sheet20!D22</f>
        <v>0.29861111111111427</v>
      </c>
      <c r="C24" s="143">
        <f>Sheet20!E22</f>
        <v>206.58333333333334</v>
      </c>
      <c r="D24" s="143">
        <f>Sheet20!F22</f>
        <v>206.875</v>
      </c>
      <c r="E24" s="143">
        <f>Sheet20!G22</f>
        <v>0.29166666666665719</v>
      </c>
      <c r="F24" s="143">
        <f>Sheet20!H22</f>
        <v>206.91666666666666</v>
      </c>
      <c r="G24" s="143">
        <f>Sheet20!I22</f>
        <v>207.20833333333334</v>
      </c>
      <c r="H24" s="143">
        <f>Sheet20!J22</f>
        <v>0.29166666666668561</v>
      </c>
      <c r="I24" s="144">
        <f t="shared" si="0"/>
        <v>0.88194444444445708</v>
      </c>
      <c r="J24" s="143">
        <v>0.11805555555555557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1"/>
        <v>0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2"/>
        <v>0</v>
      </c>
      <c r="U24" s="143">
        <f>'stream I '!U24</f>
        <v>0</v>
      </c>
      <c r="V24" s="147">
        <f t="shared" si="3"/>
        <v>1.0000000000000127</v>
      </c>
      <c r="W24" s="131"/>
    </row>
    <row r="25" spans="1:23" ht="15.75" x14ac:dyDescent="0.25">
      <c r="A25" s="142">
        <v>43972</v>
      </c>
      <c r="B25" s="143">
        <f>Sheet21!D22</f>
        <v>0.29861111111111427</v>
      </c>
      <c r="C25" s="143">
        <f>Sheet21!E22</f>
        <v>206.59375</v>
      </c>
      <c r="D25" s="143">
        <f>Sheet21!F22</f>
        <v>206.875</v>
      </c>
      <c r="E25" s="143">
        <f>Sheet21!G22</f>
        <v>0.28125</v>
      </c>
      <c r="F25" s="143">
        <f>Sheet21!H22</f>
        <v>206.91319444444446</v>
      </c>
      <c r="G25" s="143">
        <f>Sheet21!I22</f>
        <v>207.20833333333334</v>
      </c>
      <c r="H25" s="143">
        <f>Sheet21!J22</f>
        <v>0.29513888888888573</v>
      </c>
      <c r="I25" s="144">
        <f t="shared" si="0"/>
        <v>0.875</v>
      </c>
      <c r="J25" s="143">
        <v>0.125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1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2"/>
        <v>0</v>
      </c>
      <c r="U25" s="143">
        <f>'stream I '!U25</f>
        <v>0</v>
      </c>
      <c r="V25" s="147">
        <f t="shared" si="3"/>
        <v>1</v>
      </c>
    </row>
    <row r="26" spans="1:23" ht="15.75" x14ac:dyDescent="0.25">
      <c r="A26" s="142">
        <v>43973</v>
      </c>
      <c r="B26" s="143">
        <f>Sheet22!D22</f>
        <v>0.25694444444442865</v>
      </c>
      <c r="C26" s="143">
        <f>Sheet22!E22</f>
        <v>206.58333333333334</v>
      </c>
      <c r="D26" s="143">
        <f>Sheet22!F22</f>
        <v>206.875</v>
      </c>
      <c r="E26" s="143">
        <f>Sheet22!G22</f>
        <v>0.29166666666665719</v>
      </c>
      <c r="F26" s="143">
        <f>Sheet22!H22</f>
        <v>206.91319444444446</v>
      </c>
      <c r="G26" s="143">
        <f>Sheet22!I22</f>
        <v>207.20833333333334</v>
      </c>
      <c r="H26" s="143">
        <f>Sheet22!J22</f>
        <v>0.29513888888888573</v>
      </c>
      <c r="I26" s="144">
        <f t="shared" si="0"/>
        <v>0.84374999999997158</v>
      </c>
      <c r="J26" s="143">
        <v>0.15625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1"/>
        <v>0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2"/>
        <v>0</v>
      </c>
      <c r="U26" s="143">
        <f>'stream I '!U26</f>
        <v>0</v>
      </c>
      <c r="V26" s="147">
        <f t="shared" si="3"/>
        <v>0.99999999999997158</v>
      </c>
      <c r="W26" s="151"/>
    </row>
    <row r="27" spans="1:23" ht="15.75" x14ac:dyDescent="0.25">
      <c r="A27" s="142">
        <v>43974</v>
      </c>
      <c r="B27" s="143">
        <f>Sheet23!D22</f>
        <v>0.29513888888888573</v>
      </c>
      <c r="C27" s="143">
        <f>Sheet23!E22</f>
        <v>206.59722222222223</v>
      </c>
      <c r="D27" s="143">
        <f>Sheet23!F22</f>
        <v>206.875</v>
      </c>
      <c r="E27" s="143">
        <f>Sheet23!G22</f>
        <v>0.27777777777777146</v>
      </c>
      <c r="F27" s="143">
        <f>Sheet23!H22</f>
        <v>206.90972222222223</v>
      </c>
      <c r="G27" s="143">
        <f>Sheet23!I22</f>
        <v>207.20833333333334</v>
      </c>
      <c r="H27" s="143">
        <f>Sheet23!J22</f>
        <v>0.29861111111111427</v>
      </c>
      <c r="I27" s="144">
        <f t="shared" si="0"/>
        <v>0.87152777777777146</v>
      </c>
      <c r="J27" s="143">
        <v>0.12847222222222224</v>
      </c>
      <c r="K27" s="143">
        <v>0</v>
      </c>
      <c r="L27" s="143">
        <v>0</v>
      </c>
      <c r="M27" s="143">
        <v>0</v>
      </c>
      <c r="N27" s="143">
        <v>0</v>
      </c>
      <c r="O27" s="144">
        <f t="shared" si="1"/>
        <v>0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2"/>
        <v>0</v>
      </c>
      <c r="U27" s="143">
        <f>'stream I '!U27</f>
        <v>0</v>
      </c>
      <c r="V27" s="147">
        <f t="shared" si="3"/>
        <v>0.99999999999999367</v>
      </c>
      <c r="W27" s="131" t="s">
        <v>107</v>
      </c>
    </row>
    <row r="28" spans="1:23" ht="15.75" x14ac:dyDescent="0.25">
      <c r="A28" s="142">
        <v>43975</v>
      </c>
      <c r="B28" s="143">
        <f>Sheet24!D22</f>
        <v>0.28819444444442865</v>
      </c>
      <c r="C28" s="143">
        <f>Sheet24!E22</f>
        <v>206.57986111111111</v>
      </c>
      <c r="D28" s="143">
        <f>Sheet24!F22</f>
        <v>206.875</v>
      </c>
      <c r="E28" s="143">
        <f>Sheet24!G22</f>
        <v>0.29513888888888573</v>
      </c>
      <c r="F28" s="143">
        <f>Sheet24!H22</f>
        <v>206.91666666666666</v>
      </c>
      <c r="G28" s="143">
        <f>Sheet24!I22</f>
        <v>207.20833333333334</v>
      </c>
      <c r="H28" s="143">
        <f>Sheet24!J22</f>
        <v>0.29166666666668561</v>
      </c>
      <c r="I28" s="144">
        <f t="shared" si="0"/>
        <v>0.875</v>
      </c>
      <c r="J28" s="143">
        <v>0.125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1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2"/>
        <v>0</v>
      </c>
      <c r="U28" s="143">
        <f>'stream I '!U28</f>
        <v>0</v>
      </c>
      <c r="V28" s="147">
        <f t="shared" si="3"/>
        <v>1</v>
      </c>
      <c r="W28" s="295"/>
    </row>
    <row r="29" spans="1:23" ht="15.75" x14ac:dyDescent="0.25">
      <c r="A29" s="142">
        <v>43976</v>
      </c>
      <c r="B29" s="143">
        <f>Sheet25!D22</f>
        <v>0.28125</v>
      </c>
      <c r="C29" s="143">
        <f>Sheet25!E22</f>
        <v>206.58333333333334</v>
      </c>
      <c r="D29" s="143">
        <f>Sheet25!F22</f>
        <v>206.875</v>
      </c>
      <c r="E29" s="143">
        <f>Sheet25!G22</f>
        <v>0.29166666666665719</v>
      </c>
      <c r="F29" s="143">
        <f>Sheet25!H22</f>
        <v>206.91666666666666</v>
      </c>
      <c r="G29" s="143">
        <f>Sheet25!I22</f>
        <v>207.20833333333334</v>
      </c>
      <c r="H29" s="143">
        <f>Sheet25!J22</f>
        <v>0.29166666666668561</v>
      </c>
      <c r="I29" s="144">
        <f t="shared" si="0"/>
        <v>0.86458333333334281</v>
      </c>
      <c r="J29" s="143">
        <v>0.13541666666666666</v>
      </c>
      <c r="K29" s="143">
        <v>0</v>
      </c>
      <c r="L29" s="143">
        <v>0</v>
      </c>
      <c r="M29" s="143">
        <v>0</v>
      </c>
      <c r="N29" s="143">
        <v>0</v>
      </c>
      <c r="O29" s="144">
        <f t="shared" si="1"/>
        <v>0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2"/>
        <v>0</v>
      </c>
      <c r="U29" s="143">
        <f>'stream I '!U29</f>
        <v>0</v>
      </c>
      <c r="V29" s="147">
        <f t="shared" si="3"/>
        <v>1.0000000000000095</v>
      </c>
      <c r="W29" s="296"/>
    </row>
    <row r="30" spans="1:23" ht="15.75" x14ac:dyDescent="0.25">
      <c r="A30" s="142">
        <v>43977</v>
      </c>
      <c r="B30" s="143">
        <f>Sheet26!D22</f>
        <v>0.17708333333331439</v>
      </c>
      <c r="C30" s="143">
        <f>Sheet26!E22</f>
        <v>206.625</v>
      </c>
      <c r="D30" s="143">
        <f>Sheet26!F22</f>
        <v>206.875</v>
      </c>
      <c r="E30" s="143">
        <f>Sheet26!G22</f>
        <v>0.25</v>
      </c>
      <c r="F30" s="143">
        <f>Sheet26!H22</f>
        <v>206.91319444444446</v>
      </c>
      <c r="G30" s="143">
        <f>Sheet26!I22</f>
        <v>207.20833333333334</v>
      </c>
      <c r="H30" s="143">
        <f>Sheet26!J22</f>
        <v>0.29513888888888573</v>
      </c>
      <c r="I30" s="144">
        <f t="shared" si="0"/>
        <v>0.72222222222220012</v>
      </c>
      <c r="J30" s="143">
        <v>0.21180555555555555</v>
      </c>
      <c r="K30" s="143">
        <v>6.5972222222222224E-2</v>
      </c>
      <c r="L30" s="143">
        <v>0</v>
      </c>
      <c r="M30" s="143">
        <v>0</v>
      </c>
      <c r="N30" s="143">
        <v>0</v>
      </c>
      <c r="O30" s="144">
        <f t="shared" si="1"/>
        <v>6.5972222222222224E-2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2"/>
        <v>0</v>
      </c>
      <c r="U30" s="143">
        <f>'stream I '!U30</f>
        <v>0</v>
      </c>
      <c r="V30" s="147">
        <f t="shared" si="3"/>
        <v>0.99999999999997791</v>
      </c>
      <c r="W30" s="131"/>
    </row>
    <row r="31" spans="1:23" ht="16.5" customHeight="1" x14ac:dyDescent="0.25">
      <c r="A31" s="142">
        <v>43978</v>
      </c>
      <c r="B31" s="143">
        <f>Sheet27!D22</f>
        <v>0.11111111111111427</v>
      </c>
      <c r="C31" s="143">
        <f>Sheet27!E22</f>
        <v>206.58333333333334</v>
      </c>
      <c r="D31" s="143">
        <f>Sheet27!F22</f>
        <v>206.875</v>
      </c>
      <c r="E31" s="143">
        <f>Sheet27!G22</f>
        <v>0.29166666666665719</v>
      </c>
      <c r="F31" s="143">
        <f>Sheet27!H22</f>
        <v>206.91319444444446</v>
      </c>
      <c r="G31" s="143">
        <f>Sheet27!I22</f>
        <v>207.20833333333334</v>
      </c>
      <c r="H31" s="143">
        <f>Sheet27!J22</f>
        <v>0.29513888888888573</v>
      </c>
      <c r="I31" s="144">
        <f t="shared" si="0"/>
        <v>0.69791666666665719</v>
      </c>
      <c r="J31" s="143">
        <v>0.12152777777777778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1"/>
        <v>0</v>
      </c>
      <c r="P31" s="143">
        <v>0.18055555555555555</v>
      </c>
      <c r="Q31" s="143">
        <v>0</v>
      </c>
      <c r="R31" s="143">
        <v>0</v>
      </c>
      <c r="S31" s="143">
        <v>0</v>
      </c>
      <c r="T31" s="144">
        <f t="shared" si="2"/>
        <v>0.18055555555555555</v>
      </c>
      <c r="U31" s="143">
        <f>'stream I '!U31</f>
        <v>0</v>
      </c>
      <c r="V31" s="147">
        <f t="shared" si="3"/>
        <v>0.99999999999999056</v>
      </c>
      <c r="W31" s="131" t="s">
        <v>384</v>
      </c>
    </row>
    <row r="32" spans="1:23" ht="30" x14ac:dyDescent="0.25">
      <c r="A32" s="142">
        <v>43979</v>
      </c>
      <c r="B32" s="143">
        <f>Sheet28!D22</f>
        <v>0.28819444444442865</v>
      </c>
      <c r="C32" s="143">
        <f>Sheet28!E22</f>
        <v>206.73263888888889</v>
      </c>
      <c r="D32" s="143">
        <f>Sheet28!F22</f>
        <v>206.875</v>
      </c>
      <c r="E32" s="143">
        <f>Sheet28!G22</f>
        <v>0.14236111111111427</v>
      </c>
      <c r="F32" s="143">
        <f>Sheet28!H22</f>
        <v>206.91666666666666</v>
      </c>
      <c r="G32" s="143">
        <f>Sheet28!I22</f>
        <v>207.20833333333334</v>
      </c>
      <c r="H32" s="143">
        <f>Sheet28!J22</f>
        <v>0.29166666666668561</v>
      </c>
      <c r="I32" s="144">
        <f t="shared" si="0"/>
        <v>0.72222222222222854</v>
      </c>
      <c r="J32" s="143">
        <v>0.14930555555555555</v>
      </c>
      <c r="K32" s="143">
        <v>0.12847222222222224</v>
      </c>
      <c r="L32" s="143">
        <v>0</v>
      </c>
      <c r="M32" s="143">
        <v>0</v>
      </c>
      <c r="N32" s="143">
        <v>0</v>
      </c>
      <c r="O32" s="144">
        <f t="shared" si="1"/>
        <v>0.12847222222222224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2"/>
        <v>0</v>
      </c>
      <c r="U32" s="143">
        <f>'stream I '!U32</f>
        <v>0</v>
      </c>
      <c r="V32" s="147">
        <f t="shared" si="3"/>
        <v>1.0000000000000062</v>
      </c>
      <c r="W32" s="131" t="s">
        <v>385</v>
      </c>
    </row>
    <row r="33" spans="1:23" ht="15.75" x14ac:dyDescent="0.25">
      <c r="A33" s="142">
        <v>43980</v>
      </c>
      <c r="B33" s="143">
        <f>Sheet29!D22</f>
        <v>0.24305555555554292</v>
      </c>
      <c r="C33" s="143">
        <f>Sheet29!E22</f>
        <v>206.57291666666666</v>
      </c>
      <c r="D33" s="143">
        <f>Sheet29!F22</f>
        <v>206.875</v>
      </c>
      <c r="E33" s="143">
        <f>Sheet29!G22</f>
        <v>0.30208333333334281</v>
      </c>
      <c r="F33" s="143">
        <f>Sheet29!H22</f>
        <v>206.91666666666666</v>
      </c>
      <c r="G33" s="143">
        <f>Sheet29!I22</f>
        <v>207.20833333333334</v>
      </c>
      <c r="H33" s="143">
        <f>Sheet29!J22</f>
        <v>0.29166666666668561</v>
      </c>
      <c r="I33" s="144">
        <f t="shared" si="0"/>
        <v>0.83680555555557135</v>
      </c>
      <c r="J33" s="143">
        <v>0.16319444444444445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1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2"/>
        <v>0</v>
      </c>
      <c r="U33" s="143">
        <f>'stream I '!U33</f>
        <v>0</v>
      </c>
      <c r="V33" s="147">
        <f t="shared" si="3"/>
        <v>1.0000000000000158</v>
      </c>
      <c r="W33" s="131"/>
    </row>
    <row r="34" spans="1:23" ht="15.75" x14ac:dyDescent="0.25">
      <c r="A34" s="142">
        <v>43981</v>
      </c>
      <c r="B34" s="143">
        <f>'Sheet 30'!D22</f>
        <v>0.28819444444442865</v>
      </c>
      <c r="C34" s="143">
        <f>Sheet29!E23</f>
        <v>206.61458333333334</v>
      </c>
      <c r="D34" s="143">
        <f>Sheet29!F23</f>
        <v>206.875</v>
      </c>
      <c r="E34" s="143">
        <f>'Sheet 30'!G22</f>
        <v>0.29166666666665719</v>
      </c>
      <c r="F34" s="143">
        <f>Sheet29!H23</f>
        <v>206.91666666666666</v>
      </c>
      <c r="G34" s="143">
        <f>Sheet29!I23</f>
        <v>207.20833333333334</v>
      </c>
      <c r="H34" s="143">
        <f>'Sheet 30'!J22</f>
        <v>0.29166666666668561</v>
      </c>
      <c r="I34" s="144">
        <f t="shared" ref="I34" si="4">B34+E34+H34</f>
        <v>0.87152777777777146</v>
      </c>
      <c r="J34" s="143">
        <v>0.12847222222222224</v>
      </c>
      <c r="K34" s="143">
        <v>0</v>
      </c>
      <c r="L34" s="143">
        <v>0</v>
      </c>
      <c r="M34" s="143">
        <v>0</v>
      </c>
      <c r="N34" s="143">
        <v>0</v>
      </c>
      <c r="O34" s="144">
        <f t="shared" si="1"/>
        <v>0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si="2"/>
        <v>0</v>
      </c>
      <c r="U34" s="143">
        <f>'stream I '!U34</f>
        <v>0</v>
      </c>
      <c r="V34" s="147">
        <f t="shared" si="3"/>
        <v>0.99999999999999367</v>
      </c>
      <c r="W34" s="131"/>
    </row>
    <row r="35" spans="1:23" ht="15.75" x14ac:dyDescent="0.25">
      <c r="A35" s="142">
        <v>43982</v>
      </c>
      <c r="B35" s="143">
        <f>'Sheet 31'!D22</f>
        <v>0.29166666666665719</v>
      </c>
      <c r="C35" s="143">
        <f>Sheet29!E24</f>
        <v>0</v>
      </c>
      <c r="D35" s="143">
        <f>Sheet29!F24</f>
        <v>0</v>
      </c>
      <c r="E35" s="143">
        <f>'Sheet 31'!G22</f>
        <v>0.29166666666665719</v>
      </c>
      <c r="F35" s="143">
        <f>Sheet29!H24</f>
        <v>0</v>
      </c>
      <c r="G35" s="143">
        <f>Sheet29!I24</f>
        <v>0</v>
      </c>
      <c r="H35" s="143">
        <f>'Sheet 31'!J22</f>
        <v>0.27083333333334281</v>
      </c>
      <c r="I35" s="144">
        <f t="shared" ref="I35" si="5">B35+E35+H35</f>
        <v>0.85416666666665719</v>
      </c>
      <c r="J35" s="143">
        <v>0.14583333333333334</v>
      </c>
      <c r="K35" s="143">
        <v>0</v>
      </c>
      <c r="L35" s="143">
        <v>0</v>
      </c>
      <c r="M35" s="143">
        <v>0</v>
      </c>
      <c r="N35" s="143">
        <v>0</v>
      </c>
      <c r="O35" s="144">
        <f t="shared" ref="O35" si="6">SUM(K35:N35)</f>
        <v>0</v>
      </c>
      <c r="P35" s="143">
        <v>0</v>
      </c>
      <c r="Q35" s="143">
        <v>0</v>
      </c>
      <c r="R35" s="143">
        <v>0</v>
      </c>
      <c r="S35" s="143">
        <v>0</v>
      </c>
      <c r="T35" s="144">
        <f t="shared" ref="T35" si="7">SUM(P35:S35)</f>
        <v>0</v>
      </c>
      <c r="U35" s="143">
        <f>'stream I '!U35</f>
        <v>0</v>
      </c>
      <c r="V35" s="147">
        <f t="shared" si="3"/>
        <v>0.99999999999999056</v>
      </c>
      <c r="W35" s="131"/>
    </row>
    <row r="36" spans="1:23" ht="15.75" x14ac:dyDescent="0.25">
      <c r="A36" s="132" t="s">
        <v>108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>SUM(I5:I35)</f>
        <v>25.173611111111143</v>
      </c>
      <c r="J36" s="152">
        <f t="shared" ref="J36:T36" si="8">SUM(J5:J35)</f>
        <v>4.7812499999999991</v>
      </c>
      <c r="K36" s="152">
        <f t="shared" si="8"/>
        <v>0.30555555555555558</v>
      </c>
      <c r="L36" s="152">
        <f t="shared" si="8"/>
        <v>0.12152777777777776</v>
      </c>
      <c r="M36" s="152">
        <f t="shared" si="8"/>
        <v>0.12847222222222224</v>
      </c>
      <c r="N36" s="152">
        <f t="shared" si="8"/>
        <v>0</v>
      </c>
      <c r="O36" s="152">
        <f t="shared" si="8"/>
        <v>0.55555555555555558</v>
      </c>
      <c r="P36" s="152">
        <f t="shared" si="8"/>
        <v>0.18055555555555555</v>
      </c>
      <c r="Q36" s="152">
        <f t="shared" si="8"/>
        <v>0</v>
      </c>
      <c r="R36" s="152">
        <f t="shared" si="8"/>
        <v>0.22916666666666666</v>
      </c>
      <c r="S36" s="152">
        <f t="shared" si="8"/>
        <v>0</v>
      </c>
      <c r="T36" s="152">
        <f t="shared" si="8"/>
        <v>0.40972222222222221</v>
      </c>
      <c r="U36" s="152">
        <f t="shared" ref="U36" si="9">SUM(U5:U34)</f>
        <v>7.9861111111111105E-2</v>
      </c>
      <c r="V36" s="211">
        <f>I36+J36+O36+T36+U36</f>
        <v>31.000000000000032</v>
      </c>
      <c r="W36" s="89"/>
    </row>
    <row r="37" spans="1:23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  <c r="V37" s="136"/>
    </row>
    <row r="38" spans="1:23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3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177</v>
      </c>
      <c r="S39" s="133"/>
      <c r="T39" s="133"/>
      <c r="U39" s="133"/>
      <c r="V39" s="133"/>
    </row>
    <row r="40" spans="1:23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109</v>
      </c>
      <c r="S40" s="138"/>
      <c r="T40" s="133"/>
      <c r="U40" s="133"/>
      <c r="V40" s="133"/>
    </row>
    <row r="41" spans="1:23" ht="15.75" x14ac:dyDescent="0.25">
      <c r="A41" s="140" t="s">
        <v>110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  <c r="V41" s="133"/>
    </row>
    <row r="42" spans="1:23" ht="15.75" x14ac:dyDescent="0.25">
      <c r="A42" s="140" t="s">
        <v>111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  <c r="V42" s="133"/>
    </row>
    <row r="43" spans="1:23" ht="15.75" x14ac:dyDescent="0.25">
      <c r="A43" s="140">
        <v>2</v>
      </c>
      <c r="B43" s="133" t="s">
        <v>178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  <c r="V43" s="133"/>
    </row>
    <row r="44" spans="1:23" ht="15.75" x14ac:dyDescent="0.25">
      <c r="A44" s="140">
        <v>3</v>
      </c>
      <c r="B44" s="133" t="s">
        <v>112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  <c r="V44" s="133"/>
    </row>
    <row r="45" spans="1:23" x14ac:dyDescent="0.25">
      <c r="A45" s="141" t="s">
        <v>113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  <c r="V45" s="133"/>
    </row>
    <row r="46" spans="1:23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3" ht="15.75" x14ac:dyDescent="0.25">
      <c r="A47" s="140"/>
      <c r="B47" s="133"/>
      <c r="C47" s="133"/>
      <c r="D47" s="133"/>
      <c r="E47" s="134"/>
      <c r="F47" s="133"/>
      <c r="G47" s="133"/>
      <c r="H47" s="133"/>
      <c r="I47" s="133"/>
      <c r="J47" s="133"/>
      <c r="K47" s="139"/>
      <c r="L47" s="133"/>
      <c r="M47" s="133"/>
      <c r="N47" s="133"/>
      <c r="O47" s="133"/>
      <c r="P47" s="133"/>
      <c r="Q47" s="133"/>
    </row>
    <row r="48" spans="1:23" ht="15.75" x14ac:dyDescent="0.25">
      <c r="A48" s="140"/>
      <c r="B48" s="133"/>
      <c r="C48" s="133"/>
      <c r="D48" s="133"/>
      <c r="E48" s="134"/>
      <c r="F48" s="133"/>
      <c r="G48" s="133"/>
      <c r="H48" s="133"/>
      <c r="I48" s="133"/>
      <c r="J48" s="133"/>
      <c r="K48" s="139"/>
      <c r="L48" s="133"/>
      <c r="M48" s="133"/>
      <c r="N48" s="133"/>
      <c r="O48" s="133"/>
      <c r="P48" s="133"/>
      <c r="Q48" s="133"/>
    </row>
    <row r="49" spans="1:17" x14ac:dyDescent="0.25">
      <c r="A49" s="141"/>
      <c r="B49" s="133"/>
      <c r="C49" s="133"/>
      <c r="D49" s="133"/>
      <c r="E49" s="133"/>
      <c r="F49" s="133"/>
      <c r="G49" s="133"/>
      <c r="H49" s="133"/>
      <c r="I49" s="133"/>
      <c r="J49" s="133"/>
      <c r="K49" s="137"/>
      <c r="L49" s="133"/>
      <c r="M49" s="133"/>
      <c r="N49" s="133"/>
      <c r="O49" s="133"/>
      <c r="P49" s="133"/>
      <c r="Q49" s="133"/>
    </row>
  </sheetData>
  <mergeCells count="1">
    <mergeCell ref="W28:W29"/>
  </mergeCells>
  <pageMargins left="0.31496062992125984" right="0.19685039370078741" top="0.23622047244094491" bottom="0.23622047244094491" header="0.31496062992125984" footer="0.31496062992125984"/>
  <pageSetup paperSize="141" scale="96" orientation="portrait" horizontalDpi="180" verticalDpi="18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6" workbookViewId="0">
      <selection activeCell="S37" sqref="S37"/>
    </sheetView>
  </sheetViews>
  <sheetFormatPr defaultRowHeight="15" x14ac:dyDescent="0.25"/>
  <cols>
    <col min="1" max="1" width="11.2851562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53"/>
    <col min="22" max="22" width="11.140625" customWidth="1"/>
    <col min="23" max="23" width="27.85546875" customWidth="1"/>
  </cols>
  <sheetData>
    <row r="1" spans="1:23" ht="22.5" x14ac:dyDescent="0.3">
      <c r="A1" s="108" t="s">
        <v>401</v>
      </c>
      <c r="R1"/>
    </row>
    <row r="2" spans="1:23" ht="21" thickBot="1" x14ac:dyDescent="0.35">
      <c r="A2" s="109" t="s">
        <v>131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3" ht="30" x14ac:dyDescent="0.25">
      <c r="A3" s="111" t="s">
        <v>79</v>
      </c>
      <c r="B3" s="112" t="s">
        <v>94</v>
      </c>
      <c r="C3" s="116"/>
      <c r="D3" s="116"/>
      <c r="E3" s="116"/>
      <c r="F3" s="116"/>
      <c r="G3" s="116"/>
      <c r="H3" s="113"/>
      <c r="I3" s="114" t="s">
        <v>13</v>
      </c>
      <c r="J3" s="115" t="s">
        <v>95</v>
      </c>
      <c r="K3" s="116" t="s">
        <v>96</v>
      </c>
      <c r="L3" s="113"/>
      <c r="M3" s="113"/>
      <c r="N3" s="113"/>
      <c r="O3" s="117" t="s">
        <v>13</v>
      </c>
      <c r="P3" s="112" t="s">
        <v>97</v>
      </c>
      <c r="Q3" s="113"/>
      <c r="R3" s="118"/>
      <c r="S3" s="119"/>
      <c r="T3" s="120"/>
      <c r="U3" s="264" t="s">
        <v>372</v>
      </c>
      <c r="V3" s="145"/>
      <c r="W3" s="121" t="s">
        <v>98</v>
      </c>
    </row>
    <row r="4" spans="1:23" ht="16.5" thickBot="1" x14ac:dyDescent="0.3">
      <c r="A4" s="122"/>
      <c r="B4" s="123" t="s">
        <v>99</v>
      </c>
      <c r="C4" s="123"/>
      <c r="D4" s="123"/>
      <c r="E4" s="123" t="s">
        <v>100</v>
      </c>
      <c r="F4" s="123"/>
      <c r="G4" s="123"/>
      <c r="H4" s="123" t="s">
        <v>101</v>
      </c>
      <c r="I4" s="124" t="s">
        <v>102</v>
      </c>
      <c r="J4" s="125"/>
      <c r="K4" s="126" t="s">
        <v>103</v>
      </c>
      <c r="L4" s="127" t="s">
        <v>104</v>
      </c>
      <c r="M4" s="127" t="s">
        <v>105</v>
      </c>
      <c r="N4" s="127" t="s">
        <v>106</v>
      </c>
      <c r="O4" s="128" t="s">
        <v>44</v>
      </c>
      <c r="P4" s="127" t="s">
        <v>103</v>
      </c>
      <c r="Q4" s="127" t="s">
        <v>104</v>
      </c>
      <c r="R4" s="127" t="s">
        <v>105</v>
      </c>
      <c r="S4" s="127" t="s">
        <v>106</v>
      </c>
      <c r="T4" s="128" t="s">
        <v>44</v>
      </c>
      <c r="U4" s="146"/>
      <c r="V4" s="146"/>
      <c r="W4" s="129"/>
    </row>
    <row r="5" spans="1:23" ht="15.75" x14ac:dyDescent="0.25">
      <c r="A5" s="142">
        <v>43952</v>
      </c>
      <c r="B5" s="143">
        <f>Sheet1!D23</f>
        <v>0.24305555555554292</v>
      </c>
      <c r="C5" s="143">
        <f>Sheet1!E23</f>
        <v>206.58333333333334</v>
      </c>
      <c r="D5" s="143">
        <f>Sheet1!F23</f>
        <v>206.875</v>
      </c>
      <c r="E5" s="143">
        <f>Sheet1!G23</f>
        <v>0.29166666666665719</v>
      </c>
      <c r="F5" s="143">
        <f>Sheet1!H23</f>
        <v>206.91666666666666</v>
      </c>
      <c r="G5" s="143">
        <f>Sheet1!I23</f>
        <v>207.20833333333334</v>
      </c>
      <c r="H5" s="143">
        <f>Sheet1!J23</f>
        <v>0.29166666666668561</v>
      </c>
      <c r="I5" s="144">
        <f>B5+E5+H5</f>
        <v>0.82638888888888573</v>
      </c>
      <c r="J5" s="143">
        <v>0.15625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 t="shared" ref="T5:T8" si="0">SUM(P5:S5)</f>
        <v>0</v>
      </c>
      <c r="U5" s="143">
        <f>'stream I '!U5</f>
        <v>1.7361111111111112E-2</v>
      </c>
      <c r="V5" s="147">
        <f>I5+O5+J5+T5+U5</f>
        <v>0.99999999999999689</v>
      </c>
      <c r="W5" s="131"/>
    </row>
    <row r="6" spans="1:23" ht="15.75" x14ac:dyDescent="0.25">
      <c r="A6" s="142">
        <v>43953</v>
      </c>
      <c r="B6" s="143">
        <f>Sheet2!D23</f>
        <v>0.24305555555554292</v>
      </c>
      <c r="C6" s="143">
        <f>Sheet2!E23</f>
        <v>206.60069444444446</v>
      </c>
      <c r="D6" s="143">
        <f>Sheet2!F23</f>
        <v>206.875</v>
      </c>
      <c r="E6" s="143">
        <f>Sheet2!G23</f>
        <v>0.27430555555554292</v>
      </c>
      <c r="F6" s="143">
        <f>Sheet2!H23</f>
        <v>206.91666666666666</v>
      </c>
      <c r="G6" s="143">
        <f>Sheet2!I23</f>
        <v>207.20833333333334</v>
      </c>
      <c r="H6" s="143">
        <f>Sheet2!J23</f>
        <v>0.29166666666668561</v>
      </c>
      <c r="I6" s="144">
        <f t="shared" ref="I6:I33" si="1">B6+E6+H6</f>
        <v>0.80902777777777146</v>
      </c>
      <c r="J6" s="143">
        <v>0.1875</v>
      </c>
      <c r="K6" s="143">
        <v>0</v>
      </c>
      <c r="L6" s="143">
        <v>0</v>
      </c>
      <c r="M6" s="143">
        <v>0</v>
      </c>
      <c r="N6" s="143">
        <v>0</v>
      </c>
      <c r="O6" s="144">
        <f t="shared" ref="O6:O33" si="2">SUM(K6:N6)</f>
        <v>0</v>
      </c>
      <c r="P6" s="143">
        <v>0</v>
      </c>
      <c r="Q6" s="143">
        <v>0</v>
      </c>
      <c r="R6" s="143">
        <v>0</v>
      </c>
      <c r="S6" s="143">
        <v>0</v>
      </c>
      <c r="T6" s="144">
        <f t="shared" si="0"/>
        <v>0</v>
      </c>
      <c r="U6" s="143">
        <f>'stream I '!U6</f>
        <v>3.472222222222222E-3</v>
      </c>
      <c r="V6" s="147">
        <f t="shared" ref="V6:V35" si="3">I6+O6+J6+T6+U6</f>
        <v>0.99999999999999367</v>
      </c>
      <c r="W6" s="131"/>
    </row>
    <row r="7" spans="1:23" ht="15.75" x14ac:dyDescent="0.25">
      <c r="A7" s="142">
        <v>43954</v>
      </c>
      <c r="B7" s="143">
        <f>Sheet3!D23</f>
        <v>0.13888888888888573</v>
      </c>
      <c r="C7" s="143">
        <f>Sheet3!E23</f>
        <v>206.59027777777777</v>
      </c>
      <c r="D7" s="143">
        <f>Sheet3!F23</f>
        <v>206.83333333333334</v>
      </c>
      <c r="E7" s="143">
        <f>Sheet3!G23</f>
        <v>0.24305555555557135</v>
      </c>
      <c r="F7" s="143">
        <f>Sheet3!H23</f>
        <v>206.97916666666666</v>
      </c>
      <c r="G7" s="143">
        <f>Sheet3!I23</f>
        <v>207.20833333333334</v>
      </c>
      <c r="H7" s="143">
        <f>Sheet3!J23</f>
        <v>0.22916666666668561</v>
      </c>
      <c r="I7" s="144">
        <f t="shared" si="1"/>
        <v>0.61111111111114269</v>
      </c>
      <c r="J7" s="143">
        <v>0.22916666666666666</v>
      </c>
      <c r="K7" s="143">
        <v>0</v>
      </c>
      <c r="L7" s="143">
        <v>0</v>
      </c>
      <c r="M7" s="143">
        <v>0</v>
      </c>
      <c r="N7" s="143">
        <v>0</v>
      </c>
      <c r="O7" s="144">
        <f t="shared" si="2"/>
        <v>0</v>
      </c>
      <c r="P7" s="143">
        <v>0.15972222222222224</v>
      </c>
      <c r="Q7" s="143">
        <v>0</v>
      </c>
      <c r="R7" s="143">
        <v>0</v>
      </c>
      <c r="S7" s="143">
        <v>0</v>
      </c>
      <c r="T7" s="144">
        <f t="shared" si="0"/>
        <v>0.15972222222222224</v>
      </c>
      <c r="U7" s="143">
        <f>'stream I '!U7</f>
        <v>0</v>
      </c>
      <c r="V7" s="147">
        <f t="shared" si="3"/>
        <v>1.0000000000000315</v>
      </c>
      <c r="W7" s="131" t="s">
        <v>387</v>
      </c>
    </row>
    <row r="8" spans="1:23" ht="15.75" x14ac:dyDescent="0.25">
      <c r="A8" s="142">
        <v>43955</v>
      </c>
      <c r="B8" s="143">
        <f>Sheet4!D23</f>
        <v>0.20138888888888573</v>
      </c>
      <c r="C8" s="143">
        <f>Sheet4!E23</f>
        <v>206.58680555555554</v>
      </c>
      <c r="D8" s="143">
        <f>Sheet4!F23</f>
        <v>206.78125</v>
      </c>
      <c r="E8" s="143">
        <f>Sheet4!G23</f>
        <v>0.19444444444445708</v>
      </c>
      <c r="F8" s="143">
        <f>Sheet4!H23</f>
        <v>206.91666666666666</v>
      </c>
      <c r="G8" s="143">
        <f>Sheet4!I23</f>
        <v>207.20833333333334</v>
      </c>
      <c r="H8" s="143">
        <f>Sheet4!J23</f>
        <v>0.29166666666668561</v>
      </c>
      <c r="I8" s="144">
        <f t="shared" si="1"/>
        <v>0.68750000000002842</v>
      </c>
      <c r="J8" s="143">
        <v>0.1875</v>
      </c>
      <c r="K8" s="143">
        <v>0</v>
      </c>
      <c r="L8" s="143">
        <v>0</v>
      </c>
      <c r="M8" s="143">
        <v>0.125</v>
      </c>
      <c r="N8" s="143">
        <v>0</v>
      </c>
      <c r="O8" s="144">
        <f t="shared" si="2"/>
        <v>0.125</v>
      </c>
      <c r="P8" s="143">
        <v>0</v>
      </c>
      <c r="Q8" s="143">
        <v>0</v>
      </c>
      <c r="R8" s="143">
        <v>0</v>
      </c>
      <c r="S8" s="143">
        <v>0</v>
      </c>
      <c r="T8" s="144">
        <f t="shared" si="0"/>
        <v>0</v>
      </c>
      <c r="U8" s="143">
        <f>'stream I '!U8</f>
        <v>0</v>
      </c>
      <c r="V8" s="147">
        <f t="shared" si="3"/>
        <v>1.0000000000000284</v>
      </c>
      <c r="W8" s="131" t="s">
        <v>388</v>
      </c>
    </row>
    <row r="9" spans="1:23" ht="15.75" x14ac:dyDescent="0.25">
      <c r="A9" s="142">
        <v>43956</v>
      </c>
      <c r="B9" s="143">
        <f>Sheet5!D23</f>
        <v>0.28472222222220012</v>
      </c>
      <c r="C9" s="143">
        <f>Sheet5!E23</f>
        <v>206.57986111111111</v>
      </c>
      <c r="D9" s="143">
        <f>Sheet5!F23</f>
        <v>206.875</v>
      </c>
      <c r="E9" s="143">
        <f>Sheet5!G23</f>
        <v>0.29513888888888573</v>
      </c>
      <c r="F9" s="143">
        <f>Sheet5!H23</f>
        <v>206.91666666666666</v>
      </c>
      <c r="G9" s="143">
        <f>Sheet5!I23</f>
        <v>207.20833333333334</v>
      </c>
      <c r="H9" s="143">
        <f>Sheet5!J23</f>
        <v>0.29166666666668561</v>
      </c>
      <c r="I9" s="144">
        <f t="shared" si="1"/>
        <v>0.87152777777777146</v>
      </c>
      <c r="J9" s="143">
        <v>9.375E-2</v>
      </c>
      <c r="K9" s="143">
        <v>0</v>
      </c>
      <c r="L9" s="143">
        <v>0</v>
      </c>
      <c r="M9" s="143">
        <v>0</v>
      </c>
      <c r="N9" s="143">
        <v>0</v>
      </c>
      <c r="O9" s="144">
        <f t="shared" si="2"/>
        <v>0</v>
      </c>
      <c r="P9" s="143">
        <v>0</v>
      </c>
      <c r="Q9" s="143">
        <v>0</v>
      </c>
      <c r="R9" s="143">
        <v>0</v>
      </c>
      <c r="S9" s="143">
        <v>0</v>
      </c>
      <c r="T9" s="144">
        <f>SUM(P9:S9)</f>
        <v>0</v>
      </c>
      <c r="U9" s="143">
        <f>'stream I '!U9</f>
        <v>3.4722222222222224E-2</v>
      </c>
      <c r="V9" s="147">
        <f t="shared" si="3"/>
        <v>0.99999999999999367</v>
      </c>
      <c r="W9" s="131"/>
    </row>
    <row r="10" spans="1:23" ht="15.75" x14ac:dyDescent="0.25">
      <c r="A10" s="142">
        <v>43957</v>
      </c>
      <c r="B10" s="143">
        <f>Sheet6!D23</f>
        <v>0.27083333333331439</v>
      </c>
      <c r="C10" s="143">
        <f>Sheet6!E23</f>
        <v>206.59375</v>
      </c>
      <c r="D10" s="143">
        <f>Sheet6!F23</f>
        <v>206.875</v>
      </c>
      <c r="E10" s="143">
        <f>Sheet6!G23</f>
        <v>0.28125</v>
      </c>
      <c r="F10" s="143">
        <f>Sheet6!H23</f>
        <v>206.91666666666666</v>
      </c>
      <c r="G10" s="143">
        <f>Sheet6!I23</f>
        <v>207.20833333333334</v>
      </c>
      <c r="H10" s="143">
        <f>Sheet6!J23</f>
        <v>0.29166666666668561</v>
      </c>
      <c r="I10" s="144">
        <f t="shared" si="1"/>
        <v>0.84375</v>
      </c>
      <c r="J10" s="143">
        <v>0.15625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2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ref="T10:T33" si="4">SUM(P10:S10)</f>
        <v>0</v>
      </c>
      <c r="U10" s="143">
        <f>'stream I '!U10</f>
        <v>0</v>
      </c>
      <c r="V10" s="147">
        <f t="shared" si="3"/>
        <v>1</v>
      </c>
      <c r="W10" s="131" t="s">
        <v>107</v>
      </c>
    </row>
    <row r="11" spans="1:23" ht="15.75" x14ac:dyDescent="0.25">
      <c r="A11" s="142">
        <v>43958</v>
      </c>
      <c r="B11" s="143">
        <f>Sheet7!D23</f>
        <v>0.23958333333331439</v>
      </c>
      <c r="C11" s="143">
        <f>Sheet7!E23</f>
        <v>206.58333333333334</v>
      </c>
      <c r="D11" s="143">
        <f>Sheet7!F23</f>
        <v>206.875</v>
      </c>
      <c r="E11" s="143">
        <f>Sheet7!G23</f>
        <v>0.29166666666665719</v>
      </c>
      <c r="F11" s="143">
        <f>Sheet7!H23</f>
        <v>206.91666666666666</v>
      </c>
      <c r="G11" s="143">
        <f>Sheet7!I23</f>
        <v>207.20833333333334</v>
      </c>
      <c r="H11" s="143">
        <f>Sheet7!J23</f>
        <v>0.29166666666668561</v>
      </c>
      <c r="I11" s="144">
        <f t="shared" si="1"/>
        <v>0.82291666666665719</v>
      </c>
      <c r="J11" s="143">
        <v>0.17708333333333334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2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4"/>
        <v>0</v>
      </c>
      <c r="U11" s="143">
        <f>'stream I '!U11</f>
        <v>0</v>
      </c>
      <c r="V11" s="147">
        <f t="shared" si="3"/>
        <v>0.99999999999999056</v>
      </c>
      <c r="W11" s="131"/>
    </row>
    <row r="12" spans="1:23" ht="15.75" x14ac:dyDescent="0.25">
      <c r="A12" s="142">
        <v>43959</v>
      </c>
      <c r="B12" s="143">
        <f>Sheet8!D23</f>
        <v>0.27083333333331439</v>
      </c>
      <c r="C12" s="143">
        <f>Sheet8!E23</f>
        <v>206.64583333333334</v>
      </c>
      <c r="D12" s="143">
        <f>Sheet8!F23</f>
        <v>206.90625</v>
      </c>
      <c r="E12" s="143">
        <f>Sheet8!G23</f>
        <v>0.26041666666665719</v>
      </c>
      <c r="F12" s="143">
        <f>Sheet8!H23</f>
        <v>206.92361111111111</v>
      </c>
      <c r="G12" s="143">
        <f>Sheet8!I23</f>
        <v>207.20833333333334</v>
      </c>
      <c r="H12" s="143">
        <f>Sheet8!J23</f>
        <v>0.28472222222222854</v>
      </c>
      <c r="I12" s="144">
        <f t="shared" si="1"/>
        <v>0.81597222222220012</v>
      </c>
      <c r="J12" s="143">
        <v>0.18402777777777779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2"/>
        <v>0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4"/>
        <v>0</v>
      </c>
      <c r="U12" s="143">
        <f>'stream I '!U12</f>
        <v>0</v>
      </c>
      <c r="V12" s="147">
        <f t="shared" si="3"/>
        <v>0.99999999999997791</v>
      </c>
      <c r="W12" s="131"/>
    </row>
    <row r="13" spans="1:23" ht="15.75" x14ac:dyDescent="0.25">
      <c r="A13" s="142">
        <v>43960</v>
      </c>
      <c r="B13" s="143">
        <f>Sheet9!D23</f>
        <v>0.25</v>
      </c>
      <c r="C13" s="143">
        <f>Sheet9!E23</f>
        <v>206.58333333333334</v>
      </c>
      <c r="D13" s="143">
        <f>Sheet9!F23</f>
        <v>206.875</v>
      </c>
      <c r="E13" s="143">
        <f>Sheet9!G23</f>
        <v>0.29166666666665719</v>
      </c>
      <c r="F13" s="143">
        <f>Sheet9!H23</f>
        <v>206.91666666666666</v>
      </c>
      <c r="G13" s="143">
        <f>Sheet9!I23</f>
        <v>207.20833333333334</v>
      </c>
      <c r="H13" s="143">
        <f>Sheet9!J23</f>
        <v>0.29166666666668561</v>
      </c>
      <c r="I13" s="144">
        <f t="shared" si="1"/>
        <v>0.83333333333334281</v>
      </c>
      <c r="J13" s="143">
        <v>0.16666666666666666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2"/>
        <v>0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4"/>
        <v>0</v>
      </c>
      <c r="U13" s="143">
        <f>'stream I '!U13</f>
        <v>0</v>
      </c>
      <c r="V13" s="147">
        <f t="shared" si="3"/>
        <v>1.0000000000000095</v>
      </c>
      <c r="W13" s="131" t="s">
        <v>107</v>
      </c>
    </row>
    <row r="14" spans="1:23" ht="15.75" x14ac:dyDescent="0.25">
      <c r="A14" s="142">
        <v>43961</v>
      </c>
      <c r="B14" s="143">
        <f>Sheet10!D23</f>
        <v>0.27083333333331439</v>
      </c>
      <c r="C14" s="143">
        <f>Sheet10!E23</f>
        <v>206.58333333333334</v>
      </c>
      <c r="D14" s="143">
        <f>Sheet10!F23</f>
        <v>206.875</v>
      </c>
      <c r="E14" s="143">
        <f>Sheet10!G23</f>
        <v>0.29166666666665719</v>
      </c>
      <c r="F14" s="143">
        <f>Sheet10!H23</f>
        <v>206.96875</v>
      </c>
      <c r="G14" s="143">
        <f>Sheet10!I23</f>
        <v>207.20833333333334</v>
      </c>
      <c r="H14" s="143">
        <f>Sheet10!J23</f>
        <v>0.23958333333334281</v>
      </c>
      <c r="I14" s="144">
        <f t="shared" si="1"/>
        <v>0.80208333333331439</v>
      </c>
      <c r="J14" s="143">
        <v>0.19444444444444445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2"/>
        <v>0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4"/>
        <v>0</v>
      </c>
      <c r="U14" s="143">
        <f>'stream I '!U14</f>
        <v>3.472222222222222E-3</v>
      </c>
      <c r="V14" s="147">
        <f t="shared" si="3"/>
        <v>0.99999999999998102</v>
      </c>
      <c r="W14" s="131" t="s">
        <v>107</v>
      </c>
    </row>
    <row r="15" spans="1:23" ht="15.75" x14ac:dyDescent="0.25">
      <c r="A15" s="142">
        <v>43962</v>
      </c>
      <c r="B15" s="143">
        <f>Sheet11!D23</f>
        <v>0.27083333333331439</v>
      </c>
      <c r="C15" s="143">
        <f>Sheet11!E23</f>
        <v>206.60763888888889</v>
      </c>
      <c r="D15" s="143">
        <f>Sheet11!F23</f>
        <v>206.875</v>
      </c>
      <c r="E15" s="143">
        <f>Sheet11!G23</f>
        <v>0.26736111111111427</v>
      </c>
      <c r="F15" s="143">
        <f>Sheet11!H23</f>
        <v>206.93402777777777</v>
      </c>
      <c r="G15" s="143">
        <f>Sheet11!I23</f>
        <v>207.20833333333334</v>
      </c>
      <c r="H15" s="143">
        <f>Sheet11!J23</f>
        <v>0.27430555555557135</v>
      </c>
      <c r="I15" s="144">
        <f t="shared" si="1"/>
        <v>0.8125</v>
      </c>
      <c r="J15" s="143">
        <v>0.1875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2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4"/>
        <v>0</v>
      </c>
      <c r="U15" s="143">
        <f>'stream I '!U15</f>
        <v>0</v>
      </c>
      <c r="V15" s="147">
        <f t="shared" si="3"/>
        <v>1</v>
      </c>
      <c r="W15" s="131" t="s">
        <v>107</v>
      </c>
    </row>
    <row r="16" spans="1:23" ht="15.75" x14ac:dyDescent="0.25">
      <c r="A16" s="142">
        <v>43963</v>
      </c>
      <c r="B16" s="143">
        <f>Sheet12!D23</f>
        <v>0.25</v>
      </c>
      <c r="C16" s="143">
        <f>Sheet12!E23</f>
        <v>206.58333333333334</v>
      </c>
      <c r="D16" s="143">
        <f>Sheet12!F23</f>
        <v>206.875</v>
      </c>
      <c r="E16" s="143">
        <f>Sheet12!G23</f>
        <v>0.29166666666665719</v>
      </c>
      <c r="F16" s="143">
        <f>Sheet12!H23</f>
        <v>206.91666666666666</v>
      </c>
      <c r="G16" s="143">
        <f>Sheet12!I23</f>
        <v>207.20833333333334</v>
      </c>
      <c r="H16" s="143">
        <f>Sheet12!J23</f>
        <v>0.29166666666668561</v>
      </c>
      <c r="I16" s="144">
        <f t="shared" si="1"/>
        <v>0.83333333333334281</v>
      </c>
      <c r="J16" s="143">
        <v>0.15972222222222224</v>
      </c>
      <c r="K16" s="143">
        <v>0</v>
      </c>
      <c r="L16" s="143">
        <v>0</v>
      </c>
      <c r="M16" s="143">
        <v>0</v>
      </c>
      <c r="N16" s="143">
        <v>0</v>
      </c>
      <c r="O16" s="144">
        <f t="shared" si="2"/>
        <v>0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4"/>
        <v>0</v>
      </c>
      <c r="U16" s="143">
        <f>'stream I '!U16</f>
        <v>6.9444444444444441E-3</v>
      </c>
      <c r="V16" s="147">
        <f t="shared" si="3"/>
        <v>1.0000000000000095</v>
      </c>
      <c r="W16" s="131" t="s">
        <v>107</v>
      </c>
    </row>
    <row r="17" spans="1:23" ht="15.75" x14ac:dyDescent="0.25">
      <c r="A17" s="142">
        <v>43964</v>
      </c>
      <c r="B17" s="143">
        <f>Sheet13!D23</f>
        <v>0.29166666666665719</v>
      </c>
      <c r="C17" s="143">
        <f>Sheet13!E23</f>
        <v>206.58333333333334</v>
      </c>
      <c r="D17" s="143">
        <f>Sheet13!F23</f>
        <v>206.875</v>
      </c>
      <c r="E17" s="143">
        <f>Sheet13!G23</f>
        <v>0.29166666666665719</v>
      </c>
      <c r="F17" s="143">
        <f>Sheet13!H23</f>
        <v>206.93055555555554</v>
      </c>
      <c r="G17" s="143">
        <f>Sheet13!I23</f>
        <v>207.20833333333334</v>
      </c>
      <c r="H17" s="143">
        <f>Sheet13!J23</f>
        <v>0.27777777777779988</v>
      </c>
      <c r="I17" s="144">
        <f t="shared" si="1"/>
        <v>0.86111111111111427</v>
      </c>
      <c r="J17" s="143">
        <v>0.1388888888888889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2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4"/>
        <v>0</v>
      </c>
      <c r="U17" s="143">
        <f>'stream I '!U17</f>
        <v>0</v>
      </c>
      <c r="V17" s="147">
        <f t="shared" si="3"/>
        <v>1.0000000000000031</v>
      </c>
      <c r="W17" s="131" t="s">
        <v>107</v>
      </c>
    </row>
    <row r="18" spans="1:23" ht="15.75" x14ac:dyDescent="0.25">
      <c r="A18" s="142">
        <v>43965</v>
      </c>
      <c r="B18" s="143">
        <f>Sheet14!D23</f>
        <v>0.25</v>
      </c>
      <c r="C18" s="143">
        <f>Sheet14!E23</f>
        <v>206.58333333333334</v>
      </c>
      <c r="D18" s="143">
        <f>Sheet14!F23</f>
        <v>206.875</v>
      </c>
      <c r="E18" s="143">
        <f>Sheet14!G23</f>
        <v>0.29166666666665719</v>
      </c>
      <c r="F18" s="143">
        <f>Sheet14!H23</f>
        <v>206.90972222222223</v>
      </c>
      <c r="G18" s="143">
        <f>Sheet14!I23</f>
        <v>207.20833333333334</v>
      </c>
      <c r="H18" s="143">
        <f>Sheet14!J23</f>
        <v>0.29861111111111427</v>
      </c>
      <c r="I18" s="144">
        <f t="shared" si="1"/>
        <v>0.84027777777777146</v>
      </c>
      <c r="J18" s="143">
        <v>0.15972222222222224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2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4"/>
        <v>0</v>
      </c>
      <c r="U18" s="143">
        <f>'stream I '!U18</f>
        <v>0</v>
      </c>
      <c r="V18" s="147">
        <f t="shared" si="3"/>
        <v>0.99999999999999367</v>
      </c>
      <c r="W18" s="131" t="s">
        <v>107</v>
      </c>
    </row>
    <row r="19" spans="1:23" ht="15.75" x14ac:dyDescent="0.25">
      <c r="A19" s="142">
        <v>43966</v>
      </c>
      <c r="B19" s="143">
        <f>Sheet14!D23</f>
        <v>0.25</v>
      </c>
      <c r="C19" s="143">
        <f>Sheet14!E23</f>
        <v>206.58333333333334</v>
      </c>
      <c r="D19" s="143">
        <f>Sheet14!F23</f>
        <v>206.875</v>
      </c>
      <c r="E19" s="143">
        <f>Sheet14!G23</f>
        <v>0.29166666666665719</v>
      </c>
      <c r="F19" s="143">
        <f>Sheet14!H23</f>
        <v>206.90972222222223</v>
      </c>
      <c r="G19" s="143">
        <f>Sheet14!I23</f>
        <v>207.20833333333334</v>
      </c>
      <c r="H19" s="143">
        <f>Sheet14!J23</f>
        <v>0.29861111111111427</v>
      </c>
      <c r="I19" s="144">
        <f t="shared" si="1"/>
        <v>0.84027777777777146</v>
      </c>
      <c r="J19" s="143">
        <v>0.15972222222222224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2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4"/>
        <v>0</v>
      </c>
      <c r="U19" s="143">
        <f>'stream I '!U19</f>
        <v>0</v>
      </c>
      <c r="V19" s="147">
        <f t="shared" si="3"/>
        <v>0.99999999999999367</v>
      </c>
      <c r="W19" s="131"/>
    </row>
    <row r="20" spans="1:23" ht="15.75" x14ac:dyDescent="0.25">
      <c r="A20" s="142">
        <v>43967</v>
      </c>
      <c r="B20" s="143">
        <f>Sheet16!D23</f>
        <v>0.29166666666665719</v>
      </c>
      <c r="C20" s="143">
        <f>Sheet16!E23</f>
        <v>206.59027777777777</v>
      </c>
      <c r="D20" s="143">
        <f>Sheet16!F23</f>
        <v>206.875</v>
      </c>
      <c r="E20" s="143">
        <f>Sheet16!G23</f>
        <v>0.28472222222222854</v>
      </c>
      <c r="F20" s="143">
        <f>Sheet16!H23</f>
        <v>206.94444444444446</v>
      </c>
      <c r="G20" s="143">
        <f>Sheet16!I23</f>
        <v>207.20833333333334</v>
      </c>
      <c r="H20" s="143">
        <f>Sheet16!J23</f>
        <v>0.26388888888888573</v>
      </c>
      <c r="I20" s="144">
        <f t="shared" si="1"/>
        <v>0.84027777777777146</v>
      </c>
      <c r="J20" s="143">
        <v>0.14583333333333334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2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4"/>
        <v>0</v>
      </c>
      <c r="U20" s="143">
        <f>'stream I '!U20</f>
        <v>1.3888888888888888E-2</v>
      </c>
      <c r="V20" s="147">
        <f t="shared" si="3"/>
        <v>0.99999999999999367</v>
      </c>
      <c r="W20" s="131"/>
    </row>
    <row r="21" spans="1:23" ht="15.75" x14ac:dyDescent="0.25">
      <c r="A21" s="142">
        <v>43968</v>
      </c>
      <c r="B21" s="143">
        <f>Sheet17!D23</f>
        <v>0.25347222222220012</v>
      </c>
      <c r="C21" s="143">
        <f>Sheet17!E23</f>
        <v>206.58333333333334</v>
      </c>
      <c r="D21" s="143">
        <f>Sheet17!F23</f>
        <v>206.875</v>
      </c>
      <c r="E21" s="143">
        <f>Sheet17!G23</f>
        <v>0.29166666666665719</v>
      </c>
      <c r="F21" s="143">
        <f>Sheet17!H23</f>
        <v>207.14583333333334</v>
      </c>
      <c r="G21" s="143">
        <f>Sheet17!I23</f>
        <v>207.20833333333334</v>
      </c>
      <c r="H21" s="143">
        <f>Sheet17!J23</f>
        <v>6.25E-2</v>
      </c>
      <c r="I21" s="144">
        <f t="shared" si="1"/>
        <v>0.60763888888885731</v>
      </c>
      <c r="J21" s="143">
        <v>0.27083333333333331</v>
      </c>
      <c r="K21" s="143">
        <v>0.12152777777777778</v>
      </c>
      <c r="L21" s="143">
        <v>0</v>
      </c>
      <c r="M21" s="143">
        <v>0</v>
      </c>
      <c r="N21" s="143">
        <v>0</v>
      </c>
      <c r="O21" s="144">
        <f t="shared" si="2"/>
        <v>0.12152777777777778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4"/>
        <v>0</v>
      </c>
      <c r="U21" s="143">
        <f>'stream I '!U21</f>
        <v>0</v>
      </c>
      <c r="V21" s="147">
        <f t="shared" si="3"/>
        <v>0.99999999999996847</v>
      </c>
      <c r="W21" s="131"/>
    </row>
    <row r="22" spans="1:23" ht="15.75" x14ac:dyDescent="0.25">
      <c r="A22" s="142">
        <v>43969</v>
      </c>
      <c r="B22" s="143">
        <f>Sheet18!D23</f>
        <v>0.29166666666665719</v>
      </c>
      <c r="C22" s="143">
        <f>Sheet18!E23</f>
        <v>206.58680555555554</v>
      </c>
      <c r="D22" s="143">
        <f>Sheet18!F23</f>
        <v>206.875</v>
      </c>
      <c r="E22" s="143">
        <f>Sheet18!G23</f>
        <v>0.28819444444445708</v>
      </c>
      <c r="F22" s="143">
        <f>Sheet18!H23</f>
        <v>206.90625</v>
      </c>
      <c r="G22" s="143">
        <f>Sheet18!I23</f>
        <v>207.20833333333334</v>
      </c>
      <c r="H22" s="143">
        <f>Sheet18!J23</f>
        <v>0.30208333333334281</v>
      </c>
      <c r="I22" s="144">
        <f t="shared" si="1"/>
        <v>0.88194444444445708</v>
      </c>
      <c r="J22" s="143">
        <v>0.11805555555555557</v>
      </c>
      <c r="K22" s="143">
        <v>0</v>
      </c>
      <c r="L22" s="143">
        <v>0</v>
      </c>
      <c r="M22" s="143">
        <v>0</v>
      </c>
      <c r="N22" s="143">
        <v>0</v>
      </c>
      <c r="O22" s="144">
        <f t="shared" si="2"/>
        <v>0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4"/>
        <v>0</v>
      </c>
      <c r="U22" s="143">
        <f>'stream I '!U22</f>
        <v>0</v>
      </c>
      <c r="V22" s="147">
        <f t="shared" si="3"/>
        <v>1.0000000000000127</v>
      </c>
      <c r="W22" s="148"/>
    </row>
    <row r="23" spans="1:23" ht="15.75" x14ac:dyDescent="0.25">
      <c r="A23" s="142">
        <v>43970</v>
      </c>
      <c r="B23" s="143">
        <f>Sheet18!D23</f>
        <v>0.29166666666665719</v>
      </c>
      <c r="C23" s="143">
        <f>Sheet18!E23</f>
        <v>206.58680555555554</v>
      </c>
      <c r="D23" s="143">
        <f>Sheet18!F23</f>
        <v>206.875</v>
      </c>
      <c r="E23" s="143">
        <f>Sheet18!G23</f>
        <v>0.28819444444445708</v>
      </c>
      <c r="F23" s="143">
        <f>Sheet18!H23</f>
        <v>206.90625</v>
      </c>
      <c r="G23" s="143">
        <f>Sheet18!I23</f>
        <v>207.20833333333334</v>
      </c>
      <c r="H23" s="143">
        <f>Sheet18!J23</f>
        <v>0.30208333333334281</v>
      </c>
      <c r="I23" s="144">
        <f t="shared" si="1"/>
        <v>0.88194444444445708</v>
      </c>
      <c r="J23" s="143">
        <v>0.11805555555555557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2"/>
        <v>0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4"/>
        <v>0</v>
      </c>
      <c r="U23" s="143">
        <f>'stream I '!U23</f>
        <v>0</v>
      </c>
      <c r="V23" s="147">
        <f t="shared" si="3"/>
        <v>1.0000000000000127</v>
      </c>
      <c r="W23" s="131"/>
    </row>
    <row r="24" spans="1:23" ht="15.75" customHeight="1" x14ac:dyDescent="0.25">
      <c r="A24" s="142">
        <v>43971</v>
      </c>
      <c r="B24" s="143">
        <f>Sheet20!D23</f>
        <v>0.25</v>
      </c>
      <c r="C24" s="143">
        <f>Sheet20!E23</f>
        <v>206.58333333333334</v>
      </c>
      <c r="D24" s="143">
        <f>Sheet20!F23</f>
        <v>206.875</v>
      </c>
      <c r="E24" s="143">
        <f>Sheet20!G23</f>
        <v>0.29166666666665719</v>
      </c>
      <c r="F24" s="143">
        <f>Sheet20!H23</f>
        <v>206.90972222222223</v>
      </c>
      <c r="G24" s="143">
        <f>Sheet20!I23</f>
        <v>207.20833333333334</v>
      </c>
      <c r="H24" s="143">
        <f>Sheet20!J23</f>
        <v>0.29861111111111427</v>
      </c>
      <c r="I24" s="144">
        <f t="shared" si="1"/>
        <v>0.84027777777777146</v>
      </c>
      <c r="J24" s="143">
        <v>0.15972222222222224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2"/>
        <v>0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4"/>
        <v>0</v>
      </c>
      <c r="U24" s="143">
        <f>'stream I '!U24</f>
        <v>0</v>
      </c>
      <c r="V24" s="147">
        <f t="shared" si="3"/>
        <v>0.99999999999999367</v>
      </c>
      <c r="W24" s="131" t="s">
        <v>107</v>
      </c>
    </row>
    <row r="25" spans="1:23" ht="15.75" x14ac:dyDescent="0.25">
      <c r="A25" s="142">
        <v>43972</v>
      </c>
      <c r="B25" s="143">
        <f>Sheet21!D23</f>
        <v>0.27083333333331439</v>
      </c>
      <c r="C25" s="143">
        <f>Sheet21!E23</f>
        <v>206.59722222222223</v>
      </c>
      <c r="D25" s="143">
        <f>Sheet21!F23</f>
        <v>206.875</v>
      </c>
      <c r="E25" s="143">
        <f>Sheet21!G23</f>
        <v>0.27777777777777146</v>
      </c>
      <c r="F25" s="143">
        <f>Sheet21!H23</f>
        <v>206.91319444444446</v>
      </c>
      <c r="G25" s="143">
        <f>Sheet21!I23</f>
        <v>207.20833333333334</v>
      </c>
      <c r="H25" s="143">
        <f>Sheet21!J23</f>
        <v>0.29513888888888573</v>
      </c>
      <c r="I25" s="144">
        <f t="shared" si="1"/>
        <v>0.84374999999997158</v>
      </c>
      <c r="J25" s="143">
        <v>0.15625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2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4"/>
        <v>0</v>
      </c>
      <c r="U25" s="143">
        <f>'stream I '!U25</f>
        <v>0</v>
      </c>
      <c r="V25" s="147">
        <f t="shared" si="3"/>
        <v>0.99999999999997158</v>
      </c>
      <c r="W25" s="153"/>
    </row>
    <row r="26" spans="1:23" ht="15.75" x14ac:dyDescent="0.25">
      <c r="A26" s="142">
        <v>43973</v>
      </c>
      <c r="B26" s="143">
        <f>Sheet22!D23</f>
        <v>0.29166666666665719</v>
      </c>
      <c r="C26" s="143">
        <f>Sheet22!E23</f>
        <v>206.58333333333334</v>
      </c>
      <c r="D26" s="143">
        <f>Sheet22!F23</f>
        <v>206.875</v>
      </c>
      <c r="E26" s="143">
        <f>Sheet22!G23</f>
        <v>0.29166666666665719</v>
      </c>
      <c r="F26" s="143">
        <f>Sheet22!H23</f>
        <v>206.91319444444446</v>
      </c>
      <c r="G26" s="143">
        <f>Sheet22!I23</f>
        <v>207.20833333333334</v>
      </c>
      <c r="H26" s="143">
        <f>Sheet22!J23</f>
        <v>0.29513888888888573</v>
      </c>
      <c r="I26" s="144">
        <f t="shared" si="1"/>
        <v>0.87847222222220012</v>
      </c>
      <c r="J26" s="143">
        <v>0.12152777777777778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2"/>
        <v>0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4"/>
        <v>0</v>
      </c>
      <c r="U26" s="143">
        <f>'stream I '!U26</f>
        <v>0</v>
      </c>
      <c r="V26" s="147">
        <f t="shared" si="3"/>
        <v>0.99999999999997791</v>
      </c>
      <c r="W26" s="131"/>
    </row>
    <row r="27" spans="1:23" ht="15.75" x14ac:dyDescent="0.25">
      <c r="A27" s="142">
        <v>43974</v>
      </c>
      <c r="B27" s="143">
        <f>Sheet23!D23</f>
        <v>0.25347222222220012</v>
      </c>
      <c r="C27" s="143">
        <f>Sheet23!E23</f>
        <v>206.58333333333334</v>
      </c>
      <c r="D27" s="143">
        <f>Sheet23!F23</f>
        <v>206.875</v>
      </c>
      <c r="E27" s="143">
        <f>Sheet23!G23</f>
        <v>0.29166666666665719</v>
      </c>
      <c r="F27" s="143">
        <f>Sheet23!H23</f>
        <v>206.91666666666666</v>
      </c>
      <c r="G27" s="143">
        <f>Sheet23!I23</f>
        <v>207.20833333333334</v>
      </c>
      <c r="H27" s="143">
        <f>Sheet23!J23</f>
        <v>0.29166666666668561</v>
      </c>
      <c r="I27" s="144">
        <f t="shared" si="1"/>
        <v>0.83680555555554292</v>
      </c>
      <c r="J27" s="143">
        <v>0.16319444444444445</v>
      </c>
      <c r="K27" s="143">
        <v>0</v>
      </c>
      <c r="L27" s="143">
        <v>0</v>
      </c>
      <c r="M27" s="143">
        <v>0</v>
      </c>
      <c r="N27" s="143">
        <v>0</v>
      </c>
      <c r="O27" s="144">
        <f t="shared" si="2"/>
        <v>0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4"/>
        <v>0</v>
      </c>
      <c r="U27" s="143">
        <f>'stream I '!U27</f>
        <v>0</v>
      </c>
      <c r="V27" s="147">
        <f t="shared" si="3"/>
        <v>0.99999999999998734</v>
      </c>
      <c r="W27" s="131"/>
    </row>
    <row r="28" spans="1:23" ht="15.75" x14ac:dyDescent="0.25">
      <c r="A28" s="142">
        <v>43975</v>
      </c>
      <c r="B28" s="143">
        <f>Sheet24!D23</f>
        <v>0.22916666666668561</v>
      </c>
      <c r="C28" s="143">
        <f>Sheet24!E23</f>
        <v>206.58333333333334</v>
      </c>
      <c r="D28" s="143">
        <f>Sheet24!F23</f>
        <v>206.875</v>
      </c>
      <c r="E28" s="143">
        <f>Sheet24!G23</f>
        <v>0.29166666666665719</v>
      </c>
      <c r="F28" s="143">
        <f>Sheet24!H23</f>
        <v>206.91666666666666</v>
      </c>
      <c r="G28" s="143">
        <f>Sheet24!I23</f>
        <v>207.20833333333334</v>
      </c>
      <c r="H28" s="143">
        <f>Sheet24!J23</f>
        <v>0.29166666666668561</v>
      </c>
      <c r="I28" s="144">
        <f t="shared" si="1"/>
        <v>0.81250000000002842</v>
      </c>
      <c r="J28" s="143">
        <v>0.1875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2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4"/>
        <v>0</v>
      </c>
      <c r="U28" s="143">
        <f>'stream I '!U28</f>
        <v>0</v>
      </c>
      <c r="V28" s="147">
        <f t="shared" si="3"/>
        <v>1.0000000000000284</v>
      </c>
      <c r="W28" s="131" t="s">
        <v>107</v>
      </c>
    </row>
    <row r="29" spans="1:23" ht="15.75" x14ac:dyDescent="0.25">
      <c r="A29" s="142">
        <v>43976</v>
      </c>
      <c r="B29" s="143">
        <f>Sheet25!D23</f>
        <v>0.25</v>
      </c>
      <c r="C29" s="143">
        <f>Sheet25!E23</f>
        <v>206.57638888888889</v>
      </c>
      <c r="D29" s="143">
        <f>Sheet25!F23</f>
        <v>206.875</v>
      </c>
      <c r="E29" s="143">
        <f>Sheet25!G23</f>
        <v>0.29861111111111427</v>
      </c>
      <c r="F29" s="143">
        <f>Sheet25!H23</f>
        <v>206.91666666666666</v>
      </c>
      <c r="G29" s="143">
        <f>Sheet25!I23</f>
        <v>207.20833333333334</v>
      </c>
      <c r="H29" s="143">
        <f>Sheet25!J23</f>
        <v>0.29166666666668561</v>
      </c>
      <c r="I29" s="144">
        <f t="shared" si="1"/>
        <v>0.84027777777779988</v>
      </c>
      <c r="J29" s="143">
        <v>0.15972222222222224</v>
      </c>
      <c r="K29" s="143">
        <v>0</v>
      </c>
      <c r="L29" s="143">
        <v>0</v>
      </c>
      <c r="M29" s="143">
        <v>0</v>
      </c>
      <c r="N29" s="143">
        <v>0</v>
      </c>
      <c r="O29" s="144">
        <f t="shared" si="2"/>
        <v>0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4"/>
        <v>0</v>
      </c>
      <c r="U29" s="143">
        <f>'stream I '!U29</f>
        <v>0</v>
      </c>
      <c r="V29" s="147">
        <f t="shared" si="3"/>
        <v>1.0000000000000222</v>
      </c>
      <c r="W29" s="150"/>
    </row>
    <row r="30" spans="1:23" ht="15.75" x14ac:dyDescent="0.25">
      <c r="A30" s="142">
        <v>43977</v>
      </c>
      <c r="B30" s="143">
        <f>Sheet26!D23</f>
        <v>0.23958333333331439</v>
      </c>
      <c r="C30" s="143">
        <f>Sheet26!E23</f>
        <v>206.57986111111111</v>
      </c>
      <c r="D30" s="143">
        <f>Sheet26!F23</f>
        <v>206.875</v>
      </c>
      <c r="E30" s="143">
        <f>Sheet26!G23</f>
        <v>0.29513888888888573</v>
      </c>
      <c r="F30" s="143">
        <f>Sheet26!H23</f>
        <v>206.91666666666666</v>
      </c>
      <c r="G30" s="143">
        <f>Sheet26!I23</f>
        <v>207.20833333333334</v>
      </c>
      <c r="H30" s="143">
        <f>Sheet26!J23</f>
        <v>0.29166666666668561</v>
      </c>
      <c r="I30" s="144">
        <f t="shared" si="1"/>
        <v>0.82638888888888573</v>
      </c>
      <c r="J30" s="143">
        <v>0.17361111111111113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2"/>
        <v>0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4"/>
        <v>0</v>
      </c>
      <c r="U30" s="143">
        <f>'stream I '!U30</f>
        <v>0</v>
      </c>
      <c r="V30" s="147">
        <f t="shared" si="3"/>
        <v>0.99999999999999689</v>
      </c>
      <c r="W30" s="131" t="s">
        <v>107</v>
      </c>
    </row>
    <row r="31" spans="1:23" ht="15.75" x14ac:dyDescent="0.25">
      <c r="A31" s="142">
        <v>43978</v>
      </c>
      <c r="B31" s="143">
        <f>Sheet27!D23</f>
        <v>0.29166666666665719</v>
      </c>
      <c r="C31" s="143">
        <f>Sheet27!E23</f>
        <v>206.60416666666666</v>
      </c>
      <c r="D31" s="143">
        <f>Sheet27!F23</f>
        <v>206.875</v>
      </c>
      <c r="E31" s="143">
        <f>Sheet27!G23</f>
        <v>0.27083333333334281</v>
      </c>
      <c r="F31" s="143">
        <f>Sheet27!H23</f>
        <v>206.91666666666666</v>
      </c>
      <c r="G31" s="143">
        <f>Sheet27!I23</f>
        <v>207.20833333333334</v>
      </c>
      <c r="H31" s="143">
        <f>Sheet27!J23</f>
        <v>0.29166666666668561</v>
      </c>
      <c r="I31" s="144">
        <f t="shared" si="1"/>
        <v>0.85416666666668561</v>
      </c>
      <c r="J31" s="143">
        <v>0.14583333333333334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2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4"/>
        <v>0</v>
      </c>
      <c r="U31" s="143">
        <f>'stream I '!U31</f>
        <v>0</v>
      </c>
      <c r="V31" s="147">
        <f t="shared" si="3"/>
        <v>1.0000000000000189</v>
      </c>
      <c r="W31" s="131" t="s">
        <v>107</v>
      </c>
    </row>
    <row r="32" spans="1:23" ht="30" x14ac:dyDescent="0.25">
      <c r="A32" s="142">
        <v>43979</v>
      </c>
      <c r="B32" s="143">
        <f>Sheet28!D23</f>
        <v>0.15972222222220012</v>
      </c>
      <c r="C32" s="143">
        <f>Sheet28!E23</f>
        <v>206.71875</v>
      </c>
      <c r="D32" s="143">
        <f>Sheet28!F23</f>
        <v>206.875</v>
      </c>
      <c r="E32" s="143">
        <f>Sheet28!G23</f>
        <v>0.15625</v>
      </c>
      <c r="F32" s="143">
        <f>Sheet28!H23</f>
        <v>206.91666666666666</v>
      </c>
      <c r="G32" s="143">
        <f>Sheet28!I23</f>
        <v>207.20833333333334</v>
      </c>
      <c r="H32" s="143">
        <f>Sheet28!J23</f>
        <v>0.29166666666668561</v>
      </c>
      <c r="I32" s="144">
        <f t="shared" si="1"/>
        <v>0.60763888888888573</v>
      </c>
      <c r="J32" s="143">
        <v>0.20486111111111113</v>
      </c>
      <c r="K32" s="143">
        <v>0.1875</v>
      </c>
      <c r="L32" s="143">
        <v>0</v>
      </c>
      <c r="M32" s="143">
        <v>0</v>
      </c>
      <c r="N32" s="143">
        <v>0</v>
      </c>
      <c r="O32" s="144">
        <f t="shared" si="2"/>
        <v>0.1875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4"/>
        <v>0</v>
      </c>
      <c r="U32" s="143">
        <f>'stream I '!U32</f>
        <v>0</v>
      </c>
      <c r="V32" s="147">
        <f t="shared" si="3"/>
        <v>0.99999999999999689</v>
      </c>
      <c r="W32" s="131" t="s">
        <v>389</v>
      </c>
    </row>
    <row r="33" spans="1:23" ht="15.75" x14ac:dyDescent="0.25">
      <c r="A33" s="142">
        <v>43980</v>
      </c>
      <c r="B33" s="143">
        <f>Sheet29!D23</f>
        <v>0.25</v>
      </c>
      <c r="C33" s="143">
        <f>Sheet29!E23</f>
        <v>206.61458333333334</v>
      </c>
      <c r="D33" s="143">
        <f>Sheet29!F23</f>
        <v>206.875</v>
      </c>
      <c r="E33" s="143">
        <f>Sheet29!G23</f>
        <v>0.26041666666665719</v>
      </c>
      <c r="F33" s="143">
        <f>Sheet29!H23</f>
        <v>206.91666666666666</v>
      </c>
      <c r="G33" s="143">
        <f>Sheet29!I23</f>
        <v>207.20833333333334</v>
      </c>
      <c r="H33" s="143">
        <f>Sheet29!J23</f>
        <v>0.29166666666668561</v>
      </c>
      <c r="I33" s="144">
        <f t="shared" si="1"/>
        <v>0.80208333333334281</v>
      </c>
      <c r="J33" s="143">
        <v>0.19791666666666666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2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4"/>
        <v>0</v>
      </c>
      <c r="U33" s="143">
        <f>'stream I '!U33</f>
        <v>0</v>
      </c>
      <c r="V33" s="147">
        <f t="shared" si="3"/>
        <v>1.0000000000000095</v>
      </c>
      <c r="W33" s="131"/>
    </row>
    <row r="34" spans="1:23" ht="15.75" x14ac:dyDescent="0.25">
      <c r="A34" s="142">
        <v>43981</v>
      </c>
      <c r="B34" s="143">
        <f>'Sheet 30'!D23</f>
        <v>0.27083333333331439</v>
      </c>
      <c r="C34" s="143">
        <f>Sheet29!E24</f>
        <v>0</v>
      </c>
      <c r="D34" s="143">
        <f>Sheet29!F24</f>
        <v>0</v>
      </c>
      <c r="E34" s="143">
        <f>'Sheet 30'!G23</f>
        <v>0.125</v>
      </c>
      <c r="F34" s="143">
        <f>Sheet29!H24</f>
        <v>0</v>
      </c>
      <c r="G34" s="143">
        <f>Sheet29!I24</f>
        <v>0</v>
      </c>
      <c r="H34" s="143">
        <f>'Sheet 30'!J23</f>
        <v>0.22916666666668561</v>
      </c>
      <c r="I34" s="144">
        <f t="shared" ref="I34" si="5">B34+E34+H34</f>
        <v>0.625</v>
      </c>
      <c r="J34" s="143">
        <v>0.27083333333333331</v>
      </c>
      <c r="K34" s="143">
        <v>0</v>
      </c>
      <c r="L34" s="143">
        <v>0</v>
      </c>
      <c r="M34" s="143">
        <v>0.10416666666666667</v>
      </c>
      <c r="N34" s="143">
        <v>0</v>
      </c>
      <c r="O34" s="144">
        <f t="shared" ref="O34" si="6">SUM(K34:N34)</f>
        <v>0.10416666666666667</v>
      </c>
      <c r="P34" s="143">
        <v>0</v>
      </c>
      <c r="Q34" s="143">
        <v>0</v>
      </c>
      <c r="R34" s="143">
        <v>0</v>
      </c>
      <c r="S34" s="143">
        <v>0</v>
      </c>
      <c r="T34" s="144">
        <f t="shared" ref="T34" si="7">SUM(P34:S34)</f>
        <v>0</v>
      </c>
      <c r="U34" s="143">
        <f>'stream I '!U34</f>
        <v>0</v>
      </c>
      <c r="V34" s="147">
        <f t="shared" si="3"/>
        <v>1</v>
      </c>
      <c r="W34" s="131" t="s">
        <v>390</v>
      </c>
    </row>
    <row r="35" spans="1:23" ht="15.75" x14ac:dyDescent="0.25">
      <c r="A35" s="142">
        <v>43982</v>
      </c>
      <c r="B35" s="143">
        <f>'Sheet 31'!D23</f>
        <v>0.25</v>
      </c>
      <c r="C35" s="143">
        <f>Sheet29!E25</f>
        <v>0</v>
      </c>
      <c r="D35" s="143">
        <f>Sheet29!F25</f>
        <v>0</v>
      </c>
      <c r="E35" s="143">
        <f>'Sheet 31'!G23</f>
        <v>0.26041666666665719</v>
      </c>
      <c r="F35" s="143">
        <f>Sheet29!H25</f>
        <v>0</v>
      </c>
      <c r="G35" s="143">
        <f>Sheet29!I25</f>
        <v>0</v>
      </c>
      <c r="H35" s="143">
        <f>'Sheet 31'!J23</f>
        <v>0.22916666666668561</v>
      </c>
      <c r="I35" s="144">
        <f t="shared" ref="I35" si="8">B35+E35+H35</f>
        <v>0.73958333333334281</v>
      </c>
      <c r="J35" s="143">
        <v>0.1875</v>
      </c>
      <c r="K35" s="143">
        <v>7.2916666666666671E-2</v>
      </c>
      <c r="L35" s="143">
        <v>0</v>
      </c>
      <c r="M35" s="143">
        <v>0</v>
      </c>
      <c r="N35" s="143">
        <v>0</v>
      </c>
      <c r="O35" s="144">
        <f t="shared" ref="O35" si="9">SUM(K35:N35)</f>
        <v>7.2916666666666671E-2</v>
      </c>
      <c r="P35" s="143">
        <v>0</v>
      </c>
      <c r="Q35" s="143">
        <v>0</v>
      </c>
      <c r="R35" s="143">
        <v>0</v>
      </c>
      <c r="S35" s="143">
        <v>0</v>
      </c>
      <c r="T35" s="144">
        <f t="shared" ref="T35" si="10">SUM(P35:S35)</f>
        <v>0</v>
      </c>
      <c r="U35" s="143">
        <f>'stream I '!U35</f>
        <v>0</v>
      </c>
      <c r="V35" s="147">
        <f t="shared" si="3"/>
        <v>1.0000000000000093</v>
      </c>
      <c r="W35" s="131"/>
    </row>
    <row r="36" spans="1:23" ht="15.75" x14ac:dyDescent="0.25">
      <c r="A36" s="132" t="s">
        <v>108</v>
      </c>
      <c r="B36" s="130" t="s">
        <v>13</v>
      </c>
      <c r="C36" s="130"/>
      <c r="D36" s="130"/>
      <c r="E36" s="130"/>
      <c r="F36" s="130"/>
      <c r="G36" s="130"/>
      <c r="H36" s="130" t="s">
        <v>13</v>
      </c>
      <c r="I36" s="152">
        <f>SUM(I5:I35)</f>
        <v>24.829861111111114</v>
      </c>
      <c r="J36" s="152">
        <f t="shared" ref="J36:U36" si="11">SUM(J5:J35)</f>
        <v>5.3194444444444438</v>
      </c>
      <c r="K36" s="152">
        <f t="shared" si="11"/>
        <v>0.38194444444444448</v>
      </c>
      <c r="L36" s="152">
        <f t="shared" si="11"/>
        <v>0</v>
      </c>
      <c r="M36" s="152">
        <f t="shared" si="11"/>
        <v>0.22916666666666669</v>
      </c>
      <c r="N36" s="152">
        <f t="shared" si="11"/>
        <v>0</v>
      </c>
      <c r="O36" s="152">
        <f t="shared" si="11"/>
        <v>0.61111111111111105</v>
      </c>
      <c r="P36" s="152">
        <f t="shared" si="11"/>
        <v>0.15972222222222224</v>
      </c>
      <c r="Q36" s="152">
        <f t="shared" si="11"/>
        <v>0</v>
      </c>
      <c r="R36" s="152">
        <f t="shared" si="11"/>
        <v>0</v>
      </c>
      <c r="S36" s="152">
        <f t="shared" si="11"/>
        <v>0</v>
      </c>
      <c r="T36" s="152">
        <f t="shared" si="11"/>
        <v>0.15972222222222224</v>
      </c>
      <c r="U36" s="152">
        <f t="shared" si="11"/>
        <v>7.9861111111111105E-2</v>
      </c>
      <c r="V36" s="211">
        <f>I36+J36+O36+T36+U36</f>
        <v>31</v>
      </c>
      <c r="W36" s="89"/>
    </row>
    <row r="37" spans="1:23" ht="15.75" x14ac:dyDescent="0.25">
      <c r="B37" s="133"/>
      <c r="C37" s="133"/>
      <c r="D37" s="133"/>
      <c r="E37" s="133"/>
      <c r="F37" s="133"/>
      <c r="G37" s="133"/>
      <c r="H37" s="133"/>
      <c r="I37" s="134"/>
      <c r="J37" s="135"/>
      <c r="K37" s="133"/>
      <c r="L37" s="133"/>
      <c r="M37" s="133"/>
      <c r="N37" s="133"/>
      <c r="O37" s="133"/>
      <c r="P37" s="133"/>
      <c r="Q37" s="133"/>
      <c r="R37" s="133"/>
      <c r="S37" s="133"/>
      <c r="T37" s="136"/>
      <c r="U37" s="136"/>
      <c r="V37" s="136"/>
    </row>
    <row r="38" spans="1:23" x14ac:dyDescent="0.25">
      <c r="B38" s="133"/>
      <c r="C38" s="133"/>
      <c r="D38" s="133"/>
      <c r="E38" s="133"/>
      <c r="F38" s="133"/>
      <c r="G38" s="133"/>
      <c r="H38" s="133"/>
      <c r="I38" s="134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3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7"/>
      <c r="N39" s="133"/>
      <c r="O39" s="133"/>
      <c r="P39" s="133"/>
      <c r="Q39" s="133"/>
      <c r="R39" s="133" t="s">
        <v>177</v>
      </c>
      <c r="S39" s="133"/>
      <c r="T39" s="133"/>
      <c r="U39" s="133"/>
      <c r="V39" s="133"/>
    </row>
    <row r="40" spans="1:23" x14ac:dyDescent="0.25">
      <c r="B40" s="133"/>
      <c r="C40" s="133"/>
      <c r="D40" s="133"/>
      <c r="E40" s="133"/>
      <c r="F40" s="133"/>
      <c r="G40" s="133"/>
      <c r="H40" s="133"/>
      <c r="I40" s="138"/>
      <c r="J40" s="138"/>
      <c r="K40" s="138"/>
      <c r="L40" s="138"/>
      <c r="M40" s="138"/>
      <c r="N40" s="138"/>
      <c r="O40" s="139"/>
      <c r="P40" s="138"/>
      <c r="Q40" s="138"/>
      <c r="R40" s="138" t="s">
        <v>109</v>
      </c>
      <c r="S40" s="138"/>
      <c r="T40" s="133"/>
      <c r="U40" s="133"/>
      <c r="V40" s="133"/>
    </row>
    <row r="41" spans="1:23" ht="15.75" x14ac:dyDescent="0.25">
      <c r="A41" s="140" t="s">
        <v>110</v>
      </c>
      <c r="B41" s="133"/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7"/>
      <c r="N41" s="133"/>
      <c r="O41" s="139"/>
      <c r="P41" s="133"/>
      <c r="Q41" s="133"/>
      <c r="R41" s="133"/>
      <c r="S41" s="133"/>
      <c r="T41" s="133"/>
      <c r="U41" s="133"/>
      <c r="V41" s="133"/>
    </row>
    <row r="42" spans="1:23" ht="15.75" x14ac:dyDescent="0.25">
      <c r="A42" s="140" t="s">
        <v>111</v>
      </c>
      <c r="B42" s="133"/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  <c r="V42" s="133"/>
    </row>
    <row r="43" spans="1:23" ht="15.75" x14ac:dyDescent="0.25">
      <c r="A43" s="140">
        <v>2</v>
      </c>
      <c r="B43" s="133" t="s">
        <v>178</v>
      </c>
      <c r="C43" s="133"/>
      <c r="D43" s="133"/>
      <c r="E43" s="133"/>
      <c r="F43" s="133"/>
      <c r="G43" s="133"/>
      <c r="H43" s="133"/>
      <c r="I43" s="134"/>
      <c r="J43" s="133"/>
      <c r="K43" s="133"/>
      <c r="L43" s="133"/>
      <c r="M43" s="133"/>
      <c r="N43" s="133"/>
      <c r="O43" s="139"/>
      <c r="P43" s="133"/>
      <c r="Q43" s="133"/>
      <c r="R43" s="133"/>
      <c r="S43" s="133"/>
      <c r="T43" s="133"/>
      <c r="U43" s="133"/>
      <c r="V43" s="133"/>
    </row>
    <row r="44" spans="1:23" ht="15.75" x14ac:dyDescent="0.25">
      <c r="A44" s="140">
        <v>3</v>
      </c>
      <c r="B44" s="133" t="s">
        <v>112</v>
      </c>
      <c r="C44" s="133"/>
      <c r="D44" s="133"/>
      <c r="E44" s="133"/>
      <c r="F44" s="133"/>
      <c r="G44" s="133"/>
      <c r="H44" s="133"/>
      <c r="I44" s="134"/>
      <c r="J44" s="133"/>
      <c r="K44" s="133"/>
      <c r="L44" s="133"/>
      <c r="M44" s="133"/>
      <c r="N44" s="133"/>
      <c r="O44" s="139"/>
      <c r="P44" s="133"/>
      <c r="Q44" s="133"/>
      <c r="R44" s="133"/>
      <c r="S44" s="133"/>
      <c r="T44" s="133"/>
      <c r="U44" s="133"/>
      <c r="V44" s="133"/>
    </row>
    <row r="45" spans="1:23" x14ac:dyDescent="0.25">
      <c r="A45" s="141" t="s">
        <v>113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7"/>
      <c r="P45" s="133"/>
      <c r="Q45" s="133"/>
      <c r="R45" s="133"/>
      <c r="S45" s="133"/>
      <c r="T45" s="133"/>
      <c r="U45" s="133"/>
      <c r="V45" s="133"/>
    </row>
    <row r="46" spans="1:23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3" ht="15.75" x14ac:dyDescent="0.25">
      <c r="A47" s="140"/>
      <c r="B47" s="133"/>
      <c r="C47" s="133"/>
      <c r="D47" s="133"/>
      <c r="E47" s="134"/>
      <c r="F47" s="133"/>
      <c r="G47" s="133"/>
      <c r="H47" s="133"/>
      <c r="I47" s="133"/>
      <c r="J47" s="133"/>
      <c r="K47" s="139"/>
      <c r="L47" s="133"/>
      <c r="M47" s="133"/>
      <c r="N47" s="133"/>
      <c r="O47" s="133"/>
      <c r="P47" s="133"/>
      <c r="Q47" s="133"/>
    </row>
    <row r="48" spans="1:23" ht="15.75" x14ac:dyDescent="0.25">
      <c r="A48" s="140"/>
      <c r="B48" s="133"/>
      <c r="C48" s="133"/>
      <c r="D48" s="133"/>
      <c r="E48" s="134"/>
      <c r="F48" s="133"/>
      <c r="G48" s="133"/>
      <c r="H48" s="133"/>
      <c r="I48" s="133"/>
      <c r="J48" s="133"/>
      <c r="K48" s="139"/>
      <c r="L48" s="133"/>
      <c r="M48" s="133"/>
      <c r="N48" s="133"/>
      <c r="O48" s="133"/>
      <c r="P48" s="133"/>
      <c r="Q48" s="133"/>
    </row>
    <row r="49" spans="1:17" x14ac:dyDescent="0.25">
      <c r="A49" s="141"/>
      <c r="B49" s="133"/>
      <c r="C49" s="133"/>
      <c r="D49" s="133"/>
      <c r="E49" s="133"/>
      <c r="F49" s="133"/>
      <c r="G49" s="133"/>
      <c r="H49" s="133"/>
      <c r="I49" s="133"/>
      <c r="J49" s="133"/>
      <c r="K49" s="137"/>
      <c r="L49" s="133"/>
      <c r="M49" s="133"/>
      <c r="N49" s="133"/>
      <c r="O49" s="133"/>
      <c r="P49" s="133"/>
      <c r="Q49" s="133"/>
    </row>
  </sheetData>
  <pageMargins left="0.31496062992125984" right="0.19685039370078741" top="0.23622047244094491" bottom="0.23622047244094491" header="0.31496062992125984" footer="0.31496062992125984"/>
  <pageSetup paperSize="141" scale="96" orientation="portrait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topLeftCell="A26" workbookViewId="0">
      <selection activeCell="B28" sqref="B28:K43"/>
    </sheetView>
  </sheetViews>
  <sheetFormatPr defaultRowHeight="15" x14ac:dyDescent="0.25"/>
  <cols>
    <col min="2" max="2" width="13.140625" customWidth="1"/>
    <col min="3" max="3" width="17.5703125" customWidth="1"/>
    <col min="4" max="4" width="23.28515625" customWidth="1"/>
    <col min="5" max="5" width="15.28515625" customWidth="1"/>
    <col min="6" max="6" width="12.7109375" customWidth="1"/>
    <col min="7" max="7" width="13.28515625" customWidth="1"/>
    <col min="8" max="8" width="17" customWidth="1"/>
    <col min="9" max="9" width="13.7109375" customWidth="1"/>
    <col min="10" max="10" width="16.7109375" customWidth="1"/>
    <col min="11" max="11" width="13" customWidth="1"/>
  </cols>
  <sheetData>
    <row r="1" spans="2:11" ht="20.25" x14ac:dyDescent="0.3">
      <c r="B1" t="s">
        <v>137</v>
      </c>
      <c r="E1" s="192" t="s">
        <v>138</v>
      </c>
    </row>
    <row r="2" spans="2:11" ht="20.25" x14ac:dyDescent="0.3">
      <c r="B2" s="193"/>
      <c r="C2" s="193"/>
      <c r="D2" s="193"/>
      <c r="E2" s="192" t="s">
        <v>139</v>
      </c>
      <c r="G2" s="193"/>
      <c r="H2" s="193"/>
    </row>
    <row r="4" spans="2:11" ht="20.25" customHeight="1" x14ac:dyDescent="0.4">
      <c r="B4" s="194" t="s">
        <v>140</v>
      </c>
      <c r="C4" s="166"/>
      <c r="D4" s="193"/>
      <c r="E4" s="195"/>
      <c r="F4" s="193"/>
      <c r="G4" s="193"/>
      <c r="H4" s="193"/>
    </row>
    <row r="5" spans="2:11" ht="20.25" customHeight="1" x14ac:dyDescent="0.4">
      <c r="B5" s="194" t="s">
        <v>141</v>
      </c>
      <c r="C5" s="166"/>
      <c r="D5" s="193"/>
      <c r="E5" s="195"/>
      <c r="F5" s="193"/>
      <c r="G5" s="193"/>
      <c r="H5" s="193"/>
    </row>
    <row r="7" spans="2:11" ht="0.75" customHeight="1" x14ac:dyDescent="0.25"/>
    <row r="8" spans="2:11" ht="18.75" x14ac:dyDescent="0.3">
      <c r="D8" s="196" t="s">
        <v>142</v>
      </c>
    </row>
    <row r="10" spans="2:11" ht="60" x14ac:dyDescent="0.25">
      <c r="B10" s="191" t="s">
        <v>143</v>
      </c>
      <c r="C10" s="191" t="s">
        <v>144</v>
      </c>
      <c r="D10" s="191" t="s">
        <v>145</v>
      </c>
      <c r="E10" s="197" t="s">
        <v>146</v>
      </c>
      <c r="F10" s="197" t="s">
        <v>147</v>
      </c>
      <c r="G10" s="197" t="s">
        <v>148</v>
      </c>
      <c r="H10" s="197" t="s">
        <v>149</v>
      </c>
      <c r="I10" s="197" t="s">
        <v>150</v>
      </c>
      <c r="J10" s="197" t="s">
        <v>151</v>
      </c>
      <c r="K10" s="197" t="s">
        <v>152</v>
      </c>
    </row>
    <row r="11" spans="2:11" s="204" customFormat="1" ht="45" x14ac:dyDescent="0.25">
      <c r="B11" s="165" t="s">
        <v>53</v>
      </c>
      <c r="C11" s="200" t="s">
        <v>153</v>
      </c>
      <c r="D11" s="201" t="s">
        <v>154</v>
      </c>
      <c r="E11" s="165">
        <f>8*3*31</f>
        <v>744</v>
      </c>
      <c r="F11" s="202">
        <f>(51.3+44+31.05)/3</f>
        <v>42.116666666666667</v>
      </c>
      <c r="G11" s="165">
        <f>(35.1+33.15+17.1)/3</f>
        <v>28.45</v>
      </c>
      <c r="H11" s="165">
        <f>57/60</f>
        <v>0.95</v>
      </c>
      <c r="I11" s="165">
        <f>(110.1+108.15+114)/3</f>
        <v>110.75</v>
      </c>
      <c r="J11" s="202">
        <f>E11-(F11+G11+H11)</f>
        <v>672.48333333333335</v>
      </c>
      <c r="K11" s="203">
        <f>J11/E11</f>
        <v>0.90387544802867381</v>
      </c>
    </row>
    <row r="12" spans="2:11" x14ac:dyDescent="0.25">
      <c r="F12" t="s">
        <v>155</v>
      </c>
    </row>
    <row r="15" spans="2:11" ht="18.75" x14ac:dyDescent="0.3">
      <c r="D15" s="196" t="s">
        <v>156</v>
      </c>
    </row>
    <row r="17" spans="2:12" ht="60" x14ac:dyDescent="0.25">
      <c r="B17" s="191" t="s">
        <v>143</v>
      </c>
      <c r="C17" s="191" t="s">
        <v>144</v>
      </c>
      <c r="D17" s="191" t="s">
        <v>145</v>
      </c>
      <c r="E17" s="197" t="s">
        <v>146</v>
      </c>
      <c r="F17" s="197" t="s">
        <v>147</v>
      </c>
      <c r="G17" s="197" t="s">
        <v>148</v>
      </c>
      <c r="H17" s="197" t="s">
        <v>149</v>
      </c>
      <c r="I17" s="197" t="s">
        <v>150</v>
      </c>
      <c r="J17" s="197" t="s">
        <v>151</v>
      </c>
      <c r="K17" s="201" t="s">
        <v>152</v>
      </c>
    </row>
    <row r="18" spans="2:12" ht="45" x14ac:dyDescent="0.25">
      <c r="B18" s="165" t="s">
        <v>53</v>
      </c>
      <c r="C18" s="200" t="s">
        <v>153</v>
      </c>
      <c r="D18" s="201" t="s">
        <v>157</v>
      </c>
      <c r="E18" s="165">
        <f>8*3*29</f>
        <v>696</v>
      </c>
      <c r="F18" s="202">
        <f>(33+4.05+13.35)/3</f>
        <v>16.8</v>
      </c>
      <c r="G18" s="165">
        <f>(45+8.5+13.1)/3</f>
        <v>22.2</v>
      </c>
      <c r="H18" s="165">
        <f>54/60</f>
        <v>0.9</v>
      </c>
      <c r="I18" s="202">
        <f>(119.3+110.35+131.05)/3</f>
        <v>120.23333333333333</v>
      </c>
      <c r="J18" s="202">
        <f>E18-(F18+G18+H18)</f>
        <v>656.1</v>
      </c>
      <c r="K18" s="203">
        <f>J18/E18</f>
        <v>0.94267241379310351</v>
      </c>
    </row>
    <row r="21" spans="2:12" x14ac:dyDescent="0.25">
      <c r="B21" t="s">
        <v>158</v>
      </c>
    </row>
    <row r="25" spans="2:12" x14ac:dyDescent="0.25">
      <c r="K25" t="s">
        <v>52</v>
      </c>
    </row>
    <row r="26" spans="2:12" x14ac:dyDescent="0.25">
      <c r="K26" t="s">
        <v>109</v>
      </c>
    </row>
    <row r="28" spans="2:12" ht="20.25" x14ac:dyDescent="0.3">
      <c r="E28" s="192" t="s">
        <v>138</v>
      </c>
      <c r="L28" s="272">
        <v>0.33333333333333331</v>
      </c>
    </row>
    <row r="29" spans="2:12" ht="20.25" x14ac:dyDescent="0.3">
      <c r="E29" s="192" t="s">
        <v>139</v>
      </c>
    </row>
    <row r="30" spans="2:12" ht="18.75" x14ac:dyDescent="0.3">
      <c r="D30" s="215" t="s">
        <v>417</v>
      </c>
      <c r="E30" s="267"/>
    </row>
    <row r="31" spans="2:12" ht="18.75" x14ac:dyDescent="0.3">
      <c r="C31" s="215"/>
      <c r="E31" s="267"/>
    </row>
    <row r="32" spans="2:12" ht="18.75" x14ac:dyDescent="0.3">
      <c r="C32" s="215"/>
      <c r="E32" s="267"/>
    </row>
    <row r="33" spans="2:11" ht="15.75" x14ac:dyDescent="0.25">
      <c r="B33" s="194" t="s">
        <v>140</v>
      </c>
    </row>
    <row r="34" spans="2:11" ht="15.75" x14ac:dyDescent="0.25">
      <c r="B34" s="194" t="s">
        <v>141</v>
      </c>
    </row>
    <row r="35" spans="2:11" ht="15.75" x14ac:dyDescent="0.25">
      <c r="B35" s="194"/>
    </row>
    <row r="36" spans="2:11" ht="93.75" x14ac:dyDescent="0.25">
      <c r="B36" s="268" t="s">
        <v>408</v>
      </c>
      <c r="C36" s="268" t="s">
        <v>409</v>
      </c>
      <c r="D36" s="268" t="s">
        <v>410</v>
      </c>
      <c r="E36" s="268" t="s">
        <v>411</v>
      </c>
      <c r="F36" s="268" t="s">
        <v>412</v>
      </c>
      <c r="G36" s="268" t="s">
        <v>413</v>
      </c>
      <c r="H36" s="268" t="s">
        <v>151</v>
      </c>
      <c r="I36" s="268" t="s">
        <v>414</v>
      </c>
      <c r="J36" s="268" t="s">
        <v>415</v>
      </c>
      <c r="K36" s="269" t="s">
        <v>416</v>
      </c>
    </row>
    <row r="37" spans="2:11" ht="18.75" x14ac:dyDescent="0.25">
      <c r="B37" s="212" t="s">
        <v>53</v>
      </c>
      <c r="C37" s="213">
        <f>L28*3*31</f>
        <v>31</v>
      </c>
      <c r="D37" s="213">
        <f>('stream I '!T36+' stream II  '!T36+'stream III '!T36)/3</f>
        <v>0.2638888888888889</v>
      </c>
      <c r="E37" s="213">
        <f>('stream I '!O36+' stream II  '!O36+'stream III '!O36)/3</f>
        <v>0.61342592592592593</v>
      </c>
      <c r="F37" s="213">
        <f>('stream I '!U36+' stream II  '!U36+'stream III '!U36)/3</f>
        <v>7.9861111111111105E-2</v>
      </c>
      <c r="G37" s="213">
        <f>('stream I '!J36+' stream II  '!J36+'stream III '!J36)/3</f>
        <v>5.1620370370370372</v>
      </c>
      <c r="H37" s="213">
        <f>C37-D37-E37-F37</f>
        <v>30.042824074074073</v>
      </c>
      <c r="I37" s="214">
        <f>H37/C37</f>
        <v>0.96912335722819587</v>
      </c>
      <c r="J37" s="270">
        <f>H37-G37</f>
        <v>24.880787037037035</v>
      </c>
      <c r="K37" s="214">
        <f>J37/C37</f>
        <v>0.80260603345280757</v>
      </c>
    </row>
    <row r="40" spans="2:11" ht="18.75" x14ac:dyDescent="0.3">
      <c r="I40" s="215" t="s">
        <v>52</v>
      </c>
      <c r="J40" s="215"/>
    </row>
    <row r="41" spans="2:11" ht="18.75" x14ac:dyDescent="0.3">
      <c r="B41" s="166" t="s">
        <v>195</v>
      </c>
      <c r="I41" s="215" t="s">
        <v>109</v>
      </c>
      <c r="J41" s="215"/>
    </row>
    <row r="42" spans="2:11" ht="15.75" x14ac:dyDescent="0.25">
      <c r="B42" s="166" t="s">
        <v>196</v>
      </c>
    </row>
    <row r="43" spans="2:11" ht="15.75" x14ac:dyDescent="0.25">
      <c r="B43" s="166" t="s">
        <v>197</v>
      </c>
    </row>
  </sheetData>
  <pageMargins left="0.39370078740157483" right="0.39370078740157483" top="0.39370078740157483" bottom="0.39370078740157483" header="0.31496062992125984" footer="0.31496062992125984"/>
  <pageSetup paperSize="9" scale="59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100"/>
  <sheetViews>
    <sheetView topLeftCell="A86" workbookViewId="0">
      <selection activeCell="B81" sqref="B81:L100"/>
    </sheetView>
  </sheetViews>
  <sheetFormatPr defaultRowHeight="15" x14ac:dyDescent="0.25"/>
  <cols>
    <col min="2" max="2" width="11.28515625" customWidth="1"/>
    <col min="3" max="3" width="13.85546875" customWidth="1"/>
    <col min="4" max="4" width="14" customWidth="1"/>
    <col min="5" max="5" width="14.7109375" customWidth="1"/>
    <col min="6" max="6" width="13" customWidth="1"/>
    <col min="7" max="7" width="10.140625" customWidth="1"/>
    <col min="8" max="8" width="13.42578125" customWidth="1"/>
    <col min="9" max="9" width="13.85546875" customWidth="1"/>
    <col min="10" max="10" width="14.140625" customWidth="1"/>
    <col min="11" max="11" width="10.7109375" customWidth="1"/>
    <col min="12" max="12" width="16.140625" customWidth="1"/>
  </cols>
  <sheetData>
    <row r="5" spans="2:12" ht="23.25" x14ac:dyDescent="0.35">
      <c r="B5" t="s">
        <v>137</v>
      </c>
      <c r="E5" s="216" t="s">
        <v>138</v>
      </c>
    </row>
    <row r="6" spans="2:12" ht="20.25" x14ac:dyDescent="0.3">
      <c r="B6" s="193"/>
      <c r="C6" s="193"/>
      <c r="D6" s="193"/>
      <c r="E6" s="192" t="s">
        <v>139</v>
      </c>
      <c r="G6" s="193"/>
      <c r="H6" s="193"/>
      <c r="I6" s="193"/>
      <c r="J6" s="193"/>
      <c r="K6" s="193"/>
      <c r="L6" s="193"/>
    </row>
    <row r="8" spans="2:12" ht="26.25" x14ac:dyDescent="0.4">
      <c r="B8" s="194" t="s">
        <v>140</v>
      </c>
      <c r="C8" s="166"/>
      <c r="D8" s="193"/>
      <c r="E8" s="195"/>
      <c r="F8" s="193"/>
      <c r="G8" s="193"/>
      <c r="H8" s="193"/>
      <c r="I8" s="193"/>
      <c r="J8" s="193"/>
      <c r="K8" s="193"/>
      <c r="L8" s="193"/>
    </row>
    <row r="9" spans="2:12" ht="26.25" x14ac:dyDescent="0.4">
      <c r="B9" s="194" t="s">
        <v>141</v>
      </c>
      <c r="C9" s="166"/>
      <c r="D9" s="193"/>
      <c r="E9" s="195"/>
      <c r="F9" s="193"/>
      <c r="G9" s="193"/>
      <c r="H9" s="193"/>
      <c r="I9" s="193"/>
      <c r="J9" s="193"/>
      <c r="K9" s="193"/>
      <c r="L9" s="193"/>
    </row>
    <row r="10" spans="2:12" ht="21" thickBot="1" x14ac:dyDescent="0.35">
      <c r="B10" s="193"/>
      <c r="C10" s="193"/>
      <c r="D10" s="193"/>
      <c r="E10" s="217" t="s">
        <v>179</v>
      </c>
      <c r="F10" s="193"/>
      <c r="G10" s="193"/>
      <c r="H10" s="193"/>
      <c r="I10" s="193"/>
      <c r="J10" s="193"/>
      <c r="K10" s="193"/>
      <c r="L10" s="193"/>
    </row>
    <row r="11" spans="2:12" ht="57.75" thickBot="1" x14ac:dyDescent="0.3">
      <c r="B11" s="218" t="s">
        <v>180</v>
      </c>
      <c r="C11" s="219" t="s">
        <v>181</v>
      </c>
      <c r="D11" s="219" t="s">
        <v>182</v>
      </c>
      <c r="E11" s="219" t="s">
        <v>183</v>
      </c>
      <c r="F11" s="219" t="s">
        <v>184</v>
      </c>
      <c r="G11" s="219" t="s">
        <v>185</v>
      </c>
      <c r="H11" s="219" t="s">
        <v>186</v>
      </c>
      <c r="I11" s="219" t="s">
        <v>187</v>
      </c>
      <c r="J11" s="219" t="s">
        <v>188</v>
      </c>
      <c r="K11" s="219" t="s">
        <v>189</v>
      </c>
      <c r="L11" s="220" t="s">
        <v>190</v>
      </c>
    </row>
    <row r="12" spans="2:12" ht="23.25" x14ac:dyDescent="0.25">
      <c r="B12" s="221"/>
      <c r="C12" s="222"/>
      <c r="D12" s="223"/>
      <c r="E12" s="223"/>
      <c r="F12" s="223"/>
      <c r="G12" s="224"/>
      <c r="H12" s="222"/>
      <c r="I12" s="223"/>
      <c r="J12" s="223"/>
      <c r="K12" s="223"/>
      <c r="L12" s="225"/>
    </row>
    <row r="13" spans="2:12" x14ac:dyDescent="0.25">
      <c r="B13" s="226" t="s">
        <v>54</v>
      </c>
      <c r="C13" s="227">
        <v>833333.3</v>
      </c>
      <c r="D13" s="198">
        <v>800000</v>
      </c>
      <c r="E13" s="199">
        <v>862193.73</v>
      </c>
      <c r="F13" s="228" t="s">
        <v>191</v>
      </c>
      <c r="G13" s="229">
        <v>1</v>
      </c>
      <c r="H13" s="230">
        <f>E13/D13</f>
        <v>1.0777421624999999</v>
      </c>
      <c r="I13" s="231">
        <f>E13/C13</f>
        <v>1.0346325173853006</v>
      </c>
      <c r="J13" s="199">
        <v>888734.4</v>
      </c>
      <c r="K13" s="231">
        <v>-3.0779999999999998E-2</v>
      </c>
      <c r="L13" s="232">
        <v>27586.21</v>
      </c>
    </row>
    <row r="14" spans="2:12" ht="43.5" thickBot="1" x14ac:dyDescent="0.3">
      <c r="B14" s="233"/>
      <c r="C14" s="234" t="s">
        <v>192</v>
      </c>
      <c r="D14" s="235"/>
      <c r="E14" s="236"/>
      <c r="F14" s="236"/>
      <c r="G14" s="237"/>
      <c r="H14" s="238"/>
      <c r="I14" s="239"/>
      <c r="J14" s="236"/>
      <c r="K14" s="239"/>
      <c r="L14" s="240"/>
    </row>
    <row r="15" spans="2:12" x14ac:dyDescent="0.25"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</row>
    <row r="16" spans="2:12" ht="15.75" x14ac:dyDescent="0.25">
      <c r="B16" s="194" t="s">
        <v>193</v>
      </c>
      <c r="C16" s="241"/>
      <c r="D16" s="241"/>
      <c r="E16" s="241"/>
      <c r="F16" s="241"/>
      <c r="G16" s="241"/>
      <c r="H16" s="241"/>
      <c r="I16" s="241"/>
      <c r="J16" s="241"/>
      <c r="K16" s="241"/>
      <c r="L16" s="241"/>
    </row>
    <row r="17" spans="2:12" ht="18.75" x14ac:dyDescent="0.25">
      <c r="B17" s="242"/>
      <c r="C17" s="241"/>
      <c r="D17" s="241"/>
      <c r="E17" s="241"/>
      <c r="F17" s="241"/>
      <c r="G17" s="241"/>
      <c r="H17" s="1"/>
      <c r="I17" s="241"/>
      <c r="J17" s="241"/>
      <c r="K17" s="241"/>
      <c r="L17" s="241"/>
    </row>
    <row r="18" spans="2:12" ht="15.75" x14ac:dyDescent="0.25">
      <c r="B18" s="241"/>
      <c r="C18" s="241"/>
      <c r="D18" s="241"/>
      <c r="E18" s="241"/>
      <c r="F18" s="241"/>
      <c r="G18" s="241"/>
      <c r="H18" s="241"/>
      <c r="I18" s="241"/>
      <c r="K18" s="194" t="s">
        <v>52</v>
      </c>
      <c r="L18" s="241"/>
    </row>
    <row r="19" spans="2:12" ht="15.75" x14ac:dyDescent="0.25">
      <c r="B19" s="241"/>
      <c r="C19" s="241"/>
      <c r="D19" s="241"/>
      <c r="E19" s="241"/>
      <c r="F19" s="241"/>
      <c r="G19" s="241"/>
      <c r="H19" s="241"/>
      <c r="I19" s="241"/>
      <c r="K19" s="194" t="s">
        <v>194</v>
      </c>
      <c r="L19" s="241"/>
    </row>
    <row r="20" spans="2:12" ht="15.75" x14ac:dyDescent="0.25">
      <c r="B20" s="166" t="s">
        <v>195</v>
      </c>
      <c r="C20" s="243"/>
      <c r="D20" s="243"/>
      <c r="E20" s="193"/>
      <c r="F20" s="193"/>
      <c r="G20" s="193"/>
      <c r="H20" s="193"/>
      <c r="I20" s="193"/>
      <c r="J20" s="193"/>
      <c r="K20" s="193"/>
      <c r="L20" s="193"/>
    </row>
    <row r="21" spans="2:12" ht="15.75" x14ac:dyDescent="0.25">
      <c r="B21" s="166" t="s">
        <v>196</v>
      </c>
      <c r="C21" s="244"/>
      <c r="D21" s="244"/>
      <c r="E21" s="245"/>
      <c r="F21" s="245"/>
      <c r="G21" s="245"/>
      <c r="H21" s="245"/>
      <c r="I21" s="245"/>
      <c r="J21" s="245"/>
      <c r="K21" s="245"/>
      <c r="L21" s="245"/>
    </row>
    <row r="22" spans="2:12" ht="15.75" x14ac:dyDescent="0.25">
      <c r="B22" s="166" t="s">
        <v>197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</row>
    <row r="30" spans="2:12" ht="23.25" x14ac:dyDescent="0.35">
      <c r="B30" t="s">
        <v>137</v>
      </c>
      <c r="E30" s="216" t="s">
        <v>138</v>
      </c>
    </row>
    <row r="31" spans="2:12" ht="20.25" x14ac:dyDescent="0.3">
      <c r="B31" s="193"/>
      <c r="C31" s="193"/>
      <c r="D31" s="193"/>
      <c r="E31" s="192" t="s">
        <v>139</v>
      </c>
      <c r="G31" s="193"/>
      <c r="H31" s="193"/>
      <c r="I31" s="193"/>
      <c r="J31" s="193"/>
      <c r="K31" s="193"/>
      <c r="L31" s="193"/>
    </row>
    <row r="33" spans="2:12" ht="26.25" x14ac:dyDescent="0.4">
      <c r="B33" s="194" t="s">
        <v>140</v>
      </c>
      <c r="C33" s="166"/>
      <c r="D33" s="193"/>
      <c r="E33" s="195"/>
      <c r="F33" s="193"/>
      <c r="G33" s="193"/>
      <c r="H33" s="193"/>
      <c r="I33" s="193"/>
      <c r="J33" s="193"/>
      <c r="K33" s="193"/>
      <c r="L33" s="193"/>
    </row>
    <row r="34" spans="2:12" ht="26.25" x14ac:dyDescent="0.4">
      <c r="B34" s="194" t="s">
        <v>141</v>
      </c>
      <c r="C34" s="166"/>
      <c r="D34" s="193"/>
      <c r="E34" s="195"/>
      <c r="F34" s="193"/>
      <c r="G34" s="193"/>
      <c r="H34" s="193"/>
      <c r="I34" s="193"/>
      <c r="J34" s="193"/>
      <c r="K34" s="193"/>
      <c r="L34" s="193"/>
    </row>
    <row r="35" spans="2:12" ht="21" thickBot="1" x14ac:dyDescent="0.35">
      <c r="B35" s="193"/>
      <c r="C35" s="193"/>
      <c r="D35" s="193"/>
      <c r="E35" s="217" t="s">
        <v>198</v>
      </c>
      <c r="F35" s="193"/>
      <c r="G35" s="193"/>
      <c r="H35" s="193"/>
      <c r="I35" s="193"/>
      <c r="J35" s="193"/>
      <c r="K35" s="193"/>
      <c r="L35" s="193"/>
    </row>
    <row r="36" spans="2:12" ht="57.75" thickBot="1" x14ac:dyDescent="0.3">
      <c r="B36" s="218" t="s">
        <v>180</v>
      </c>
      <c r="C36" s="219" t="s">
        <v>181</v>
      </c>
      <c r="D36" s="219" t="s">
        <v>199</v>
      </c>
      <c r="E36" s="219" t="s">
        <v>200</v>
      </c>
      <c r="F36" s="219" t="s">
        <v>184</v>
      </c>
      <c r="G36" s="219" t="s">
        <v>185</v>
      </c>
      <c r="H36" s="219" t="s">
        <v>186</v>
      </c>
      <c r="I36" s="219" t="s">
        <v>187</v>
      </c>
      <c r="J36" s="219" t="s">
        <v>201</v>
      </c>
      <c r="K36" s="219" t="s">
        <v>189</v>
      </c>
      <c r="L36" s="220" t="s">
        <v>202</v>
      </c>
    </row>
    <row r="37" spans="2:12" ht="23.25" x14ac:dyDescent="0.25">
      <c r="B37" s="221"/>
      <c r="C37" s="222"/>
      <c r="D37" s="223"/>
      <c r="E37" s="223"/>
      <c r="F37" s="223"/>
      <c r="G37" s="224"/>
      <c r="H37" s="222"/>
      <c r="I37" s="223"/>
      <c r="J37" s="223"/>
      <c r="K37" s="223"/>
      <c r="L37" s="225"/>
    </row>
    <row r="38" spans="2:12" x14ac:dyDescent="0.25">
      <c r="B38" s="226" t="s">
        <v>54</v>
      </c>
      <c r="C38" s="227">
        <v>833333.3</v>
      </c>
      <c r="D38" s="198">
        <v>800000</v>
      </c>
      <c r="E38" s="199">
        <v>772986.59</v>
      </c>
      <c r="F38" s="228" t="s">
        <v>191</v>
      </c>
      <c r="G38" s="229">
        <v>1</v>
      </c>
      <c r="H38" s="230">
        <f>E38/D38</f>
        <v>0.96623323750000001</v>
      </c>
      <c r="I38" s="231">
        <f>E38/C38</f>
        <v>0.92758394510335773</v>
      </c>
      <c r="J38" s="199">
        <v>641154.82999999996</v>
      </c>
      <c r="K38" s="231">
        <f>E38/J38</f>
        <v>1.2056161067990394</v>
      </c>
      <c r="L38" s="232">
        <f>D38/31</f>
        <v>25806.451612903227</v>
      </c>
    </row>
    <row r="39" spans="2:12" ht="43.5" thickBot="1" x14ac:dyDescent="0.3">
      <c r="B39" s="233"/>
      <c r="C39" s="234" t="s">
        <v>192</v>
      </c>
      <c r="D39" s="235"/>
      <c r="E39" s="236"/>
      <c r="F39" s="236"/>
      <c r="G39" s="237"/>
      <c r="H39" s="238"/>
      <c r="I39" s="239"/>
      <c r="J39" s="236"/>
      <c r="K39" s="239"/>
      <c r="L39" s="240"/>
    </row>
    <row r="40" spans="2:12" x14ac:dyDescent="0.25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</row>
    <row r="41" spans="2:12" ht="15.75" x14ac:dyDescent="0.25">
      <c r="B41" s="194" t="s">
        <v>203</v>
      </c>
      <c r="C41" s="241"/>
      <c r="D41" s="241"/>
      <c r="E41" s="241"/>
      <c r="F41" s="241"/>
      <c r="G41" s="241"/>
      <c r="H41" s="241"/>
      <c r="I41" s="241"/>
      <c r="J41" s="241"/>
      <c r="K41" s="241"/>
      <c r="L41" s="241"/>
    </row>
    <row r="42" spans="2:12" ht="18.75" x14ac:dyDescent="0.25">
      <c r="B42" s="242" t="s">
        <v>204</v>
      </c>
      <c r="C42" s="241"/>
      <c r="D42" s="241"/>
      <c r="E42" s="241"/>
      <c r="F42" s="241"/>
      <c r="G42" s="241"/>
      <c r="H42" s="1"/>
      <c r="I42" s="241"/>
      <c r="J42" s="241"/>
      <c r="K42" s="241"/>
      <c r="L42" s="241"/>
    </row>
    <row r="43" spans="2:12" ht="18.75" x14ac:dyDescent="0.25">
      <c r="B43" s="242"/>
      <c r="C43" s="241"/>
      <c r="D43" s="241"/>
      <c r="E43" s="241"/>
      <c r="F43" s="241"/>
      <c r="G43" s="241"/>
      <c r="H43" s="1"/>
      <c r="I43" s="241"/>
      <c r="J43" s="241"/>
      <c r="K43" s="241"/>
      <c r="L43" s="241"/>
    </row>
    <row r="44" spans="2:12" ht="18.75" x14ac:dyDescent="0.25">
      <c r="B44" s="242"/>
      <c r="C44" s="241"/>
      <c r="D44" s="241"/>
      <c r="E44" s="241"/>
      <c r="F44" s="241"/>
      <c r="G44" s="241"/>
      <c r="H44" s="1"/>
      <c r="I44" s="241"/>
      <c r="J44" s="241"/>
      <c r="K44" s="241"/>
      <c r="L44" s="241"/>
    </row>
    <row r="45" spans="2:12" ht="15.75" x14ac:dyDescent="0.25">
      <c r="B45" s="241"/>
      <c r="C45" s="241"/>
      <c r="D45" s="241"/>
      <c r="E45" s="241"/>
      <c r="F45" s="241"/>
      <c r="G45" s="241"/>
      <c r="H45" s="241"/>
      <c r="I45" s="241"/>
      <c r="K45" s="194" t="s">
        <v>52</v>
      </c>
      <c r="L45" s="241"/>
    </row>
    <row r="46" spans="2:12" ht="15.75" x14ac:dyDescent="0.25">
      <c r="B46" s="241"/>
      <c r="C46" s="241"/>
      <c r="D46" s="241"/>
      <c r="E46" s="241"/>
      <c r="F46" s="241"/>
      <c r="G46" s="241"/>
      <c r="H46" s="241"/>
      <c r="I46" s="241"/>
      <c r="K46" s="194" t="s">
        <v>194</v>
      </c>
      <c r="L46" s="241"/>
    </row>
    <row r="47" spans="2:12" ht="15.75" x14ac:dyDescent="0.25">
      <c r="B47" s="166" t="s">
        <v>195</v>
      </c>
      <c r="C47" s="243"/>
      <c r="D47" s="243"/>
      <c r="E47" s="193"/>
      <c r="F47" s="193"/>
      <c r="G47" s="193"/>
      <c r="H47" s="193"/>
      <c r="I47" s="193"/>
      <c r="J47" s="193"/>
      <c r="K47" s="193"/>
      <c r="L47" s="193"/>
    </row>
    <row r="48" spans="2:12" ht="15.75" x14ac:dyDescent="0.25">
      <c r="B48" s="166" t="s">
        <v>196</v>
      </c>
      <c r="C48" s="244"/>
      <c r="D48" s="244"/>
      <c r="E48" s="245"/>
      <c r="F48" s="245"/>
      <c r="G48" s="245"/>
      <c r="H48" s="245"/>
      <c r="I48" s="245"/>
      <c r="J48" s="245"/>
      <c r="K48" s="245"/>
      <c r="L48" s="245"/>
    </row>
    <row r="49" spans="2:12" ht="15.75" x14ac:dyDescent="0.25">
      <c r="B49" s="166" t="s">
        <v>197</v>
      </c>
      <c r="C49" s="245"/>
      <c r="D49" s="245"/>
      <c r="E49" s="245"/>
      <c r="F49" s="245"/>
      <c r="G49" s="245"/>
      <c r="H49" s="245"/>
      <c r="I49" s="245"/>
      <c r="J49" s="245"/>
      <c r="K49" s="245"/>
      <c r="L49" s="245"/>
    </row>
    <row r="57" spans="2:12" ht="23.25" x14ac:dyDescent="0.35">
      <c r="B57" t="s">
        <v>137</v>
      </c>
      <c r="E57" s="216" t="s">
        <v>138</v>
      </c>
    </row>
    <row r="58" spans="2:12" ht="20.25" x14ac:dyDescent="0.3">
      <c r="B58" s="193"/>
      <c r="C58" s="193"/>
      <c r="D58" s="193"/>
      <c r="E58" s="192" t="s">
        <v>139</v>
      </c>
      <c r="G58" s="193"/>
      <c r="H58" s="193"/>
      <c r="I58" s="193"/>
      <c r="J58" s="193"/>
      <c r="K58" s="193"/>
      <c r="L58" s="193"/>
    </row>
    <row r="60" spans="2:12" ht="26.25" x14ac:dyDescent="0.4">
      <c r="B60" s="194" t="s">
        <v>140</v>
      </c>
      <c r="C60" s="166"/>
      <c r="D60" s="193"/>
      <c r="E60" s="195"/>
      <c r="F60" s="193"/>
      <c r="G60" s="193"/>
      <c r="H60" s="193"/>
      <c r="I60" s="193"/>
      <c r="J60" s="193"/>
      <c r="K60" s="193"/>
      <c r="L60" s="193"/>
    </row>
    <row r="61" spans="2:12" ht="26.25" x14ac:dyDescent="0.4">
      <c r="B61" s="194" t="s">
        <v>141</v>
      </c>
      <c r="C61" s="166"/>
      <c r="D61" s="193"/>
      <c r="E61" s="195"/>
      <c r="F61" s="193"/>
      <c r="G61" s="193"/>
      <c r="H61" s="193"/>
      <c r="I61" s="193"/>
      <c r="J61" s="193"/>
      <c r="K61" s="193"/>
      <c r="L61" s="193"/>
    </row>
    <row r="62" spans="2:12" ht="21" thickBot="1" x14ac:dyDescent="0.35">
      <c r="B62" s="193"/>
      <c r="C62" s="193"/>
      <c r="D62" s="193"/>
      <c r="E62" s="217" t="s">
        <v>205</v>
      </c>
      <c r="F62" s="193"/>
      <c r="G62" s="193"/>
      <c r="H62" s="193"/>
      <c r="I62" s="193"/>
      <c r="J62" s="193"/>
      <c r="K62" s="193"/>
      <c r="L62" s="193"/>
    </row>
    <row r="63" spans="2:12" ht="57.75" thickBot="1" x14ac:dyDescent="0.3">
      <c r="B63" s="218" t="s">
        <v>180</v>
      </c>
      <c r="C63" s="219" t="s">
        <v>181</v>
      </c>
      <c r="D63" s="219" t="s">
        <v>206</v>
      </c>
      <c r="E63" s="219" t="s">
        <v>207</v>
      </c>
      <c r="F63" s="219" t="s">
        <v>184</v>
      </c>
      <c r="G63" s="219" t="s">
        <v>185</v>
      </c>
      <c r="H63" s="219" t="s">
        <v>186</v>
      </c>
      <c r="I63" s="219" t="s">
        <v>187</v>
      </c>
      <c r="J63" s="219" t="s">
        <v>208</v>
      </c>
      <c r="K63" s="219" t="s">
        <v>189</v>
      </c>
      <c r="L63" s="220" t="s">
        <v>209</v>
      </c>
    </row>
    <row r="64" spans="2:12" ht="23.25" x14ac:dyDescent="0.25">
      <c r="B64" s="221"/>
      <c r="C64" s="222"/>
      <c r="D64" s="223"/>
      <c r="E64" s="223"/>
      <c r="F64" s="223"/>
      <c r="G64" s="224"/>
      <c r="H64" s="222"/>
      <c r="I64" s="223"/>
      <c r="J64" s="223"/>
      <c r="K64" s="223"/>
      <c r="L64" s="225"/>
    </row>
    <row r="65" spans="2:12" x14ac:dyDescent="0.25">
      <c r="B65" s="226" t="s">
        <v>54</v>
      </c>
      <c r="C65" s="227">
        <v>833333.3</v>
      </c>
      <c r="D65" s="198">
        <v>1060000</v>
      </c>
      <c r="E65" s="199">
        <v>929100.47</v>
      </c>
      <c r="F65" s="228" t="s">
        <v>191</v>
      </c>
      <c r="G65" s="229">
        <v>1</v>
      </c>
      <c r="H65" s="230">
        <f>E65/D65</f>
        <v>0.87650987735849051</v>
      </c>
      <c r="I65" s="231">
        <f>E65/C65</f>
        <v>1.1149206085968242</v>
      </c>
      <c r="J65" s="199">
        <v>928091.1</v>
      </c>
      <c r="K65" s="231">
        <f>E65/J65</f>
        <v>1.0010875764243403</v>
      </c>
      <c r="L65" s="232">
        <f>1080000/31</f>
        <v>34838.709677419356</v>
      </c>
    </row>
    <row r="66" spans="2:12" ht="43.5" thickBot="1" x14ac:dyDescent="0.3">
      <c r="B66" s="233"/>
      <c r="C66" s="234" t="s">
        <v>192</v>
      </c>
      <c r="D66" s="235"/>
      <c r="E66" s="236"/>
      <c r="F66" s="236"/>
      <c r="G66" s="237"/>
      <c r="H66" s="238"/>
      <c r="I66" s="239"/>
      <c r="J66" s="236"/>
      <c r="K66" s="239"/>
      <c r="L66" s="240"/>
    </row>
    <row r="67" spans="2:12" x14ac:dyDescent="0.25"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</row>
    <row r="68" spans="2:12" ht="15.75" x14ac:dyDescent="0.25">
      <c r="B68" s="194" t="s">
        <v>210</v>
      </c>
      <c r="C68" s="241"/>
      <c r="D68" s="241"/>
      <c r="E68" s="241"/>
      <c r="F68" s="241"/>
      <c r="G68" s="241"/>
      <c r="H68" s="241"/>
      <c r="I68" s="241"/>
      <c r="J68" s="241"/>
      <c r="K68" s="241"/>
      <c r="L68" s="241"/>
    </row>
    <row r="69" spans="2:12" ht="18.75" x14ac:dyDescent="0.25">
      <c r="B69" s="242" t="s">
        <v>204</v>
      </c>
      <c r="C69" s="241"/>
      <c r="D69" s="241"/>
      <c r="E69" s="241"/>
      <c r="F69" s="241"/>
      <c r="G69" s="241"/>
      <c r="H69" s="1"/>
      <c r="I69" s="241"/>
      <c r="J69" s="241"/>
      <c r="K69" s="241"/>
      <c r="L69" s="241"/>
    </row>
    <row r="70" spans="2:12" ht="18.75" x14ac:dyDescent="0.25">
      <c r="B70" s="242"/>
      <c r="C70" s="241"/>
      <c r="D70" s="241"/>
      <c r="E70" s="241"/>
      <c r="F70" s="241"/>
      <c r="G70" s="241"/>
      <c r="H70" s="1"/>
      <c r="I70" s="241"/>
      <c r="J70" s="241"/>
      <c r="K70" s="241"/>
      <c r="L70" s="241"/>
    </row>
    <row r="71" spans="2:12" ht="18.75" x14ac:dyDescent="0.25">
      <c r="B71" s="242"/>
      <c r="C71" s="241"/>
      <c r="D71" s="241"/>
      <c r="E71" s="241"/>
      <c r="F71" s="241"/>
      <c r="G71" s="241"/>
      <c r="H71" s="1"/>
      <c r="I71" s="241"/>
      <c r="J71" s="241"/>
      <c r="K71" s="241"/>
      <c r="L71" s="241"/>
    </row>
    <row r="72" spans="2:12" ht="15.75" x14ac:dyDescent="0.25">
      <c r="B72" s="241"/>
      <c r="C72" s="241"/>
      <c r="D72" s="241"/>
      <c r="E72" s="241"/>
      <c r="F72" s="241"/>
      <c r="G72" s="241"/>
      <c r="H72" s="241"/>
      <c r="I72" s="241"/>
      <c r="K72" s="194" t="s">
        <v>52</v>
      </c>
      <c r="L72" s="241"/>
    </row>
    <row r="73" spans="2:12" ht="15.75" x14ac:dyDescent="0.25">
      <c r="B73" s="241"/>
      <c r="C73" s="241"/>
      <c r="D73" s="241"/>
      <c r="E73" s="241"/>
      <c r="F73" s="241"/>
      <c r="G73" s="241"/>
      <c r="H73" s="241"/>
      <c r="I73" s="241"/>
      <c r="K73" s="194" t="s">
        <v>194</v>
      </c>
      <c r="L73" s="241"/>
    </row>
    <row r="74" spans="2:12" ht="15.75" x14ac:dyDescent="0.25">
      <c r="B74" s="166" t="s">
        <v>195</v>
      </c>
      <c r="C74" s="243"/>
      <c r="D74" s="243"/>
      <c r="E74" s="193"/>
      <c r="F74" s="193"/>
      <c r="G74" s="193"/>
      <c r="H74" s="193"/>
      <c r="I74" s="193"/>
      <c r="J74" s="193"/>
      <c r="K74" s="193"/>
      <c r="L74" s="193"/>
    </row>
    <row r="75" spans="2:12" ht="15.75" x14ac:dyDescent="0.25">
      <c r="B75" s="166" t="s">
        <v>196</v>
      </c>
      <c r="C75" s="244"/>
      <c r="D75" s="244"/>
      <c r="E75" s="245"/>
      <c r="F75" s="245"/>
      <c r="G75" s="245"/>
      <c r="H75" s="245"/>
      <c r="I75" s="245"/>
      <c r="J75" s="245"/>
      <c r="K75" s="245"/>
      <c r="L75" s="245"/>
    </row>
    <row r="76" spans="2:12" ht="15.75" x14ac:dyDescent="0.25">
      <c r="B76" s="166" t="s">
        <v>197</v>
      </c>
      <c r="C76" s="245"/>
      <c r="D76" s="245"/>
      <c r="E76" s="245"/>
      <c r="F76" s="245"/>
      <c r="G76" s="245"/>
      <c r="H76" s="245"/>
      <c r="I76" s="245"/>
      <c r="J76" s="245"/>
      <c r="K76" s="245"/>
      <c r="L76" s="245"/>
    </row>
    <row r="81" spans="2:12" ht="23.25" x14ac:dyDescent="0.35">
      <c r="B81" t="s">
        <v>137</v>
      </c>
      <c r="E81" s="216" t="s">
        <v>138</v>
      </c>
    </row>
    <row r="82" spans="2:12" ht="20.25" x14ac:dyDescent="0.3">
      <c r="B82" s="193"/>
      <c r="C82" s="193"/>
      <c r="D82" s="193"/>
      <c r="E82" s="192" t="s">
        <v>139</v>
      </c>
      <c r="G82" s="193"/>
      <c r="H82" s="193"/>
      <c r="I82" s="193"/>
      <c r="J82" s="193"/>
      <c r="K82" s="193"/>
      <c r="L82" s="193"/>
    </row>
    <row r="84" spans="2:12" ht="26.25" x14ac:dyDescent="0.4">
      <c r="B84" s="194" t="s">
        <v>140</v>
      </c>
      <c r="C84" s="166"/>
      <c r="D84" s="193"/>
      <c r="E84" s="195"/>
      <c r="F84" s="193"/>
      <c r="G84" s="193"/>
      <c r="H84" s="193"/>
      <c r="I84" s="193"/>
      <c r="J84" s="193"/>
      <c r="K84" s="193"/>
      <c r="L84" s="193"/>
    </row>
    <row r="85" spans="2:12" ht="26.25" x14ac:dyDescent="0.4">
      <c r="B85" s="194" t="s">
        <v>141</v>
      </c>
      <c r="C85" s="166"/>
      <c r="D85" s="193"/>
      <c r="E85" s="195"/>
      <c r="F85" s="193"/>
      <c r="G85" s="193"/>
      <c r="H85" s="193"/>
      <c r="I85" s="193"/>
      <c r="J85" s="193"/>
      <c r="K85" s="193"/>
      <c r="L85" s="193"/>
    </row>
    <row r="86" spans="2:12" ht="21" thickBot="1" x14ac:dyDescent="0.35">
      <c r="B86" s="193"/>
      <c r="C86" s="193"/>
      <c r="D86" s="193"/>
      <c r="E86" s="217" t="s">
        <v>402</v>
      </c>
      <c r="F86" s="193"/>
      <c r="G86" s="193"/>
      <c r="H86" s="193"/>
      <c r="I86" s="193"/>
      <c r="J86" s="193"/>
      <c r="K86" s="193"/>
      <c r="L86" s="193"/>
    </row>
    <row r="87" spans="2:12" ht="57.75" thickBot="1" x14ac:dyDescent="0.3">
      <c r="B87" s="218" t="s">
        <v>180</v>
      </c>
      <c r="C87" s="219" t="s">
        <v>181</v>
      </c>
      <c r="D87" s="219" t="s">
        <v>405</v>
      </c>
      <c r="E87" s="219" t="s">
        <v>406</v>
      </c>
      <c r="F87" s="219" t="s">
        <v>184</v>
      </c>
      <c r="G87" s="219" t="s">
        <v>185</v>
      </c>
      <c r="H87" s="219" t="s">
        <v>186</v>
      </c>
      <c r="I87" s="219" t="s">
        <v>187</v>
      </c>
      <c r="J87" s="219" t="s">
        <v>403</v>
      </c>
      <c r="K87" s="219" t="s">
        <v>189</v>
      </c>
      <c r="L87" s="220" t="s">
        <v>404</v>
      </c>
    </row>
    <row r="88" spans="2:12" ht="23.25" x14ac:dyDescent="0.25">
      <c r="B88" s="221"/>
      <c r="C88" s="222"/>
      <c r="D88" s="223"/>
      <c r="E88" s="223"/>
      <c r="F88" s="223"/>
      <c r="G88" s="224"/>
      <c r="H88" s="222"/>
      <c r="I88" s="223"/>
      <c r="J88" s="223"/>
      <c r="K88" s="223"/>
      <c r="L88" s="225"/>
    </row>
    <row r="89" spans="2:12" x14ac:dyDescent="0.25">
      <c r="B89" s="226" t="s">
        <v>54</v>
      </c>
      <c r="C89" s="227">
        <v>833333.3</v>
      </c>
      <c r="D89" s="198">
        <v>1080000</v>
      </c>
      <c r="E89" s="199">
        <v>1060388.32</v>
      </c>
      <c r="F89" s="228" t="s">
        <v>191</v>
      </c>
      <c r="G89" s="229">
        <v>1</v>
      </c>
      <c r="H89" s="230">
        <f>E89/D89</f>
        <v>0.98184103703703707</v>
      </c>
      <c r="I89" s="231">
        <f>E89/C89</f>
        <v>1.2724660348986414</v>
      </c>
      <c r="J89" s="199">
        <v>976230.25</v>
      </c>
      <c r="K89" s="231">
        <f>(E89-J89)/J89</f>
        <v>8.6207193436179691E-2</v>
      </c>
      <c r="L89" s="232">
        <f>1050000/30</f>
        <v>35000</v>
      </c>
    </row>
    <row r="90" spans="2:12" ht="43.5" thickBot="1" x14ac:dyDescent="0.3">
      <c r="B90" s="233"/>
      <c r="C90" s="234" t="s">
        <v>192</v>
      </c>
      <c r="D90" s="235"/>
      <c r="E90" s="236"/>
      <c r="F90" s="236"/>
      <c r="G90" s="237"/>
      <c r="H90" s="238"/>
      <c r="I90" s="239"/>
      <c r="J90" s="236"/>
      <c r="K90" s="239"/>
      <c r="L90" s="240"/>
    </row>
    <row r="91" spans="2:12" x14ac:dyDescent="0.25">
      <c r="B91" s="241"/>
      <c r="C91" s="241"/>
      <c r="D91" s="241"/>
      <c r="E91" s="241"/>
      <c r="F91" s="241"/>
      <c r="G91" s="241"/>
      <c r="H91" s="241"/>
      <c r="I91" s="241"/>
      <c r="J91" s="241"/>
      <c r="K91" s="241"/>
      <c r="L91" s="241"/>
    </row>
    <row r="92" spans="2:12" ht="15.75" x14ac:dyDescent="0.25">
      <c r="B92" s="194" t="s">
        <v>407</v>
      </c>
      <c r="C92" s="241"/>
      <c r="D92" s="241"/>
      <c r="E92" s="241"/>
      <c r="F92" s="241"/>
      <c r="G92" s="241"/>
      <c r="H92" s="241"/>
      <c r="I92" s="241"/>
      <c r="J92" s="241"/>
      <c r="K92" s="241"/>
      <c r="L92" s="241"/>
    </row>
    <row r="93" spans="2:12" ht="18.75" x14ac:dyDescent="0.25">
      <c r="B93" s="242" t="s">
        <v>204</v>
      </c>
      <c r="C93" s="241"/>
      <c r="D93" s="241"/>
      <c r="E93" s="241"/>
      <c r="F93" s="241"/>
      <c r="G93" s="241"/>
      <c r="H93" s="1"/>
      <c r="I93" s="241"/>
      <c r="J93" s="241"/>
      <c r="K93" s="241"/>
      <c r="L93" s="241"/>
    </row>
    <row r="94" spans="2:12" ht="18.75" x14ac:dyDescent="0.25">
      <c r="B94" s="242"/>
      <c r="C94" s="241"/>
      <c r="D94" s="241"/>
      <c r="E94" s="241"/>
      <c r="F94" s="241"/>
      <c r="G94" s="241"/>
      <c r="H94" s="1"/>
      <c r="I94" s="241"/>
      <c r="J94" s="241"/>
      <c r="K94" s="241"/>
      <c r="L94" s="241"/>
    </row>
    <row r="95" spans="2:12" ht="18.75" x14ac:dyDescent="0.25">
      <c r="B95" s="242"/>
      <c r="C95" s="241"/>
      <c r="D95" s="241"/>
      <c r="E95" s="241"/>
      <c r="F95" s="241"/>
      <c r="G95" s="241"/>
      <c r="H95" s="1"/>
      <c r="I95" s="241"/>
      <c r="J95" s="241"/>
      <c r="K95" s="241"/>
      <c r="L95" s="241"/>
    </row>
    <row r="96" spans="2:12" ht="15.75" x14ac:dyDescent="0.25">
      <c r="B96" s="241"/>
      <c r="C96" s="241"/>
      <c r="D96" s="241"/>
      <c r="E96" s="241"/>
      <c r="F96" s="241"/>
      <c r="G96" s="241"/>
      <c r="H96" s="241"/>
      <c r="I96" s="241"/>
      <c r="K96" s="194" t="s">
        <v>52</v>
      </c>
      <c r="L96" s="241"/>
    </row>
    <row r="97" spans="2:12" ht="15.75" x14ac:dyDescent="0.25">
      <c r="B97" s="241"/>
      <c r="C97" s="241"/>
      <c r="D97" s="241"/>
      <c r="E97" s="241"/>
      <c r="F97" s="241"/>
      <c r="G97" s="241"/>
      <c r="H97" s="241"/>
      <c r="I97" s="241"/>
      <c r="K97" s="194" t="s">
        <v>194</v>
      </c>
      <c r="L97" s="241"/>
    </row>
    <row r="98" spans="2:12" ht="15.75" x14ac:dyDescent="0.25">
      <c r="B98" s="166" t="s">
        <v>195</v>
      </c>
      <c r="C98" s="243"/>
      <c r="D98" s="243"/>
      <c r="E98" s="193"/>
      <c r="F98" s="193"/>
      <c r="G98" s="193"/>
      <c r="H98" s="193"/>
      <c r="I98" s="193"/>
      <c r="J98" s="193"/>
      <c r="K98" s="193"/>
      <c r="L98" s="193"/>
    </row>
    <row r="99" spans="2:12" ht="15.75" x14ac:dyDescent="0.25">
      <c r="B99" s="166" t="s">
        <v>196</v>
      </c>
      <c r="C99" s="244"/>
      <c r="D99" s="244"/>
      <c r="E99" s="245"/>
      <c r="F99" s="245"/>
      <c r="G99" s="245"/>
      <c r="H99" s="245"/>
      <c r="I99" s="245"/>
      <c r="J99" s="245"/>
      <c r="K99" s="245"/>
      <c r="L99" s="245"/>
    </row>
    <row r="100" spans="2:12" ht="15.75" x14ac:dyDescent="0.25">
      <c r="B100" s="166" t="s">
        <v>197</v>
      </c>
      <c r="C100" s="245"/>
      <c r="D100" s="245"/>
      <c r="E100" s="245"/>
      <c r="F100" s="245"/>
      <c r="G100" s="245"/>
      <c r="H100" s="245"/>
      <c r="I100" s="245"/>
      <c r="J100" s="245"/>
      <c r="K100" s="245"/>
      <c r="L100" s="245"/>
    </row>
  </sheetData>
  <pageMargins left="0.70866141732283472" right="0.70866141732283472" top="0.74803149606299213" bottom="0.74803149606299213" header="0.31496062992125984" footer="0.31496062992125984"/>
  <pageSetup paperSize="9" scale="24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M5" sqref="M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223</v>
      </c>
    </row>
    <row r="3" spans="1:21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21" ht="15" customHeight="1" x14ac:dyDescent="0.25">
      <c r="A4" s="20"/>
      <c r="B4" s="21" t="s">
        <v>14</v>
      </c>
      <c r="C4" s="22"/>
      <c r="D4" s="22">
        <v>34</v>
      </c>
      <c r="E4" s="22">
        <v>35</v>
      </c>
      <c r="F4" s="22">
        <v>35</v>
      </c>
      <c r="G4" s="22">
        <v>24</v>
      </c>
      <c r="H4" s="22">
        <v>25</v>
      </c>
      <c r="I4" s="22">
        <v>27</v>
      </c>
      <c r="J4" s="22">
        <v>25</v>
      </c>
      <c r="K4" s="22">
        <v>168</v>
      </c>
      <c r="L4" s="22">
        <v>37</v>
      </c>
      <c r="M4" s="93">
        <f t="shared" ref="M4" si="0">K4+L4</f>
        <v>205</v>
      </c>
      <c r="N4" s="104" t="s">
        <v>56</v>
      </c>
      <c r="O4" s="95" t="s">
        <v>87</v>
      </c>
      <c r="P4" s="105" t="s">
        <v>88</v>
      </c>
      <c r="Q4" s="33" t="s">
        <v>231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" si="1">K5+L5</f>
        <v>0</v>
      </c>
      <c r="N5" s="104" t="s">
        <v>174</v>
      </c>
      <c r="O5" s="66" t="s">
        <v>13</v>
      </c>
      <c r="P5" s="66" t="s">
        <v>13</v>
      </c>
      <c r="Q5" s="66" t="s">
        <v>230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5</v>
      </c>
      <c r="F6" s="22">
        <v>6</v>
      </c>
      <c r="G6" s="22">
        <v>4</v>
      </c>
      <c r="H6" s="22"/>
      <c r="I6" s="22">
        <v>3</v>
      </c>
      <c r="J6" s="22"/>
      <c r="K6" s="22">
        <v>18</v>
      </c>
      <c r="L6" s="22">
        <v>0</v>
      </c>
      <c r="M6" s="93">
        <f t="shared" ref="M6:M7" si="2">K6+L6</f>
        <v>18</v>
      </c>
      <c r="N6" s="104" t="s">
        <v>56</v>
      </c>
      <c r="O6" s="96"/>
      <c r="P6" s="65"/>
      <c r="Q6" s="281" t="s">
        <v>232</v>
      </c>
    </row>
    <row r="7" spans="1:21" ht="15" customHeight="1" x14ac:dyDescent="0.25">
      <c r="A7" s="25"/>
      <c r="B7" s="21" t="s">
        <v>19</v>
      </c>
      <c r="C7" s="22"/>
      <c r="D7" s="22">
        <v>3</v>
      </c>
      <c r="E7" s="22">
        <v>3</v>
      </c>
      <c r="F7" s="22"/>
      <c r="G7" s="22"/>
      <c r="H7" s="22"/>
      <c r="I7" s="22"/>
      <c r="J7" s="22"/>
      <c r="K7" s="22">
        <v>6</v>
      </c>
      <c r="L7" s="22">
        <v>0</v>
      </c>
      <c r="M7" s="93">
        <f t="shared" si="2"/>
        <v>6</v>
      </c>
      <c r="N7" s="104" t="s">
        <v>224</v>
      </c>
      <c r="O7" s="97"/>
      <c r="P7" s="65"/>
      <c r="Q7" s="282"/>
    </row>
    <row r="8" spans="1:21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21" ht="12" customHeight="1" x14ac:dyDescent="0.25">
      <c r="A9" s="33"/>
      <c r="B9" s="34" t="s">
        <v>14</v>
      </c>
      <c r="C9" s="22"/>
      <c r="D9" s="22">
        <v>28</v>
      </c>
      <c r="E9" s="22">
        <v>32</v>
      </c>
      <c r="F9" s="22"/>
      <c r="G9" s="22"/>
      <c r="H9" s="22"/>
      <c r="I9" s="22"/>
      <c r="J9" s="22"/>
      <c r="K9" s="22">
        <v>160</v>
      </c>
      <c r="L9" s="22">
        <v>6</v>
      </c>
      <c r="M9" s="93">
        <f t="shared" ref="M9:M12" si="3">K9+L9</f>
        <v>166</v>
      </c>
      <c r="N9" s="82" t="s">
        <v>56</v>
      </c>
      <c r="O9" s="99"/>
      <c r="P9" s="82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14</v>
      </c>
      <c r="L10" s="22">
        <v>0</v>
      </c>
      <c r="M10" s="93">
        <f t="shared" si="3"/>
        <v>14</v>
      </c>
      <c r="N10" s="82" t="s">
        <v>225</v>
      </c>
      <c r="O10" s="275" t="s">
        <v>123</v>
      </c>
      <c r="P10" s="276"/>
      <c r="Q10" s="43" t="s">
        <v>72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/>
      <c r="G11" s="22"/>
      <c r="H11" s="22"/>
      <c r="I11" s="22"/>
      <c r="J11" s="22"/>
      <c r="K11" s="22">
        <v>20</v>
      </c>
      <c r="L11" s="22">
        <v>0</v>
      </c>
      <c r="M11" s="93">
        <f t="shared" si="3"/>
        <v>20</v>
      </c>
      <c r="N11" s="82" t="s">
        <v>56</v>
      </c>
      <c r="O11" s="82"/>
      <c r="P11" s="82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1</v>
      </c>
      <c r="F12" s="22"/>
      <c r="G12" s="22"/>
      <c r="H12" s="22"/>
      <c r="I12" s="22"/>
      <c r="J12" s="22"/>
      <c r="K12" s="22">
        <v>36</v>
      </c>
      <c r="L12" s="22">
        <v>0</v>
      </c>
      <c r="M12" s="93">
        <f t="shared" si="3"/>
        <v>36</v>
      </c>
      <c r="N12" s="82"/>
      <c r="O12" s="82"/>
      <c r="P12" s="82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 t="s">
        <v>132</v>
      </c>
      <c r="P13" s="82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30</v>
      </c>
      <c r="F14" s="22">
        <v>34</v>
      </c>
      <c r="G14" s="22">
        <v>21</v>
      </c>
      <c r="H14" s="22">
        <v>20</v>
      </c>
      <c r="I14" s="22">
        <v>24</v>
      </c>
      <c r="J14" s="22">
        <v>16</v>
      </c>
      <c r="K14" s="22">
        <v>115</v>
      </c>
      <c r="L14" s="22">
        <v>55</v>
      </c>
      <c r="M14" s="93">
        <f t="shared" ref="M14:M17" si="4">K14+L14</f>
        <v>170</v>
      </c>
      <c r="N14" s="103" t="s">
        <v>56</v>
      </c>
      <c r="O14" s="101"/>
      <c r="P14" s="82"/>
      <c r="Q14" s="37"/>
    </row>
    <row r="15" spans="1:21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4"/>
        <v>0</v>
      </c>
      <c r="N15" s="103" t="s">
        <v>226</v>
      </c>
      <c r="O15" s="102"/>
      <c r="P15" s="82"/>
      <c r="Q15" s="37"/>
    </row>
    <row r="16" spans="1:21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4"/>
        <v>0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4</v>
      </c>
      <c r="F17" s="22">
        <v>7</v>
      </c>
      <c r="G17" s="22">
        <v>2</v>
      </c>
      <c r="H17" s="22">
        <v>3</v>
      </c>
      <c r="I17" s="22">
        <v>2</v>
      </c>
      <c r="J17" s="22"/>
      <c r="K17" s="22">
        <v>17</v>
      </c>
      <c r="L17" s="22">
        <v>8</v>
      </c>
      <c r="M17" s="93">
        <f t="shared" si="4"/>
        <v>25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541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14</v>
      </c>
      <c r="O19" s="69">
        <v>1123.6199999999999</v>
      </c>
      <c r="P19" s="46" t="s">
        <v>227</v>
      </c>
      <c r="Q19" s="65" t="s">
        <v>228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38</v>
      </c>
      <c r="O20" s="77" t="s">
        <v>64</v>
      </c>
      <c r="P20" s="75">
        <v>80</v>
      </c>
      <c r="Q20" s="65">
        <v>5401.92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:D22" si="5">C21-B21</f>
        <v>0.25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206.92361111111111</v>
      </c>
      <c r="I21" s="66">
        <v>207.20833333333334</v>
      </c>
      <c r="J21" s="71">
        <f>I21-H21-K21</f>
        <v>0.28472222222222854</v>
      </c>
      <c r="K21" s="66"/>
      <c r="L21" s="73">
        <f>D21+G21+J21</f>
        <v>0.82638888888888573</v>
      </c>
      <c r="M21" s="154" t="s">
        <v>47</v>
      </c>
      <c r="N21" s="65">
        <f>M17+M12+M7</f>
        <v>67</v>
      </c>
      <c r="O21" s="78" t="s">
        <v>68</v>
      </c>
      <c r="P21" s="75">
        <v>185</v>
      </c>
      <c r="Q21" s="65">
        <v>5417.75</v>
      </c>
    </row>
    <row r="22" spans="1:20" ht="27" customHeight="1" x14ac:dyDescent="0.25">
      <c r="A22" s="16" t="s">
        <v>48</v>
      </c>
      <c r="B22" s="66">
        <v>206.26041666666666</v>
      </c>
      <c r="C22" s="66">
        <v>206.54166666666666</v>
      </c>
      <c r="D22" s="66">
        <f t="shared" si="5"/>
        <v>0.28125</v>
      </c>
      <c r="E22" s="66">
        <v>206.58333333333334</v>
      </c>
      <c r="F22" s="66">
        <v>206.875</v>
      </c>
      <c r="G22" s="66">
        <f>F22-E22</f>
        <v>0.29166666666665719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0.86458333333334281</v>
      </c>
      <c r="M22" s="49" t="s">
        <v>49</v>
      </c>
      <c r="N22" s="65">
        <v>30023.62</v>
      </c>
      <c r="O22" s="80" t="s">
        <v>65</v>
      </c>
      <c r="P22" s="75">
        <v>131</v>
      </c>
      <c r="Q22" s="65">
        <v>3779.54</v>
      </c>
    </row>
    <row r="23" spans="1:20" ht="27" customHeight="1" x14ac:dyDescent="0.25">
      <c r="A23" s="157" t="s">
        <v>50</v>
      </c>
      <c r="B23" s="66">
        <v>206.34027777777777</v>
      </c>
      <c r="C23" s="66">
        <v>206.54166666666666</v>
      </c>
      <c r="D23" s="66">
        <f t="shared" ref="D23" si="6">C23-B23</f>
        <v>0.20138888888888573</v>
      </c>
      <c r="E23" s="66">
        <v>206.58680555555554</v>
      </c>
      <c r="F23" s="66">
        <v>206.78125</v>
      </c>
      <c r="G23" s="66">
        <f t="shared" ref="G23" si="7">F23-E23</f>
        <v>0.19444444444445708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0.68750000000002842</v>
      </c>
      <c r="M23" s="154" t="s">
        <v>63</v>
      </c>
      <c r="N23" s="85">
        <v>10</v>
      </c>
      <c r="O23" s="86" t="s">
        <v>66</v>
      </c>
      <c r="P23" s="76">
        <v>37</v>
      </c>
      <c r="Q23" s="65">
        <v>1162.24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0.73263888888888573</v>
      </c>
      <c r="E24" s="68"/>
      <c r="F24" s="68"/>
      <c r="G24" s="66">
        <f>SUM(G21:G23)</f>
        <v>0.77777777777777146</v>
      </c>
      <c r="H24" s="68"/>
      <c r="I24" s="68"/>
      <c r="J24" s="71">
        <f>SUM(J21:J23)</f>
        <v>0.86805555555559977</v>
      </c>
      <c r="K24" s="75"/>
      <c r="L24" s="83">
        <f>SUM(L21:L23)</f>
        <v>2.378472222222257</v>
      </c>
      <c r="M24" s="65" t="s">
        <v>77</v>
      </c>
      <c r="N24" s="65">
        <v>37218.480000000003</v>
      </c>
      <c r="P24" s="79" t="s">
        <v>67</v>
      </c>
      <c r="Q24" s="43">
        <v>3779.54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N24+Sheet3!O25</f>
        <v>140662.17000000001</v>
      </c>
      <c r="P25" s="154" t="s">
        <v>76</v>
      </c>
      <c r="Q25" s="87">
        <v>47617.19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48000</v>
      </c>
      <c r="P26" s="51" t="s">
        <v>86</v>
      </c>
      <c r="Q26" s="69">
        <v>53019.11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57.05</v>
      </c>
      <c r="M27" s="55"/>
      <c r="N27" s="88">
        <f>N22/L27</f>
        <v>526.26853637160389</v>
      </c>
      <c r="O27" s="81" t="s">
        <v>73</v>
      </c>
      <c r="P27" s="69"/>
      <c r="Q27" s="65" t="s">
        <v>229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O1" sqref="O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1.5703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233</v>
      </c>
    </row>
    <row r="3" spans="1:17" ht="28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3</v>
      </c>
      <c r="E4" s="22">
        <v>20</v>
      </c>
      <c r="F4" s="22">
        <v>20</v>
      </c>
      <c r="G4" s="22">
        <v>19</v>
      </c>
      <c r="H4" s="22">
        <v>20</v>
      </c>
      <c r="I4" s="22">
        <v>30</v>
      </c>
      <c r="J4" s="22">
        <v>33</v>
      </c>
      <c r="K4" s="22">
        <v>85</v>
      </c>
      <c r="L4" s="22">
        <v>50</v>
      </c>
      <c r="M4" s="93">
        <f t="shared" ref="M4:M17" si="0">K4+L4</f>
        <v>135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si="0"/>
        <v>0</v>
      </c>
      <c r="N5" s="104" t="s">
        <v>174</v>
      </c>
      <c r="O5" s="66"/>
      <c r="P5" s="66"/>
      <c r="Q5" s="66" t="s">
        <v>235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6</v>
      </c>
      <c r="G6" s="22">
        <v>9</v>
      </c>
      <c r="H6" s="22"/>
      <c r="I6" s="22">
        <v>2</v>
      </c>
      <c r="J6" s="22"/>
      <c r="K6" s="22">
        <v>15</v>
      </c>
      <c r="L6" s="22">
        <v>7</v>
      </c>
      <c r="M6" s="93">
        <f t="shared" si="0"/>
        <v>22</v>
      </c>
      <c r="N6" s="104" t="s">
        <v>56</v>
      </c>
      <c r="O6" s="96"/>
      <c r="P6" s="65"/>
      <c r="Q6" s="281" t="s">
        <v>238</v>
      </c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>
        <v>3</v>
      </c>
      <c r="H7" s="22">
        <v>5</v>
      </c>
      <c r="I7" s="22">
        <v>3</v>
      </c>
      <c r="J7" s="22">
        <v>3</v>
      </c>
      <c r="K7" s="22">
        <v>14</v>
      </c>
      <c r="L7" s="22">
        <v>0</v>
      </c>
      <c r="M7" s="93">
        <f t="shared" si="0"/>
        <v>14</v>
      </c>
      <c r="N7" s="104" t="s">
        <v>159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247" t="s">
        <v>237</v>
      </c>
    </row>
    <row r="9" spans="1:17" ht="15" customHeight="1" x14ac:dyDescent="0.25">
      <c r="A9" s="33"/>
      <c r="B9" s="34" t="s">
        <v>14</v>
      </c>
      <c r="C9" s="22"/>
      <c r="D9" s="22">
        <v>25</v>
      </c>
      <c r="E9" s="22">
        <v>25</v>
      </c>
      <c r="F9" s="22">
        <v>27</v>
      </c>
      <c r="G9" s="22">
        <v>23</v>
      </c>
      <c r="H9" s="22">
        <v>25</v>
      </c>
      <c r="I9" s="22">
        <v>27</v>
      </c>
      <c r="J9" s="22"/>
      <c r="K9" s="22">
        <v>127</v>
      </c>
      <c r="L9" s="22">
        <v>56</v>
      </c>
      <c r="M9" s="93">
        <f t="shared" si="0"/>
        <v>183</v>
      </c>
      <c r="N9" s="82" t="s">
        <v>242</v>
      </c>
      <c r="O9" s="99"/>
      <c r="P9" s="82"/>
      <c r="Q9" s="246" t="s">
        <v>236</v>
      </c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5</v>
      </c>
      <c r="G10" s="22">
        <v>5</v>
      </c>
      <c r="H10" s="22">
        <v>5</v>
      </c>
      <c r="I10" s="22">
        <v>5</v>
      </c>
      <c r="J10" s="22"/>
      <c r="K10" s="22">
        <v>20</v>
      </c>
      <c r="L10" s="22">
        <v>0</v>
      </c>
      <c r="M10" s="93">
        <f t="shared" si="0"/>
        <v>20</v>
      </c>
      <c r="N10" s="82" t="s">
        <v>174</v>
      </c>
      <c r="O10" s="275" t="s">
        <v>121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0"/>
        <v>0</v>
      </c>
      <c r="N11" s="82" t="s">
        <v>56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10</v>
      </c>
      <c r="E12" s="22">
        <v>15</v>
      </c>
      <c r="F12" s="22">
        <v>10</v>
      </c>
      <c r="G12" s="22">
        <v>15</v>
      </c>
      <c r="H12" s="22">
        <v>15</v>
      </c>
      <c r="I12" s="22">
        <v>10</v>
      </c>
      <c r="J12" s="22">
        <v>20</v>
      </c>
      <c r="K12" s="22">
        <v>56</v>
      </c>
      <c r="L12" s="22">
        <v>35</v>
      </c>
      <c r="M12" s="93">
        <f t="shared" si="0"/>
        <v>91</v>
      </c>
      <c r="N12" s="82" t="s">
        <v>13</v>
      </c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284" t="s">
        <v>132</v>
      </c>
      <c r="P13" s="285"/>
      <c r="Q13" s="36" t="s">
        <v>234</v>
      </c>
    </row>
    <row r="14" spans="1:17" ht="15" x14ac:dyDescent="0.25">
      <c r="A14" s="33"/>
      <c r="B14" s="21" t="s">
        <v>14</v>
      </c>
      <c r="C14" s="22"/>
      <c r="D14" s="22">
        <v>20</v>
      </c>
      <c r="E14" s="22">
        <v>26</v>
      </c>
      <c r="F14" s="22">
        <v>34</v>
      </c>
      <c r="G14" s="22">
        <v>28</v>
      </c>
      <c r="H14" s="22">
        <v>30</v>
      </c>
      <c r="I14" s="22">
        <v>14</v>
      </c>
      <c r="J14" s="22">
        <v>14</v>
      </c>
      <c r="K14" s="22">
        <v>82</v>
      </c>
      <c r="L14" s="22">
        <v>84</v>
      </c>
      <c r="M14" s="93">
        <f t="shared" si="0"/>
        <v>166</v>
      </c>
      <c r="N14" s="103" t="s">
        <v>56</v>
      </c>
      <c r="O14" s="101"/>
      <c r="P14" s="82"/>
      <c r="Q14" s="37" t="s">
        <v>239</v>
      </c>
    </row>
    <row r="15" spans="1:17" ht="18" customHeight="1" x14ac:dyDescent="0.25">
      <c r="A15" s="106" t="s">
        <v>36</v>
      </c>
      <c r="B15" s="21" t="s">
        <v>16</v>
      </c>
      <c r="C15" s="22"/>
      <c r="D15" s="22">
        <v>2</v>
      </c>
      <c r="E15" s="22">
        <v>3</v>
      </c>
      <c r="F15" s="22">
        <v>2</v>
      </c>
      <c r="G15" s="22">
        <v>2</v>
      </c>
      <c r="H15" s="22">
        <v>1</v>
      </c>
      <c r="I15" s="22"/>
      <c r="J15" s="22"/>
      <c r="K15" s="22">
        <v>10</v>
      </c>
      <c r="L15" s="22">
        <v>0</v>
      </c>
      <c r="M15" s="93">
        <f t="shared" si="0"/>
        <v>10</v>
      </c>
      <c r="N15" s="103" t="s">
        <v>174</v>
      </c>
      <c r="O15" s="101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3">
        <f t="shared" si="0"/>
        <v>0</v>
      </c>
      <c r="N16" s="103"/>
      <c r="O16" s="101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3</v>
      </c>
      <c r="F17" s="22">
        <v>4</v>
      </c>
      <c r="G17" s="22">
        <v>3</v>
      </c>
      <c r="H17" s="22">
        <v>2</v>
      </c>
      <c r="I17" s="22">
        <v>1</v>
      </c>
      <c r="J17" s="22">
        <v>1</v>
      </c>
      <c r="K17" s="22">
        <v>15</v>
      </c>
      <c r="L17" s="22">
        <v>0</v>
      </c>
      <c r="M17" s="93">
        <f t="shared" si="0"/>
        <v>15</v>
      </c>
      <c r="N17" s="103"/>
      <c r="O17" s="283" t="s">
        <v>13</v>
      </c>
      <c r="P17" s="280"/>
      <c r="Q17" s="36" t="s">
        <v>13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484</v>
      </c>
      <c r="O18" s="277" t="s">
        <v>70</v>
      </c>
      <c r="P18" s="278"/>
      <c r="Q18" s="65" t="s">
        <v>240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30</v>
      </c>
      <c r="O19" s="69">
        <v>1322</v>
      </c>
      <c r="P19" s="46" t="s">
        <v>124</v>
      </c>
      <c r="Q19" s="65" t="s">
        <v>241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22</v>
      </c>
      <c r="O20" s="77" t="s">
        <v>64</v>
      </c>
      <c r="P20" s="75">
        <v>80</v>
      </c>
      <c r="Q20" s="65">
        <v>5327.7</v>
      </c>
    </row>
    <row r="21" spans="1:20" ht="25.5" customHeight="1" x14ac:dyDescent="0.25">
      <c r="A21" s="16" t="s">
        <v>46</v>
      </c>
      <c r="B21" s="66">
        <v>206.27777777777777</v>
      </c>
      <c r="C21" s="66">
        <v>206.54166666666666</v>
      </c>
      <c r="D21" s="66">
        <f t="shared" ref="D21:D22" si="1">C21-B21</f>
        <v>0.26388888888888573</v>
      </c>
      <c r="E21" s="66">
        <v>206.58333333333334</v>
      </c>
      <c r="F21" s="66">
        <v>206.875</v>
      </c>
      <c r="G21" s="66">
        <f t="shared" ref="G21" si="2">F21-E21</f>
        <v>0.29166666666665719</v>
      </c>
      <c r="H21" s="66">
        <v>206.92708333333334</v>
      </c>
      <c r="I21" s="66">
        <v>207.08333333333334</v>
      </c>
      <c r="J21" s="71">
        <f>I21-H21-K21</f>
        <v>0.15625</v>
      </c>
      <c r="K21" s="66"/>
      <c r="L21" s="73">
        <f>D21+G21+J21</f>
        <v>0.71180555555554292</v>
      </c>
      <c r="M21" s="154" t="s">
        <v>47</v>
      </c>
      <c r="N21" s="65">
        <f>M17+M12+M7</f>
        <v>120</v>
      </c>
      <c r="O21" s="78" t="s">
        <v>68</v>
      </c>
      <c r="P21" s="75">
        <v>185</v>
      </c>
      <c r="Q21" s="65">
        <v>5508.56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1"/>
        <v>0.29166666666665719</v>
      </c>
      <c r="E22" s="66">
        <v>206.72916666666666</v>
      </c>
      <c r="F22" s="66">
        <v>206.875</v>
      </c>
      <c r="G22" s="66">
        <f t="shared" ref="G22:G23" si="3">F22-E22</f>
        <v>0.14583333333334281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0.73611111111111427</v>
      </c>
      <c r="M22" s="49" t="s">
        <v>49</v>
      </c>
      <c r="N22" s="65">
        <v>26972.68</v>
      </c>
      <c r="O22" s="80" t="s">
        <v>65</v>
      </c>
      <c r="P22" s="75">
        <v>146</v>
      </c>
      <c r="Q22" s="65">
        <v>3733.24</v>
      </c>
    </row>
    <row r="23" spans="1:20" ht="27" customHeight="1" x14ac:dyDescent="0.25">
      <c r="A23" s="157" t="s">
        <v>50</v>
      </c>
      <c r="B23" s="66">
        <v>206.25694444444446</v>
      </c>
      <c r="C23" s="66">
        <v>206.54166666666666</v>
      </c>
      <c r="D23" s="66">
        <f t="shared" ref="D23" si="4">C23-B23</f>
        <v>0.28472222222220012</v>
      </c>
      <c r="E23" s="66">
        <v>206.57986111111111</v>
      </c>
      <c r="F23" s="66">
        <v>206.875</v>
      </c>
      <c r="G23" s="66">
        <f t="shared" si="3"/>
        <v>0.29513888888888573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0.87152777777777146</v>
      </c>
      <c r="M23" s="154" t="s">
        <v>63</v>
      </c>
      <c r="N23" s="85">
        <v>9</v>
      </c>
      <c r="O23" s="86" t="s">
        <v>66</v>
      </c>
      <c r="P23" s="76" t="s">
        <v>13</v>
      </c>
      <c r="Q23" s="65" t="s">
        <v>13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0.84027777777774304</v>
      </c>
      <c r="E24" s="68"/>
      <c r="F24" s="68"/>
      <c r="G24" s="66">
        <f>SUM(G21:G23)</f>
        <v>0.73263888888888573</v>
      </c>
      <c r="H24" s="68"/>
      <c r="I24" s="68"/>
      <c r="J24" s="71">
        <f>SUM(J21:J23)</f>
        <v>0.74652777777779988</v>
      </c>
      <c r="K24" s="75"/>
      <c r="L24" s="83">
        <f>SUM(L21:L23)</f>
        <v>2.3194444444444287</v>
      </c>
      <c r="M24" s="65" t="s">
        <v>77</v>
      </c>
      <c r="N24" s="65">
        <v>33397.910000000003</v>
      </c>
      <c r="P24" s="79" t="s">
        <v>67</v>
      </c>
      <c r="Q24" s="43">
        <v>43785.73</v>
      </c>
    </row>
    <row r="25" spans="1:20" ht="20.25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N24+Sheet4!O25</f>
        <v>174060.08000000002</v>
      </c>
      <c r="P25" s="154" t="s">
        <v>76</v>
      </c>
      <c r="Q25" s="87">
        <v>49112.79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50000</v>
      </c>
      <c r="P26" s="51" t="s">
        <v>86</v>
      </c>
      <c r="Q26" s="69">
        <f>Q24+Sheet4!Q26</f>
        <v>96804.84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55.4</v>
      </c>
      <c r="M27" s="55"/>
      <c r="N27" s="88">
        <f>N22/L27</f>
        <v>486.87148014440436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9">
    <mergeCell ref="O3:P3"/>
    <mergeCell ref="Q6:Q7"/>
    <mergeCell ref="O10:P10"/>
    <mergeCell ref="O18:P18"/>
    <mergeCell ref="B19:D19"/>
    <mergeCell ref="E19:G19"/>
    <mergeCell ref="H19:J19"/>
    <mergeCell ref="O17:P17"/>
    <mergeCell ref="O13:P13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M4" sqref="M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243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26</v>
      </c>
      <c r="F4" s="22">
        <v>37</v>
      </c>
      <c r="G4" s="22">
        <v>76</v>
      </c>
      <c r="H4" s="22">
        <v>30</v>
      </c>
      <c r="I4" s="22">
        <v>20</v>
      </c>
      <c r="J4" s="22">
        <v>19</v>
      </c>
      <c r="K4" s="22">
        <v>133</v>
      </c>
      <c r="L4" s="22">
        <v>100</v>
      </c>
      <c r="M4" s="93">
        <f>K4+L4</f>
        <v>233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 t="s">
        <v>174</v>
      </c>
      <c r="O5" s="66"/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56</v>
      </c>
      <c r="O6" s="96"/>
      <c r="P6" s="65"/>
      <c r="Q6" s="273"/>
    </row>
    <row r="7" spans="1:17" ht="15" customHeight="1" x14ac:dyDescent="0.25">
      <c r="A7" s="25"/>
      <c r="B7" s="21" t="s">
        <v>19</v>
      </c>
      <c r="C7" s="22"/>
      <c r="D7" s="22">
        <v>9</v>
      </c>
      <c r="E7" s="22">
        <v>5</v>
      </c>
      <c r="F7" s="22">
        <v>1</v>
      </c>
      <c r="G7" s="22">
        <v>3</v>
      </c>
      <c r="H7" s="22"/>
      <c r="I7" s="22">
        <v>6</v>
      </c>
      <c r="J7" s="22">
        <v>5</v>
      </c>
      <c r="K7" s="22">
        <v>13</v>
      </c>
      <c r="L7" s="22">
        <v>16</v>
      </c>
      <c r="M7" s="93">
        <f t="shared" si="0"/>
        <v>29</v>
      </c>
      <c r="N7" s="104" t="s">
        <v>56</v>
      </c>
      <c r="O7" s="97"/>
      <c r="P7" s="65"/>
      <c r="Q7" s="274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32</v>
      </c>
      <c r="E9" s="22">
        <v>34</v>
      </c>
      <c r="F9" s="22">
        <v>36</v>
      </c>
      <c r="G9" s="22">
        <v>28</v>
      </c>
      <c r="H9" s="22">
        <v>40</v>
      </c>
      <c r="I9" s="22">
        <v>30</v>
      </c>
      <c r="J9" s="22">
        <v>25</v>
      </c>
      <c r="K9" s="22">
        <v>180</v>
      </c>
      <c r="L9" s="22">
        <v>45</v>
      </c>
      <c r="M9" s="93">
        <f>K9+L9</f>
        <v>225</v>
      </c>
      <c r="N9" s="82" t="s">
        <v>248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4</v>
      </c>
      <c r="F10" s="22"/>
      <c r="G10" s="22"/>
      <c r="H10" s="22">
        <v>10</v>
      </c>
      <c r="I10" s="22">
        <v>16</v>
      </c>
      <c r="J10" s="22">
        <v>6</v>
      </c>
      <c r="K10" s="22">
        <v>36</v>
      </c>
      <c r="L10" s="22">
        <v>0</v>
      </c>
      <c r="M10" s="93">
        <f t="shared" ref="M10:M12" si="1">K10+L10</f>
        <v>36</v>
      </c>
      <c r="N10" s="82" t="s">
        <v>56</v>
      </c>
      <c r="O10" s="275" t="s">
        <v>122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>
        <v>6</v>
      </c>
      <c r="I11" s="22">
        <v>6</v>
      </c>
      <c r="J11" s="22">
        <v>3</v>
      </c>
      <c r="K11" s="22">
        <v>15</v>
      </c>
      <c r="L11" s="22">
        <v>0</v>
      </c>
      <c r="M11" s="93">
        <f t="shared" si="1"/>
        <v>15</v>
      </c>
      <c r="N11" s="82" t="s">
        <v>249</v>
      </c>
      <c r="O11" s="66" t="s">
        <v>13</v>
      </c>
      <c r="P11" s="66" t="s">
        <v>13</v>
      </c>
      <c r="Q11" s="161" t="s">
        <v>13</v>
      </c>
    </row>
    <row r="12" spans="1:17" ht="13.5" customHeight="1" x14ac:dyDescent="0.25">
      <c r="A12" s="36"/>
      <c r="B12" s="34" t="s">
        <v>19</v>
      </c>
      <c r="C12" s="22"/>
      <c r="D12" s="22">
        <v>16</v>
      </c>
      <c r="E12" s="22">
        <v>24</v>
      </c>
      <c r="F12" s="22">
        <v>20</v>
      </c>
      <c r="G12" s="22">
        <v>9</v>
      </c>
      <c r="H12" s="22">
        <v>1</v>
      </c>
      <c r="I12" s="22">
        <v>3</v>
      </c>
      <c r="J12" s="22"/>
      <c r="K12" s="22">
        <v>32</v>
      </c>
      <c r="L12" s="22">
        <v>41</v>
      </c>
      <c r="M12" s="93">
        <f t="shared" si="1"/>
        <v>73</v>
      </c>
      <c r="N12" s="82"/>
      <c r="O12" s="82"/>
      <c r="P12" s="82"/>
      <c r="Q12" s="162" t="s">
        <v>13</v>
      </c>
    </row>
    <row r="13" spans="1:17" ht="33.7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160"/>
      <c r="Q13" s="159"/>
    </row>
    <row r="14" spans="1:17" x14ac:dyDescent="0.25">
      <c r="A14" s="33"/>
      <c r="B14" s="21" t="s">
        <v>14</v>
      </c>
      <c r="C14" s="22">
        <v>5</v>
      </c>
      <c r="D14" s="22">
        <v>42</v>
      </c>
      <c r="E14" s="22">
        <v>48</v>
      </c>
      <c r="F14" s="22">
        <v>45</v>
      </c>
      <c r="G14" s="22">
        <v>40</v>
      </c>
      <c r="H14" s="22">
        <v>45</v>
      </c>
      <c r="I14" s="22">
        <v>48</v>
      </c>
      <c r="J14" s="22">
        <v>32</v>
      </c>
      <c r="K14" s="22">
        <v>206</v>
      </c>
      <c r="L14" s="22">
        <v>95</v>
      </c>
      <c r="M14" s="93">
        <f>K14+L14</f>
        <v>301</v>
      </c>
      <c r="N14" s="103" t="s">
        <v>56</v>
      </c>
      <c r="O14" s="103"/>
      <c r="P14" s="82"/>
      <c r="Q14" s="37"/>
    </row>
    <row r="15" spans="1:17" ht="15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ref="M15:M17" si="2">K15+L15</f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2</v>
      </c>
      <c r="F16" s="22">
        <v>2</v>
      </c>
      <c r="G16" s="22">
        <v>2</v>
      </c>
      <c r="H16" s="22">
        <v>1</v>
      </c>
      <c r="I16" s="22"/>
      <c r="J16" s="22"/>
      <c r="K16" s="22">
        <v>5</v>
      </c>
      <c r="L16" s="22">
        <v>5</v>
      </c>
      <c r="M16" s="93">
        <f t="shared" si="2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5</v>
      </c>
      <c r="F17" s="22">
        <v>1</v>
      </c>
      <c r="G17" s="22">
        <v>2</v>
      </c>
      <c r="H17" s="22"/>
      <c r="I17" s="22"/>
      <c r="J17" s="22"/>
      <c r="K17" s="22">
        <v>6</v>
      </c>
      <c r="L17" s="22">
        <v>5</v>
      </c>
      <c r="M17" s="93">
        <f t="shared" si="2"/>
        <v>11</v>
      </c>
      <c r="N17" s="103"/>
      <c r="O17" s="103" t="s">
        <v>244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759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36</v>
      </c>
      <c r="O19" s="69">
        <v>1828.28</v>
      </c>
      <c r="P19" s="46" t="s">
        <v>245</v>
      </c>
      <c r="Q19" s="65" t="s">
        <v>246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25</v>
      </c>
      <c r="O20" s="77" t="s">
        <v>64</v>
      </c>
      <c r="P20" s="75">
        <v>100</v>
      </c>
      <c r="Q20" s="65">
        <v>6833.01</v>
      </c>
    </row>
    <row r="21" spans="1:20" ht="25.5" customHeight="1" x14ac:dyDescent="0.25">
      <c r="A21" s="16" t="s">
        <v>46</v>
      </c>
      <c r="B21" s="66">
        <v>206.40625</v>
      </c>
      <c r="C21" s="66">
        <v>206.54166666666666</v>
      </c>
      <c r="D21" s="66">
        <f t="shared" ref="D21" si="3">C21-B21</f>
        <v>0.13541666666665719</v>
      </c>
      <c r="E21" s="66">
        <v>206.58333333333334</v>
      </c>
      <c r="F21" s="66">
        <v>206.875</v>
      </c>
      <c r="G21" s="66">
        <f t="shared" ref="G21" si="4">F21-E21</f>
        <v>0.29166666666665719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0.72569444444442865</v>
      </c>
      <c r="M21" s="154" t="s">
        <v>47</v>
      </c>
      <c r="N21" s="65">
        <f>M17+M12+M7</f>
        <v>113</v>
      </c>
      <c r="O21" s="78" t="s">
        <v>68</v>
      </c>
      <c r="P21" s="75">
        <v>269</v>
      </c>
      <c r="Q21" s="65">
        <v>8072.4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" si="5">C22-B22</f>
        <v>0.29166666666665719</v>
      </c>
      <c r="E22" s="66">
        <v>206.58333333333334</v>
      </c>
      <c r="F22" s="66">
        <v>206.875</v>
      </c>
      <c r="G22" s="66">
        <f t="shared" ref="G22:G23" si="6">F22-E22</f>
        <v>0.29166666666665719</v>
      </c>
      <c r="H22" s="66">
        <v>206.90625</v>
      </c>
      <c r="I22" s="66">
        <v>207.20833333333334</v>
      </c>
      <c r="J22" s="71">
        <f>I22-H22-K22</f>
        <v>0.30208333333334281</v>
      </c>
      <c r="K22" s="75"/>
      <c r="L22" s="73">
        <f>D22+G22+J22</f>
        <v>0.88541666666665719</v>
      </c>
      <c r="M22" s="49" t="s">
        <v>49</v>
      </c>
      <c r="N22" s="65">
        <v>41678.28</v>
      </c>
      <c r="O22" s="80" t="s">
        <v>65</v>
      </c>
      <c r="P22" s="75">
        <v>156</v>
      </c>
      <c r="Q22" s="65">
        <v>4016.53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ref="D23" si="7">C23-B23</f>
        <v>0.27083333333331439</v>
      </c>
      <c r="E23" s="66">
        <v>206.59375</v>
      </c>
      <c r="F23" s="66">
        <v>206.875</v>
      </c>
      <c r="G23" s="66">
        <f t="shared" si="6"/>
        <v>0.28125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0.84375</v>
      </c>
      <c r="M23" s="154" t="s">
        <v>63</v>
      </c>
      <c r="N23" s="85">
        <v>9</v>
      </c>
      <c r="O23" s="86" t="s">
        <v>66</v>
      </c>
      <c r="P23" s="76" t="s">
        <v>13</v>
      </c>
      <c r="Q23" s="65" t="s">
        <v>13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0.69791666666662877</v>
      </c>
      <c r="E24" s="68"/>
      <c r="F24" s="68"/>
      <c r="G24" s="66">
        <f>SUM(G21:G23)</f>
        <v>0.86458333333331439</v>
      </c>
      <c r="H24" s="68"/>
      <c r="I24" s="68"/>
      <c r="J24" s="71">
        <f>SUM(J21:J23)</f>
        <v>0.89236111111114269</v>
      </c>
      <c r="K24" s="75"/>
      <c r="L24" s="83">
        <f>SUM(L21:L23)</f>
        <v>2.4548611111110858</v>
      </c>
      <c r="M24" s="65" t="s">
        <v>77</v>
      </c>
      <c r="N24" s="65">
        <v>33426.39</v>
      </c>
      <c r="P24" s="79" t="s">
        <v>67</v>
      </c>
      <c r="Q24" s="65">
        <v>46545.79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N24+Sheet5!O25</f>
        <v>207486.47000000003</v>
      </c>
      <c r="P25" s="154" t="s">
        <v>76</v>
      </c>
      <c r="Q25" s="87">
        <v>53378.8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86</v>
      </c>
      <c r="Q26" s="69">
        <f>Q24+Sheet5!Q26</f>
        <v>143350.63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8">
        <f>N22/L27</f>
        <v>711.84081981212637</v>
      </c>
      <c r="O27" s="81" t="s">
        <v>73</v>
      </c>
      <c r="P27" s="69"/>
      <c r="Q27" s="65" t="s">
        <v>247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I1" sqref="I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3.5703125" style="1" customWidth="1"/>
    <col min="16" max="16" width="13.42578125" style="1" customWidth="1"/>
    <col min="17" max="17" width="24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250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46</v>
      </c>
      <c r="E4" s="22">
        <v>50</v>
      </c>
      <c r="F4" s="22">
        <v>50</v>
      </c>
      <c r="G4" s="22">
        <v>23</v>
      </c>
      <c r="H4" s="22">
        <v>20</v>
      </c>
      <c r="I4" s="22">
        <v>24</v>
      </c>
      <c r="J4" s="22">
        <v>22</v>
      </c>
      <c r="K4" s="22">
        <v>160</v>
      </c>
      <c r="L4" s="22">
        <v>75</v>
      </c>
      <c r="M4" s="93">
        <f>K4+L4</f>
        <v>235</v>
      </c>
      <c r="N4" s="104" t="s">
        <v>56</v>
      </c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>K5+L5</f>
        <v>0</v>
      </c>
      <c r="N5" s="104" t="s">
        <v>174</v>
      </c>
      <c r="O5" s="66">
        <v>9.4027777777777786</v>
      </c>
      <c r="P5" s="66">
        <v>11.104166666666666</v>
      </c>
      <c r="Q5" s="66" t="s">
        <v>255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2</v>
      </c>
      <c r="F6" s="22"/>
      <c r="G6" s="22"/>
      <c r="H6" s="22">
        <v>4</v>
      </c>
      <c r="I6" s="22">
        <v>6</v>
      </c>
      <c r="J6" s="22"/>
      <c r="K6" s="22">
        <v>10</v>
      </c>
      <c r="L6" s="22">
        <v>2</v>
      </c>
      <c r="M6" s="93">
        <f>K6+L6</f>
        <v>12</v>
      </c>
      <c r="N6" s="104" t="s">
        <v>258</v>
      </c>
      <c r="O6" s="96"/>
      <c r="P6" s="65"/>
      <c r="Q6" s="281" t="s">
        <v>256</v>
      </c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7</v>
      </c>
      <c r="F7" s="22">
        <v>5</v>
      </c>
      <c r="G7" s="22">
        <v>2</v>
      </c>
      <c r="H7" s="22">
        <v>4</v>
      </c>
      <c r="I7" s="22">
        <v>3</v>
      </c>
      <c r="J7" s="22"/>
      <c r="K7" s="22">
        <v>26</v>
      </c>
      <c r="L7" s="22">
        <v>0</v>
      </c>
      <c r="M7" s="93">
        <f>K7+L7</f>
        <v>26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60</v>
      </c>
      <c r="L8" s="18" t="s">
        <v>61</v>
      </c>
      <c r="M8" s="92" t="s">
        <v>85</v>
      </c>
      <c r="N8" s="32" t="s">
        <v>12</v>
      </c>
      <c r="O8" s="98"/>
      <c r="P8" s="82"/>
      <c r="Q8" s="248" t="s">
        <v>257</v>
      </c>
    </row>
    <row r="9" spans="1:17" ht="17.25" customHeight="1" x14ac:dyDescent="0.25">
      <c r="A9" s="33"/>
      <c r="B9" s="34" t="s">
        <v>14</v>
      </c>
      <c r="C9" s="22"/>
      <c r="D9" s="22">
        <v>25</v>
      </c>
      <c r="E9" s="22">
        <v>30</v>
      </c>
      <c r="F9" s="93">
        <v>35</v>
      </c>
      <c r="G9" s="22">
        <v>22</v>
      </c>
      <c r="H9" s="22">
        <v>20</v>
      </c>
      <c r="I9" s="22">
        <v>43</v>
      </c>
      <c r="J9" s="22">
        <v>59</v>
      </c>
      <c r="K9" s="22">
        <v>166</v>
      </c>
      <c r="L9" s="22">
        <v>68</v>
      </c>
      <c r="M9" s="93">
        <f>K9+L9</f>
        <v>234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10</v>
      </c>
      <c r="E10" s="22">
        <v>2</v>
      </c>
      <c r="F10" s="22">
        <v>2</v>
      </c>
      <c r="G10" s="22">
        <v>4</v>
      </c>
      <c r="H10" s="22">
        <v>2</v>
      </c>
      <c r="I10" s="22">
        <v>5</v>
      </c>
      <c r="J10" s="22">
        <v>3</v>
      </c>
      <c r="K10" s="22">
        <v>28</v>
      </c>
      <c r="L10" s="22">
        <v>0</v>
      </c>
      <c r="M10" s="93">
        <f>K10+L10</f>
        <v>28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5</v>
      </c>
      <c r="F11" s="22">
        <v>5</v>
      </c>
      <c r="G11" s="22">
        <v>5</v>
      </c>
      <c r="H11" s="22">
        <v>12</v>
      </c>
      <c r="I11" s="22">
        <v>3</v>
      </c>
      <c r="J11" s="22"/>
      <c r="K11" s="22">
        <v>25</v>
      </c>
      <c r="L11" s="22">
        <v>0</v>
      </c>
      <c r="M11" s="93">
        <f>K11+L11</f>
        <v>25</v>
      </c>
      <c r="N11" s="82" t="s">
        <v>174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2</v>
      </c>
      <c r="G12" s="22">
        <v>2</v>
      </c>
      <c r="H12" s="22">
        <v>2</v>
      </c>
      <c r="I12" s="22">
        <v>2</v>
      </c>
      <c r="J12" s="22">
        <v>1</v>
      </c>
      <c r="K12" s="22">
        <v>12</v>
      </c>
      <c r="L12" s="22">
        <v>0</v>
      </c>
      <c r="M12" s="93">
        <f>K12+L12</f>
        <v>12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60</v>
      </c>
      <c r="L13" s="18" t="s">
        <v>61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29</v>
      </c>
      <c r="E14" s="22">
        <v>41</v>
      </c>
      <c r="F14" s="22">
        <v>46</v>
      </c>
      <c r="G14" s="22">
        <v>35</v>
      </c>
      <c r="H14" s="22">
        <v>45</v>
      </c>
      <c r="I14" s="22">
        <v>35</v>
      </c>
      <c r="J14" s="22">
        <v>35</v>
      </c>
      <c r="K14" s="22">
        <v>176</v>
      </c>
      <c r="L14" s="22">
        <v>90</v>
      </c>
      <c r="M14" s="93">
        <f>K14+L14</f>
        <v>266</v>
      </c>
      <c r="N14" s="103" t="s">
        <v>56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>K15+L15</f>
        <v>0</v>
      </c>
      <c r="N15" s="103" t="s">
        <v>174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4</v>
      </c>
      <c r="E16" s="22">
        <v>5</v>
      </c>
      <c r="F16" s="22">
        <v>7</v>
      </c>
      <c r="G16" s="22">
        <v>3</v>
      </c>
      <c r="H16" s="22">
        <v>2</v>
      </c>
      <c r="I16" s="22">
        <v>1</v>
      </c>
      <c r="J16" s="22"/>
      <c r="K16" s="22">
        <v>7</v>
      </c>
      <c r="L16" s="22">
        <v>15</v>
      </c>
      <c r="M16" s="93">
        <f>K16+L16</f>
        <v>22</v>
      </c>
      <c r="N16" s="103" t="s">
        <v>56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8</v>
      </c>
      <c r="F17" s="22">
        <v>7</v>
      </c>
      <c r="G17" s="22">
        <v>15</v>
      </c>
      <c r="H17" s="22">
        <v>10</v>
      </c>
      <c r="I17" s="22"/>
      <c r="J17" s="22">
        <v>5</v>
      </c>
      <c r="K17" s="22">
        <v>20</v>
      </c>
      <c r="L17" s="22">
        <v>30</v>
      </c>
      <c r="M17" s="93">
        <f>K17+L17</f>
        <v>50</v>
      </c>
      <c r="N17" s="103"/>
      <c r="O17" s="103" t="s">
        <v>244</v>
      </c>
      <c r="P17" s="82" t="s">
        <v>254</v>
      </c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735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v>75</v>
      </c>
      <c r="O19" s="69">
        <v>1895.63</v>
      </c>
      <c r="P19" s="46" t="s">
        <v>251</v>
      </c>
      <c r="Q19" s="65" t="s">
        <v>252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v>69</v>
      </c>
      <c r="O20" s="77" t="s">
        <v>64</v>
      </c>
      <c r="P20" s="75">
        <v>100</v>
      </c>
      <c r="Q20" s="65">
        <v>6818.18</v>
      </c>
    </row>
    <row r="21" spans="1:20" ht="25.5" customHeight="1" x14ac:dyDescent="0.25">
      <c r="A21" s="16" t="s">
        <v>46</v>
      </c>
      <c r="B21" s="66">
        <v>206.27083333333334</v>
      </c>
      <c r="C21" s="66">
        <v>206.54166666666666</v>
      </c>
      <c r="D21" s="66">
        <f t="shared" ref="D21:D22" si="0">C21-B21</f>
        <v>0.27083333333331439</v>
      </c>
      <c r="E21" s="66">
        <v>206.57986111111111</v>
      </c>
      <c r="F21" s="66">
        <v>206.875</v>
      </c>
      <c r="G21" s="66">
        <f>F21-E21</f>
        <v>0.29513888888888573</v>
      </c>
      <c r="H21" s="66">
        <v>206.92708333333334</v>
      </c>
      <c r="I21" s="66">
        <v>207.20833333333334</v>
      </c>
      <c r="J21" s="71">
        <f>I21-H21-K21</f>
        <v>0.28125</v>
      </c>
      <c r="K21" s="66"/>
      <c r="L21" s="73">
        <f>D21+G21+J21</f>
        <v>0.84722222222220012</v>
      </c>
      <c r="M21" s="154" t="s">
        <v>47</v>
      </c>
      <c r="N21" s="65">
        <v>88</v>
      </c>
      <c r="O21" s="78" t="s">
        <v>68</v>
      </c>
      <c r="P21" s="75">
        <v>284</v>
      </c>
      <c r="Q21" s="65">
        <v>8518.15</v>
      </c>
    </row>
    <row r="22" spans="1:20" ht="27" customHeight="1" x14ac:dyDescent="0.25">
      <c r="A22" s="16" t="s">
        <v>48</v>
      </c>
      <c r="B22" s="66">
        <v>206.24305555555554</v>
      </c>
      <c r="C22" s="66">
        <v>206.53472222222223</v>
      </c>
      <c r="D22" s="66">
        <f t="shared" si="0"/>
        <v>0.29166666666668561</v>
      </c>
      <c r="E22" s="66">
        <v>206.58333333333334</v>
      </c>
      <c r="F22" s="66">
        <v>206.875</v>
      </c>
      <c r="G22" s="66">
        <f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0.88194444444445708</v>
      </c>
      <c r="M22" s="49" t="s">
        <v>49</v>
      </c>
      <c r="N22" s="65">
        <v>42095.3</v>
      </c>
      <c r="O22" s="80" t="s">
        <v>65</v>
      </c>
      <c r="P22" s="75">
        <v>136</v>
      </c>
      <c r="Q22" s="65">
        <v>3501.37</v>
      </c>
    </row>
    <row r="23" spans="1:20" ht="27" customHeight="1" x14ac:dyDescent="0.25">
      <c r="A23" s="157" t="s">
        <v>50</v>
      </c>
      <c r="B23" s="66">
        <v>206.30208333333334</v>
      </c>
      <c r="C23" s="66">
        <v>206.54166666666666</v>
      </c>
      <c r="D23" s="66">
        <f t="shared" ref="D23" si="1">C23-B23</f>
        <v>0.23958333333331439</v>
      </c>
      <c r="E23" s="66">
        <v>206.58333333333334</v>
      </c>
      <c r="F23" s="66">
        <v>206.875</v>
      </c>
      <c r="G23" s="66">
        <f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0.82291666666665719</v>
      </c>
      <c r="M23" s="154" t="s">
        <v>63</v>
      </c>
      <c r="N23" s="85">
        <v>10</v>
      </c>
      <c r="O23" s="86" t="s">
        <v>66</v>
      </c>
      <c r="P23" s="76" t="s">
        <v>13</v>
      </c>
      <c r="Q23" s="65" t="s">
        <v>13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0.80208333333331439</v>
      </c>
      <c r="E24" s="68"/>
      <c r="F24" s="68"/>
      <c r="G24" s="66">
        <f>SUM(G21:G23)</f>
        <v>0.87847222222220012</v>
      </c>
      <c r="H24" s="68"/>
      <c r="I24" s="68"/>
      <c r="J24" s="71">
        <f>SUM(J21:J23)</f>
        <v>0.87152777777779988</v>
      </c>
      <c r="K24" s="75"/>
      <c r="L24" s="83">
        <f>SUM(L21:L23)</f>
        <v>2.5520833333333144</v>
      </c>
      <c r="M24" s="65" t="s">
        <v>77</v>
      </c>
      <c r="N24" s="65">
        <v>37830.379999999997</v>
      </c>
      <c r="P24" s="79" t="s">
        <v>67</v>
      </c>
      <c r="Q24" s="43">
        <v>50853.120000000003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N24+Sheet6!O25</f>
        <v>245316.85000000003</v>
      </c>
      <c r="P25" s="154" t="s">
        <v>76</v>
      </c>
      <c r="Q25" s="87">
        <v>57671.3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60000</v>
      </c>
      <c r="P26" s="51" t="s">
        <v>86</v>
      </c>
      <c r="Q26" s="69">
        <f>Q24+Sheet6!Q26</f>
        <v>194203.75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61.15</v>
      </c>
      <c r="M27" s="55"/>
      <c r="N27" s="88">
        <f>N22/L27</f>
        <v>688.39411283728543</v>
      </c>
      <c r="O27" s="81" t="s">
        <v>73</v>
      </c>
      <c r="P27" s="69"/>
      <c r="Q27" s="65" t="s">
        <v>253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M1" sqref="M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259</v>
      </c>
    </row>
    <row r="3" spans="1:17" ht="29.2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16</v>
      </c>
      <c r="E4" s="22">
        <v>24</v>
      </c>
      <c r="F4" s="22">
        <v>26</v>
      </c>
      <c r="G4" s="22">
        <v>21</v>
      </c>
      <c r="H4" s="22">
        <v>28</v>
      </c>
      <c r="I4" s="22">
        <v>25</v>
      </c>
      <c r="J4" s="22">
        <v>26</v>
      </c>
      <c r="K4" s="22">
        <v>92</v>
      </c>
      <c r="L4" s="22">
        <v>74</v>
      </c>
      <c r="M4" s="93">
        <f>K4+L4</f>
        <v>166</v>
      </c>
      <c r="N4" s="104" t="s">
        <v>56</v>
      </c>
      <c r="O4" s="95" t="s">
        <v>13</v>
      </c>
      <c r="P4" s="105" t="s">
        <v>13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>K5+L5</f>
        <v>0</v>
      </c>
      <c r="N5" s="104" t="s">
        <v>56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7</v>
      </c>
      <c r="G6" s="22">
        <v>5</v>
      </c>
      <c r="H6" s="22">
        <v>5</v>
      </c>
      <c r="I6" s="22">
        <v>7</v>
      </c>
      <c r="J6" s="22">
        <v>6</v>
      </c>
      <c r="K6" s="22">
        <v>25</v>
      </c>
      <c r="L6" s="22">
        <v>20</v>
      </c>
      <c r="M6" s="93">
        <f>K6+L6</f>
        <v>45</v>
      </c>
      <c r="N6" s="104" t="s">
        <v>248</v>
      </c>
      <c r="O6" s="96"/>
      <c r="P6" s="65"/>
      <c r="Q6" s="281" t="s">
        <v>13</v>
      </c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4</v>
      </c>
      <c r="F7" s="22"/>
      <c r="G7" s="22">
        <v>1</v>
      </c>
      <c r="H7" s="22">
        <v>7</v>
      </c>
      <c r="I7" s="22">
        <v>6</v>
      </c>
      <c r="J7" s="22">
        <v>8</v>
      </c>
      <c r="K7" s="22">
        <v>20</v>
      </c>
      <c r="L7" s="22">
        <v>16</v>
      </c>
      <c r="M7" s="93">
        <f>K7+L7</f>
        <v>36</v>
      </c>
      <c r="N7" s="104" t="s">
        <v>56</v>
      </c>
      <c r="O7" s="97"/>
      <c r="P7" s="65"/>
      <c r="Q7" s="282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60</v>
      </c>
      <c r="L8" s="18" t="s">
        <v>61</v>
      </c>
      <c r="M8" s="92" t="s">
        <v>85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20</v>
      </c>
      <c r="E9" s="22">
        <v>18</v>
      </c>
      <c r="F9" s="22">
        <v>20</v>
      </c>
      <c r="G9" s="22">
        <v>19</v>
      </c>
      <c r="H9" s="22">
        <v>30</v>
      </c>
      <c r="I9" s="22">
        <v>30</v>
      </c>
      <c r="J9" s="22">
        <v>20</v>
      </c>
      <c r="K9" s="22">
        <v>107</v>
      </c>
      <c r="L9" s="22">
        <v>55</v>
      </c>
      <c r="M9" s="93">
        <f>K9+L9</f>
        <v>162</v>
      </c>
      <c r="N9" s="82" t="s">
        <v>56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5</v>
      </c>
      <c r="G10" s="22">
        <v>2</v>
      </c>
      <c r="H10" s="22">
        <v>2</v>
      </c>
      <c r="I10" s="22">
        <v>3</v>
      </c>
      <c r="J10" s="22"/>
      <c r="K10" s="22">
        <v>12</v>
      </c>
      <c r="L10" s="22">
        <v>12</v>
      </c>
      <c r="M10" s="93">
        <v>12</v>
      </c>
      <c r="N10" s="82" t="s">
        <v>56</v>
      </c>
      <c r="O10" s="275" t="s">
        <v>126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10</v>
      </c>
      <c r="F11" s="22">
        <v>10</v>
      </c>
      <c r="G11" s="22">
        <v>10</v>
      </c>
      <c r="H11" s="22">
        <v>10</v>
      </c>
      <c r="I11" s="22">
        <v>10</v>
      </c>
      <c r="J11" s="22">
        <v>3</v>
      </c>
      <c r="K11" s="22">
        <v>60</v>
      </c>
      <c r="L11" s="22">
        <v>0</v>
      </c>
      <c r="M11" s="93">
        <f>K11+L11</f>
        <v>60</v>
      </c>
      <c r="N11" s="82" t="s">
        <v>56</v>
      </c>
      <c r="O11" s="205" t="s">
        <v>13</v>
      </c>
      <c r="P11" s="205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>
        <v>2</v>
      </c>
      <c r="G12" s="22"/>
      <c r="H12" s="22">
        <v>2</v>
      </c>
      <c r="I12" s="22"/>
      <c r="J12" s="22"/>
      <c r="K12" s="22">
        <v>4</v>
      </c>
      <c r="L12" s="22">
        <v>0</v>
      </c>
      <c r="M12" s="93">
        <f>K12+L12</f>
        <v>4</v>
      </c>
      <c r="N12" s="82"/>
      <c r="O12" s="82"/>
      <c r="P12" s="82"/>
      <c r="Q12" s="37" t="s">
        <v>13</v>
      </c>
    </row>
    <row r="13" spans="1:17" ht="32.2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60</v>
      </c>
      <c r="L13" s="18" t="s">
        <v>61</v>
      </c>
      <c r="M13" s="92" t="s">
        <v>85</v>
      </c>
      <c r="N13" s="32" t="s">
        <v>12</v>
      </c>
      <c r="P13" s="82"/>
      <c r="Q13" s="37"/>
    </row>
    <row r="14" spans="1:17" ht="15" x14ac:dyDescent="0.25">
      <c r="A14" s="33"/>
      <c r="B14" s="21" t="s">
        <v>14</v>
      </c>
      <c r="C14" s="22"/>
      <c r="D14" s="22">
        <v>32</v>
      </c>
      <c r="E14" s="22">
        <v>30</v>
      </c>
      <c r="F14" s="22">
        <v>35</v>
      </c>
      <c r="G14" s="22">
        <v>35</v>
      </c>
      <c r="H14" s="22">
        <v>25</v>
      </c>
      <c r="I14" s="22">
        <v>20</v>
      </c>
      <c r="J14" s="22">
        <v>28</v>
      </c>
      <c r="K14" s="22">
        <v>140</v>
      </c>
      <c r="L14" s="22">
        <v>55</v>
      </c>
      <c r="M14" s="93">
        <f>K14+L14</f>
        <v>195</v>
      </c>
      <c r="N14" s="103" t="s">
        <v>56</v>
      </c>
      <c r="O14" s="101" t="s">
        <v>13</v>
      </c>
      <c r="P14" s="82" t="s">
        <v>13</v>
      </c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>K15+L15</f>
        <v>0</v>
      </c>
      <c r="N15" s="103" t="s">
        <v>56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5</v>
      </c>
      <c r="F16" s="22">
        <v>7</v>
      </c>
      <c r="G16" s="22">
        <v>8</v>
      </c>
      <c r="H16" s="22">
        <v>7</v>
      </c>
      <c r="I16" s="22">
        <v>5</v>
      </c>
      <c r="J16" s="22">
        <v>5</v>
      </c>
      <c r="K16" s="22">
        <v>40</v>
      </c>
      <c r="L16" s="22">
        <v>0</v>
      </c>
      <c r="M16" s="93">
        <f>K16+L16</f>
        <v>40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>
        <v>2</v>
      </c>
      <c r="H17" s="22"/>
      <c r="I17" s="22"/>
      <c r="J17" s="22"/>
      <c r="K17" s="22">
        <v>0</v>
      </c>
      <c r="L17" s="22">
        <v>7</v>
      </c>
      <c r="M17" s="93">
        <f>K17+L17</f>
        <v>7</v>
      </c>
      <c r="N17" s="103"/>
      <c r="O17" s="206" t="s">
        <v>163</v>
      </c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523</v>
      </c>
      <c r="O18" s="277" t="s">
        <v>70</v>
      </c>
      <c r="P18" s="278"/>
      <c r="Q18" s="65" t="s">
        <v>262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12</v>
      </c>
      <c r="O19" s="69" t="s">
        <v>13</v>
      </c>
      <c r="P19" s="46" t="s">
        <v>260</v>
      </c>
      <c r="Q19" s="65" t="s">
        <v>261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145</v>
      </c>
      <c r="O20" s="77" t="s">
        <v>64</v>
      </c>
      <c r="P20" s="75">
        <v>40</v>
      </c>
      <c r="Q20" s="65">
        <v>2717.29</v>
      </c>
    </row>
    <row r="21" spans="1:20" ht="25.5" customHeight="1" x14ac:dyDescent="0.25">
      <c r="A21" s="16" t="s">
        <v>46</v>
      </c>
      <c r="B21" s="66">
        <v>206.26736111111111</v>
      </c>
      <c r="C21" s="66">
        <v>206.5</v>
      </c>
      <c r="D21" s="66">
        <f t="shared" ref="D21" si="0">C21-B21</f>
        <v>0.23263888888888573</v>
      </c>
      <c r="E21" s="66">
        <v>206.625</v>
      </c>
      <c r="F21" s="66">
        <v>206.875</v>
      </c>
      <c r="G21" s="66">
        <f t="shared" ref="G21" si="1">F21-E21</f>
        <v>0.25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0.73263888888888573</v>
      </c>
      <c r="M21" s="154" t="s">
        <v>47</v>
      </c>
      <c r="N21" s="65">
        <f>M17+M12+M7</f>
        <v>47</v>
      </c>
      <c r="O21" s="78" t="s">
        <v>68</v>
      </c>
      <c r="P21" s="75">
        <v>132</v>
      </c>
      <c r="Q21" s="65">
        <v>3873.64</v>
      </c>
    </row>
    <row r="22" spans="1:20" ht="27" customHeight="1" x14ac:dyDescent="0.25">
      <c r="A22" s="16" t="s">
        <v>48</v>
      </c>
      <c r="B22" s="66">
        <v>206.25694444444446</v>
      </c>
      <c r="C22" s="66">
        <v>206.54166666666666</v>
      </c>
      <c r="D22" s="66">
        <f t="shared" ref="D22" si="2">C22-B22</f>
        <v>0.28472222222220012</v>
      </c>
      <c r="E22" s="66">
        <v>206.59722222222223</v>
      </c>
      <c r="F22" s="66">
        <v>206.875</v>
      </c>
      <c r="G22" s="66">
        <f t="shared" ref="G22:G23" si="3">F22-E22</f>
        <v>0.27777777777777146</v>
      </c>
      <c r="H22" s="66">
        <v>206.92361111111111</v>
      </c>
      <c r="I22" s="66">
        <v>207.20833333333334</v>
      </c>
      <c r="J22" s="71">
        <f>I22-H22-K22</f>
        <v>0.28472222222222854</v>
      </c>
      <c r="K22" s="75"/>
      <c r="L22" s="73">
        <f>D22+G22+J22</f>
        <v>0.84722222222220012</v>
      </c>
      <c r="M22" s="49" t="s">
        <v>49</v>
      </c>
      <c r="N22" s="65">
        <v>35324</v>
      </c>
      <c r="O22" s="80" t="s">
        <v>65</v>
      </c>
      <c r="P22" s="75">
        <v>180</v>
      </c>
      <c r="Q22" s="65">
        <v>4687.22</v>
      </c>
    </row>
    <row r="23" spans="1:20" ht="27" customHeight="1" x14ac:dyDescent="0.25">
      <c r="A23" s="157" t="s">
        <v>50</v>
      </c>
      <c r="B23" s="66">
        <v>206.27083333333334</v>
      </c>
      <c r="C23" s="66">
        <v>206.54166666666666</v>
      </c>
      <c r="D23" s="66">
        <f t="shared" ref="D23" si="4">C23-B23</f>
        <v>0.27083333333331439</v>
      </c>
      <c r="E23" s="66">
        <v>206.64583333333334</v>
      </c>
      <c r="F23" s="66">
        <v>206.90625</v>
      </c>
      <c r="G23" s="66">
        <f t="shared" si="3"/>
        <v>0.26041666666665719</v>
      </c>
      <c r="H23" s="66">
        <v>206.92361111111111</v>
      </c>
      <c r="I23" s="66">
        <v>207.20833333333334</v>
      </c>
      <c r="J23" s="71">
        <f>I23-H23-K23</f>
        <v>0.28472222222222854</v>
      </c>
      <c r="K23" s="155"/>
      <c r="L23" s="156">
        <f>D23+G23+J23</f>
        <v>0.81597222222220012</v>
      </c>
      <c r="M23" s="154" t="s">
        <v>63</v>
      </c>
      <c r="N23" s="85">
        <v>10</v>
      </c>
      <c r="O23" s="86" t="s">
        <v>66</v>
      </c>
      <c r="P23" s="76" t="s">
        <v>13</v>
      </c>
      <c r="Q23" s="65" t="s">
        <v>13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0.78819444444440023</v>
      </c>
      <c r="E24" s="68"/>
      <c r="F24" s="68"/>
      <c r="G24" s="66">
        <f>SUM(G21:G23)</f>
        <v>0.78819444444442865</v>
      </c>
      <c r="H24" s="68"/>
      <c r="I24" s="68"/>
      <c r="J24" s="71">
        <f>SUM(J21:J23)</f>
        <v>0.81944444444445708</v>
      </c>
      <c r="K24" s="75"/>
      <c r="L24" s="83">
        <f>SUM(L21:L23)</f>
        <v>2.395833333333286</v>
      </c>
      <c r="M24" s="65" t="s">
        <v>77</v>
      </c>
      <c r="N24" s="65">
        <v>37567.24</v>
      </c>
      <c r="P24" s="79" t="s">
        <v>67</v>
      </c>
      <c r="Q24" s="43">
        <v>42798.5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N24+Sheet7!O25</f>
        <v>282884.09000000003</v>
      </c>
      <c r="P25" s="154" t="s">
        <v>76</v>
      </c>
      <c r="Q25" s="87">
        <v>45515.34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55000</v>
      </c>
      <c r="P26" s="51" t="s">
        <v>86</v>
      </c>
      <c r="Q26" s="69">
        <f>Q24+Sheet7!Q26</f>
        <v>237002.25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57.3</v>
      </c>
      <c r="M27" s="55"/>
      <c r="N27" s="88">
        <f>N22/L27</f>
        <v>616.47469458987791</v>
      </c>
      <c r="O27" s="81" t="s">
        <v>73</v>
      </c>
      <c r="P27" s="69"/>
      <c r="Q27" s="65" t="s">
        <v>162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0" workbookViewId="0">
      <selection activeCell="L29" sqref="L2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267</v>
      </c>
    </row>
    <row r="3" spans="1:17" ht="37.5" customHeight="1" x14ac:dyDescent="0.25">
      <c r="A3" s="15" t="s">
        <v>2</v>
      </c>
      <c r="B3" s="16" t="s">
        <v>3</v>
      </c>
      <c r="C3" s="17" t="s">
        <v>117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60</v>
      </c>
      <c r="L3" s="18" t="s">
        <v>61</v>
      </c>
      <c r="M3" s="92" t="s">
        <v>85</v>
      </c>
      <c r="N3" s="19" t="s">
        <v>12</v>
      </c>
      <c r="O3" s="275" t="s">
        <v>71</v>
      </c>
      <c r="P3" s="276"/>
      <c r="Q3" s="43" t="s">
        <v>72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27</v>
      </c>
      <c r="F4" s="22">
        <v>20</v>
      </c>
      <c r="G4" s="22">
        <v>5</v>
      </c>
      <c r="H4" s="22">
        <v>24</v>
      </c>
      <c r="I4" s="22">
        <v>56</v>
      </c>
      <c r="J4" s="22">
        <v>29</v>
      </c>
      <c r="K4" s="22">
        <v>141</v>
      </c>
      <c r="L4" s="22">
        <v>40</v>
      </c>
      <c r="M4" s="93">
        <f>K4+L4</f>
        <v>181</v>
      </c>
      <c r="N4" s="104"/>
      <c r="O4" s="95" t="s">
        <v>87</v>
      </c>
      <c r="P4" s="105" t="s">
        <v>88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7" si="0">K5+L5</f>
        <v>0</v>
      </c>
      <c r="N5" s="104"/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10</v>
      </c>
      <c r="G6" s="22">
        <v>5</v>
      </c>
      <c r="H6" s="22">
        <v>5</v>
      </c>
      <c r="I6" s="22">
        <v>1</v>
      </c>
      <c r="J6" s="22">
        <v>4</v>
      </c>
      <c r="K6" s="22">
        <v>25</v>
      </c>
      <c r="L6" s="22">
        <v>0</v>
      </c>
      <c r="M6" s="93">
        <f t="shared" si="0"/>
        <v>25</v>
      </c>
      <c r="N6" s="104"/>
      <c r="O6" s="96"/>
      <c r="P6" s="65"/>
      <c r="Q6" s="286" t="s">
        <v>13</v>
      </c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/>
      <c r="G7" s="22"/>
      <c r="H7" s="22"/>
      <c r="I7" s="22"/>
      <c r="J7" s="22"/>
      <c r="K7" s="22">
        <v>4</v>
      </c>
      <c r="L7" s="22">
        <v>0</v>
      </c>
      <c r="M7" s="93">
        <f t="shared" si="0"/>
        <v>4</v>
      </c>
      <c r="N7" s="104"/>
      <c r="O7" s="97"/>
      <c r="P7" s="65"/>
      <c r="Q7" s="287"/>
    </row>
    <row r="8" spans="1:17" ht="28.5" customHeight="1" x14ac:dyDescent="0.25">
      <c r="A8" s="30" t="s">
        <v>2</v>
      </c>
      <c r="B8" s="31" t="s">
        <v>3</v>
      </c>
      <c r="C8" s="17" t="s">
        <v>118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85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25</v>
      </c>
      <c r="E9" s="22">
        <v>26</v>
      </c>
      <c r="F9" s="22">
        <v>25</v>
      </c>
      <c r="G9" s="22">
        <v>26</v>
      </c>
      <c r="H9" s="22">
        <v>28</v>
      </c>
      <c r="I9" s="22">
        <v>30</v>
      </c>
      <c r="J9" s="22">
        <v>29</v>
      </c>
      <c r="K9" s="22">
        <v>115</v>
      </c>
      <c r="L9" s="22">
        <v>84</v>
      </c>
      <c r="M9" s="93">
        <f t="shared" ref="M9:M12" si="1">K9+L9</f>
        <v>199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5</v>
      </c>
      <c r="F10" s="22">
        <v>5</v>
      </c>
      <c r="G10" s="22">
        <v>5</v>
      </c>
      <c r="H10" s="22">
        <v>5</v>
      </c>
      <c r="I10" s="22">
        <v>2</v>
      </c>
      <c r="J10" s="22">
        <v>3</v>
      </c>
      <c r="K10" s="22">
        <v>0</v>
      </c>
      <c r="L10" s="22">
        <v>30</v>
      </c>
      <c r="M10" s="93">
        <f t="shared" si="1"/>
        <v>30</v>
      </c>
      <c r="N10" s="82"/>
      <c r="O10" s="275" t="s">
        <v>128</v>
      </c>
      <c r="P10" s="276"/>
      <c r="Q10" s="43" t="s">
        <v>72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7</v>
      </c>
      <c r="E11" s="22">
        <v>6</v>
      </c>
      <c r="F11" s="22">
        <v>7</v>
      </c>
      <c r="G11" s="22">
        <v>5</v>
      </c>
      <c r="H11" s="22">
        <v>10</v>
      </c>
      <c r="I11" s="22">
        <v>10</v>
      </c>
      <c r="J11" s="22"/>
      <c r="K11" s="22">
        <v>45</v>
      </c>
      <c r="L11" s="22">
        <v>0</v>
      </c>
      <c r="M11" s="93">
        <f t="shared" si="1"/>
        <v>45</v>
      </c>
      <c r="N11" s="82" t="s">
        <v>13</v>
      </c>
      <c r="O11" s="205" t="s">
        <v>13</v>
      </c>
      <c r="P11" s="205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1</v>
      </c>
      <c r="F12" s="22">
        <v>1</v>
      </c>
      <c r="G12" s="22"/>
      <c r="H12" s="22"/>
      <c r="I12" s="22"/>
      <c r="J12" s="22"/>
      <c r="K12" s="22">
        <v>2</v>
      </c>
      <c r="L12" s="22">
        <v>0</v>
      </c>
      <c r="M12" s="93">
        <f t="shared" si="1"/>
        <v>2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119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85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32</v>
      </c>
      <c r="E14" s="22">
        <v>38</v>
      </c>
      <c r="F14" s="22">
        <v>45</v>
      </c>
      <c r="G14" s="22">
        <v>30</v>
      </c>
      <c r="H14" s="22">
        <v>35</v>
      </c>
      <c r="I14" s="22">
        <v>35</v>
      </c>
      <c r="J14" s="22">
        <v>20</v>
      </c>
      <c r="K14" s="22">
        <v>188</v>
      </c>
      <c r="L14" s="22">
        <v>45</v>
      </c>
      <c r="M14" s="93">
        <f t="shared" ref="M14:M17" si="2">K14+L14</f>
        <v>233</v>
      </c>
      <c r="N14" s="103"/>
      <c r="O14" s="101"/>
      <c r="P14" s="82"/>
      <c r="Q14" s="37" t="s">
        <v>120</v>
      </c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3</v>
      </c>
      <c r="F16" s="22">
        <v>2</v>
      </c>
      <c r="G16" s="22">
        <v>4</v>
      </c>
      <c r="H16" s="22">
        <v>6</v>
      </c>
      <c r="I16" s="22">
        <v>3</v>
      </c>
      <c r="J16" s="22">
        <v>2</v>
      </c>
      <c r="K16" s="22">
        <v>20</v>
      </c>
      <c r="L16" s="22">
        <v>0</v>
      </c>
      <c r="M16" s="93">
        <f t="shared" si="2"/>
        <v>20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>
        <v>3</v>
      </c>
      <c r="H17" s="22"/>
      <c r="I17" s="22">
        <v>2</v>
      </c>
      <c r="J17" s="22"/>
      <c r="K17" s="22">
        <v>3</v>
      </c>
      <c r="L17" s="22">
        <v>5</v>
      </c>
      <c r="M17" s="93">
        <f t="shared" si="2"/>
        <v>8</v>
      </c>
      <c r="N17" s="103"/>
      <c r="O17" s="103" t="s">
        <v>263</v>
      </c>
      <c r="P17" s="82" t="s">
        <v>264</v>
      </c>
      <c r="Q17" s="36" t="s">
        <v>265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4" t="s">
        <v>38</v>
      </c>
      <c r="N18" s="65">
        <f>M4+M9+M14</f>
        <v>613</v>
      </c>
      <c r="O18" s="277" t="s">
        <v>70</v>
      </c>
      <c r="P18" s="278"/>
      <c r="Q18" s="65" t="s">
        <v>13</v>
      </c>
    </row>
    <row r="19" spans="1:20" ht="15" customHeight="1" x14ac:dyDescent="0.25">
      <c r="A19" s="16" t="s">
        <v>39</v>
      </c>
      <c r="B19" s="279" t="s">
        <v>40</v>
      </c>
      <c r="C19" s="276"/>
      <c r="D19" s="280"/>
      <c r="E19" s="279" t="s">
        <v>58</v>
      </c>
      <c r="F19" s="276"/>
      <c r="G19" s="280"/>
      <c r="H19" s="279" t="s">
        <v>57</v>
      </c>
      <c r="I19" s="276"/>
      <c r="J19" s="280"/>
      <c r="K19" s="45" t="s">
        <v>13</v>
      </c>
      <c r="L19" s="45"/>
      <c r="M19" s="154" t="s">
        <v>41</v>
      </c>
      <c r="N19" s="65">
        <f>M5+M10+M15</f>
        <v>30</v>
      </c>
      <c r="O19" s="69">
        <v>1558</v>
      </c>
      <c r="P19" s="46" t="s">
        <v>160</v>
      </c>
      <c r="Q19" s="65" t="s">
        <v>266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62</v>
      </c>
      <c r="L20" s="72" t="s">
        <v>45</v>
      </c>
      <c r="M20" s="154" t="s">
        <v>74</v>
      </c>
      <c r="N20" s="65">
        <f>M6+M11+M16</f>
        <v>90</v>
      </c>
      <c r="O20" s="77" t="s">
        <v>64</v>
      </c>
      <c r="P20" s="75">
        <v>40</v>
      </c>
      <c r="Q20" s="65">
        <v>2557</v>
      </c>
    </row>
    <row r="21" spans="1:20" ht="25.5" customHeight="1" x14ac:dyDescent="0.25">
      <c r="A21" s="16" t="s">
        <v>46</v>
      </c>
      <c r="B21" s="66">
        <v>206.25694444444446</v>
      </c>
      <c r="C21" s="66">
        <v>206.54166666666666</v>
      </c>
      <c r="D21" s="66">
        <f t="shared" ref="D21:D22" si="3">C21-B21</f>
        <v>0.28472222222220012</v>
      </c>
      <c r="E21" s="66">
        <v>206.60416666666666</v>
      </c>
      <c r="F21" s="66">
        <v>206.875</v>
      </c>
      <c r="G21" s="66">
        <f t="shared" ref="G21:G22" si="4">F21-E21</f>
        <v>0.27083333333334281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0.84722222222222854</v>
      </c>
      <c r="M21" s="154" t="s">
        <v>47</v>
      </c>
      <c r="N21" s="65">
        <f>M17+M12+M7</f>
        <v>14</v>
      </c>
      <c r="O21" s="78" t="s">
        <v>68</v>
      </c>
      <c r="P21" s="75">
        <v>216</v>
      </c>
      <c r="Q21" s="65">
        <v>6433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si="3"/>
        <v>0.25</v>
      </c>
      <c r="E22" s="66">
        <v>206.57986111111111</v>
      </c>
      <c r="F22" s="66">
        <v>206.875</v>
      </c>
      <c r="G22" s="66">
        <f t="shared" si="4"/>
        <v>0.29513888888888573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0.84027777777777146</v>
      </c>
      <c r="M22" s="49" t="s">
        <v>49</v>
      </c>
      <c r="N22" s="65">
        <v>36908</v>
      </c>
      <c r="O22" s="80" t="s">
        <v>65</v>
      </c>
      <c r="P22" s="75">
        <v>84</v>
      </c>
      <c r="Q22" s="65">
        <v>2099</v>
      </c>
    </row>
    <row r="23" spans="1:20" ht="27" customHeight="1" x14ac:dyDescent="0.25">
      <c r="A23" s="157" t="s">
        <v>50</v>
      </c>
      <c r="B23" s="66">
        <v>206.29166666666666</v>
      </c>
      <c r="C23" s="66">
        <v>206.54166666666666</v>
      </c>
      <c r="D23" s="66">
        <f t="shared" ref="D23" si="5">C23-B23</f>
        <v>0.25</v>
      </c>
      <c r="E23" s="66">
        <v>206.58333333333334</v>
      </c>
      <c r="F23" s="66">
        <v>206.875</v>
      </c>
      <c r="G23" s="66">
        <f t="shared" ref="G23" si="6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5"/>
      <c r="L23" s="156">
        <f>D23+G23+J23</f>
        <v>0.83333333333334281</v>
      </c>
      <c r="M23" s="154" t="s">
        <v>63</v>
      </c>
      <c r="N23" s="85">
        <v>10</v>
      </c>
      <c r="O23" s="86" t="s">
        <v>66</v>
      </c>
      <c r="P23" s="76" t="s">
        <v>13</v>
      </c>
      <c r="Q23" s="65" t="s">
        <v>13</v>
      </c>
    </row>
    <row r="24" spans="1:20" ht="30" customHeight="1" x14ac:dyDescent="0.25">
      <c r="A24" s="16" t="s">
        <v>75</v>
      </c>
      <c r="B24" s="67"/>
      <c r="C24" s="67"/>
      <c r="D24" s="66">
        <f>SUM(D21:D23)</f>
        <v>0.78472222222220012</v>
      </c>
      <c r="E24" s="68"/>
      <c r="F24" s="68"/>
      <c r="G24" s="66">
        <f>SUM(G21:G23)</f>
        <v>0.85763888888888573</v>
      </c>
      <c r="H24" s="68"/>
      <c r="I24" s="68"/>
      <c r="J24" s="71">
        <f>SUM(J21:J23)</f>
        <v>0.87847222222225696</v>
      </c>
      <c r="K24" s="75"/>
      <c r="L24" s="83">
        <f>SUM(L21:L23)</f>
        <v>2.5208333333333428</v>
      </c>
      <c r="M24" s="65" t="s">
        <v>77</v>
      </c>
      <c r="N24" s="65">
        <v>36617</v>
      </c>
      <c r="P24" s="79" t="s">
        <v>67</v>
      </c>
      <c r="Q24" s="43">
        <v>41634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78</v>
      </c>
      <c r="O25" s="69">
        <f>N24+Sheet8!O25</f>
        <v>319501.09000000003</v>
      </c>
      <c r="P25" s="154" t="s">
        <v>76</v>
      </c>
      <c r="Q25" s="87">
        <v>44191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53000</v>
      </c>
      <c r="P26" s="51" t="s">
        <v>86</v>
      </c>
      <c r="Q26" s="69">
        <f>Q24+Sheet8!Q26</f>
        <v>278636.25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60.3</v>
      </c>
      <c r="M27" s="55"/>
      <c r="N27" s="88">
        <f>N22/L27</f>
        <v>612.07296849087902</v>
      </c>
      <c r="O27" s="81" t="s">
        <v>73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59</v>
      </c>
      <c r="C30" s="59"/>
      <c r="D30" s="60"/>
      <c r="E30" s="61"/>
      <c r="F30" s="61"/>
      <c r="G30" s="62"/>
      <c r="H30" s="61" t="s">
        <v>89</v>
      </c>
      <c r="I30" s="60"/>
      <c r="J30" s="60"/>
      <c r="P30" s="61" t="s">
        <v>212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/>
      <c r="B32" s="64" t="s">
        <v>55</v>
      </c>
      <c r="C32" s="59"/>
      <c r="D32" s="60"/>
      <c r="E32" s="61"/>
      <c r="F32" s="61"/>
      <c r="G32" s="62"/>
      <c r="H32" s="59" t="s">
        <v>52</v>
      </c>
      <c r="I32" s="60"/>
      <c r="J32" s="60"/>
      <c r="K32" s="63"/>
      <c r="L32" s="63"/>
      <c r="M32" s="59"/>
      <c r="N32" s="59"/>
      <c r="P32" s="59" t="s">
        <v>52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Sheet 31</vt:lpstr>
      <vt:lpstr>report 2019</vt:lpstr>
      <vt:lpstr>stream I </vt:lpstr>
      <vt:lpstr> stream II  </vt:lpstr>
      <vt:lpstr>stream III </vt:lpstr>
      <vt:lpstr>Sheet34</vt:lpstr>
      <vt:lpstr>Sheet35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2020-09-22T05:53:19Z</dcterms:modified>
</cp:coreProperties>
</file>