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bcf83cee47cb67/Desktop/"/>
    </mc:Choice>
  </mc:AlternateContent>
  <xr:revisionPtr revIDLastSave="0" documentId="8_{780B9AE5-C99E-4B80-BB74-67A017B90F7A}" xr6:coauthVersionLast="47" xr6:coauthVersionMax="47" xr10:uidLastSave="{00000000-0000-0000-0000-000000000000}"/>
  <bookViews>
    <workbookView xWindow="-108" yWindow="-108" windowWidth="23256" windowHeight="13896" xr2:uid="{2C0077D8-7A3C-408C-80CA-CCD8863B507F}"/>
  </bookViews>
  <sheets>
    <sheet name="Income Statement" sheetId="1" r:id="rId1"/>
    <sheet name="Balance Sheet" sheetId="5" r:id="rId2"/>
    <sheet name="Statement of Cashflows" sheetId="3" r:id="rId3"/>
    <sheet name="Fixed Assests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3" l="1"/>
  <c r="G17" i="3" s="1"/>
  <c r="F16" i="3"/>
  <c r="F17" i="3" s="1"/>
  <c r="E16" i="3"/>
  <c r="D16" i="3"/>
  <c r="D17" i="3" s="1"/>
  <c r="G15" i="3"/>
  <c r="F15" i="3"/>
  <c r="E15" i="3"/>
  <c r="E17" i="3" s="1"/>
  <c r="D15" i="3"/>
  <c r="G12" i="3"/>
  <c r="G13" i="3" s="1"/>
  <c r="F12" i="3"/>
  <c r="F13" i="3" s="1"/>
  <c r="E12" i="3"/>
  <c r="E13" i="3" s="1"/>
  <c r="D12" i="3"/>
  <c r="D13" i="3" s="1"/>
  <c r="C12" i="3"/>
  <c r="C13" i="3" s="1"/>
  <c r="C15" i="3"/>
  <c r="C16" i="3"/>
  <c r="C17" i="3" s="1"/>
  <c r="H24" i="1"/>
  <c r="G24" i="1"/>
  <c r="F24" i="1"/>
  <c r="E24" i="1"/>
  <c r="D24" i="1"/>
  <c r="H43" i="5"/>
  <c r="G43" i="5"/>
  <c r="F43" i="5"/>
  <c r="E43" i="5"/>
  <c r="D43" i="5"/>
  <c r="E24" i="5"/>
  <c r="F24" i="5" s="1"/>
  <c r="D24" i="5"/>
  <c r="H21" i="5"/>
  <c r="G21" i="5"/>
  <c r="F21" i="5"/>
  <c r="E21" i="5"/>
  <c r="D21" i="5"/>
  <c r="E20" i="5"/>
  <c r="F20" i="5" s="1"/>
  <c r="G20" i="5" s="1"/>
  <c r="H20" i="5" s="1"/>
  <c r="D20" i="5"/>
  <c r="E9" i="5"/>
  <c r="F9" i="5" s="1"/>
  <c r="G9" i="5" s="1"/>
  <c r="H9" i="5" s="1"/>
  <c r="D9" i="5"/>
  <c r="C37" i="5"/>
  <c r="D37" i="5" s="1"/>
  <c r="E37" i="5" s="1"/>
  <c r="F37" i="5" s="1"/>
  <c r="C36" i="5"/>
  <c r="D36" i="5" s="1"/>
  <c r="E36" i="5" s="1"/>
  <c r="F36" i="5" s="1"/>
  <c r="C35" i="5"/>
  <c r="D35" i="5" s="1"/>
  <c r="E35" i="5" s="1"/>
  <c r="F35" i="5" s="1"/>
  <c r="F34" i="5"/>
  <c r="F33" i="5"/>
  <c r="B36" i="5"/>
  <c r="B37" i="5"/>
  <c r="B35" i="5"/>
  <c r="C26" i="5"/>
  <c r="C21" i="5"/>
  <c r="C18" i="5"/>
  <c r="C22" i="5" s="1"/>
  <c r="C27" i="5" s="1"/>
  <c r="C12" i="5"/>
  <c r="C13" i="5" s="1"/>
  <c r="C11" i="5"/>
  <c r="C7" i="5"/>
  <c r="H15" i="4"/>
  <c r="H14" i="4"/>
  <c r="H13" i="4"/>
  <c r="G13" i="4"/>
  <c r="G15" i="4"/>
  <c r="F15" i="4"/>
  <c r="E15" i="4"/>
  <c r="D15" i="4"/>
  <c r="G14" i="4"/>
  <c r="G16" i="4" s="1"/>
  <c r="F6" i="3" s="1"/>
  <c r="F14" i="4"/>
  <c r="E14" i="4"/>
  <c r="E16" i="4" s="1"/>
  <c r="D6" i="3" s="1"/>
  <c r="F13" i="4"/>
  <c r="E13" i="4"/>
  <c r="D14" i="4"/>
  <c r="D13" i="4"/>
  <c r="H8" i="4"/>
  <c r="G8" i="4"/>
  <c r="F8" i="4"/>
  <c r="E8" i="4"/>
  <c r="D8" i="4"/>
  <c r="B15" i="4"/>
  <c r="B14" i="4"/>
  <c r="B13" i="4"/>
  <c r="B9" i="3"/>
  <c r="B8" i="3"/>
  <c r="B7" i="3"/>
  <c r="E6" i="1"/>
  <c r="E11" i="1" s="1"/>
  <c r="F6" i="1"/>
  <c r="G6" i="1"/>
  <c r="G10" i="1" s="1"/>
  <c r="H6" i="1"/>
  <c r="H10" i="1" s="1"/>
  <c r="F7" i="1"/>
  <c r="G7" i="1"/>
  <c r="F8" i="1"/>
  <c r="F14" i="1" s="1"/>
  <c r="G8" i="1"/>
  <c r="G33" i="5" s="1"/>
  <c r="F10" i="1"/>
  <c r="F11" i="1"/>
  <c r="F13" i="1" s="1"/>
  <c r="F12" i="1"/>
  <c r="F17" i="1"/>
  <c r="G17" i="1"/>
  <c r="F18" i="1"/>
  <c r="F20" i="1" s="1"/>
  <c r="F19" i="1"/>
  <c r="H19" i="1"/>
  <c r="D6" i="1"/>
  <c r="D19" i="1" s="1"/>
  <c r="B45" i="1"/>
  <c r="B46" i="1"/>
  <c r="B44" i="1"/>
  <c r="B40" i="1"/>
  <c r="B41" i="1"/>
  <c r="B39" i="1"/>
  <c r="B36" i="1"/>
  <c r="E2" i="1"/>
  <c r="F2" i="1" s="1"/>
  <c r="G2" i="1" s="1"/>
  <c r="H2" i="1" s="1"/>
  <c r="G36" i="5" l="1"/>
  <c r="H36" i="5" s="1"/>
  <c r="F16" i="5"/>
  <c r="G35" i="5"/>
  <c r="H35" i="5" s="1"/>
  <c r="F6" i="5"/>
  <c r="G37" i="5"/>
  <c r="H37" i="5" s="1"/>
  <c r="F17" i="5"/>
  <c r="F18" i="5" s="1"/>
  <c r="F22" i="5" s="1"/>
  <c r="H16" i="4"/>
  <c r="G6" i="3" s="1"/>
  <c r="D16" i="4"/>
  <c r="D22" i="1" s="1"/>
  <c r="F16" i="4"/>
  <c r="E6" i="3" s="1"/>
  <c r="H22" i="1"/>
  <c r="G22" i="1"/>
  <c r="E22" i="1"/>
  <c r="H7" i="1"/>
  <c r="H8" i="1" s="1"/>
  <c r="H12" i="1"/>
  <c r="H17" i="1"/>
  <c r="H18" i="1"/>
  <c r="H20" i="1" s="1"/>
  <c r="H11" i="1"/>
  <c r="H13" i="1" s="1"/>
  <c r="H34" i="5" s="1"/>
  <c r="H16" i="5" s="1"/>
  <c r="G6" i="5"/>
  <c r="G17" i="5"/>
  <c r="G11" i="1"/>
  <c r="G13" i="1" s="1"/>
  <c r="G19" i="1"/>
  <c r="G12" i="1"/>
  <c r="G18" i="1"/>
  <c r="G20" i="1" s="1"/>
  <c r="E17" i="1"/>
  <c r="E12" i="1"/>
  <c r="E10" i="1"/>
  <c r="E13" i="1" s="1"/>
  <c r="E34" i="5" s="1"/>
  <c r="E16" i="5" s="1"/>
  <c r="E19" i="1"/>
  <c r="E7" i="1"/>
  <c r="E8" i="1" s="1"/>
  <c r="E18" i="1"/>
  <c r="E20" i="1" s="1"/>
  <c r="G24" i="5"/>
  <c r="C30" i="5"/>
  <c r="F21" i="1"/>
  <c r="F15" i="1"/>
  <c r="D18" i="1"/>
  <c r="D7" i="1"/>
  <c r="D8" i="1" s="1"/>
  <c r="D33" i="5" s="1"/>
  <c r="D10" i="1"/>
  <c r="D12" i="1"/>
  <c r="D11" i="1"/>
  <c r="D17" i="1"/>
  <c r="F22" i="1" l="1"/>
  <c r="C6" i="3"/>
  <c r="D10" i="5"/>
  <c r="F23" i="1"/>
  <c r="F25" i="1" s="1"/>
  <c r="D11" i="5"/>
  <c r="D12" i="5" s="1"/>
  <c r="E10" i="5"/>
  <c r="H14" i="1"/>
  <c r="H33" i="5"/>
  <c r="G34" i="5"/>
  <c r="G16" i="5" s="1"/>
  <c r="G14" i="1"/>
  <c r="F9" i="3"/>
  <c r="F7" i="3"/>
  <c r="E33" i="5"/>
  <c r="E14" i="1"/>
  <c r="E8" i="3"/>
  <c r="D6" i="5"/>
  <c r="D17" i="5"/>
  <c r="D13" i="1"/>
  <c r="D34" i="5" s="1"/>
  <c r="D16" i="5" s="1"/>
  <c r="H24" i="5"/>
  <c r="E21" i="1"/>
  <c r="E23" i="1" s="1"/>
  <c r="E25" i="1" s="1"/>
  <c r="E15" i="1"/>
  <c r="F26" i="1"/>
  <c r="F27" i="1" s="1"/>
  <c r="G21" i="1"/>
  <c r="G23" i="1" s="1"/>
  <c r="G25" i="1" s="1"/>
  <c r="G15" i="1"/>
  <c r="D20" i="1"/>
  <c r="F30" i="1" l="1"/>
  <c r="E4" i="3"/>
  <c r="F10" i="5"/>
  <c r="E11" i="5"/>
  <c r="E12" i="5" s="1"/>
  <c r="H6" i="5"/>
  <c r="G7" i="3" s="1"/>
  <c r="H17" i="5"/>
  <c r="H21" i="1"/>
  <c r="H23" i="1" s="1"/>
  <c r="H25" i="1" s="1"/>
  <c r="H15" i="1"/>
  <c r="G18" i="5"/>
  <c r="G22" i="5" s="1"/>
  <c r="G8" i="3"/>
  <c r="F8" i="3"/>
  <c r="F10" i="3" s="1"/>
  <c r="E17" i="5"/>
  <c r="D9" i="3" s="1"/>
  <c r="E6" i="5"/>
  <c r="E7" i="3" s="1"/>
  <c r="D18" i="5"/>
  <c r="D22" i="5" s="1"/>
  <c r="C8" i="3"/>
  <c r="D8" i="3"/>
  <c r="C9" i="3"/>
  <c r="D14" i="1"/>
  <c r="D15" i="1" s="1"/>
  <c r="C7" i="3"/>
  <c r="C10" i="3" s="1"/>
  <c r="D7" i="3"/>
  <c r="G26" i="1"/>
  <c r="G27" i="1" s="1"/>
  <c r="E26" i="1"/>
  <c r="E27" i="1" s="1"/>
  <c r="D21" i="1"/>
  <c r="D23" i="1" s="1"/>
  <c r="D25" i="1" s="1"/>
  <c r="D10" i="3" l="1"/>
  <c r="G10" i="5"/>
  <c r="F11" i="5"/>
  <c r="F12" i="5" s="1"/>
  <c r="H26" i="1"/>
  <c r="H27" i="1" s="1"/>
  <c r="H18" i="5"/>
  <c r="H22" i="5" s="1"/>
  <c r="G9" i="3"/>
  <c r="G10" i="3" s="1"/>
  <c r="G30" i="1"/>
  <c r="F4" i="3"/>
  <c r="F18" i="3" s="1"/>
  <c r="E30" i="1"/>
  <c r="D4" i="3"/>
  <c r="E9" i="3"/>
  <c r="E10" i="3" s="1"/>
  <c r="E18" i="3" s="1"/>
  <c r="E18" i="5"/>
  <c r="E22" i="5" s="1"/>
  <c r="D26" i="1"/>
  <c r="D27" i="1" s="1"/>
  <c r="C4" i="3" s="1"/>
  <c r="D18" i="3" l="1"/>
  <c r="H10" i="5"/>
  <c r="H11" i="5" s="1"/>
  <c r="H12" i="5" s="1"/>
  <c r="G11" i="5"/>
  <c r="G12" i="5" s="1"/>
  <c r="H30" i="1"/>
  <c r="G4" i="3"/>
  <c r="G18" i="3" s="1"/>
  <c r="D30" i="1"/>
  <c r="D25" i="5"/>
  <c r="D26" i="5" l="1"/>
  <c r="D27" i="5" s="1"/>
  <c r="E25" i="5"/>
  <c r="F25" i="5" l="1"/>
  <c r="E26" i="5"/>
  <c r="E27" i="5" s="1"/>
  <c r="G25" i="5" l="1"/>
  <c r="F26" i="5"/>
  <c r="F27" i="5" s="1"/>
  <c r="H25" i="5" l="1"/>
  <c r="H26" i="5" s="1"/>
  <c r="H27" i="5" s="1"/>
  <c r="G26" i="5"/>
  <c r="G27" i="5" s="1"/>
  <c r="C18" i="3" l="1"/>
  <c r="D5" i="5" s="1"/>
  <c r="D7" i="5" l="1"/>
  <c r="D13" i="5" s="1"/>
  <c r="D30" i="5" s="1"/>
  <c r="E5" i="5"/>
  <c r="E7" i="5" l="1"/>
  <c r="E13" i="5" s="1"/>
  <c r="E30" i="5" s="1"/>
  <c r="F5" i="5"/>
  <c r="G5" i="5" l="1"/>
  <c r="F7" i="5"/>
  <c r="F13" i="5" s="1"/>
  <c r="F30" i="5" s="1"/>
  <c r="G7" i="5" l="1"/>
  <c r="G13" i="5" s="1"/>
  <c r="G30" i="5" s="1"/>
  <c r="H5" i="5"/>
  <c r="H7" i="5" s="1"/>
  <c r="H13" i="5" s="1"/>
  <c r="H30" i="5" s="1"/>
</calcChain>
</file>

<file path=xl/sharedStrings.xml><?xml version="1.0" encoding="utf-8"?>
<sst xmlns="http://schemas.openxmlformats.org/spreadsheetml/2006/main" count="99" uniqueCount="86">
  <si>
    <t>Figures in USD</t>
  </si>
  <si>
    <t>Income Statement</t>
  </si>
  <si>
    <t>Unit</t>
  </si>
  <si>
    <t>Year 1</t>
  </si>
  <si>
    <t>Year 2</t>
  </si>
  <si>
    <t>Year 3</t>
  </si>
  <si>
    <t>Year 4</t>
  </si>
  <si>
    <t>Year 5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</si>
  <si>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</si>
  <si>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</si>
  <si>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</si>
  <si>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</si>
  <si>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</si>
  <si>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</si>
  <si>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</si>
  <si>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</si>
  <si>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</si>
  <si>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</si>
  <si>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</si>
  <si>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</si>
  <si>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</si>
  <si>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</si>
  <si>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</si>
  <si>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</si>
  <si>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</si>
  <si>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Ammortization</t>
  </si>
  <si>
    <t>EBIT</t>
  </si>
  <si>
    <t>Intersest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</si>
  <si>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</si>
  <si>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</si>
  <si>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</si>
  <si>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</si>
  <si>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</si>
  <si>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</si>
  <si>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</si>
  <si>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</si>
  <si>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</si>
  <si>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$ in actual figures</t>
  </si>
  <si>
    <t>Current Assets</t>
  </si>
  <si>
    <t>Cash</t>
  </si>
  <si>
    <t>Accounts Receivable</t>
  </si>
  <si>
    <t>Total Current Assets</t>
  </si>
  <si>
    <t>Non Current Assests</t>
  </si>
  <si>
    <t>Fixed Assests</t>
  </si>
  <si>
    <t>Net Fixed Assets</t>
  </si>
  <si>
    <t>Accumulated Depreciation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</si>
  <si>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</si>
  <si>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</si>
  <si>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</si>
  <si>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</si>
  <si>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</si>
  <si>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</si>
  <si>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</si>
  <si>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</si>
  <si>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</si>
  <si>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</si>
  <si>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</si>
  <si>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</si>
  <si>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</si>
  <si>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</si>
  <si>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</si>
  <si>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</si>
  <si>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</si>
  <si>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</si>
  <si>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</si>
  <si>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</si>
  <si>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</si>
  <si>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</si>
  <si>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</si>
  <si>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</si>
  <si>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</si>
  <si>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</si>
  <si>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</si>
  <si>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</si>
  <si>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</si>
  <si>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</si>
  <si>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</si>
  <si>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</si>
  <si>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Assest life (Years)</t>
  </si>
  <si>
    <t>Total CapEx</t>
  </si>
  <si>
    <t>Existing Equipment</t>
  </si>
  <si>
    <t>Total D&amp;A</t>
  </si>
  <si>
    <t>Historical</t>
  </si>
  <si>
    <t>Expresso Machine</t>
  </si>
  <si>
    <t>Coffee Grinder</t>
  </si>
  <si>
    <t>Commercial Freezer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</si>
</sst>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E"/>
    <numFmt numFmtId="165" formatCode="_(* #,##0_);_(* \(#,##0\);_(* &quot;-&quot;??_);_(@_)"/>
    <numFmt numFmtId="166" formatCode="0.0%"/>
    <numFmt numFmtId="169" formatCode="_(&quot;$&quot;* #,##0_);_(&quot;$&quot;* \(#,##0\);_(&quot;$&quot;* &quot;-&quot;??_);_(@_)"/>
    <numFmt numFmtId="174" formatCode="mmm\-yy\A"/>
    <numFmt numFmtId="175" formatCode="mmm\-yy\E"/>
    <numFmt numFmtId="180" formatCode="0_);\(0\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0432FF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2741EE"/>
      <name val="Calibri"/>
      <family val="2"/>
    </font>
    <font>
      <sz val="11"/>
      <color theme="4"/>
      <name val="Calibri"/>
      <family val="2"/>
    </font>
    <font>
      <b/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E7E6E6"/>
        <bgColor rgb="FFE7E6E6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5">
    <xf numFmtId="0" fontId="0" fillId="0" borderId="0" xfId="0"/>
    <xf numFmtId="0" fontId="3" fillId="0" borderId="0" xfId="0" applyFont="1"/>
    <xf numFmtId="0" fontId="6" fillId="0" borderId="0" xfId="0" applyFont="1"/>
    <xf numFmtId="9" fontId="6" fillId="0" borderId="1" xfId="2" applyFont="1" applyBorder="1"/>
    <xf numFmtId="0" fontId="6" fillId="0" borderId="1" xfId="0" applyFont="1" applyBorder="1"/>
    <xf numFmtId="0" fontId="6" fillId="0" borderId="2" xfId="0" applyFont="1" applyBorder="1"/>
    <xf numFmtId="165" fontId="6" fillId="0" borderId="1" xfId="2" applyNumberFormat="1" applyFont="1" applyBorder="1"/>
    <xf numFmtId="165" fontId="6" fillId="0" borderId="1" xfId="0" applyNumberFormat="1" applyFont="1" applyBorder="1"/>
    <xf numFmtId="0" fontId="3" fillId="0" borderId="0" xfId="0" applyFont="1" applyFill="1" applyBorder="1"/>
    <xf numFmtId="0" fontId="3" fillId="0" borderId="0" xfId="0" applyFont="1" applyBorder="1"/>
    <xf numFmtId="169" fontId="6" fillId="0" borderId="2" xfId="0" applyNumberFormat="1" applyFont="1" applyBorder="1"/>
    <xf numFmtId="0" fontId="12" fillId="2" borderId="3" xfId="0" applyFont="1" applyFill="1" applyBorder="1"/>
    <xf numFmtId="164" fontId="6" fillId="2" borderId="3" xfId="0" applyNumberFormat="1" applyFont="1" applyFill="1" applyBorder="1"/>
    <xf numFmtId="174" fontId="6" fillId="2" borderId="3" xfId="0" applyNumberFormat="1" applyFont="1" applyFill="1" applyBorder="1"/>
    <xf numFmtId="0" fontId="3" fillId="2" borderId="1" xfId="0" applyFont="1" applyFill="1" applyBorder="1"/>
    <xf numFmtId="175" fontId="9" fillId="2" borderId="3" xfId="0" applyNumberFormat="1" applyFont="1" applyFill="1" applyBorder="1"/>
    <xf numFmtId="165" fontId="9" fillId="0" borderId="1" xfId="0" applyNumberFormat="1" applyFont="1" applyBorder="1"/>
    <xf numFmtId="0" fontId="9" fillId="0" borderId="1" xfId="0" applyFont="1" applyBorder="1"/>
    <xf numFmtId="0" fontId="3" fillId="0" borderId="4" xfId="0" applyFont="1" applyBorder="1"/>
    <xf numFmtId="165" fontId="0" fillId="0" borderId="4" xfId="0" applyNumberFormat="1" applyBorder="1"/>
    <xf numFmtId="0" fontId="9" fillId="0" borderId="0" xfId="0" applyFont="1"/>
    <xf numFmtId="165" fontId="9" fillId="0" borderId="2" xfId="0" applyNumberFormat="1" applyFont="1" applyBorder="1"/>
    <xf numFmtId="165" fontId="3" fillId="0" borderId="4" xfId="0" applyNumberFormat="1" applyFont="1" applyBorder="1"/>
    <xf numFmtId="1" fontId="9" fillId="0" borderId="1" xfId="0" applyNumberFormat="1" applyFont="1" applyBorder="1"/>
    <xf numFmtId="0" fontId="6" fillId="0" borderId="4" xfId="0" applyFont="1" applyBorder="1"/>
    <xf numFmtId="165" fontId="9" fillId="0" borderId="4" xfId="0" applyNumberFormat="1" applyFont="1" applyBorder="1"/>
    <xf numFmtId="0" fontId="0" fillId="0" borderId="0" xfId="0" applyFill="1" applyBorder="1"/>
    <xf numFmtId="180" fontId="6" fillId="0" borderId="1" xfId="0" applyNumberFormat="1" applyFont="1" applyBorder="1"/>
    <xf numFmtId="0" fontId="6" fillId="6" borderId="5" xfId="0" applyFont="1" applyFill="1" applyBorder="1"/>
    <xf numFmtId="0" fontId="3" fillId="6" borderId="1" xfId="0" applyFont="1" applyFill="1" applyBorder="1"/>
    <xf numFmtId="0" fontId="3" fillId="6" borderId="6" xfId="0" applyFont="1" applyFill="1" applyBorder="1"/>
    <xf numFmtId="0" fontId="3" fillId="6" borderId="7" xfId="0" applyFont="1" applyFill="1" applyBorder="1"/>
    <xf numFmtId="0" fontId="3" fillId="6" borderId="0" xfId="0" applyFont="1" applyFill="1" applyBorder="1"/>
    <xf numFmtId="0" fontId="3" fillId="6" borderId="8" xfId="0" applyFont="1" applyFill="1" applyBorder="1"/>
    <xf numFmtId="0" fontId="3" fillId="6" borderId="7" xfId="0" applyFont="1" applyFill="1" applyBorder="1" applyAlignment="1">
      <alignment horizontal="left" indent="2"/>
    </xf>
    <xf numFmtId="165" fontId="8" fillId="6" borderId="0" xfId="0" applyNumberFormat="1" applyFont="1" applyFill="1" applyBorder="1"/>
    <xf numFmtId="165" fontId="8" fillId="6" borderId="8" xfId="0" applyNumberFormat="1" applyFont="1" applyFill="1" applyBorder="1"/>
    <xf numFmtId="6" fontId="8" fillId="6" borderId="0" xfId="0" applyNumberFormat="1" applyFont="1" applyFill="1" applyBorder="1"/>
    <xf numFmtId="6" fontId="8" fillId="6" borderId="8" xfId="0" applyNumberFormat="1" applyFont="1" applyFill="1" applyBorder="1"/>
    <xf numFmtId="9" fontId="8" fillId="6" borderId="0" xfId="0" applyNumberFormat="1" applyFont="1" applyFill="1" applyBorder="1"/>
    <xf numFmtId="9" fontId="8" fillId="6" borderId="8" xfId="0" applyNumberFormat="1" applyFont="1" applyFill="1" applyBorder="1"/>
    <xf numFmtId="0" fontId="8" fillId="6" borderId="0" xfId="0" applyFont="1" applyFill="1" applyBorder="1"/>
    <xf numFmtId="0" fontId="8" fillId="6" borderId="8" xfId="0" applyFont="1" applyFill="1" applyBorder="1"/>
    <xf numFmtId="0" fontId="3" fillId="6" borderId="7" xfId="0" applyFont="1" applyFill="1" applyBorder="1" applyAlignment="1">
      <alignment horizontal="left" indent="1"/>
    </xf>
    <xf numFmtId="0" fontId="3" fillId="6" borderId="9" xfId="0" applyFont="1" applyFill="1" applyBorder="1"/>
    <xf numFmtId="9" fontId="8" fillId="6" borderId="3" xfId="0" applyNumberFormat="1" applyFont="1" applyFill="1" applyBorder="1"/>
    <xf numFmtId="9" fontId="8" fillId="6" borderId="10" xfId="0" applyNumberFormat="1" applyFont="1" applyFill="1" applyBorder="1"/>
    <xf numFmtId="0" fontId="6" fillId="5" borderId="5" xfId="0" applyFont="1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7" xfId="0" applyFill="1" applyBorder="1"/>
    <xf numFmtId="165" fontId="8" fillId="5" borderId="0" xfId="0" applyNumberFormat="1" applyFont="1" applyFill="1" applyBorder="1"/>
    <xf numFmtId="165" fontId="0" fillId="5" borderId="0" xfId="0" applyNumberFormat="1" applyFill="1" applyBorder="1"/>
    <xf numFmtId="165" fontId="0" fillId="5" borderId="8" xfId="0" applyNumberFormat="1" applyFill="1" applyBorder="1"/>
    <xf numFmtId="165" fontId="10" fillId="5" borderId="0" xfId="0" applyNumberFormat="1" applyFont="1" applyFill="1" applyBorder="1"/>
    <xf numFmtId="0" fontId="0" fillId="5" borderId="7" xfId="0" applyFill="1" applyBorder="1" applyAlignment="1">
      <alignment horizontal="left"/>
    </xf>
    <xf numFmtId="166" fontId="0" fillId="5" borderId="0" xfId="0" applyNumberFormat="1" applyFill="1" applyBorder="1"/>
    <xf numFmtId="166" fontId="0" fillId="5" borderId="8" xfId="0" applyNumberFormat="1" applyFill="1" applyBorder="1"/>
    <xf numFmtId="0" fontId="0" fillId="5" borderId="0" xfId="0" applyFill="1" applyBorder="1"/>
    <xf numFmtId="0" fontId="0" fillId="5" borderId="8" xfId="0" applyFill="1" applyBorder="1"/>
    <xf numFmtId="0" fontId="11" fillId="5" borderId="0" xfId="0" applyFont="1" applyFill="1" applyBorder="1"/>
    <xf numFmtId="0" fontId="11" fillId="5" borderId="8" xfId="0" applyFont="1" applyFill="1" applyBorder="1"/>
    <xf numFmtId="165" fontId="8" fillId="5" borderId="8" xfId="0" applyNumberFormat="1" applyFont="1" applyFill="1" applyBorder="1"/>
    <xf numFmtId="9" fontId="8" fillId="5" borderId="0" xfId="0" applyNumberFormat="1" applyFont="1" applyFill="1" applyBorder="1"/>
    <xf numFmtId="9" fontId="8" fillId="5" borderId="8" xfId="0" applyNumberFormat="1" applyFont="1" applyFill="1" applyBorder="1"/>
    <xf numFmtId="0" fontId="0" fillId="5" borderId="9" xfId="0" applyFill="1" applyBorder="1" applyAlignment="1">
      <alignment horizontal="left"/>
    </xf>
    <xf numFmtId="0" fontId="0" fillId="5" borderId="3" xfId="0" applyFill="1" applyBorder="1"/>
    <xf numFmtId="165" fontId="0" fillId="5" borderId="3" xfId="0" applyNumberFormat="1" applyFill="1" applyBorder="1"/>
    <xf numFmtId="165" fontId="0" fillId="5" borderId="10" xfId="0" applyNumberFormat="1" applyFill="1" applyBorder="1"/>
    <xf numFmtId="0" fontId="2" fillId="4" borderId="5" xfId="0" applyFont="1" applyFill="1" applyBorder="1"/>
    <xf numFmtId="0" fontId="2" fillId="4" borderId="1" xfId="0" applyFont="1" applyFill="1" applyBorder="1"/>
    <xf numFmtId="164" fontId="2" fillId="4" borderId="1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0" fontId="4" fillId="3" borderId="7" xfId="0" applyFont="1" applyFill="1" applyBorder="1"/>
    <xf numFmtId="0" fontId="4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5" fillId="2" borderId="7" xfId="0" applyFont="1" applyFill="1" applyBorder="1"/>
    <xf numFmtId="0" fontId="4" fillId="2" borderId="0" xfId="0" applyFont="1" applyFill="1" applyBorder="1"/>
    <xf numFmtId="0" fontId="4" fillId="2" borderId="8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7" xfId="0" applyFont="1" applyBorder="1" applyAlignment="1">
      <alignment horizontal="left" indent="1"/>
    </xf>
    <xf numFmtId="165" fontId="3" fillId="0" borderId="0" xfId="1" applyNumberFormat="1" applyFont="1" applyBorder="1"/>
    <xf numFmtId="165" fontId="3" fillId="0" borderId="8" xfId="1" applyNumberFormat="1" applyFont="1" applyBorder="1"/>
    <xf numFmtId="9" fontId="6" fillId="0" borderId="5" xfId="2" applyFont="1" applyBorder="1"/>
    <xf numFmtId="165" fontId="6" fillId="0" borderId="6" xfId="2" applyNumberFormat="1" applyFont="1" applyBorder="1"/>
    <xf numFmtId="165" fontId="3" fillId="0" borderId="0" xfId="0" applyNumberFormat="1" applyFont="1" applyBorder="1"/>
    <xf numFmtId="165" fontId="3" fillId="0" borderId="8" xfId="0" applyNumberFormat="1" applyFont="1" applyBorder="1"/>
    <xf numFmtId="0" fontId="6" fillId="0" borderId="5" xfId="0" applyFont="1" applyBorder="1"/>
    <xf numFmtId="165" fontId="6" fillId="0" borderId="6" xfId="0" applyNumberFormat="1" applyFont="1" applyBorder="1"/>
    <xf numFmtId="9" fontId="3" fillId="0" borderId="0" xfId="0" applyNumberFormat="1" applyFont="1" applyBorder="1"/>
    <xf numFmtId="9" fontId="3" fillId="0" borderId="8" xfId="0" applyNumberFormat="1" applyFont="1" applyBorder="1"/>
    <xf numFmtId="180" fontId="3" fillId="0" borderId="0" xfId="0" applyNumberFormat="1" applyFont="1" applyBorder="1"/>
    <xf numFmtId="180" fontId="3" fillId="0" borderId="8" xfId="0" applyNumberFormat="1" applyFont="1" applyBorder="1"/>
    <xf numFmtId="0" fontId="6" fillId="0" borderId="11" xfId="0" applyFont="1" applyBorder="1"/>
    <xf numFmtId="165" fontId="6" fillId="0" borderId="4" xfId="0" applyNumberFormat="1" applyFont="1" applyBorder="1"/>
    <xf numFmtId="165" fontId="6" fillId="0" borderId="12" xfId="0" applyNumberFormat="1" applyFont="1" applyBorder="1"/>
    <xf numFmtId="0" fontId="7" fillId="0" borderId="11" xfId="0" applyFont="1" applyBorder="1"/>
    <xf numFmtId="9" fontId="3" fillId="0" borderId="4" xfId="2" applyFont="1" applyBorder="1"/>
    <xf numFmtId="9" fontId="3" fillId="0" borderId="12" xfId="2" applyFont="1" applyBorder="1"/>
    <xf numFmtId="0" fontId="6" fillId="2" borderId="5" xfId="0" applyFont="1" applyFill="1" applyBorder="1"/>
    <xf numFmtId="0" fontId="6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9" fillId="2" borderId="6" xfId="0" applyFont="1" applyFill="1" applyBorder="1"/>
    <xf numFmtId="0" fontId="3" fillId="2" borderId="9" xfId="0" applyFont="1" applyFill="1" applyBorder="1"/>
    <xf numFmtId="175" fontId="9" fillId="2" borderId="10" xfId="0" applyNumberFormat="1" applyFont="1" applyFill="1" applyBorder="1"/>
    <xf numFmtId="0" fontId="0" fillId="0" borderId="0" xfId="0" applyBorder="1"/>
    <xf numFmtId="0" fontId="0" fillId="0" borderId="8" xfId="0" applyBorder="1"/>
    <xf numFmtId="165" fontId="8" fillId="0" borderId="0" xfId="0" applyNumberFormat="1" applyFont="1" applyBorder="1"/>
    <xf numFmtId="165" fontId="0" fillId="0" borderId="0" xfId="0" applyNumberFormat="1" applyBorder="1"/>
    <xf numFmtId="165" fontId="0" fillId="0" borderId="8" xfId="0" applyNumberFormat="1" applyBorder="1"/>
    <xf numFmtId="165" fontId="9" fillId="0" borderId="6" xfId="0" applyNumberFormat="1" applyFont="1" applyBorder="1"/>
    <xf numFmtId="165" fontId="9" fillId="0" borderId="12" xfId="0" applyNumberFormat="1" applyFont="1" applyBorder="1"/>
    <xf numFmtId="0" fontId="6" fillId="0" borderId="13" xfId="0" applyFont="1" applyBorder="1"/>
    <xf numFmtId="165" fontId="9" fillId="0" borderId="14" xfId="0" applyNumberFormat="1" applyFont="1" applyBorder="1"/>
    <xf numFmtId="0" fontId="8" fillId="0" borderId="0" xfId="0" applyFont="1" applyBorder="1"/>
    <xf numFmtId="1" fontId="9" fillId="0" borderId="6" xfId="0" applyNumberFormat="1" applyFont="1" applyBorder="1"/>
    <xf numFmtId="0" fontId="6" fillId="0" borderId="5" xfId="0" applyFont="1" applyBorder="1" applyAlignment="1">
      <alignment horizontal="left"/>
    </xf>
    <xf numFmtId="0" fontId="3" fillId="0" borderId="11" xfId="0" applyFont="1" applyBorder="1"/>
    <xf numFmtId="165" fontId="3" fillId="0" borderId="12" xfId="0" applyNumberFormat="1" applyFont="1" applyBorder="1"/>
    <xf numFmtId="0" fontId="3" fillId="2" borderId="6" xfId="0" applyFont="1" applyFill="1" applyBorder="1"/>
    <xf numFmtId="164" fontId="6" fillId="2" borderId="10" xfId="0" applyNumberFormat="1" applyFont="1" applyFill="1" applyBorder="1"/>
    <xf numFmtId="1" fontId="3" fillId="0" borderId="0" xfId="0" applyNumberFormat="1" applyFont="1" applyBorder="1"/>
    <xf numFmtId="1" fontId="3" fillId="0" borderId="8" xfId="0" applyNumberFormat="1" applyFont="1" applyBorder="1"/>
    <xf numFmtId="180" fontId="6" fillId="0" borderId="6" xfId="0" applyNumberFormat="1" applyFont="1" applyBorder="1"/>
    <xf numFmtId="0" fontId="8" fillId="0" borderId="0" xfId="0" applyFont="1" applyBorder="1" applyAlignment="1">
      <alignment horizontal="center"/>
    </xf>
    <xf numFmtId="169" fontId="8" fillId="0" borderId="0" xfId="3" applyNumberFormat="1" applyFont="1" applyBorder="1"/>
    <xf numFmtId="169" fontId="6" fillId="0" borderId="14" xfId="0" applyNumberFormat="1" applyFont="1" applyBorder="1"/>
    <xf numFmtId="9" fontId="3" fillId="0" borderId="7" xfId="2" applyFont="1" applyBorder="1"/>
    <xf numFmtId="0" fontId="3" fillId="0" borderId="7" xfId="0" applyFont="1" applyBorder="1" applyAlignment="1">
      <alignment horizontal="left"/>
    </xf>
    <xf numFmtId="169" fontId="3" fillId="0" borderId="0" xfId="0" applyNumberFormat="1" applyFont="1" applyBorder="1"/>
    <xf numFmtId="169" fontId="3" fillId="0" borderId="8" xfId="0" applyNumberFormat="1" applyFont="1" applyBorder="1"/>
    <xf numFmtId="169" fontId="6" fillId="0" borderId="4" xfId="0" applyNumberFormat="1" applyFont="1" applyBorder="1"/>
    <xf numFmtId="169" fontId="6" fillId="0" borderId="12" xfId="0" applyNumberFormat="1" applyFont="1" applyBorder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152400</xdr:rowOff>
    </xdr:from>
    <xdr:to>
      <xdr:col>15</xdr:col>
      <xdr:colOff>260350</xdr:colOff>
      <xdr:row>6</xdr:row>
      <xdr:rowOff>146050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651312-3401-12BE-3A45-BDA81802B062}"/>
            </a:ext>
          </a:extLst>
        </xdr:cNvPr>
        <xdr:cNvSpPr txBox="1"/>
      </xdr:nvSpPr>
      <xdr:spPr>
        <a:xfrm>
          <a:off x="7061200" y="520700"/>
          <a:ext cx="3898900" cy="7302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b="1" i="1"/>
            <a:t>A 5-year financial model for coffee shop, including linked financial statements, revenue forecasting, expense breakdown, and CapEx with depreciation schedules.</a:t>
          </a:r>
          <a:endParaRPr lang="en-US" sz="1100" b="1" i="1" kern="12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shm\Downloads\Start%20File%203%20Statement%20Model_v2%20(1).xlsx" TargetMode="External"/><Relationship Id="rId1" Type="http://schemas.openxmlformats.org/officeDocument/2006/relationships/externalLinkPath" Target="file:///C:\Users\sushm\Downloads\Start%20File%203%20Statement%20Model_v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Income Statement"/>
      <sheetName val="Balance Sheet"/>
      <sheetName val="Statement of Cashflows"/>
      <sheetName val="Fixed Assets"/>
    </sheetNames>
    <sheetDataSet>
      <sheetData sheetId="0" refreshError="1"/>
      <sheetData sheetId="1" refreshError="1"/>
      <sheetData sheetId="2">
        <row r="6">
          <cell r="B6" t="str">
            <v>Accounts Receivable</v>
          </cell>
        </row>
        <row r="16">
          <cell r="B16" t="str">
            <v>Accounts Payable</v>
          </cell>
        </row>
        <row r="17">
          <cell r="B17" t="str">
            <v>Deferred Revenue</v>
          </cell>
        </row>
      </sheetData>
      <sheetData sheetId="3" refreshError="1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BE8F-4B8C-4C13-AA37-D6CA96C23514}">
  <dimension ref="B2:I48"/>
  <sheetViews>
    <sheetView showGridLines="0" tabSelected="1" zoomScale="120" zoomScaleNormal="120" workbookViewId="0">
      <selection activeCell="K10" sqref="K10"/>
    </sheetView>
  </sheetViews>
  <sheetFormatPr defaultRowHeight="14.4" x14ac:dyDescent="0.3"/>
  <cols>
    <col min="1" max="1" width="8.88671875" style="1"/>
    <col min="2" max="2" width="29.5546875" style="1" customWidth="1"/>
    <col min="3" max="3" width="8.88671875" style="1"/>
    <col min="4" max="4" width="10.88671875" style="1" bestFit="1" customWidth="1"/>
    <col min="5" max="16384" width="8.88671875" style="1"/>
  </cols>
  <sheetData>
    <row r="2" spans="2:9" x14ac:dyDescent="0.3">
      <c r="B2" s="69"/>
      <c r="C2" s="70"/>
      <c r="D2" s="71">
        <v>45658</v>
      </c>
      <c r="E2" s="71">
        <f>EDATE(D2,12)</f>
        <v>46023</v>
      </c>
      <c r="F2" s="71">
        <f t="shared" ref="F2:H2" si="0">EDATE(E2,12)</f>
        <v>46388</v>
      </c>
      <c r="G2" s="71">
        <f t="shared" si="0"/>
        <v>46753</v>
      </c>
      <c r="H2" s="72">
        <f t="shared" si="0"/>
        <v>47119</v>
      </c>
    </row>
    <row r="3" spans="2:9" x14ac:dyDescent="0.3">
      <c r="B3" s="73" t="s">
        <v>0</v>
      </c>
      <c r="C3" s="74" t="s">
        <v>2</v>
      </c>
      <c r="D3" s="75" t="s">
        <v>3</v>
      </c>
      <c r="E3" s="75" t="s">
        <v>4</v>
      </c>
      <c r="F3" s="75" t="s">
        <v>5</v>
      </c>
      <c r="G3" s="75" t="s">
        <v>6</v>
      </c>
      <c r="H3" s="76" t="s">
        <v>7</v>
      </c>
    </row>
    <row r="4" spans="2:9" x14ac:dyDescent="0.3">
      <c r="B4" s="77" t="s">
        <v>1</v>
      </c>
      <c r="C4" s="78"/>
      <c r="D4" s="78"/>
      <c r="E4" s="78"/>
      <c r="F4" s="78"/>
      <c r="G4" s="78"/>
      <c r="H4" s="79"/>
    </row>
    <row r="5" spans="2:9" x14ac:dyDescent="0.3">
      <c r="B5" s="80" t="s">
        <v>8</v>
      </c>
      <c r="C5" s="9"/>
      <c r="D5" s="9"/>
      <c r="E5" s="9"/>
      <c r="F5" s="9"/>
      <c r="G5" s="9"/>
      <c r="H5" s="81"/>
    </row>
    <row r="6" spans="2:9" x14ac:dyDescent="0.3">
      <c r="B6" s="82" t="s">
        <v>9</v>
      </c>
      <c r="C6" s="9"/>
      <c r="D6" s="83">
        <f>D34*D35</f>
        <v>20000</v>
      </c>
      <c r="E6" s="83">
        <f t="shared" ref="E6:H6" si="1">E34*E35</f>
        <v>22500</v>
      </c>
      <c r="F6" s="83">
        <f t="shared" si="1"/>
        <v>32500</v>
      </c>
      <c r="G6" s="83">
        <f t="shared" si="1"/>
        <v>31750</v>
      </c>
      <c r="H6" s="84">
        <f t="shared" si="1"/>
        <v>35000</v>
      </c>
    </row>
    <row r="7" spans="2:9" x14ac:dyDescent="0.3">
      <c r="B7" s="82" t="s">
        <v>10</v>
      </c>
      <c r="C7" s="9"/>
      <c r="D7" s="83">
        <f>D6*-D36</f>
        <v>-1000</v>
      </c>
      <c r="E7" s="83">
        <f t="shared" ref="E7:H7" si="2">E6*-E36</f>
        <v>-1125</v>
      </c>
      <c r="F7" s="83">
        <f t="shared" si="2"/>
        <v>-1625</v>
      </c>
      <c r="G7" s="83">
        <f t="shared" si="2"/>
        <v>-1587.5</v>
      </c>
      <c r="H7" s="84">
        <f t="shared" si="2"/>
        <v>-1750</v>
      </c>
    </row>
    <row r="8" spans="2:9" x14ac:dyDescent="0.3">
      <c r="B8" s="85" t="s">
        <v>11</v>
      </c>
      <c r="C8" s="3"/>
      <c r="D8" s="6">
        <f>SUM(D6:D7)</f>
        <v>19000</v>
      </c>
      <c r="E8" s="6">
        <f t="shared" ref="E8:H8" si="3">SUM(E6:E7)</f>
        <v>21375</v>
      </c>
      <c r="F8" s="6">
        <f t="shared" si="3"/>
        <v>30875</v>
      </c>
      <c r="G8" s="6">
        <f t="shared" si="3"/>
        <v>30162.5</v>
      </c>
      <c r="H8" s="86">
        <f t="shared" si="3"/>
        <v>33250</v>
      </c>
      <c r="I8" s="2"/>
    </row>
    <row r="9" spans="2:9" x14ac:dyDescent="0.3">
      <c r="B9" s="80" t="s">
        <v>12</v>
      </c>
      <c r="C9" s="9"/>
      <c r="D9" s="9"/>
      <c r="E9" s="9"/>
      <c r="F9" s="9"/>
      <c r="G9" s="9"/>
      <c r="H9" s="81"/>
    </row>
    <row r="10" spans="2:9" x14ac:dyDescent="0.3">
      <c r="B10" s="82" t="s">
        <v>13</v>
      </c>
      <c r="C10" s="9"/>
      <c r="D10" s="87">
        <f>-D$6*D39</f>
        <v>-6000</v>
      </c>
      <c r="E10" s="87">
        <f t="shared" ref="E10:H10" si="4">-E$6*E39</f>
        <v>-6750</v>
      </c>
      <c r="F10" s="87">
        <f t="shared" si="4"/>
        <v>-9750</v>
      </c>
      <c r="G10" s="87">
        <f t="shared" si="4"/>
        <v>-9525</v>
      </c>
      <c r="H10" s="88">
        <f t="shared" si="4"/>
        <v>-10500</v>
      </c>
    </row>
    <row r="11" spans="2:9" x14ac:dyDescent="0.3">
      <c r="B11" s="82" t="s">
        <v>14</v>
      </c>
      <c r="C11" s="9"/>
      <c r="D11" s="87">
        <f t="shared" ref="D11:H12" si="5">-D$6*D40</f>
        <v>-1400.0000000000002</v>
      </c>
      <c r="E11" s="87">
        <f t="shared" si="5"/>
        <v>-1575.0000000000002</v>
      </c>
      <c r="F11" s="87">
        <f t="shared" si="5"/>
        <v>-2275</v>
      </c>
      <c r="G11" s="87">
        <f t="shared" si="5"/>
        <v>-2222.5</v>
      </c>
      <c r="H11" s="88">
        <f t="shared" si="5"/>
        <v>-2450.0000000000005</v>
      </c>
    </row>
    <row r="12" spans="2:9" x14ac:dyDescent="0.3">
      <c r="B12" s="82" t="s">
        <v>15</v>
      </c>
      <c r="C12" s="9"/>
      <c r="D12" s="87">
        <f t="shared" si="5"/>
        <v>-400</v>
      </c>
      <c r="E12" s="87">
        <f t="shared" si="5"/>
        <v>-450</v>
      </c>
      <c r="F12" s="87">
        <f t="shared" si="5"/>
        <v>-650</v>
      </c>
      <c r="G12" s="87">
        <f t="shared" si="5"/>
        <v>-635</v>
      </c>
      <c r="H12" s="88">
        <f t="shared" si="5"/>
        <v>-700</v>
      </c>
    </row>
    <row r="13" spans="2:9" x14ac:dyDescent="0.3">
      <c r="B13" s="82" t="s">
        <v>16</v>
      </c>
      <c r="C13" s="9"/>
      <c r="D13" s="87">
        <f>SUM(D10:D12)</f>
        <v>-7800</v>
      </c>
      <c r="E13" s="87">
        <f t="shared" ref="E13:H13" si="6">SUM(E10:E12)</f>
        <v>-8775</v>
      </c>
      <c r="F13" s="87">
        <f t="shared" si="6"/>
        <v>-12675</v>
      </c>
      <c r="G13" s="87">
        <f t="shared" si="6"/>
        <v>-12382.5</v>
      </c>
      <c r="H13" s="88">
        <f t="shared" si="6"/>
        <v>-13650</v>
      </c>
    </row>
    <row r="14" spans="2:9" x14ac:dyDescent="0.3">
      <c r="B14" s="89" t="s">
        <v>17</v>
      </c>
      <c r="C14" s="4"/>
      <c r="D14" s="7">
        <f>D8+D13</f>
        <v>11200</v>
      </c>
      <c r="E14" s="7">
        <f t="shared" ref="E14:H14" si="7">E8+E13</f>
        <v>12600</v>
      </c>
      <c r="F14" s="7">
        <f t="shared" si="7"/>
        <v>18200</v>
      </c>
      <c r="G14" s="7">
        <f t="shared" si="7"/>
        <v>17780</v>
      </c>
      <c r="H14" s="90">
        <f t="shared" si="7"/>
        <v>19600</v>
      </c>
    </row>
    <row r="15" spans="2:9" x14ac:dyDescent="0.3">
      <c r="B15" s="80" t="s">
        <v>18</v>
      </c>
      <c r="C15" s="9"/>
      <c r="D15" s="91">
        <f>D14/D8</f>
        <v>0.58947368421052626</v>
      </c>
      <c r="E15" s="91">
        <f t="shared" ref="E15:H15" si="8">E14/E8</f>
        <v>0.58947368421052626</v>
      </c>
      <c r="F15" s="91">
        <f t="shared" si="8"/>
        <v>0.58947368421052626</v>
      </c>
      <c r="G15" s="91">
        <f t="shared" si="8"/>
        <v>0.58947368421052626</v>
      </c>
      <c r="H15" s="92">
        <f t="shared" si="8"/>
        <v>0.58947368421052626</v>
      </c>
    </row>
    <row r="16" spans="2:9" x14ac:dyDescent="0.3">
      <c r="B16" s="80" t="s">
        <v>19</v>
      </c>
      <c r="C16" s="9"/>
      <c r="D16" s="9"/>
      <c r="E16" s="9"/>
      <c r="F16" s="9"/>
      <c r="G16" s="9"/>
      <c r="H16" s="81"/>
    </row>
    <row r="17" spans="2:8" x14ac:dyDescent="0.3">
      <c r="B17" s="82" t="s">
        <v>20</v>
      </c>
      <c r="C17" s="9"/>
      <c r="D17" s="83">
        <f>-D$6*D44</f>
        <v>-3000</v>
      </c>
      <c r="E17" s="83">
        <f t="shared" ref="E17:H17" si="9">-E$6*E44</f>
        <v>-3375</v>
      </c>
      <c r="F17" s="83">
        <f t="shared" si="9"/>
        <v>-4875</v>
      </c>
      <c r="G17" s="83">
        <f t="shared" si="9"/>
        <v>-4762.5</v>
      </c>
      <c r="H17" s="84">
        <f t="shared" si="9"/>
        <v>-5250</v>
      </c>
    </row>
    <row r="18" spans="2:8" x14ac:dyDescent="0.3">
      <c r="B18" s="82" t="s">
        <v>21</v>
      </c>
      <c r="C18" s="9"/>
      <c r="D18" s="83">
        <f t="shared" ref="D18:H19" si="10">-D$6*D45</f>
        <v>-1000</v>
      </c>
      <c r="E18" s="83">
        <f t="shared" si="10"/>
        <v>-1125</v>
      </c>
      <c r="F18" s="83">
        <f t="shared" si="10"/>
        <v>-1625</v>
      </c>
      <c r="G18" s="83">
        <f t="shared" si="10"/>
        <v>-1587.5</v>
      </c>
      <c r="H18" s="84">
        <f t="shared" si="10"/>
        <v>-1750</v>
      </c>
    </row>
    <row r="19" spans="2:8" x14ac:dyDescent="0.3">
      <c r="B19" s="82" t="s">
        <v>22</v>
      </c>
      <c r="C19" s="9"/>
      <c r="D19" s="83">
        <f t="shared" si="10"/>
        <v>-1000</v>
      </c>
      <c r="E19" s="83">
        <f t="shared" si="10"/>
        <v>-1125</v>
      </c>
      <c r="F19" s="83">
        <f t="shared" si="10"/>
        <v>-1625</v>
      </c>
      <c r="G19" s="83">
        <f t="shared" si="10"/>
        <v>-1587.5</v>
      </c>
      <c r="H19" s="84">
        <f t="shared" si="10"/>
        <v>-1750</v>
      </c>
    </row>
    <row r="20" spans="2:8" x14ac:dyDescent="0.3">
      <c r="B20" s="80" t="s">
        <v>23</v>
      </c>
      <c r="C20" s="9"/>
      <c r="D20" s="87">
        <f>SUM(D17:D19)</f>
        <v>-5000</v>
      </c>
      <c r="E20" s="87">
        <f t="shared" ref="E20:H20" si="11">SUM(E17:E19)</f>
        <v>-5625</v>
      </c>
      <c r="F20" s="87">
        <f t="shared" si="11"/>
        <v>-8125</v>
      </c>
      <c r="G20" s="87">
        <f t="shared" si="11"/>
        <v>-7937.5</v>
      </c>
      <c r="H20" s="88">
        <f t="shared" si="11"/>
        <v>-8750</v>
      </c>
    </row>
    <row r="21" spans="2:8" x14ac:dyDescent="0.3">
      <c r="B21" s="89" t="s">
        <v>24</v>
      </c>
      <c r="C21" s="4"/>
      <c r="D21" s="7">
        <f>D14+D20</f>
        <v>6200</v>
      </c>
      <c r="E21" s="7">
        <f t="shared" ref="E21:H21" si="12">E14+E20</f>
        <v>6975</v>
      </c>
      <c r="F21" s="7">
        <f t="shared" si="12"/>
        <v>10075</v>
      </c>
      <c r="G21" s="7">
        <f t="shared" si="12"/>
        <v>9842.5</v>
      </c>
      <c r="H21" s="90">
        <f t="shared" si="12"/>
        <v>10850</v>
      </c>
    </row>
    <row r="22" spans="2:8" x14ac:dyDescent="0.3">
      <c r="B22" s="80" t="s">
        <v>25</v>
      </c>
      <c r="C22" s="9"/>
      <c r="D22" s="83">
        <f>-'Fixed Assests'!D16</f>
        <v>-4875</v>
      </c>
      <c r="E22" s="83">
        <f>-'Fixed Assests'!E16</f>
        <v>-4875</v>
      </c>
      <c r="F22" s="83">
        <f>-'Fixed Assests'!F16</f>
        <v>-4875</v>
      </c>
      <c r="G22" s="83">
        <f>-'Fixed Assests'!G16</f>
        <v>-4875</v>
      </c>
      <c r="H22" s="84">
        <f>-'Fixed Assests'!H16</f>
        <v>-2375</v>
      </c>
    </row>
    <row r="23" spans="2:8" x14ac:dyDescent="0.3">
      <c r="B23" s="89" t="s">
        <v>26</v>
      </c>
      <c r="C23" s="4"/>
      <c r="D23" s="7">
        <f>SUM(D21:D22)</f>
        <v>1325</v>
      </c>
      <c r="E23" s="7">
        <f t="shared" ref="E23:H23" si="13">SUM(E21:E22)</f>
        <v>2100</v>
      </c>
      <c r="F23" s="7">
        <f t="shared" si="13"/>
        <v>5200</v>
      </c>
      <c r="G23" s="7">
        <f t="shared" si="13"/>
        <v>4967.5</v>
      </c>
      <c r="H23" s="90">
        <f t="shared" si="13"/>
        <v>8475</v>
      </c>
    </row>
    <row r="24" spans="2:8" x14ac:dyDescent="0.3">
      <c r="B24" s="80" t="s">
        <v>27</v>
      </c>
      <c r="C24" s="9"/>
      <c r="D24" s="93">
        <f>-'Balance Sheet'!D43</f>
        <v>-665.00000000000011</v>
      </c>
      <c r="E24" s="93">
        <f>-'Balance Sheet'!E43</f>
        <v>-630.00000000000011</v>
      </c>
      <c r="F24" s="93">
        <f>-'Balance Sheet'!F43</f>
        <v>-927.50000000000011</v>
      </c>
      <c r="G24" s="93">
        <f>-'Balance Sheet'!G43</f>
        <v>-875.00000000000011</v>
      </c>
      <c r="H24" s="94">
        <f>-'Balance Sheet'!H43</f>
        <v>-822.50000000000011</v>
      </c>
    </row>
    <row r="25" spans="2:8" x14ac:dyDescent="0.3">
      <c r="B25" s="89" t="s">
        <v>28</v>
      </c>
      <c r="C25" s="4"/>
      <c r="D25" s="7">
        <f>SUM(D23:D24)</f>
        <v>659.99999999999989</v>
      </c>
      <c r="E25" s="7">
        <f t="shared" ref="E25:H25" si="14">SUM(E23:E24)</f>
        <v>1470</v>
      </c>
      <c r="F25" s="7">
        <f t="shared" si="14"/>
        <v>4272.5</v>
      </c>
      <c r="G25" s="7">
        <f t="shared" si="14"/>
        <v>4092.5</v>
      </c>
      <c r="H25" s="90">
        <f t="shared" si="14"/>
        <v>7652.5</v>
      </c>
    </row>
    <row r="26" spans="2:8" x14ac:dyDescent="0.3">
      <c r="B26" s="80" t="s">
        <v>29</v>
      </c>
      <c r="C26" s="9"/>
      <c r="D26" s="87">
        <f>-D25*D48</f>
        <v>-138.59999999999997</v>
      </c>
      <c r="E26" s="87">
        <f t="shared" ref="E26:H26" si="15">-E25*E48</f>
        <v>-308.7</v>
      </c>
      <c r="F26" s="87">
        <f t="shared" si="15"/>
        <v>-897.22500000000002</v>
      </c>
      <c r="G26" s="87">
        <f t="shared" si="15"/>
        <v>-859.42499999999995</v>
      </c>
      <c r="H26" s="88">
        <f t="shared" si="15"/>
        <v>-1607.0249999999999</v>
      </c>
    </row>
    <row r="27" spans="2:8" x14ac:dyDescent="0.3">
      <c r="B27" s="95" t="s">
        <v>30</v>
      </c>
      <c r="C27" s="24"/>
      <c r="D27" s="96">
        <f>SUM(D25:D26)</f>
        <v>521.39999999999986</v>
      </c>
      <c r="E27" s="96">
        <f t="shared" ref="E27:H27" si="16">SUM(E25:E26)</f>
        <v>1161.3</v>
      </c>
      <c r="F27" s="96">
        <f t="shared" si="16"/>
        <v>3375.2750000000001</v>
      </c>
      <c r="G27" s="96">
        <f t="shared" si="16"/>
        <v>3233.0749999999998</v>
      </c>
      <c r="H27" s="97">
        <f t="shared" si="16"/>
        <v>6045.4750000000004</v>
      </c>
    </row>
    <row r="30" spans="2:8" x14ac:dyDescent="0.3">
      <c r="B30" s="98" t="s">
        <v>31</v>
      </c>
      <c r="C30" s="18"/>
      <c r="D30" s="99">
        <f>D27/D8</f>
        <v>2.7442105263157889E-2</v>
      </c>
      <c r="E30" s="99">
        <f t="shared" ref="E30:H30" si="17">E27/E8</f>
        <v>5.4329824561403506E-2</v>
      </c>
      <c r="F30" s="99">
        <f t="shared" si="17"/>
        <v>0.10932064777327935</v>
      </c>
      <c r="G30" s="99">
        <f t="shared" si="17"/>
        <v>0.10718856195607128</v>
      </c>
      <c r="H30" s="100">
        <f t="shared" si="17"/>
        <v>0.18181879699248121</v>
      </c>
    </row>
    <row r="32" spans="2:8" x14ac:dyDescent="0.3">
      <c r="B32" s="28" t="s">
        <v>32</v>
      </c>
      <c r="C32" s="29"/>
      <c r="D32" s="29"/>
      <c r="E32" s="29"/>
      <c r="F32" s="29"/>
      <c r="G32" s="29"/>
      <c r="H32" s="30"/>
    </row>
    <row r="33" spans="2:8" x14ac:dyDescent="0.3">
      <c r="B33" s="31" t="s">
        <v>8</v>
      </c>
      <c r="C33" s="32"/>
      <c r="D33" s="32"/>
      <c r="E33" s="32"/>
      <c r="F33" s="32"/>
      <c r="G33" s="32"/>
      <c r="H33" s="33"/>
    </row>
    <row r="34" spans="2:8" x14ac:dyDescent="0.3">
      <c r="B34" s="34" t="s">
        <v>33</v>
      </c>
      <c r="C34" s="35"/>
      <c r="D34" s="35">
        <v>4000</v>
      </c>
      <c r="E34" s="35">
        <v>4500</v>
      </c>
      <c r="F34" s="35">
        <v>6500</v>
      </c>
      <c r="G34" s="35">
        <v>6350</v>
      </c>
      <c r="H34" s="36">
        <v>7000</v>
      </c>
    </row>
    <row r="35" spans="2:8" x14ac:dyDescent="0.3">
      <c r="B35" s="34" t="s">
        <v>34</v>
      </c>
      <c r="C35" s="37"/>
      <c r="D35" s="37">
        <v>5</v>
      </c>
      <c r="E35" s="37">
        <v>5</v>
      </c>
      <c r="F35" s="37">
        <v>5</v>
      </c>
      <c r="G35" s="37">
        <v>5</v>
      </c>
      <c r="H35" s="38">
        <v>5</v>
      </c>
    </row>
    <row r="36" spans="2:8" x14ac:dyDescent="0.3">
      <c r="B36" s="34" t="str">
        <f>B7&amp;" as a % of rev"</f>
        <v>Discounts as a % of rev</v>
      </c>
      <c r="C36" s="39"/>
      <c r="D36" s="39">
        <v>0.05</v>
      </c>
      <c r="E36" s="39">
        <v>0.05</v>
      </c>
      <c r="F36" s="39">
        <v>0.05</v>
      </c>
      <c r="G36" s="39">
        <v>0.05</v>
      </c>
      <c r="H36" s="40">
        <v>0.05</v>
      </c>
    </row>
    <row r="37" spans="2:8" x14ac:dyDescent="0.3">
      <c r="B37" s="31"/>
      <c r="C37" s="41"/>
      <c r="D37" s="41"/>
      <c r="E37" s="41"/>
      <c r="F37" s="41"/>
      <c r="G37" s="41"/>
      <c r="H37" s="42"/>
    </row>
    <row r="38" spans="2:8" x14ac:dyDescent="0.3">
      <c r="B38" s="31" t="s">
        <v>12</v>
      </c>
      <c r="C38" s="41"/>
      <c r="D38" s="41"/>
      <c r="E38" s="41"/>
      <c r="F38" s="41"/>
      <c r="G38" s="41"/>
      <c r="H38" s="42"/>
    </row>
    <row r="39" spans="2:8" x14ac:dyDescent="0.3">
      <c r="B39" s="43" t="str">
        <f>B10&amp; " as a % of rev"</f>
        <v>Raw Materials as a % of rev</v>
      </c>
      <c r="C39" s="39"/>
      <c r="D39" s="39">
        <v>0.3</v>
      </c>
      <c r="E39" s="39">
        <v>0.3</v>
      </c>
      <c r="F39" s="39">
        <v>0.3</v>
      </c>
      <c r="G39" s="39">
        <v>0.3</v>
      </c>
      <c r="H39" s="40">
        <v>0.3</v>
      </c>
    </row>
    <row r="40" spans="2:8" x14ac:dyDescent="0.3">
      <c r="B40" s="43" t="str">
        <f t="shared" ref="B40:B41" si="18">B11&amp; " as a % of rev"</f>
        <v>Fulfillment as a % of rev</v>
      </c>
      <c r="C40" s="39"/>
      <c r="D40" s="39">
        <v>7.0000000000000007E-2</v>
      </c>
      <c r="E40" s="39">
        <v>7.0000000000000007E-2</v>
      </c>
      <c r="F40" s="39">
        <v>7.0000000000000007E-2</v>
      </c>
      <c r="G40" s="39">
        <v>7.0000000000000007E-2</v>
      </c>
      <c r="H40" s="40">
        <v>7.0000000000000007E-2</v>
      </c>
    </row>
    <row r="41" spans="2:8" x14ac:dyDescent="0.3">
      <c r="B41" s="43" t="str">
        <f t="shared" si="18"/>
        <v>Transaction Fees as a % of rev</v>
      </c>
      <c r="C41" s="39"/>
      <c r="D41" s="39">
        <v>0.02</v>
      </c>
      <c r="E41" s="39">
        <v>0.02</v>
      </c>
      <c r="F41" s="39">
        <v>0.02</v>
      </c>
      <c r="G41" s="39">
        <v>0.02</v>
      </c>
      <c r="H41" s="40">
        <v>0.02</v>
      </c>
    </row>
    <row r="42" spans="2:8" x14ac:dyDescent="0.3">
      <c r="B42" s="31"/>
      <c r="C42" s="41"/>
      <c r="D42" s="41"/>
      <c r="E42" s="41"/>
      <c r="F42" s="41"/>
      <c r="G42" s="41"/>
      <c r="H42" s="42"/>
    </row>
    <row r="43" spans="2:8" x14ac:dyDescent="0.3">
      <c r="B43" s="31" t="s">
        <v>19</v>
      </c>
      <c r="C43" s="41"/>
      <c r="D43" s="41"/>
      <c r="E43" s="41"/>
      <c r="F43" s="41"/>
      <c r="G43" s="41"/>
      <c r="H43" s="42"/>
    </row>
    <row r="44" spans="2:8" x14ac:dyDescent="0.3">
      <c r="B44" s="43" t="str">
        <f>B17&amp; " as a % of revenue"</f>
        <v>Labor as a % of revenue</v>
      </c>
      <c r="C44" s="39"/>
      <c r="D44" s="39">
        <v>0.15</v>
      </c>
      <c r="E44" s="39">
        <v>0.15</v>
      </c>
      <c r="F44" s="39">
        <v>0.15</v>
      </c>
      <c r="G44" s="39">
        <v>0.15</v>
      </c>
      <c r="H44" s="40">
        <v>0.15</v>
      </c>
    </row>
    <row r="45" spans="2:8" x14ac:dyDescent="0.3">
      <c r="B45" s="43" t="str">
        <f t="shared" ref="B45:B46" si="19">B18&amp; " as a % of revenue"</f>
        <v>Marketing as a % of revenue</v>
      </c>
      <c r="C45" s="39"/>
      <c r="D45" s="39">
        <v>0.05</v>
      </c>
      <c r="E45" s="39">
        <v>0.05</v>
      </c>
      <c r="F45" s="39">
        <v>0.05</v>
      </c>
      <c r="G45" s="39">
        <v>0.05</v>
      </c>
      <c r="H45" s="40">
        <v>0.05</v>
      </c>
    </row>
    <row r="46" spans="2:8" x14ac:dyDescent="0.3">
      <c r="B46" s="43" t="str">
        <f t="shared" si="19"/>
        <v>SGA &amp; Other as a % of revenue</v>
      </c>
      <c r="C46" s="39"/>
      <c r="D46" s="39">
        <v>0.05</v>
      </c>
      <c r="E46" s="39">
        <v>0.05</v>
      </c>
      <c r="F46" s="39">
        <v>0.05</v>
      </c>
      <c r="G46" s="39">
        <v>0.05</v>
      </c>
      <c r="H46" s="40">
        <v>0.05</v>
      </c>
    </row>
    <row r="47" spans="2:8" x14ac:dyDescent="0.3">
      <c r="B47" s="31"/>
      <c r="C47" s="39"/>
      <c r="D47" s="39"/>
      <c r="E47" s="39"/>
      <c r="F47" s="39"/>
      <c r="G47" s="39"/>
      <c r="H47" s="40"/>
    </row>
    <row r="48" spans="2:8" x14ac:dyDescent="0.3">
      <c r="B48" s="44" t="s">
        <v>35</v>
      </c>
      <c r="C48" s="45"/>
      <c r="D48" s="45">
        <v>0.21</v>
      </c>
      <c r="E48" s="45">
        <v>0.21</v>
      </c>
      <c r="F48" s="45">
        <v>0.21</v>
      </c>
      <c r="G48" s="45">
        <v>0.21</v>
      </c>
      <c r="H48" s="46">
        <v>0.21</v>
      </c>
    </row>
  </sheetData>
  <pageMargins left="0.7" right="0.7" top="0.75" bottom="0.75" header="0.3" footer="0.3"/>
  <ignoredErrors>
    <ignoredError sqref="D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6A5F4-D624-4BD4-B379-A73092FA49BD}">
  <dimension ref="B2:H43"/>
  <sheetViews>
    <sheetView showGridLines="0" zoomScale="120" zoomScaleNormal="120" workbookViewId="0">
      <selection activeCell="L27" sqref="L27"/>
    </sheetView>
  </sheetViews>
  <sheetFormatPr defaultRowHeight="14.4" x14ac:dyDescent="0.3"/>
  <cols>
    <col min="2" max="2" width="31.33203125" customWidth="1"/>
    <col min="3" max="3" width="11" bestFit="1" customWidth="1"/>
    <col min="4" max="5" width="10.77734375" bestFit="1" customWidth="1"/>
    <col min="6" max="6" width="10.6640625" customWidth="1"/>
    <col min="7" max="8" width="10.77734375" bestFit="1" customWidth="1"/>
  </cols>
  <sheetData>
    <row r="2" spans="2:8" x14ac:dyDescent="0.3">
      <c r="B2" s="101" t="s">
        <v>36</v>
      </c>
      <c r="C2" s="102" t="s">
        <v>82</v>
      </c>
      <c r="D2" s="103"/>
      <c r="E2" s="103"/>
      <c r="F2" s="103"/>
      <c r="G2" s="103"/>
      <c r="H2" s="104"/>
    </row>
    <row r="3" spans="2:8" x14ac:dyDescent="0.3">
      <c r="B3" s="105" t="s">
        <v>37</v>
      </c>
      <c r="C3" s="13">
        <v>45657</v>
      </c>
      <c r="D3" s="15">
        <v>46022</v>
      </c>
      <c r="E3" s="15">
        <v>46387</v>
      </c>
      <c r="F3" s="15">
        <v>46752</v>
      </c>
      <c r="G3" s="15">
        <v>47118</v>
      </c>
      <c r="H3" s="106">
        <v>47483</v>
      </c>
    </row>
    <row r="4" spans="2:8" x14ac:dyDescent="0.3">
      <c r="B4" s="80" t="s">
        <v>38</v>
      </c>
      <c r="C4" s="9"/>
      <c r="D4" s="107"/>
      <c r="E4" s="107"/>
      <c r="F4" s="107"/>
      <c r="G4" s="107"/>
      <c r="H4" s="108"/>
    </row>
    <row r="5" spans="2:8" x14ac:dyDescent="0.3">
      <c r="B5" s="82" t="s">
        <v>39</v>
      </c>
      <c r="C5" s="109">
        <v>5000</v>
      </c>
      <c r="D5" s="110">
        <f>C5+'Statement of Cashflows'!C18</f>
        <v>-4148.0021432600115</v>
      </c>
      <c r="E5" s="110">
        <f>D5+'Statement of Cashflows'!D18</f>
        <v>1401.4975888324871</v>
      </c>
      <c r="F5" s="110">
        <f>E5+'Statement of Cashflows'!E18</f>
        <v>13954.571517202479</v>
      </c>
      <c r="G5" s="110">
        <f>F5+'Statement of Cashflows'!F18</f>
        <v>16308.68659757473</v>
      </c>
      <c r="H5" s="111">
        <f>G5+'Statement of Cashflows'!G18</f>
        <v>23996.321249294979</v>
      </c>
    </row>
    <row r="6" spans="2:8" x14ac:dyDescent="0.3">
      <c r="B6" s="82" t="s">
        <v>40</v>
      </c>
      <c r="C6" s="109">
        <v>150</v>
      </c>
      <c r="D6" s="110">
        <f>D35*D33</f>
        <v>158.33333333333334</v>
      </c>
      <c r="E6" s="110">
        <f t="shared" ref="E6:H6" si="0">E35*E33</f>
        <v>178.125</v>
      </c>
      <c r="F6" s="110">
        <f t="shared" si="0"/>
        <v>257.29166666666669</v>
      </c>
      <c r="G6" s="110">
        <f t="shared" si="0"/>
        <v>251.35416666666666</v>
      </c>
      <c r="H6" s="111">
        <f t="shared" si="0"/>
        <v>277.08333333333331</v>
      </c>
    </row>
    <row r="7" spans="2:8" x14ac:dyDescent="0.3">
      <c r="B7" s="89" t="s">
        <v>41</v>
      </c>
      <c r="C7" s="16">
        <f>SUM(C5:C6)</f>
        <v>5150</v>
      </c>
      <c r="D7" s="16">
        <f t="shared" ref="D7:H7" si="1">SUM(D5:D6)</f>
        <v>-3989.668809926678</v>
      </c>
      <c r="E7" s="16">
        <f t="shared" si="1"/>
        <v>1579.6225888324871</v>
      </c>
      <c r="F7" s="16">
        <f t="shared" si="1"/>
        <v>14211.863183869145</v>
      </c>
      <c r="G7" s="16">
        <f t="shared" si="1"/>
        <v>16560.040764241396</v>
      </c>
      <c r="H7" s="112">
        <f t="shared" si="1"/>
        <v>24273.404582628311</v>
      </c>
    </row>
    <row r="8" spans="2:8" x14ac:dyDescent="0.3">
      <c r="B8" s="80" t="s">
        <v>42</v>
      </c>
      <c r="C8" s="107"/>
      <c r="D8" s="107"/>
      <c r="E8" s="107"/>
      <c r="F8" s="107"/>
      <c r="G8" s="107"/>
      <c r="H8" s="108"/>
    </row>
    <row r="9" spans="2:8" x14ac:dyDescent="0.3">
      <c r="B9" s="82" t="s">
        <v>43</v>
      </c>
      <c r="C9" s="109">
        <v>10000</v>
      </c>
      <c r="D9" s="110">
        <f>C9+'Fixed Assests'!D8</f>
        <v>24000</v>
      </c>
      <c r="E9" s="110">
        <f>D9+'Fixed Assests'!E8</f>
        <v>24000</v>
      </c>
      <c r="F9" s="110">
        <f>E9+'Fixed Assests'!F8</f>
        <v>24000</v>
      </c>
      <c r="G9" s="110">
        <f>F9+'Fixed Assests'!G8</f>
        <v>29000</v>
      </c>
      <c r="H9" s="111">
        <f>G9+'Fixed Assests'!H8</f>
        <v>29000</v>
      </c>
    </row>
    <row r="10" spans="2:8" x14ac:dyDescent="0.3">
      <c r="B10" s="82" t="s">
        <v>45</v>
      </c>
      <c r="C10" s="109">
        <v>-2000</v>
      </c>
      <c r="D10" s="110">
        <f>C10-'Fixed Assests'!D16</f>
        <v>-6875</v>
      </c>
      <c r="E10" s="110">
        <f>D10-'Fixed Assests'!E16</f>
        <v>-11750</v>
      </c>
      <c r="F10" s="110">
        <f>E10-'Fixed Assests'!F16</f>
        <v>-16625</v>
      </c>
      <c r="G10" s="110">
        <f>F10-'Fixed Assests'!G16</f>
        <v>-21500</v>
      </c>
      <c r="H10" s="111">
        <f>G10-'Fixed Assests'!H16</f>
        <v>-23875</v>
      </c>
    </row>
    <row r="11" spans="2:8" x14ac:dyDescent="0.3">
      <c r="B11" s="80" t="s">
        <v>44</v>
      </c>
      <c r="C11" s="110">
        <f>SUM(C9:C10)</f>
        <v>8000</v>
      </c>
      <c r="D11" s="110">
        <f t="shared" ref="D11:H11" si="2">SUM(D9:D10)</f>
        <v>17125</v>
      </c>
      <c r="E11" s="110">
        <f t="shared" si="2"/>
        <v>12250</v>
      </c>
      <c r="F11" s="110">
        <f t="shared" si="2"/>
        <v>7375</v>
      </c>
      <c r="G11" s="110">
        <f t="shared" si="2"/>
        <v>7500</v>
      </c>
      <c r="H11" s="111">
        <f t="shared" si="2"/>
        <v>5125</v>
      </c>
    </row>
    <row r="12" spans="2:8" s="20" customFormat="1" x14ac:dyDescent="0.3">
      <c r="B12" s="95" t="s">
        <v>46</v>
      </c>
      <c r="C12" s="25">
        <f>C11</f>
        <v>8000</v>
      </c>
      <c r="D12" s="25">
        <f t="shared" ref="D12:H12" si="3">D11</f>
        <v>17125</v>
      </c>
      <c r="E12" s="25">
        <f t="shared" si="3"/>
        <v>12250</v>
      </c>
      <c r="F12" s="25">
        <f t="shared" si="3"/>
        <v>7375</v>
      </c>
      <c r="G12" s="25">
        <f t="shared" si="3"/>
        <v>7500</v>
      </c>
      <c r="H12" s="113">
        <f t="shared" si="3"/>
        <v>5125</v>
      </c>
    </row>
    <row r="13" spans="2:8" ht="15" thickBot="1" x14ac:dyDescent="0.35">
      <c r="B13" s="114" t="s">
        <v>47</v>
      </c>
      <c r="C13" s="21">
        <f>C7+C12</f>
        <v>13150</v>
      </c>
      <c r="D13" s="21">
        <f t="shared" ref="D13:H13" si="4">D7+D12</f>
        <v>13135.331190073322</v>
      </c>
      <c r="E13" s="21">
        <f t="shared" si="4"/>
        <v>13829.622588832488</v>
      </c>
      <c r="F13" s="21">
        <f t="shared" si="4"/>
        <v>21586.863183869144</v>
      </c>
      <c r="G13" s="21">
        <f t="shared" si="4"/>
        <v>24060.040764241396</v>
      </c>
      <c r="H13" s="115">
        <f t="shared" si="4"/>
        <v>29398.404582628311</v>
      </c>
    </row>
    <row r="14" spans="2:8" x14ac:dyDescent="0.3">
      <c r="B14" s="80"/>
      <c r="C14" s="107"/>
      <c r="D14" s="107"/>
      <c r="E14" s="107"/>
      <c r="F14" s="107"/>
      <c r="G14" s="107"/>
      <c r="H14" s="108"/>
    </row>
    <row r="15" spans="2:8" x14ac:dyDescent="0.3">
      <c r="B15" s="80" t="s">
        <v>48</v>
      </c>
      <c r="C15" s="107"/>
      <c r="D15" s="107"/>
      <c r="E15" s="107"/>
      <c r="F15" s="107"/>
      <c r="G15" s="107"/>
      <c r="H15" s="108"/>
    </row>
    <row r="16" spans="2:8" x14ac:dyDescent="0.3">
      <c r="B16" s="82" t="s">
        <v>49</v>
      </c>
      <c r="C16" s="116">
        <v>200</v>
      </c>
      <c r="D16" s="110">
        <f>D36*D34</f>
        <v>158.37563451776649</v>
      </c>
      <c r="E16" s="110">
        <f t="shared" ref="E16:H16" si="5">E36*E34</f>
        <v>178.17258883248729</v>
      </c>
      <c r="F16" s="110">
        <f t="shared" si="5"/>
        <v>257.36040609137052</v>
      </c>
      <c r="G16" s="110">
        <f t="shared" si="5"/>
        <v>251.42131979695429</v>
      </c>
      <c r="H16" s="111">
        <f t="shared" si="5"/>
        <v>277.15736040609136</v>
      </c>
    </row>
    <row r="17" spans="2:8" x14ac:dyDescent="0.3">
      <c r="B17" s="82" t="s">
        <v>50</v>
      </c>
      <c r="C17" s="116">
        <v>100</v>
      </c>
      <c r="D17" s="110">
        <f>D37*D33</f>
        <v>105.55555555555556</v>
      </c>
      <c r="E17" s="110">
        <f t="shared" ref="E17:H17" si="6">E37*E33</f>
        <v>118.75</v>
      </c>
      <c r="F17" s="110">
        <f t="shared" si="6"/>
        <v>171.52777777777777</v>
      </c>
      <c r="G17" s="110">
        <f t="shared" si="6"/>
        <v>167.56944444444446</v>
      </c>
      <c r="H17" s="111">
        <f t="shared" si="6"/>
        <v>184.72222222222223</v>
      </c>
    </row>
    <row r="18" spans="2:8" x14ac:dyDescent="0.3">
      <c r="B18" s="89" t="s">
        <v>51</v>
      </c>
      <c r="C18" s="17">
        <f>SUM(C16:C17)</f>
        <v>300</v>
      </c>
      <c r="D18" s="23">
        <f t="shared" ref="D18:H18" si="7">SUM(D16:D17)</f>
        <v>263.93119007332206</v>
      </c>
      <c r="E18" s="23">
        <f t="shared" si="7"/>
        <v>296.92258883248729</v>
      </c>
      <c r="F18" s="23">
        <f t="shared" si="7"/>
        <v>428.88818386914829</v>
      </c>
      <c r="G18" s="23">
        <f t="shared" si="7"/>
        <v>418.99076424139878</v>
      </c>
      <c r="H18" s="117">
        <f t="shared" si="7"/>
        <v>461.87958262831359</v>
      </c>
    </row>
    <row r="19" spans="2:8" x14ac:dyDescent="0.3">
      <c r="B19" s="80" t="s">
        <v>52</v>
      </c>
      <c r="C19" s="107"/>
      <c r="D19" s="107"/>
      <c r="E19" s="107"/>
      <c r="F19" s="107"/>
      <c r="G19" s="107"/>
      <c r="H19" s="108"/>
    </row>
    <row r="20" spans="2:8" x14ac:dyDescent="0.3">
      <c r="B20" s="82" t="s">
        <v>53</v>
      </c>
      <c r="C20" s="109">
        <v>10000</v>
      </c>
      <c r="D20" s="110">
        <f>C20+D40-D41</f>
        <v>9500</v>
      </c>
      <c r="E20" s="110">
        <f t="shared" ref="E20:H20" si="8">D20+E40-E41</f>
        <v>9000</v>
      </c>
      <c r="F20" s="110">
        <f t="shared" si="8"/>
        <v>13250</v>
      </c>
      <c r="G20" s="110">
        <f t="shared" si="8"/>
        <v>12500</v>
      </c>
      <c r="H20" s="111">
        <f t="shared" si="8"/>
        <v>11750</v>
      </c>
    </row>
    <row r="21" spans="2:8" x14ac:dyDescent="0.3">
      <c r="B21" s="118" t="s">
        <v>54</v>
      </c>
      <c r="C21" s="16">
        <f>C20</f>
        <v>10000</v>
      </c>
      <c r="D21" s="16">
        <f t="shared" ref="D21:H21" si="9">D20</f>
        <v>9500</v>
      </c>
      <c r="E21" s="16">
        <f t="shared" si="9"/>
        <v>9000</v>
      </c>
      <c r="F21" s="16">
        <f t="shared" si="9"/>
        <v>13250</v>
      </c>
      <c r="G21" s="16">
        <f t="shared" si="9"/>
        <v>12500</v>
      </c>
      <c r="H21" s="112">
        <f t="shared" si="9"/>
        <v>11750</v>
      </c>
    </row>
    <row r="22" spans="2:8" ht="15" thickBot="1" x14ac:dyDescent="0.35">
      <c r="B22" s="114" t="s">
        <v>55</v>
      </c>
      <c r="C22" s="21">
        <f>C18+C21</f>
        <v>10300</v>
      </c>
      <c r="D22" s="21">
        <f t="shared" ref="D22:H22" si="10">D18+D21</f>
        <v>9763.9311900733228</v>
      </c>
      <c r="E22" s="21">
        <f t="shared" si="10"/>
        <v>9296.9225888324872</v>
      </c>
      <c r="F22" s="21">
        <f t="shared" si="10"/>
        <v>13678.888183869149</v>
      </c>
      <c r="G22" s="21">
        <f t="shared" si="10"/>
        <v>12918.990764241398</v>
      </c>
      <c r="H22" s="115">
        <f t="shared" si="10"/>
        <v>12211.879582628313</v>
      </c>
    </row>
    <row r="23" spans="2:8" x14ac:dyDescent="0.3">
      <c r="B23" s="80" t="s">
        <v>56</v>
      </c>
      <c r="C23" s="107"/>
      <c r="D23" s="107"/>
      <c r="E23" s="107"/>
      <c r="F23" s="107"/>
      <c r="G23" s="107"/>
      <c r="H23" s="108"/>
    </row>
    <row r="24" spans="2:8" x14ac:dyDescent="0.3">
      <c r="B24" s="82" t="s">
        <v>57</v>
      </c>
      <c r="C24" s="109">
        <v>300</v>
      </c>
      <c r="D24" s="110">
        <f>C24</f>
        <v>300</v>
      </c>
      <c r="E24" s="110">
        <f t="shared" ref="E24:H24" si="11">D24</f>
        <v>300</v>
      </c>
      <c r="F24" s="110">
        <f t="shared" si="11"/>
        <v>300</v>
      </c>
      <c r="G24" s="110">
        <f t="shared" si="11"/>
        <v>300</v>
      </c>
      <c r="H24" s="111">
        <f t="shared" si="11"/>
        <v>300</v>
      </c>
    </row>
    <row r="25" spans="2:8" x14ac:dyDescent="0.3">
      <c r="B25" s="82" t="s">
        <v>58</v>
      </c>
      <c r="C25" s="109">
        <v>2550</v>
      </c>
      <c r="D25" s="110">
        <f>C25+'Income Statement'!D27</f>
        <v>3071.3999999999996</v>
      </c>
      <c r="E25" s="110">
        <f>D25+'Income Statement'!E27</f>
        <v>4232.7</v>
      </c>
      <c r="F25" s="110">
        <f>E25+'Income Statement'!F27</f>
        <v>7607.9750000000004</v>
      </c>
      <c r="G25" s="110">
        <f>F25+'Income Statement'!G27</f>
        <v>10841.05</v>
      </c>
      <c r="H25" s="111">
        <f>G25+'Income Statement'!H27</f>
        <v>16886.525000000001</v>
      </c>
    </row>
    <row r="26" spans="2:8" x14ac:dyDescent="0.3">
      <c r="B26" s="119" t="s">
        <v>59</v>
      </c>
      <c r="C26" s="22">
        <f>SUM(C24:C25)</f>
        <v>2850</v>
      </c>
      <c r="D26" s="22">
        <f t="shared" ref="D26:H26" si="12">SUM(D24:D25)</f>
        <v>3371.3999999999996</v>
      </c>
      <c r="E26" s="22">
        <f t="shared" si="12"/>
        <v>4532.7</v>
      </c>
      <c r="F26" s="22">
        <f t="shared" si="12"/>
        <v>7907.9750000000004</v>
      </c>
      <c r="G26" s="22">
        <f t="shared" si="12"/>
        <v>11141.05</v>
      </c>
      <c r="H26" s="120">
        <f t="shared" si="12"/>
        <v>17186.525000000001</v>
      </c>
    </row>
    <row r="27" spans="2:8" x14ac:dyDescent="0.3">
      <c r="B27" s="95" t="s">
        <v>60</v>
      </c>
      <c r="C27" s="96">
        <f>C26+C22</f>
        <v>13150</v>
      </c>
      <c r="D27" s="96">
        <f t="shared" ref="D27:H27" si="13">D26+D22</f>
        <v>13135.331190073322</v>
      </c>
      <c r="E27" s="96">
        <f t="shared" si="13"/>
        <v>13829.622588832488</v>
      </c>
      <c r="F27" s="96">
        <f t="shared" si="13"/>
        <v>21586.863183869151</v>
      </c>
      <c r="G27" s="96">
        <f t="shared" si="13"/>
        <v>24060.040764241399</v>
      </c>
      <c r="H27" s="97">
        <f t="shared" si="13"/>
        <v>29398.404582628315</v>
      </c>
    </row>
    <row r="28" spans="2:8" x14ac:dyDescent="0.3">
      <c r="B28" s="1"/>
      <c r="C28" s="1"/>
    </row>
    <row r="29" spans="2:8" x14ac:dyDescent="0.3">
      <c r="B29" s="1"/>
      <c r="C29" s="1"/>
    </row>
    <row r="30" spans="2:8" x14ac:dyDescent="0.3">
      <c r="B30" s="24" t="s">
        <v>61</v>
      </c>
      <c r="C30" s="19">
        <f>C13-C27</f>
        <v>0</v>
      </c>
      <c r="D30" s="19">
        <f t="shared" ref="D30:H30" si="14">D13-D27</f>
        <v>0</v>
      </c>
      <c r="E30" s="19">
        <f t="shared" si="14"/>
        <v>0</v>
      </c>
      <c r="F30" s="19">
        <f t="shared" si="14"/>
        <v>0</v>
      </c>
      <c r="G30" s="19">
        <f t="shared" si="14"/>
        <v>0</v>
      </c>
      <c r="H30" s="19">
        <f t="shared" si="14"/>
        <v>0</v>
      </c>
    </row>
    <row r="31" spans="2:8" x14ac:dyDescent="0.3">
      <c r="B31" s="1"/>
    </row>
    <row r="32" spans="2:8" x14ac:dyDescent="0.3">
      <c r="B32" s="47" t="s">
        <v>32</v>
      </c>
      <c r="C32" s="48"/>
      <c r="D32" s="48"/>
      <c r="E32" s="48"/>
      <c r="F32" s="48"/>
      <c r="G32" s="48"/>
      <c r="H32" s="49"/>
    </row>
    <row r="33" spans="2:8" x14ac:dyDescent="0.3">
      <c r="B33" s="50" t="s">
        <v>11</v>
      </c>
      <c r="C33" s="51">
        <v>18000</v>
      </c>
      <c r="D33" s="52">
        <f>'Income Statement'!D8</f>
        <v>19000</v>
      </c>
      <c r="E33" s="52">
        <f>'Income Statement'!E8</f>
        <v>21375</v>
      </c>
      <c r="F33" s="52">
        <f>'Income Statement'!F8</f>
        <v>30875</v>
      </c>
      <c r="G33" s="52">
        <f>'Income Statement'!G8</f>
        <v>30162.5</v>
      </c>
      <c r="H33" s="53">
        <f>'Income Statement'!H8</f>
        <v>33250</v>
      </c>
    </row>
    <row r="34" spans="2:8" x14ac:dyDescent="0.3">
      <c r="B34" s="50" t="s">
        <v>62</v>
      </c>
      <c r="C34" s="54">
        <v>9850</v>
      </c>
      <c r="D34" s="52">
        <f>-'Income Statement'!D13</f>
        <v>7800</v>
      </c>
      <c r="E34" s="52">
        <f>-'Income Statement'!E13</f>
        <v>8775</v>
      </c>
      <c r="F34" s="52">
        <f>-'Income Statement'!F13</f>
        <v>12675</v>
      </c>
      <c r="G34" s="52">
        <f>-'Income Statement'!G13</f>
        <v>12382.5</v>
      </c>
      <c r="H34" s="53">
        <f>-'Income Statement'!H13</f>
        <v>13650</v>
      </c>
    </row>
    <row r="35" spans="2:8" x14ac:dyDescent="0.3">
      <c r="B35" s="55" t="str">
        <f>B6&amp; " as a % of rev"</f>
        <v>Accounts Receivable as a % of rev</v>
      </c>
      <c r="C35" s="56">
        <f>C6/C33</f>
        <v>8.3333333333333332E-3</v>
      </c>
      <c r="D35" s="56">
        <f>C35</f>
        <v>8.3333333333333332E-3</v>
      </c>
      <c r="E35" s="56">
        <f t="shared" ref="E35:H35" si="15">D35</f>
        <v>8.3333333333333332E-3</v>
      </c>
      <c r="F35" s="56">
        <f t="shared" si="15"/>
        <v>8.3333333333333332E-3</v>
      </c>
      <c r="G35" s="56">
        <f t="shared" si="15"/>
        <v>8.3333333333333332E-3</v>
      </c>
      <c r="H35" s="57">
        <f t="shared" si="15"/>
        <v>8.3333333333333332E-3</v>
      </c>
    </row>
    <row r="36" spans="2:8" x14ac:dyDescent="0.3">
      <c r="B36" s="55" t="str">
        <f>B16&amp; " as a % of COGS"</f>
        <v>Accounts Payable as a % of COGS</v>
      </c>
      <c r="C36" s="56">
        <f>C16/C34</f>
        <v>2.030456852791878E-2</v>
      </c>
      <c r="D36" s="56">
        <f t="shared" ref="D36:H36" si="16">C36</f>
        <v>2.030456852791878E-2</v>
      </c>
      <c r="E36" s="56">
        <f t="shared" si="16"/>
        <v>2.030456852791878E-2</v>
      </c>
      <c r="F36" s="56">
        <f t="shared" si="16"/>
        <v>2.030456852791878E-2</v>
      </c>
      <c r="G36" s="56">
        <f t="shared" si="16"/>
        <v>2.030456852791878E-2</v>
      </c>
      <c r="H36" s="57">
        <f t="shared" si="16"/>
        <v>2.030456852791878E-2</v>
      </c>
    </row>
    <row r="37" spans="2:8" x14ac:dyDescent="0.3">
      <c r="B37" s="55" t="str">
        <f>B17&amp; " as a % of rev"</f>
        <v>Deferred Revenue as a % of rev</v>
      </c>
      <c r="C37" s="56">
        <f>C17/C33</f>
        <v>5.5555555555555558E-3</v>
      </c>
      <c r="D37" s="56">
        <f t="shared" ref="D37:H37" si="17">C37</f>
        <v>5.5555555555555558E-3</v>
      </c>
      <c r="E37" s="56">
        <f t="shared" si="17"/>
        <v>5.5555555555555558E-3</v>
      </c>
      <c r="F37" s="56">
        <f t="shared" si="17"/>
        <v>5.5555555555555558E-3</v>
      </c>
      <c r="G37" s="56">
        <f t="shared" si="17"/>
        <v>5.5555555555555558E-3</v>
      </c>
      <c r="H37" s="57">
        <f t="shared" si="17"/>
        <v>5.5555555555555558E-3</v>
      </c>
    </row>
    <row r="38" spans="2:8" x14ac:dyDescent="0.3">
      <c r="B38" s="50"/>
      <c r="C38" s="58"/>
      <c r="D38" s="58"/>
      <c r="E38" s="58"/>
      <c r="F38" s="58"/>
      <c r="G38" s="58"/>
      <c r="H38" s="59"/>
    </row>
    <row r="39" spans="2:8" x14ac:dyDescent="0.3">
      <c r="B39" s="50" t="s">
        <v>53</v>
      </c>
      <c r="C39" s="58"/>
      <c r="D39" s="58"/>
      <c r="E39" s="58"/>
      <c r="F39" s="58"/>
      <c r="G39" s="58"/>
      <c r="H39" s="59"/>
    </row>
    <row r="40" spans="2:8" x14ac:dyDescent="0.3">
      <c r="B40" s="55" t="s">
        <v>63</v>
      </c>
      <c r="C40" s="58"/>
      <c r="D40" s="60"/>
      <c r="E40" s="60"/>
      <c r="F40" s="51">
        <v>5000</v>
      </c>
      <c r="G40" s="60"/>
      <c r="H40" s="61"/>
    </row>
    <row r="41" spans="2:8" x14ac:dyDescent="0.3">
      <c r="B41" s="55" t="s">
        <v>64</v>
      </c>
      <c r="C41" s="58"/>
      <c r="D41" s="51">
        <v>500</v>
      </c>
      <c r="E41" s="51">
        <v>500</v>
      </c>
      <c r="F41" s="51">
        <v>750</v>
      </c>
      <c r="G41" s="51">
        <v>750</v>
      </c>
      <c r="H41" s="62">
        <v>750</v>
      </c>
    </row>
    <row r="42" spans="2:8" x14ac:dyDescent="0.3">
      <c r="B42" s="55" t="s">
        <v>65</v>
      </c>
      <c r="C42" s="58"/>
      <c r="D42" s="63">
        <v>7.0000000000000007E-2</v>
      </c>
      <c r="E42" s="63">
        <v>7.0000000000000007E-2</v>
      </c>
      <c r="F42" s="63">
        <v>7.0000000000000007E-2</v>
      </c>
      <c r="G42" s="63">
        <v>7.0000000000000007E-2</v>
      </c>
      <c r="H42" s="64">
        <v>7.0000000000000007E-2</v>
      </c>
    </row>
    <row r="43" spans="2:8" x14ac:dyDescent="0.3">
      <c r="B43" s="65" t="s">
        <v>66</v>
      </c>
      <c r="C43" s="66"/>
      <c r="D43" s="67">
        <f>D42*D20</f>
        <v>665.00000000000011</v>
      </c>
      <c r="E43" s="67">
        <f t="shared" ref="E43:H43" si="18">E42*E20</f>
        <v>630.00000000000011</v>
      </c>
      <c r="F43" s="67">
        <f t="shared" si="18"/>
        <v>927.50000000000011</v>
      </c>
      <c r="G43" s="67">
        <f t="shared" si="18"/>
        <v>875.00000000000011</v>
      </c>
      <c r="H43" s="68">
        <f t="shared" si="18"/>
        <v>822.50000000000011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FF2A-BE7D-40C3-A403-359D27422907}">
  <dimension ref="B2:H18"/>
  <sheetViews>
    <sheetView showGridLines="0" zoomScale="120" zoomScaleNormal="120" workbookViewId="0">
      <selection activeCell="B2" sqref="B2:G18"/>
    </sheetView>
  </sheetViews>
  <sheetFormatPr defaultRowHeight="14.4" x14ac:dyDescent="0.3"/>
  <cols>
    <col min="2" max="2" width="30.6640625" customWidth="1"/>
    <col min="3" max="3" width="11" bestFit="1" customWidth="1"/>
    <col min="4" max="5" width="10.33203125" bestFit="1" customWidth="1"/>
    <col min="6" max="6" width="11.44140625" customWidth="1"/>
    <col min="7" max="7" width="10.33203125" bestFit="1" customWidth="1"/>
  </cols>
  <sheetData>
    <row r="2" spans="2:8" x14ac:dyDescent="0.3">
      <c r="B2" s="101" t="s">
        <v>67</v>
      </c>
      <c r="C2" s="14"/>
      <c r="D2" s="14"/>
      <c r="E2" s="14"/>
      <c r="F2" s="14"/>
      <c r="G2" s="121"/>
      <c r="H2" s="26"/>
    </row>
    <row r="3" spans="2:8" x14ac:dyDescent="0.3">
      <c r="B3" s="105" t="s">
        <v>37</v>
      </c>
      <c r="C3" s="12">
        <v>46022</v>
      </c>
      <c r="D3" s="12">
        <v>46387</v>
      </c>
      <c r="E3" s="12">
        <v>46752</v>
      </c>
      <c r="F3" s="12">
        <v>47118</v>
      </c>
      <c r="G3" s="122">
        <v>47483</v>
      </c>
      <c r="H3" s="26"/>
    </row>
    <row r="4" spans="2:8" x14ac:dyDescent="0.3">
      <c r="B4" s="80" t="s">
        <v>30</v>
      </c>
      <c r="C4" s="83">
        <f>'Income Statement'!D27</f>
        <v>521.39999999999986</v>
      </c>
      <c r="D4" s="83">
        <f>'Income Statement'!E27</f>
        <v>1161.3</v>
      </c>
      <c r="E4" s="83">
        <f>'Income Statement'!F27</f>
        <v>3375.2750000000001</v>
      </c>
      <c r="F4" s="83">
        <f>'Income Statement'!G27</f>
        <v>3233.0749999999998</v>
      </c>
      <c r="G4" s="84">
        <f>'Income Statement'!H27</f>
        <v>6045.4750000000004</v>
      </c>
    </row>
    <row r="5" spans="2:8" x14ac:dyDescent="0.3">
      <c r="B5" s="80" t="s">
        <v>68</v>
      </c>
      <c r="C5" s="9"/>
      <c r="D5" s="9"/>
      <c r="E5" s="9"/>
      <c r="F5" s="9"/>
      <c r="G5" s="81"/>
    </row>
    <row r="6" spans="2:8" x14ac:dyDescent="0.3">
      <c r="B6" s="82" t="s">
        <v>69</v>
      </c>
      <c r="C6" s="83">
        <f>'Fixed Assests'!D16</f>
        <v>4875</v>
      </c>
      <c r="D6" s="83">
        <f>'Fixed Assests'!E16</f>
        <v>4875</v>
      </c>
      <c r="E6" s="83">
        <f>'Fixed Assests'!F16</f>
        <v>4875</v>
      </c>
      <c r="F6" s="83">
        <f>'Fixed Assests'!G16</f>
        <v>4875</v>
      </c>
      <c r="G6" s="84">
        <f>'Fixed Assests'!H16</f>
        <v>2375</v>
      </c>
    </row>
    <row r="7" spans="2:8" x14ac:dyDescent="0.3">
      <c r="B7" s="82" t="str">
        <f>"Change in "&amp;'[1]Balance Sheet'!B6</f>
        <v>Change in Accounts Receivable</v>
      </c>
      <c r="C7" s="93">
        <f>-('Balance Sheet'!D6-'Balance Sheet'!C6)</f>
        <v>-8.3333333333333428</v>
      </c>
      <c r="D7" s="93">
        <f>-('Balance Sheet'!E6-'Balance Sheet'!D6)</f>
        <v>-19.791666666666657</v>
      </c>
      <c r="E7" s="93">
        <f>-('Balance Sheet'!F6-'Balance Sheet'!E6)</f>
        <v>-79.166666666666686</v>
      </c>
      <c r="F7" s="93">
        <f>-('Balance Sheet'!G6-'Balance Sheet'!F6)</f>
        <v>5.9375000000000284</v>
      </c>
      <c r="G7" s="94">
        <f>-('Balance Sheet'!H6-'Balance Sheet'!G6)</f>
        <v>-25.729166666666657</v>
      </c>
    </row>
    <row r="8" spans="2:8" x14ac:dyDescent="0.3">
      <c r="B8" s="82" t="str">
        <f>"Change in "&amp;'[1]Balance Sheet'!B16</f>
        <v>Change in Accounts Payable</v>
      </c>
      <c r="C8" s="123">
        <f>'Balance Sheet'!D16-'Balance Sheet'!C16</f>
        <v>-41.624365482233515</v>
      </c>
      <c r="D8" s="123">
        <f>'Balance Sheet'!E16-'Balance Sheet'!D16</f>
        <v>19.796954314720807</v>
      </c>
      <c r="E8" s="123">
        <f>'Balance Sheet'!F16-'Balance Sheet'!E16</f>
        <v>79.187817258883229</v>
      </c>
      <c r="F8" s="123">
        <f>'Balance Sheet'!G16-'Balance Sheet'!F16</f>
        <v>-5.9390862944162279</v>
      </c>
      <c r="G8" s="124">
        <f>'Balance Sheet'!H16-'Balance Sheet'!G16</f>
        <v>25.736040609137063</v>
      </c>
    </row>
    <row r="9" spans="2:8" x14ac:dyDescent="0.3">
      <c r="B9" s="82" t="str">
        <f>"Change in "&amp;'[1]Balance Sheet'!B17</f>
        <v>Change in Deferred Revenue</v>
      </c>
      <c r="C9" s="123">
        <f>'Balance Sheet'!D17-'Balance Sheet'!C17</f>
        <v>5.5555555555555571</v>
      </c>
      <c r="D9" s="123">
        <f>'Balance Sheet'!E17-'Balance Sheet'!D17</f>
        <v>13.194444444444443</v>
      </c>
      <c r="E9" s="123">
        <f>'Balance Sheet'!F17-'Balance Sheet'!E17</f>
        <v>52.777777777777771</v>
      </c>
      <c r="F9" s="123">
        <f>'Balance Sheet'!G17-'Balance Sheet'!F17</f>
        <v>-3.9583333333333144</v>
      </c>
      <c r="G9" s="124">
        <f>'Balance Sheet'!H17-'Balance Sheet'!G17</f>
        <v>17.152777777777771</v>
      </c>
    </row>
    <row r="10" spans="2:8" x14ac:dyDescent="0.3">
      <c r="B10" s="89" t="s">
        <v>70</v>
      </c>
      <c r="C10" s="7">
        <f>SUM(C6:C9)</f>
        <v>4830.5978567399889</v>
      </c>
      <c r="D10" s="7">
        <f t="shared" ref="D10:G10" si="0">SUM(D6:D9)</f>
        <v>4888.1997320924984</v>
      </c>
      <c r="E10" s="7">
        <f t="shared" si="0"/>
        <v>4927.7989283699935</v>
      </c>
      <c r="F10" s="7">
        <f t="shared" si="0"/>
        <v>4871.0400803722505</v>
      </c>
      <c r="G10" s="90">
        <f t="shared" si="0"/>
        <v>2392.1596517202483</v>
      </c>
    </row>
    <row r="11" spans="2:8" x14ac:dyDescent="0.3">
      <c r="B11" s="80" t="s">
        <v>71</v>
      </c>
      <c r="C11" s="9"/>
      <c r="D11" s="9"/>
      <c r="E11" s="9"/>
      <c r="F11" s="9"/>
      <c r="G11" s="81"/>
    </row>
    <row r="12" spans="2:8" x14ac:dyDescent="0.3">
      <c r="B12" s="82" t="s">
        <v>72</v>
      </c>
      <c r="C12" s="83">
        <f>-'Fixed Assests'!D8</f>
        <v>-14000</v>
      </c>
      <c r="D12" s="83">
        <f>-'Fixed Assests'!E8</f>
        <v>0</v>
      </c>
      <c r="E12" s="83">
        <f>-'Fixed Assests'!F8</f>
        <v>0</v>
      </c>
      <c r="F12" s="83">
        <f>-'Fixed Assests'!G8</f>
        <v>-5000</v>
      </c>
      <c r="G12" s="84">
        <f>-'Fixed Assests'!H8</f>
        <v>0</v>
      </c>
    </row>
    <row r="13" spans="2:8" x14ac:dyDescent="0.3">
      <c r="B13" s="118" t="s">
        <v>73</v>
      </c>
      <c r="C13" s="7">
        <f>C12</f>
        <v>-14000</v>
      </c>
      <c r="D13" s="7">
        <f t="shared" ref="D13:G13" si="1">D12</f>
        <v>0</v>
      </c>
      <c r="E13" s="7">
        <f t="shared" si="1"/>
        <v>0</v>
      </c>
      <c r="F13" s="7">
        <f t="shared" si="1"/>
        <v>-5000</v>
      </c>
      <c r="G13" s="90">
        <f t="shared" si="1"/>
        <v>0</v>
      </c>
    </row>
    <row r="14" spans="2:8" x14ac:dyDescent="0.3">
      <c r="B14" s="80" t="s">
        <v>74</v>
      </c>
      <c r="C14" s="9"/>
      <c r="D14" s="9"/>
      <c r="E14" s="9"/>
      <c r="F14" s="9"/>
      <c r="G14" s="81"/>
    </row>
    <row r="15" spans="2:8" x14ac:dyDescent="0.3">
      <c r="B15" s="82" t="s">
        <v>64</v>
      </c>
      <c r="C15" s="93">
        <f>-'Balance Sheet'!D41</f>
        <v>-500</v>
      </c>
      <c r="D15" s="93">
        <f>-'Balance Sheet'!E41</f>
        <v>-500</v>
      </c>
      <c r="E15" s="93">
        <f>-'Balance Sheet'!F41</f>
        <v>-750</v>
      </c>
      <c r="F15" s="93">
        <f>-'Balance Sheet'!G41</f>
        <v>-750</v>
      </c>
      <c r="G15" s="94">
        <f>-'Balance Sheet'!H41</f>
        <v>-750</v>
      </c>
    </row>
    <row r="16" spans="2:8" x14ac:dyDescent="0.3">
      <c r="B16" s="82" t="s">
        <v>75</v>
      </c>
      <c r="C16" s="9">
        <f>'Balance Sheet'!D40</f>
        <v>0</v>
      </c>
      <c r="D16" s="9">
        <f>'Balance Sheet'!E40</f>
        <v>0</v>
      </c>
      <c r="E16" s="9">
        <f>'Balance Sheet'!F40</f>
        <v>5000</v>
      </c>
      <c r="F16" s="9">
        <f>'Balance Sheet'!G40</f>
        <v>0</v>
      </c>
      <c r="G16" s="81">
        <f>'Balance Sheet'!H40</f>
        <v>0</v>
      </c>
    </row>
    <row r="17" spans="2:7" x14ac:dyDescent="0.3">
      <c r="B17" s="118" t="s">
        <v>76</v>
      </c>
      <c r="C17" s="27">
        <f>SUM(C15:C16)</f>
        <v>-500</v>
      </c>
      <c r="D17" s="27">
        <f t="shared" ref="D17:G17" si="2">SUM(D15:D16)</f>
        <v>-500</v>
      </c>
      <c r="E17" s="27">
        <f t="shared" si="2"/>
        <v>4250</v>
      </c>
      <c r="F17" s="27">
        <f t="shared" si="2"/>
        <v>-750</v>
      </c>
      <c r="G17" s="125">
        <f t="shared" si="2"/>
        <v>-750</v>
      </c>
    </row>
    <row r="18" spans="2:7" x14ac:dyDescent="0.3">
      <c r="B18" s="95" t="s">
        <v>77</v>
      </c>
      <c r="C18" s="96">
        <f>SUM(C4+C10+C13+C17)</f>
        <v>-9148.0021432600115</v>
      </c>
      <c r="D18" s="96">
        <f t="shared" ref="D18:G18" si="3">SUM(D4+D10+D13+D17)</f>
        <v>5549.4997320924986</v>
      </c>
      <c r="E18" s="96">
        <f t="shared" si="3"/>
        <v>12553.073928369993</v>
      </c>
      <c r="F18" s="96">
        <f t="shared" si="3"/>
        <v>2354.1150803722503</v>
      </c>
      <c r="G18" s="97">
        <f t="shared" si="3"/>
        <v>7687.6346517202492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07B4-8E18-45F8-BE2A-5AD9E1FB7167}">
  <dimension ref="B2:I16"/>
  <sheetViews>
    <sheetView showGridLines="0" zoomScale="120" zoomScaleNormal="120" workbookViewId="0">
      <selection activeCell="G16" sqref="G16"/>
    </sheetView>
  </sheetViews>
  <sheetFormatPr defaultRowHeight="14.4" x14ac:dyDescent="0.3"/>
  <cols>
    <col min="1" max="1" width="8.88671875" style="1"/>
    <col min="2" max="2" width="28.44140625" style="1" customWidth="1"/>
    <col min="3" max="3" width="20" style="1" customWidth="1"/>
    <col min="4" max="6" width="10.6640625" style="1" bestFit="1" customWidth="1"/>
    <col min="7" max="7" width="12.88671875" style="1" customWidth="1"/>
    <col min="8" max="8" width="10.6640625" style="1" bestFit="1" customWidth="1"/>
    <col min="9" max="16384" width="8.88671875" style="1"/>
  </cols>
  <sheetData>
    <row r="2" spans="2:9" x14ac:dyDescent="0.3">
      <c r="B2" s="101" t="s">
        <v>43</v>
      </c>
      <c r="C2" s="14"/>
      <c r="D2" s="14"/>
      <c r="E2" s="14"/>
      <c r="F2" s="14"/>
      <c r="G2" s="14"/>
      <c r="H2" s="121"/>
      <c r="I2" s="8"/>
    </row>
    <row r="3" spans="2:9" x14ac:dyDescent="0.3">
      <c r="B3" s="105" t="s">
        <v>37</v>
      </c>
      <c r="C3" s="11" t="s">
        <v>78</v>
      </c>
      <c r="D3" s="12">
        <v>46022</v>
      </c>
      <c r="E3" s="12">
        <v>46387</v>
      </c>
      <c r="F3" s="12">
        <v>46752</v>
      </c>
      <c r="G3" s="12">
        <v>47118</v>
      </c>
      <c r="H3" s="122">
        <v>47483</v>
      </c>
      <c r="I3" s="8"/>
    </row>
    <row r="4" spans="2:9" x14ac:dyDescent="0.3">
      <c r="B4" s="80" t="s">
        <v>72</v>
      </c>
      <c r="C4" s="9"/>
      <c r="D4" s="9"/>
      <c r="E4" s="9"/>
      <c r="F4" s="9"/>
      <c r="G4" s="9"/>
      <c r="H4" s="81"/>
      <c r="I4" s="8"/>
    </row>
    <row r="5" spans="2:9" x14ac:dyDescent="0.3">
      <c r="B5" s="82" t="s">
        <v>83</v>
      </c>
      <c r="C5" s="126">
        <v>4</v>
      </c>
      <c r="D5" s="127">
        <v>5000</v>
      </c>
      <c r="E5" s="9"/>
      <c r="F5" s="9"/>
      <c r="G5" s="127">
        <v>5000</v>
      </c>
      <c r="H5" s="81"/>
      <c r="I5" s="8"/>
    </row>
    <row r="6" spans="2:9" x14ac:dyDescent="0.3">
      <c r="B6" s="82" t="s">
        <v>84</v>
      </c>
      <c r="C6" s="126">
        <v>8</v>
      </c>
      <c r="D6" s="127">
        <v>3000</v>
      </c>
      <c r="E6" s="9"/>
      <c r="F6" s="9"/>
      <c r="G6" s="9"/>
      <c r="H6" s="81"/>
    </row>
    <row r="7" spans="2:9" x14ac:dyDescent="0.3">
      <c r="B7" s="82" t="s">
        <v>85</v>
      </c>
      <c r="C7" s="126">
        <v>8</v>
      </c>
      <c r="D7" s="127">
        <v>6000</v>
      </c>
      <c r="E7" s="9"/>
      <c r="F7" s="9"/>
      <c r="G7" s="9"/>
      <c r="H7" s="81"/>
    </row>
    <row r="8" spans="2:9" ht="15" thickBot="1" x14ac:dyDescent="0.35">
      <c r="B8" s="114" t="s">
        <v>79</v>
      </c>
      <c r="C8" s="5"/>
      <c r="D8" s="10">
        <f>SUM(D5:D7)</f>
        <v>14000</v>
      </c>
      <c r="E8" s="10">
        <f t="shared" ref="E8:H8" si="0">SUM(E5:E7)</f>
        <v>0</v>
      </c>
      <c r="F8" s="10">
        <f t="shared" si="0"/>
        <v>0</v>
      </c>
      <c r="G8" s="10">
        <f t="shared" si="0"/>
        <v>5000</v>
      </c>
      <c r="H8" s="128">
        <f t="shared" si="0"/>
        <v>0</v>
      </c>
    </row>
    <row r="9" spans="2:9" x14ac:dyDescent="0.3">
      <c r="B9" s="129"/>
      <c r="C9" s="9"/>
      <c r="D9" s="9"/>
      <c r="E9" s="9"/>
      <c r="F9" s="9"/>
      <c r="G9" s="9"/>
      <c r="H9" s="81"/>
    </row>
    <row r="10" spans="2:9" x14ac:dyDescent="0.3">
      <c r="B10" s="80"/>
      <c r="C10" s="9"/>
      <c r="D10" s="9"/>
      <c r="E10" s="9"/>
      <c r="F10" s="9"/>
      <c r="G10" s="9"/>
      <c r="H10" s="81"/>
    </row>
    <row r="11" spans="2:9" x14ac:dyDescent="0.3">
      <c r="B11" s="130" t="s">
        <v>69</v>
      </c>
      <c r="C11" s="9"/>
      <c r="D11" s="9"/>
      <c r="E11" s="9"/>
      <c r="F11" s="9"/>
      <c r="G11" s="9"/>
      <c r="H11" s="81"/>
    </row>
    <row r="12" spans="2:9" x14ac:dyDescent="0.3">
      <c r="B12" s="82" t="s">
        <v>80</v>
      </c>
      <c r="C12" s="9"/>
      <c r="D12" s="127">
        <v>2500</v>
      </c>
      <c r="E12" s="127">
        <v>2500</v>
      </c>
      <c r="F12" s="127">
        <v>2500</v>
      </c>
      <c r="G12" s="127">
        <v>2500</v>
      </c>
      <c r="H12" s="81"/>
    </row>
    <row r="13" spans="2:9" x14ac:dyDescent="0.3">
      <c r="B13" s="82" t="str">
        <f t="shared" ref="B13:B15" si="1">B5</f>
        <v>Expresso Machine</v>
      </c>
      <c r="C13" s="9"/>
      <c r="D13" s="131">
        <f>$D5/$C5</f>
        <v>1250</v>
      </c>
      <c r="E13" s="131">
        <f t="shared" ref="E13:F13" si="2">$D5/$C5</f>
        <v>1250</v>
      </c>
      <c r="F13" s="131">
        <f t="shared" si="2"/>
        <v>1250</v>
      </c>
      <c r="G13" s="131">
        <f>$G5/$C5</f>
        <v>1250</v>
      </c>
      <c r="H13" s="132">
        <f t="shared" ref="H13" si="3">$G5/$C5</f>
        <v>1250</v>
      </c>
    </row>
    <row r="14" spans="2:9" x14ac:dyDescent="0.3">
      <c r="B14" s="82" t="str">
        <f t="shared" si="1"/>
        <v>Coffee Grinder</v>
      </c>
      <c r="C14" s="9"/>
      <c r="D14" s="131">
        <f t="shared" ref="D14:G15" si="4">$D6/$C6</f>
        <v>375</v>
      </c>
      <c r="E14" s="131">
        <f t="shared" si="4"/>
        <v>375</v>
      </c>
      <c r="F14" s="131">
        <f t="shared" si="4"/>
        <v>375</v>
      </c>
      <c r="G14" s="131">
        <f t="shared" si="4"/>
        <v>375</v>
      </c>
      <c r="H14" s="132">
        <f t="shared" ref="H14" si="5">$D6/$C6</f>
        <v>375</v>
      </c>
    </row>
    <row r="15" spans="2:9" x14ac:dyDescent="0.3">
      <c r="B15" s="82" t="str">
        <f t="shared" si="1"/>
        <v>Commercial Freezer</v>
      </c>
      <c r="C15" s="9"/>
      <c r="D15" s="131">
        <f t="shared" si="4"/>
        <v>750</v>
      </c>
      <c r="E15" s="131">
        <f t="shared" si="4"/>
        <v>750</v>
      </c>
      <c r="F15" s="131">
        <f t="shared" si="4"/>
        <v>750</v>
      </c>
      <c r="G15" s="131">
        <f t="shared" si="4"/>
        <v>750</v>
      </c>
      <c r="H15" s="132">
        <f t="shared" ref="H15" si="6">$D7/$C7</f>
        <v>750</v>
      </c>
    </row>
    <row r="16" spans="2:9" x14ac:dyDescent="0.3">
      <c r="B16" s="95" t="s">
        <v>81</v>
      </c>
      <c r="C16" s="24"/>
      <c r="D16" s="133">
        <f>SUM(D12:D15)</f>
        <v>4875</v>
      </c>
      <c r="E16" s="133">
        <f t="shared" ref="E16:H16" si="7">SUM(E12:E15)</f>
        <v>4875</v>
      </c>
      <c r="F16" s="133">
        <f t="shared" si="7"/>
        <v>4875</v>
      </c>
      <c r="G16" s="133">
        <f t="shared" si="7"/>
        <v>4875</v>
      </c>
      <c r="H16" s="134">
        <f t="shared" si="7"/>
        <v>2375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Cashflows</vt:lpstr>
      <vt:lpstr>Fixed Assests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sushmita uprety</dc:creator>
  <cp:lastModifiedBy>sushmita uprety</cp:lastModifiedBy>
  <dcterms:created xsi:type="dcterms:W3CDTF">2025-01-24T17:21:51Z</dcterms:created>
  <dcterms:modified xsi:type="dcterms:W3CDTF">2025-01-25T20:07:29Z</dcterms:modified>
</cp:coreProperties>
</file>