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xds/workspaces/eam/ICIP2023-EAM-model/"/>
    </mc:Choice>
  </mc:AlternateContent>
  <xr:revisionPtr revIDLastSave="0" documentId="13_ncr:1_{5EC128D7-35E7-0840-A410-0A420A793D6A}" xr6:coauthVersionLast="47" xr6:coauthVersionMax="47" xr10:uidLastSave="{00000000-0000-0000-0000-000000000000}"/>
  <bookViews>
    <workbookView xWindow="4080" yWindow="740" windowWidth="30240" windowHeight="20640" tabRatio="500" activeTab="2" xr2:uid="{00000000-000D-0000-FFFF-FFFF00000000}"/>
  </bookViews>
  <sheets>
    <sheet name="params" sheetId="1" r:id="rId1"/>
    <sheet name="viewing_time" sheetId="10" r:id="rId2"/>
    <sheet name="carbon_intensity" sheetId="9" r:id="rId3"/>
    <sheet name="article_view" sheetId="7" r:id="rId4"/>
    <sheet name="aux" sheetId="8" r:id="rId5"/>
    <sheet name="changes" sheetId="5" r:id="rId6"/>
    <sheet name="metadat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9" l="1" a="1"/>
  <c r="C2" i="9" s="1"/>
  <c r="S25" i="9"/>
  <c r="S24" i="9"/>
  <c r="S23" i="9"/>
  <c r="S22" i="9"/>
  <c r="S21" i="9"/>
  <c r="S20" i="9"/>
  <c r="S19" i="9"/>
  <c r="S18" i="9"/>
  <c r="S17" i="9"/>
  <c r="S16" i="9"/>
  <c r="S15" i="9"/>
  <c r="S14" i="9"/>
  <c r="S13" i="9"/>
  <c r="S12" i="9"/>
  <c r="S11" i="9"/>
  <c r="S10" i="9"/>
  <c r="S9" i="9"/>
  <c r="S8" i="9"/>
  <c r="S7" i="9"/>
  <c r="S6" i="9"/>
  <c r="S5" i="9"/>
  <c r="S4" i="9"/>
  <c r="S3" i="9"/>
  <c r="S2" i="9"/>
  <c r="B17" i="7" l="1"/>
  <c r="F6" i="1"/>
  <c r="F3" i="1"/>
  <c r="N25" i="9" l="1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N2" i="9"/>
  <c r="L54" i="1"/>
  <c r="L56" i="1" s="1"/>
  <c r="L57" i="1" s="1"/>
  <c r="N23" i="1"/>
  <c r="N24" i="1" s="1"/>
  <c r="N22" i="1"/>
  <c r="B6" i="8"/>
  <c r="M15" i="8" l="1"/>
  <c r="M14" i="8"/>
  <c r="I15" i="8"/>
  <c r="I14" i="8"/>
  <c r="I13" i="8"/>
  <c r="I12" i="8"/>
  <c r="I11" i="8"/>
  <c r="I10" i="8"/>
  <c r="I9" i="8"/>
  <c r="I8" i="8"/>
  <c r="I7" i="8"/>
  <c r="H22" i="8"/>
  <c r="M13" i="8"/>
  <c r="I24" i="8" s="1"/>
  <c r="M10" i="8"/>
  <c r="I23" i="8" s="1"/>
  <c r="M7" i="8"/>
  <c r="I22" i="8" s="1"/>
  <c r="H24" i="8"/>
  <c r="H23" i="8"/>
  <c r="I6" i="8"/>
  <c r="E8" i="8"/>
  <c r="B5" i="8"/>
  <c r="F19" i="1"/>
  <c r="F29" i="1" s="1"/>
  <c r="F30" i="1" s="1"/>
  <c r="E17" i="7"/>
  <c r="E16" i="7"/>
  <c r="E15" i="7"/>
  <c r="E14" i="7"/>
  <c r="E11" i="7"/>
  <c r="E9" i="7"/>
  <c r="E7" i="7"/>
  <c r="E5" i="7"/>
  <c r="E3" i="7"/>
  <c r="D17" i="7"/>
  <c r="C17" i="7"/>
  <c r="A17" i="7"/>
  <c r="D16" i="7"/>
  <c r="C16" i="7"/>
  <c r="B16" i="7"/>
  <c r="A16" i="7"/>
  <c r="D15" i="7"/>
  <c r="C15" i="7"/>
  <c r="B15" i="7"/>
  <c r="A15" i="7"/>
  <c r="D14" i="7"/>
  <c r="C14" i="7"/>
  <c r="B14" i="7"/>
  <c r="A14" i="7"/>
  <c r="D11" i="7"/>
  <c r="C11" i="7"/>
  <c r="B11" i="7"/>
  <c r="A11" i="7"/>
  <c r="D9" i="7"/>
  <c r="C9" i="7"/>
  <c r="B9" i="7"/>
  <c r="A9" i="7"/>
  <c r="D7" i="7"/>
  <c r="C7" i="7"/>
  <c r="B7" i="7"/>
  <c r="A7" i="7"/>
  <c r="D5" i="7"/>
  <c r="C5" i="7"/>
  <c r="B5" i="7"/>
  <c r="A5" i="7"/>
  <c r="D3" i="7"/>
  <c r="C3" i="7"/>
  <c r="B3" i="7"/>
  <c r="A3" i="7"/>
  <c r="K10" i="8"/>
  <c r="F32" i="1" l="1"/>
  <c r="F33" i="1" s="1"/>
  <c r="F36" i="1"/>
  <c r="F37" i="1" s="1"/>
  <c r="F38" i="1" s="1"/>
  <c r="F39" i="1" s="1"/>
  <c r="L33" i="1" l="1"/>
  <c r="F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<sst xmlns="http://schemas.openxmlformats.org/spreadsheetml/2006/main" count="248" uniqueCount="166">
  <si>
    <t>variable</t>
  </si>
  <si>
    <t>scenario</t>
  </si>
  <si>
    <t>blank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</si>
  <si>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</si>
  <si>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</si>
  <si>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</si>
  <si>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</si>
  <si>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</si>
  <si>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</si>
  <si>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</si>
  <si>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</si>
  <si>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</si>
  <si>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</si>
  <si>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</si>
  <si>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</si>
  <si>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</si>
  <si>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</si>
  <si>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DATACENTRE</t>
  </si>
  <si>
    <t>exp</t>
  </si>
  <si>
    <t>d</t>
  </si>
  <si>
    <t>NETWORKS</t>
  </si>
  <si>
    <t>Mean Energy Intensity per Gigabyte of Cellular Networks</t>
  </si>
  <si>
    <t>Mean Energy Intensity per Gigabyte of Fixed Line Networks</t>
  </si>
  <si>
    <t>CDN</t>
  </si>
  <si>
    <t>END USER DEVICES</t>
  </si>
  <si>
    <t>Mean Electricity Grid Carbon Intensity (kgCO2e per kWh)</t>
  </si>
  <si>
    <t>Mean Proportion of Data Volume Transferred over Cellular Network</t>
  </si>
  <si>
    <t>p</t>
  </si>
  <si>
    <t>Datacentres</t>
  </si>
  <si>
    <t>kilogram</t>
  </si>
  <si>
    <t>Fixed Line</t>
  </si>
  <si>
    <t>Cellular</t>
  </si>
  <si>
    <t>Modem Router</t>
  </si>
  <si>
    <t>End User Device</t>
  </si>
  <si>
    <t>31.7.18</t>
  </si>
  <si>
    <t>DS change all to lowercase</t>
  </si>
  <si>
    <t>A</t>
  </si>
  <si>
    <t>B</t>
  </si>
  <si>
    <t>kilowatt_hour</t>
  </si>
  <si>
    <t>version</t>
  </si>
  <si>
    <t>bitrate</t>
  </si>
  <si>
    <t>average bitrate</t>
  </si>
  <si>
    <t>power_decoding</t>
  </si>
  <si>
    <t>W</t>
  </si>
  <si>
    <t>I_Acc</t>
  </si>
  <si>
    <t>I_Core</t>
  </si>
  <si>
    <t>I_Tx</t>
  </si>
  <si>
    <t>Energy intensity storage per month</t>
  </si>
  <si>
    <t>cachemiss_rate</t>
  </si>
  <si>
    <t>https://peering.google.com/about/ggc.html found that 70% of content is cached (the most popular). We assume that for commercial content, the hitrate is much higher.</t>
  </si>
  <si>
    <t>https://openconnect.netflix.com/en_gb/appliances/</t>
  </si>
  <si>
    <t>user name</t>
  </si>
  <si>
    <t>id</t>
  </si>
  <si>
    <t>ui variable</t>
  </si>
  <si>
    <t>order</t>
  </si>
  <si>
    <t>override</t>
  </si>
  <si>
    <t>bps</t>
  </si>
  <si>
    <t>s720</t>
  </si>
  <si>
    <t>Combined Cycle Gas. -https://github.com/carbon-intensity/methodology/raw/master/Carbon%20Intensity%20Forecast%20Methodology.pdf</t>
  </si>
  <si>
    <t>The power consumption of mobile and fixed network data services - The case of streaming video and downloading large files</t>
  </si>
  <si>
    <t>minute</t>
  </si>
  <si>
    <t>https://www.barb.co.uk/viewing-data/total-identified-viewing-summary/
Ofcom finds the viewing time has remained largely similar since pandemic (https://www.ofcom.org.uk/__data/assets/pdf_file/0016/242701/media-nations-report-2022.pdf)</t>
  </si>
  <si>
    <t>daily_audience</t>
  </si>
  <si>
    <t>J/gigabit</t>
  </si>
  <si>
    <t>J/megabit</t>
  </si>
  <si>
    <t>https://www.ofcom.org.uk/__data/assets/pdf_file/0016/242701/media-nations-report-2022.pdf</t>
  </si>
  <si>
    <t>Own</t>
  </si>
  <si>
    <t>laptop share</t>
  </si>
  <si>
    <t>S/B VoD daily audience</t>
  </si>
  <si>
    <t>50.7m daily average viewers according to BARB. 12% of which on laptops according to Comscore. [https://www.barb.co.uk/viewing-data/total-identified-viewing-summary/] [ Comscore’s The US Total Video
Report (Comscore, 2014)]</t>
  </si>
  <si>
    <t>seconds</t>
  </si>
  <si>
    <t>daily viewing time</t>
  </si>
  <si>
    <t>monthly</t>
  </si>
  <si>
    <t>energy</t>
  </si>
  <si>
    <t>carbon</t>
  </si>
  <si>
    <t>J</t>
  </si>
  <si>
    <t>kWh</t>
  </si>
  <si>
    <t>kg</t>
  </si>
  <si>
    <t>Origin Datacentre</t>
  </si>
  <si>
    <t>Content Delivery Network</t>
  </si>
  <si>
    <t>Core Network</t>
  </si>
  <si>
    <t>Access Network</t>
  </si>
  <si>
    <t>Laptop</t>
  </si>
  <si>
    <t>diff</t>
  </si>
  <si>
    <t>data vol</t>
  </si>
  <si>
    <t>bit</t>
  </si>
  <si>
    <t>Mb</t>
  </si>
  <si>
    <t>energy acc</t>
  </si>
  <si>
    <t>j</t>
  </si>
  <si>
    <t xml:space="preserve">cutoff </t>
  </si>
  <si>
    <t>annual improvement device  efficiency lower</t>
  </si>
  <si>
    <t>annual improvement device  efficiency upper</t>
  </si>
  <si>
    <t>monthly improvement</t>
  </si>
  <si>
    <t>change</t>
  </si>
  <si>
    <t>DE-NIX</t>
  </si>
  <si>
    <t>ofcom - UK HH</t>
  </si>
  <si>
    <t>https://getpocket.com/read/3785052087</t>
  </si>
  <si>
    <t>connected nations 2022 and 2021</t>
  </si>
  <si>
    <t>openreach annual PB</t>
  </si>
  <si>
    <t>https://getpocket.com/read/3780770609</t>
  </si>
  <si>
    <t>per HH</t>
  </si>
  <si>
    <t>OpenReach</t>
  </si>
  <si>
    <t>openreach annual review 2019</t>
  </si>
  <si>
    <t>Year</t>
  </si>
  <si>
    <t>Per HH DV [GB/m]</t>
  </si>
  <si>
    <t>YoY Change [%]</t>
  </si>
  <si>
    <t>openreach annual report 2019</t>
  </si>
  <si>
    <t>OfCom per HH</t>
  </si>
  <si>
    <t>Own measurements</t>
  </si>
  <si>
    <t>group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</si>
  <si>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</si>
  <si>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</si>
  <si>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</si>
  <si>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</si>
  <si>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</si>
  <si>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</si>
  <si>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</si>
  <si>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</si>
  <si>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</si>
  <si>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</si>
  <si>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</si>
  <si>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</si>
  <si>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</si>
  <si>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</si>
  <si>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carbon_intensity</t>
  </si>
  <si>
    <t>g/kWh</t>
  </si>
  <si>
    <t>viewing_time</t>
  </si>
  <si>
    <t>t_00</t>
  </si>
  <si>
    <t>t_01</t>
  </si>
  <si>
    <t>t_02</t>
  </si>
  <si>
    <t>t_03</t>
  </si>
  <si>
    <t>t_04</t>
  </si>
  <si>
    <t>t_05</t>
  </si>
  <si>
    <t>t_06</t>
  </si>
  <si>
    <t>t_07</t>
  </si>
  <si>
    <t>t_08</t>
  </si>
  <si>
    <t>t_09</t>
  </si>
  <si>
    <t>P_DC</t>
  </si>
  <si>
    <t>Wh/hr</t>
  </si>
  <si>
    <t xml:space="preserve">percentage change: </t>
  </si>
  <si>
    <t>=&gt; saving on laptop is 65x that on the streaming server</t>
  </si>
  <si>
    <t>I_x</t>
  </si>
  <si>
    <t>J/Gb</t>
  </si>
  <si>
    <t>energy at 7500 kbps</t>
  </si>
  <si>
    <t>Wh</t>
  </si>
  <si>
    <t>dv @ 7.5Mbps</t>
  </si>
  <si>
    <t>kbps</t>
  </si>
  <si>
    <t>time</t>
  </si>
  <si>
    <t>s</t>
  </si>
  <si>
    <t>dv</t>
  </si>
  <si>
    <t>b</t>
  </si>
  <si>
    <t>power at 7.5Mbps</t>
  </si>
  <si>
    <t>I_linode</t>
  </si>
  <si>
    <t>J/b</t>
  </si>
  <si>
    <t>https://www.vox.com/2018/3/7/17094610/netflix-70-percent-tv-viewing-statistics</t>
  </si>
  <si>
    <t>Paul shared 20.02- --" biggest delta"</t>
  </si>
  <si>
    <t>https://support.google.com/interconnect/answer/9058809?hl=en</t>
  </si>
  <si>
    <t>0.0301 Wh/30min = 0.0602 Wh/h = 0.06 W ;; https://www.datacenterknowledge.com/energy/how-much-netflix-really-contributing-climate-change ;;
46% of 0.06W =&gt; 0.0276W
Curious: Netflix "fills" from 2am to 2pm.</t>
  </si>
  <si>
    <t>OpenConnect Appliances. https://openconnect.netflix.com/en_gb/appliances/ - lists ideal energy intensity values during full utilisation. From the list of appliances we calculate the marginal energy intensity, assuming 40% base power and PUE of 1.5. Cautiously select the least energy efficient one (9J/Gb).</t>
  </si>
  <si>
    <t>PUE</t>
  </si>
  <si>
    <t>Bianco et al. https://ieeexplore.ieee.org/stamp/stamp.jsp?tp=&amp;arnumber=7511356</t>
  </si>
  <si>
    <t>Variable</t>
  </si>
  <si>
    <t>Value</t>
  </si>
  <si>
    <t>Unit</t>
  </si>
  <si>
    <t>Reference</t>
  </si>
  <si>
    <t>Marginal by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</si>
</sst>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_);_(* \(#,##0.00\);_(* \-??_);_(@_)"/>
    <numFmt numFmtId="165" formatCode="#,##0.0000"/>
  </numFmts>
  <fonts count="20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C9211E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mbria"/>
      <family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</font>
    <font>
      <sz val="12"/>
      <color rgb="FF9AA83A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">
    <xf numFmtId="0" fontId="0" fillId="0" borderId="0"/>
    <xf numFmtId="164" fontId="6" fillId="0" borderId="0" applyBorder="0" applyProtection="0"/>
    <xf numFmtId="0" fontId="13" fillId="0" borderId="0" applyNumberFormat="0" applyFill="0" applyBorder="0" applyAlignment="0" applyProtection="0"/>
    <xf numFmtId="9" fontId="15" fillId="0" borderId="0" applyFont="0" applyFill="0" applyBorder="0" applyAlignment="0" applyProtection="0"/>
  </cellStyleXfs>
  <cellXfs count="5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left"/>
    </xf>
    <xf numFmtId="165" fontId="7" fillId="0" borderId="2" xfId="1" applyNumberFormat="1" applyFont="1" applyBorder="1" applyProtection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14" fontId="10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14" fontId="9" fillId="0" borderId="0" xfId="0" applyNumberFormat="1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2" applyAlignment="1">
      <alignment vertical="top"/>
    </xf>
    <xf numFmtId="0" fontId="13" fillId="0" borderId="0" xfId="2"/>
    <xf numFmtId="0" fontId="8" fillId="0" borderId="0" xfId="0" applyFont="1" applyAlignment="1">
      <alignment vertical="top" wrapText="1"/>
    </xf>
    <xf numFmtId="0" fontId="14" fillId="4" borderId="0" xfId="0" applyFont="1" applyFill="1" applyAlignment="1">
      <alignment vertical="top"/>
    </xf>
    <xf numFmtId="0" fontId="14" fillId="5" borderId="0" xfId="0" applyFont="1" applyFill="1" applyAlignment="1">
      <alignment vertical="top"/>
    </xf>
    <xf numFmtId="14" fontId="0" fillId="0" borderId="0" xfId="0" applyNumberFormat="1"/>
    <xf numFmtId="11" fontId="9" fillId="0" borderId="0" xfId="0" applyNumberFormat="1" applyFont="1" applyAlignment="1">
      <alignment vertical="top" wrapText="1"/>
    </xf>
    <xf numFmtId="0" fontId="13" fillId="0" borderId="0" xfId="2" applyAlignment="1">
      <alignment vertical="top" wrapText="1"/>
    </xf>
    <xf numFmtId="0" fontId="13" fillId="6" borderId="0" xfId="2" applyFill="1" applyAlignment="1">
      <alignment vertical="top" wrapText="1"/>
    </xf>
    <xf numFmtId="0" fontId="9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vertical="top"/>
    </xf>
    <xf numFmtId="14" fontId="16" fillId="0" borderId="0" xfId="0" applyNumberFormat="1" applyFont="1" applyAlignment="1">
      <alignment vertical="top"/>
    </xf>
    <xf numFmtId="0" fontId="16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9" fontId="9" fillId="0" borderId="0" xfId="3" applyFont="1"/>
    <xf numFmtId="164" fontId="6" fillId="0" borderId="0" xfId="1"/>
    <xf numFmtId="43" fontId="0" fillId="0" borderId="0" xfId="0" applyNumberFormat="1"/>
    <xf numFmtId="0" fontId="17" fillId="0" borderId="1" xfId="0" applyFont="1" applyBorder="1" applyAlignment="1">
      <alignment horizontal="left"/>
    </xf>
    <xf numFmtId="3" fontId="0" fillId="0" borderId="0" xfId="0" applyNumberFormat="1"/>
    <xf numFmtId="9" fontId="8" fillId="0" borderId="0" xfId="0" applyNumberFormat="1" applyFont="1"/>
    <xf numFmtId="0" fontId="18" fillId="0" borderId="0" xfId="0" applyFont="1"/>
    <xf numFmtId="0" fontId="2" fillId="7" borderId="0" xfId="0" applyFont="1" applyFill="1"/>
    <xf numFmtId="0" fontId="0" fillId="7" borderId="0" xfId="0" applyFill="1"/>
    <xf numFmtId="0" fontId="9" fillId="7" borderId="0" xfId="0" applyFont="1" applyFill="1"/>
    <xf numFmtId="0" fontId="8" fillId="7" borderId="0" xfId="0" applyFont="1" applyFill="1"/>
    <xf numFmtId="0" fontId="19" fillId="0" borderId="0" xfId="0" applyFont="1"/>
    <xf numFmtId="0" fontId="16" fillId="8" borderId="0" xfId="0" applyFont="1" applyFill="1"/>
    <xf numFmtId="0" fontId="8" fillId="0" borderId="0" xfId="0" applyFont="1" applyAlignment="1">
      <alignment vertical="top"/>
    </xf>
    <xf numFmtId="0" fontId="16" fillId="0" borderId="0" xfId="0" applyFont="1" applyAlignment="1">
      <alignment wrapText="1"/>
    </xf>
    <xf numFmtId="0" fontId="0" fillId="0" borderId="0" xfId="0" quotePrefix="1"/>
    <xf numFmtId="0" fontId="13" fillId="0" borderId="0" xfId="2" applyAlignment="1">
      <alignment wrapText="1"/>
    </xf>
  </cellXfs>
  <cellStyles count="4">
    <cellStyle name="Comma" xfId="1" builtinId="3"/>
    <cellStyle name="Hyperlink" xfId="2" builtinId="8"/>
    <cellStyle name="Normal" xfId="0" builtinId="0"/>
    <cellStyle name="Per cent" xfId="3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carbon_intensity!$N$2:$N$25</c:f>
              <c:numCache>
                <c:formatCode>General</c:formatCode>
                <c:ptCount val="24"/>
                <c:pt idx="0">
                  <c:v>272.552055</c:v>
                </c:pt>
                <c:pt idx="1">
                  <c:v>266.00684899999999</c:v>
                </c:pt>
                <c:pt idx="2">
                  <c:v>248.772603</c:v>
                </c:pt>
                <c:pt idx="3">
                  <c:v>248.97123300000001</c:v>
                </c:pt>
                <c:pt idx="4">
                  <c:v>285.236986</c:v>
                </c:pt>
                <c:pt idx="5">
                  <c:v>334.45890400000002</c:v>
                </c:pt>
                <c:pt idx="6">
                  <c:v>334.44383599999998</c:v>
                </c:pt>
                <c:pt idx="7">
                  <c:v>239.157534</c:v>
                </c:pt>
                <c:pt idx="8">
                  <c:v>151.635616</c:v>
                </c:pt>
                <c:pt idx="9">
                  <c:v>102.39588999999999</c:v>
                </c:pt>
                <c:pt idx="10">
                  <c:v>118.893151</c:v>
                </c:pt>
                <c:pt idx="11">
                  <c:v>148.57671199999999</c:v>
                </c:pt>
                <c:pt idx="12">
                  <c:v>202.276712</c:v>
                </c:pt>
                <c:pt idx="13">
                  <c:v>154.60137</c:v>
                </c:pt>
                <c:pt idx="14">
                  <c:v>124.07123300000001</c:v>
                </c:pt>
                <c:pt idx="15">
                  <c:v>208.64657500000001</c:v>
                </c:pt>
                <c:pt idx="16">
                  <c:v>177.21643800000001</c:v>
                </c:pt>
                <c:pt idx="17">
                  <c:v>121.783562</c:v>
                </c:pt>
                <c:pt idx="18">
                  <c:v>147.079452</c:v>
                </c:pt>
                <c:pt idx="19">
                  <c:v>175.157534</c:v>
                </c:pt>
                <c:pt idx="20">
                  <c:v>297.10000000000002</c:v>
                </c:pt>
                <c:pt idx="21">
                  <c:v>376.54520500000001</c:v>
                </c:pt>
                <c:pt idx="22">
                  <c:v>382.26712300000003</c:v>
                </c:pt>
                <c:pt idx="23">
                  <c:v>360.48767099999998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C-EC49-8F3D-BCE935E9F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608464"/>
        <c:axId val="1349190752"/>
      </c:lineChart>
      <c:catAx>
        <c:axId val="134860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190752"/>
        <c:crosses val="autoZero"/>
        <c:auto val="1"/>
        <c:lblAlgn val="ctr"/>
        <c:lblOffset val="100"/>
        <c:noMultiLvlLbl val="0"/>
      </c:catAx>
      <c:valAx>
        <c:axId val="134919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60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aux!$H$21</c:f>
              <c:strCache>
                <c:ptCount val="1"/>
                <c:pt idx="0">
                  <c:v>per HH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aux!$G$22:$G$26</c:f>
              <c:numCache>
                <c:formatCode>General</c:formatCode>
                <c:ptCount val="5"/>
                <c:pt idx="0">
                  <c:v>2022</c:v>
                </c:pt>
                <c:pt idx="1">
                  <c:v>2021</c:v>
                </c:pt>
                <c:pt idx="2">
                  <c:v>2020</c:v>
                </c:pt>
                <c:pt idx="3">
                  <c:v>2019</c:v>
                </c:pt>
                <c:pt idx="4">
                  <c:v>2018</c:v>
                </c:pt>
              </c:numCache>
            </c:numRef>
          </c:cat>
          <c:val>
            <c:numRef>
              <c:f>aux!$H$22:$H$26</c:f>
              <c:numCache>
                <c:formatCode>General</c:formatCode>
                <c:ptCount val="5"/>
                <c:pt idx="0">
                  <c:v>6.4017660044150109</c:v>
                </c:pt>
                <c:pt idx="1">
                  <c:v>5.5944055944055942</c:v>
                </c:pt>
                <c:pt idx="2">
                  <c:v>58</c:v>
                </c:pt>
                <c:pt idx="3">
                  <c:v>30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68-CB43-BE1B-885BB81B53A5}"/>
            </c:ext>
          </c:extLst>
        </c:ser>
        <c:ser>
          <c:idx val="1"/>
          <c:order val="1"/>
          <c:tx>
            <c:strRef>
              <c:f>aux!$I$21</c:f>
              <c:strCache>
                <c:ptCount val="1"/>
                <c:pt idx="0">
                  <c:v>OpenReach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aux!$G$22:$G$26</c:f>
              <c:numCache>
                <c:formatCode>General</c:formatCode>
                <c:ptCount val="5"/>
                <c:pt idx="0">
                  <c:v>2022</c:v>
                </c:pt>
                <c:pt idx="1">
                  <c:v>2021</c:v>
                </c:pt>
                <c:pt idx="2">
                  <c:v>2020</c:v>
                </c:pt>
                <c:pt idx="3">
                  <c:v>2019</c:v>
                </c:pt>
                <c:pt idx="4">
                  <c:v>2018</c:v>
                </c:pt>
              </c:numCache>
            </c:numRef>
          </c:cat>
          <c:val>
            <c:numRef>
              <c:f>aux!$I$22:$I$26</c:f>
              <c:numCache>
                <c:formatCode>General</c:formatCode>
                <c:ptCount val="5"/>
                <c:pt idx="0">
                  <c:v>2.6539074960127591</c:v>
                </c:pt>
                <c:pt idx="1">
                  <c:v>25.4</c:v>
                </c:pt>
                <c:pt idx="2">
                  <c:v>127.27272727272727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68-CB43-BE1B-885BB81B5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203120"/>
        <c:axId val="1343069456"/>
      </c:lineChart>
      <c:catAx>
        <c:axId val="134220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069456"/>
        <c:crosses val="autoZero"/>
        <c:auto val="1"/>
        <c:lblAlgn val="ctr"/>
        <c:lblOffset val="100"/>
        <c:noMultiLvlLbl val="0"/>
      </c:catAx>
      <c:valAx>
        <c:axId val="134306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20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UK YoY</a:t>
            </a:r>
            <a:r>
              <a:rPr lang="en-GB" baseline="0"/>
              <a:t> Change Data Volume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aux!$H$32</c:f>
              <c:strCache>
                <c:ptCount val="1"/>
                <c:pt idx="0">
                  <c:v>OfCom per HH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aux!$G$33:$G$37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aux!$H$33:$H$37</c:f>
              <c:numCache>
                <c:formatCode>General</c:formatCode>
                <c:ptCount val="5"/>
                <c:pt idx="0">
                  <c:v>26</c:v>
                </c:pt>
                <c:pt idx="1">
                  <c:v>30</c:v>
                </c:pt>
                <c:pt idx="2">
                  <c:v>36.19047619047619</c:v>
                </c:pt>
                <c:pt idx="3">
                  <c:v>5.5944055944055942</c:v>
                </c:pt>
                <c:pt idx="4">
                  <c:v>6.4017660044150109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43-7144-8B00-AE618B8444BD}"/>
            </c:ext>
          </c:extLst>
        </c:ser>
        <c:ser>
          <c:idx val="1"/>
          <c:order val="1"/>
          <c:tx>
            <c:strRef>
              <c:f>aux!$I$32</c:f>
              <c:strCache>
                <c:ptCount val="1"/>
                <c:pt idx="0">
                  <c:v>OpenReach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aux!$G$33:$G$37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aux!$I$33:$I$37</c:f>
              <c:numCache>
                <c:formatCode>General</c:formatCode>
                <c:ptCount val="5"/>
                <c:pt idx="1">
                  <c:v>40</c:v>
                </c:pt>
                <c:pt idx="2">
                  <c:v>127.27272727272727</c:v>
                </c:pt>
                <c:pt idx="3">
                  <c:v>25.4</c:v>
                </c:pt>
                <c:pt idx="4">
                  <c:v>2.6539074960127591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43-7144-8B00-AE618B844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088544"/>
        <c:axId val="1336424960"/>
      </c:lineChart>
      <c:catAx>
        <c:axId val="133608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424960"/>
        <c:crosses val="autoZero"/>
        <c:auto val="1"/>
        <c:lblAlgn val="ctr"/>
        <c:lblOffset val="100"/>
        <c:noMultiLvlLbl val="0"/>
      </c:catAx>
      <c:valAx>
        <c:axId val="133642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YoY Change</a:t>
                </a:r>
                <a:r>
                  <a:rPr lang="en-GB" baseline="0"/>
                  <a:t> [%]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8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aux!$S$16</c:f>
              <c:strCache>
                <c:ptCount val="1"/>
                <c:pt idx="0">
                  <c:v>YoY Change [%]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  <a:extLst>
                <a:ext uri="{C807C97D-BFC1-408E-A445-0C87EB9F89A2}">
                  <ask:lineSketchStyleProps xmlns:ask="http://schemas.microsoft.com/office/drawing/2018/sketchyshapes">
                    <ask:type>
                      <ask:lineSketchCurved/>
                    </ask:type>
                  </ask:lineSketchStyleProps>
                </a:ext>
              </a:extLst>
            </a:ln>
            <a:effectLst/>
          </c:spPr>
          <c:marker>
            <c:symbol val="none"/>
          </c:marker>
          <c:cat>
            <c:numRef>
              <c:f>aux!$R$17:$R$26</c:f>
              <c:numCache>
                <c:formatCode>General</c:formatCod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aux!$S$17:$S$26</c:f>
              <c:numCache>
                <c:formatCode>General</c:formatCode>
                <c:ptCount val="10"/>
                <c:pt idx="0">
                  <c:v>30.434782608695652</c:v>
                </c:pt>
                <c:pt idx="1">
                  <c:v>93.333333333333343</c:v>
                </c:pt>
                <c:pt idx="2">
                  <c:v>67.241379310344826</c:v>
                </c:pt>
                <c:pt idx="3">
                  <c:v>36.082474226804123</c:v>
                </c:pt>
                <c:pt idx="4">
                  <c:v>44.901394901394895</c:v>
                </c:pt>
                <c:pt idx="5">
                  <c:v>26.000000000000004</c:v>
                </c:pt>
                <c:pt idx="6">
                  <c:v>30.705394190871367</c:v>
                </c:pt>
                <c:pt idx="7">
                  <c:v>36.19047619047619</c:v>
                </c:pt>
                <c:pt idx="8">
                  <c:v>5.5944055944055942</c:v>
                </c:pt>
                <c:pt idx="9">
                  <c:v>6.4017660044150109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8D-914D-BB37-5A002C942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173216"/>
        <c:axId val="1357152848"/>
      </c:lineChart>
      <c:catAx>
        <c:axId val="183317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152848"/>
        <c:crosses val="autoZero"/>
        <c:auto val="1"/>
        <c:lblAlgn val="ctr"/>
        <c:lblOffset val="100"/>
        <c:noMultiLvlLbl val="0"/>
      </c:catAx>
      <c:valAx>
        <c:axId val="135715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7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872434</xdr:colOff>
      <xdr:row>11</xdr:row>
      <xdr:rowOff>132522</xdr:rowOff>
    </xdr:from>
    <xdr:to>
      <xdr:col>28</xdr:col>
      <xdr:colOff>905013</xdr:colOff>
      <xdr:row>25</xdr:row>
      <xdr:rowOff>45278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944F37-5FA5-85B8-C7E4-0A0B948C4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95304" y="2396435"/>
          <a:ext cx="7277100" cy="500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22</xdr:row>
      <xdr:rowOff>101600</xdr:rowOff>
    </xdr:from>
    <xdr:to>
      <xdr:col>11</xdr:col>
      <xdr:colOff>190500</xdr:colOff>
      <xdr:row>36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0671CE-E1C2-479D-D524-5D98EB1F7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450850</xdr:colOff>
      <xdr:row>20</xdr:row>
      <xdr:rowOff>12700</xdr:rowOff>
    </xdr:from>
    <xdr:to>
      <xdr:col>15</xdr:col>
      <xdr:colOff>69850</xdr:colOff>
      <xdr:row>34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2D3CC4-2EA6-02EA-574C-DAC89F5EA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37</xdr:row>
      <xdr:rowOff>50800</xdr:rowOff>
    </xdr:from>
    <xdr:to>
      <xdr:col>15</xdr:col>
      <xdr:colOff>209550</xdr:colOff>
      <xdr:row>48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9D6C8D-70CB-ACC9-2B5C-5D3ED6D17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2298700</xdr:colOff>
      <xdr:row>20</xdr:row>
      <xdr:rowOff>76200</xdr:rowOff>
    </xdr:from>
    <xdr:to>
      <xdr:col>5</xdr:col>
      <xdr:colOff>419100</xdr:colOff>
      <xdr:row>36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6E88EA-5D55-C6CF-7816-50680FCA0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98700" y="3886200"/>
          <a:ext cx="4127500" cy="3098800"/>
        </a:xfrm>
        <a:prstGeom prst="rect">
          <a:avLst/>
        </a:prstGeom>
      </xdr:spPr>
    </xdr:pic>
    <xdr:clientData/>
  </xdr:twoCellAnchor>
  <xdr:twoCellAnchor>
    <xdr:from>
      <xdr:col>16</xdr:col>
      <xdr:colOff>298450</xdr:colOff>
      <xdr:row>30</xdr:row>
      <xdr:rowOff>152400</xdr:rowOff>
    </xdr:from>
    <xdr:to>
      <xdr:col>21</xdr:col>
      <xdr:colOff>742950</xdr:colOff>
      <xdr:row>41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73CD8C9-1382-EF67-4E26-6D712D558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stamp/stamp.jsp?tp=&amp;arnumber=7511356" TargetMode="External"/><Relationship Id="rId3" Type="http://schemas.openxmlformats.org/officeDocument/2006/relationships/hyperlink" Target="https://github.com/carbon-intensity/methodology/raw/master/Carbon%20Intensity%20Forecast%20Methodology.pdf" TargetMode="External"/><Relationship Id="rId7" Type="http://schemas.openxmlformats.org/officeDocument/2006/relationships/hyperlink" Target="https://support.google.com/interconnect/answer/9058809?hl=en" TargetMode="External"/><Relationship Id="rId2" Type="http://schemas.openxmlformats.org/officeDocument/2006/relationships/hyperlink" Target="https://openconnect.netflix.com/en_gb/appliances/" TargetMode="External"/><Relationship Id="rId1" Type="http://schemas.openxmlformats.org/officeDocument/2006/relationships/hyperlink" Target="https://peering.google.com/about/ggc.html%20found%20that%2070%25%20of%20content%20is%20cached%20(the%20most%20popular).%20We%20assume%20that%20for%20commercial%20content,%20the%20hitrate%20is%20much%20higher." TargetMode="External"/><Relationship Id="rId6" Type="http://schemas.openxmlformats.org/officeDocument/2006/relationships/hyperlink" Target="https://www.vox.com/2018/3/7/17094610/netflix-70-percent-tv-viewing-statistics" TargetMode="External"/><Relationship Id="rId5" Type="http://schemas.openxmlformats.org/officeDocument/2006/relationships/hyperlink" Target="https://www.barb.co.uk/viewing-data/total-identified-viewing-summary/Ofcom%20finds%20the%20viewing%20time%20has%20remained%20largely%20similar%20since%20pandemic%20()" TargetMode="External"/><Relationship Id="rId4" Type="http://schemas.openxmlformats.org/officeDocument/2006/relationships/hyperlink" Target="https://www.ofcom.org.uk/__data/assets/pdf_file/0016/242701/media-nations-report-2022.pdf" TargetMode="Externa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getpocket.com/read/3780770609" TargetMode="External"/><Relationship Id="rId1" Type="http://schemas.openxmlformats.org/officeDocument/2006/relationships/hyperlink" Target="https://getpocket.com/read/3785052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zoomScale="115" zoomScaleNormal="115" workbookViewId="0">
      <selection activeCell="F14" sqref="F14"/>
    </sheetView>
  </sheetViews>
  <sheetFormatPr baseColWidth="10" defaultColWidth="11.83203125" defaultRowHeight="15" x14ac:dyDescent="0.2"/>
  <cols>
    <col min="1" max="1" width="23.6640625" customWidth="1"/>
    <col min="2" max="2" width="15.5" customWidth="1"/>
    <col min="3" max="3" width="7.33203125" customWidth="1"/>
    <col min="6" max="6" width="25.5" bestFit="1" customWidth="1"/>
    <col min="12" max="12" width="12.1640625" bestFit="1" customWidth="1"/>
    <col min="14" max="14" width="33.6640625" customWidth="1"/>
    <col min="17" max="18" width="0" hidden="1" customWidth="1"/>
    <col min="19" max="19" width="59.5" hidden="1" customWidth="1"/>
    <col min="20" max="22" width="0" hidden="1" customWidth="1"/>
  </cols>
  <sheetData>
    <row r="1" spans="1:2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4" t="s">
        <v>51</v>
      </c>
      <c r="S1" s="25" t="s">
        <v>52</v>
      </c>
      <c r="T1" s="26" t="s">
        <v>53</v>
      </c>
      <c r="U1" s="25" t="s">
        <v>54</v>
      </c>
      <c r="V1" s="25" t="s">
        <v>55</v>
      </c>
    </row>
    <row r="2" spans="1:22" x14ac:dyDescent="0.2">
      <c r="A2" s="45"/>
      <c r="B2" s="44" t="s">
        <v>17</v>
      </c>
      <c r="C2" s="44"/>
      <c r="D2" s="45"/>
      <c r="E2" s="45"/>
      <c r="F2" s="45"/>
      <c r="G2" s="45"/>
      <c r="H2" s="45"/>
      <c r="I2" s="45"/>
      <c r="J2" s="45"/>
      <c r="K2" s="45"/>
      <c r="L2" s="4"/>
      <c r="M2" s="5"/>
      <c r="Q2" s="6"/>
      <c r="R2" s="6"/>
      <c r="S2" s="6"/>
    </row>
    <row r="3" spans="1:22" ht="112" x14ac:dyDescent="0.2">
      <c r="B3" s="3"/>
      <c r="C3" s="3"/>
      <c r="F3" s="38">
        <f>0.000000281*1000000000</f>
        <v>281</v>
      </c>
      <c r="K3" t="s">
        <v>63</v>
      </c>
      <c r="L3" s="4"/>
      <c r="M3" s="29" t="s">
        <v>160</v>
      </c>
      <c r="Q3" s="6"/>
      <c r="R3" s="6"/>
      <c r="S3" s="6"/>
    </row>
    <row r="4" spans="1:22" ht="17" customHeight="1" x14ac:dyDescent="0.2">
      <c r="A4" s="14" t="s">
        <v>137</v>
      </c>
      <c r="B4" s="3"/>
      <c r="C4" s="3"/>
      <c r="D4" s="32" t="s">
        <v>18</v>
      </c>
      <c r="F4" s="14">
        <v>1.3</v>
      </c>
      <c r="G4" s="19"/>
      <c r="H4" s="33">
        <v>0.1</v>
      </c>
      <c r="I4" s="33">
        <v>0.05</v>
      </c>
      <c r="J4" s="34">
        <v>43831</v>
      </c>
      <c r="K4" s="50" t="s">
        <v>138</v>
      </c>
      <c r="L4" s="4"/>
      <c r="M4" s="5"/>
      <c r="N4" s="31"/>
      <c r="Q4" s="6" t="s">
        <v>47</v>
      </c>
      <c r="R4" s="6"/>
      <c r="S4" s="6"/>
    </row>
    <row r="5" spans="1:22" ht="17" customHeight="1" x14ac:dyDescent="0.2">
      <c r="B5" s="14" t="s">
        <v>159</v>
      </c>
      <c r="C5" s="3"/>
      <c r="D5" s="32"/>
      <c r="F5" s="14">
        <v>1.5</v>
      </c>
      <c r="G5" s="19"/>
      <c r="H5" s="33"/>
      <c r="I5" s="33"/>
      <c r="J5" s="34"/>
      <c r="K5" s="50"/>
      <c r="L5" s="4"/>
      <c r="M5" s="5"/>
      <c r="N5" s="31"/>
      <c r="Q5" s="6"/>
      <c r="R5" s="6"/>
      <c r="S5" s="6"/>
    </row>
    <row r="6" spans="1:22" ht="29" customHeight="1" x14ac:dyDescent="0.2">
      <c r="A6" s="32" t="s">
        <v>46</v>
      </c>
      <c r="B6" s="32"/>
      <c r="C6" s="32"/>
      <c r="D6" s="32" t="s">
        <v>18</v>
      </c>
      <c r="E6" s="32"/>
      <c r="F6" s="32">
        <f>9*F5</f>
        <v>13.5</v>
      </c>
      <c r="G6" s="33">
        <v>-0.2</v>
      </c>
      <c r="H6" s="33">
        <v>0.1</v>
      </c>
      <c r="I6" s="33">
        <v>0.05</v>
      </c>
      <c r="J6" s="34">
        <v>44562</v>
      </c>
      <c r="K6" s="33" t="s">
        <v>63</v>
      </c>
      <c r="L6" s="32"/>
      <c r="M6" s="32" t="s">
        <v>158</v>
      </c>
      <c r="N6" s="51" t="s">
        <v>157</v>
      </c>
      <c r="Q6" s="23" t="s">
        <v>50</v>
      </c>
      <c r="R6" s="6" t="s">
        <v>19</v>
      </c>
    </row>
    <row r="7" spans="1:22" x14ac:dyDescent="0.2">
      <c r="A7" s="45"/>
      <c r="B7" s="44" t="s">
        <v>20</v>
      </c>
      <c r="C7" s="44"/>
      <c r="D7" s="45"/>
      <c r="E7" s="45"/>
      <c r="F7" s="46"/>
      <c r="G7" s="46"/>
      <c r="H7" s="46"/>
      <c r="I7" s="46"/>
      <c r="J7" s="46"/>
      <c r="K7" s="45"/>
      <c r="R7" s="6"/>
    </row>
    <row r="8" spans="1:22" ht="20" customHeight="1" x14ac:dyDescent="0.2">
      <c r="A8" s="32" t="s">
        <v>45</v>
      </c>
      <c r="B8" s="32"/>
      <c r="C8" s="32"/>
      <c r="D8" s="32" t="s">
        <v>18</v>
      </c>
      <c r="E8" s="32"/>
      <c r="F8" s="32">
        <v>0.03</v>
      </c>
      <c r="G8" s="32">
        <v>-0.2</v>
      </c>
      <c r="H8" s="32">
        <v>0.1</v>
      </c>
      <c r="I8" s="33">
        <v>0.05</v>
      </c>
      <c r="J8" s="34">
        <v>43983</v>
      </c>
      <c r="K8" s="33" t="s">
        <v>64</v>
      </c>
      <c r="L8" s="32"/>
      <c r="M8" s="35" t="s">
        <v>59</v>
      </c>
      <c r="Q8" t="s">
        <v>21</v>
      </c>
      <c r="R8" t="s">
        <v>19</v>
      </c>
    </row>
    <row r="9" spans="1:22" x14ac:dyDescent="0.2">
      <c r="A9" s="32"/>
      <c r="B9" s="32"/>
      <c r="C9" s="32"/>
      <c r="D9" s="32"/>
      <c r="E9" s="32"/>
      <c r="F9" s="32"/>
      <c r="G9" s="32"/>
      <c r="H9" s="32"/>
      <c r="I9" s="33"/>
      <c r="J9" s="34"/>
      <c r="K9" s="33"/>
      <c r="L9" s="32"/>
      <c r="M9" s="35"/>
    </row>
    <row r="10" spans="1:22" ht="23" customHeight="1" x14ac:dyDescent="0.2">
      <c r="A10" s="32" t="s">
        <v>44</v>
      </c>
      <c r="B10" s="32"/>
      <c r="C10" s="32"/>
      <c r="D10" s="32" t="s">
        <v>18</v>
      </c>
      <c r="E10" s="32"/>
      <c r="F10" s="32">
        <v>0.02</v>
      </c>
      <c r="G10" s="49">
        <v>0</v>
      </c>
      <c r="H10" s="32">
        <v>0.1</v>
      </c>
      <c r="I10" s="33">
        <v>0.05</v>
      </c>
      <c r="J10" s="34">
        <v>43831</v>
      </c>
      <c r="K10" s="33" t="s">
        <v>64</v>
      </c>
      <c r="L10" s="32"/>
      <c r="M10" s="35" t="s">
        <v>59</v>
      </c>
      <c r="Q10" t="s">
        <v>22</v>
      </c>
      <c r="R10" t="s">
        <v>19</v>
      </c>
    </row>
    <row r="11" spans="1:22" x14ac:dyDescent="0.2">
      <c r="A11" s="14"/>
      <c r="F11" s="14"/>
      <c r="G11" s="14"/>
      <c r="H11" s="14"/>
      <c r="I11" s="19"/>
      <c r="J11" s="20"/>
      <c r="K11" s="4"/>
      <c r="M11" s="5"/>
    </row>
    <row r="12" spans="1:22" ht="80" x14ac:dyDescent="0.2">
      <c r="A12" s="13" t="s">
        <v>48</v>
      </c>
      <c r="D12" t="s">
        <v>18</v>
      </c>
      <c r="E12" s="16"/>
      <c r="F12" s="16">
        <v>0.3</v>
      </c>
      <c r="G12" s="21">
        <v>0</v>
      </c>
      <c r="H12" s="14">
        <v>0.1</v>
      </c>
      <c r="I12" s="19">
        <v>0.05</v>
      </c>
      <c r="J12" s="20">
        <v>43831</v>
      </c>
      <c r="K12" s="17"/>
      <c r="L12" s="18"/>
      <c r="M12" s="29" t="s">
        <v>156</v>
      </c>
      <c r="N12" s="16"/>
      <c r="O12" s="18"/>
      <c r="Q12" s="22" t="s">
        <v>49</v>
      </c>
    </row>
    <row r="13" spans="1:22" x14ac:dyDescent="0.2">
      <c r="A13" s="45"/>
      <c r="B13" s="44" t="s">
        <v>24</v>
      </c>
      <c r="C13" s="44"/>
      <c r="D13" s="45"/>
      <c r="E13" s="45"/>
      <c r="F13" s="46"/>
      <c r="G13" s="46"/>
      <c r="H13" s="46"/>
      <c r="I13" s="46"/>
      <c r="J13" s="46"/>
      <c r="K13" s="45"/>
    </row>
    <row r="14" spans="1:22" ht="24" customHeight="1" x14ac:dyDescent="0.2">
      <c r="A14" s="13" t="s">
        <v>124</v>
      </c>
      <c r="D14" t="s">
        <v>18</v>
      </c>
      <c r="F14" s="14">
        <v>394</v>
      </c>
      <c r="G14" s="19">
        <v>0</v>
      </c>
      <c r="H14" s="19">
        <v>0.1</v>
      </c>
      <c r="I14" s="19">
        <v>0.05</v>
      </c>
      <c r="J14" s="20">
        <v>43831</v>
      </c>
      <c r="K14" s="7" t="s">
        <v>125</v>
      </c>
      <c r="M14" s="29" t="s">
        <v>58</v>
      </c>
      <c r="Q14" t="s">
        <v>25</v>
      </c>
      <c r="R14" t="s">
        <v>19</v>
      </c>
    </row>
    <row r="15" spans="1:22" x14ac:dyDescent="0.2">
      <c r="F15" s="14"/>
      <c r="G15" s="19"/>
      <c r="H15" s="19"/>
      <c r="I15" s="19"/>
      <c r="J15" s="20"/>
      <c r="Q15" t="s">
        <v>26</v>
      </c>
      <c r="R15" t="s">
        <v>27</v>
      </c>
    </row>
    <row r="16" spans="1:22" x14ac:dyDescent="0.2">
      <c r="E16" s="13"/>
      <c r="G16" s="14"/>
      <c r="H16" s="14"/>
      <c r="I16" s="14"/>
      <c r="J16" s="14"/>
    </row>
    <row r="17" spans="1:17" ht="34" customHeight="1" x14ac:dyDescent="0.2">
      <c r="D17" s="13" t="s">
        <v>68</v>
      </c>
      <c r="E17" s="13"/>
      <c r="F17" s="28">
        <v>50700000</v>
      </c>
      <c r="G17" s="14"/>
      <c r="H17" s="14"/>
      <c r="I17" s="14"/>
      <c r="J17" s="14"/>
      <c r="M17" s="29" t="s">
        <v>61</v>
      </c>
      <c r="P17" s="17"/>
    </row>
    <row r="18" spans="1:17" ht="25" customHeight="1" x14ac:dyDescent="0.2">
      <c r="D18" s="13" t="s">
        <v>67</v>
      </c>
      <c r="E18" s="13"/>
      <c r="F18" s="37">
        <v>0.15</v>
      </c>
      <c r="G18" s="14"/>
      <c r="H18" s="14"/>
      <c r="I18" s="14"/>
      <c r="J18" s="14"/>
      <c r="M18" s="53" t="s">
        <v>154</v>
      </c>
    </row>
    <row r="19" spans="1:17" ht="34" customHeight="1" x14ac:dyDescent="0.2">
      <c r="A19" s="13" t="s">
        <v>62</v>
      </c>
      <c r="D19" t="s">
        <v>18</v>
      </c>
      <c r="F19" s="38">
        <f>F17*F18</f>
        <v>7605000</v>
      </c>
      <c r="G19" s="19">
        <v>0</v>
      </c>
      <c r="H19" s="19">
        <v>0.1</v>
      </c>
      <c r="I19" s="19">
        <v>0.05</v>
      </c>
      <c r="J19" s="20">
        <v>43862</v>
      </c>
      <c r="K19" s="4"/>
      <c r="M19" s="36" t="s">
        <v>69</v>
      </c>
    </row>
    <row r="20" spans="1:17" ht="31" customHeight="1" x14ac:dyDescent="0.2">
      <c r="A20" s="13" t="s">
        <v>126</v>
      </c>
      <c r="D20" t="s">
        <v>18</v>
      </c>
      <c r="E20" s="13"/>
      <c r="F20" s="15">
        <v>42</v>
      </c>
      <c r="G20" s="19">
        <v>0</v>
      </c>
      <c r="H20" s="19">
        <v>0.1</v>
      </c>
      <c r="I20" s="19">
        <v>0.05</v>
      </c>
      <c r="J20" s="20">
        <v>44228</v>
      </c>
      <c r="K20" s="13" t="s">
        <v>60</v>
      </c>
      <c r="M20" s="29" t="s">
        <v>65</v>
      </c>
      <c r="P20" s="17"/>
    </row>
    <row r="21" spans="1:17" ht="35" customHeight="1" x14ac:dyDescent="0.2">
      <c r="A21" t="s">
        <v>40</v>
      </c>
      <c r="D21" t="s">
        <v>18</v>
      </c>
      <c r="F21" s="38">
        <v>1688000</v>
      </c>
      <c r="G21" s="19">
        <v>0</v>
      </c>
      <c r="H21" s="19">
        <v>0.1</v>
      </c>
      <c r="I21" s="19">
        <v>0.05</v>
      </c>
      <c r="J21" s="20">
        <v>44593</v>
      </c>
      <c r="K21" s="13" t="s">
        <v>56</v>
      </c>
      <c r="M21" s="30" t="s">
        <v>66</v>
      </c>
      <c r="N21" t="s">
        <v>139</v>
      </c>
      <c r="Q21" t="s">
        <v>41</v>
      </c>
    </row>
    <row r="22" spans="1:17" ht="16" x14ac:dyDescent="0.2">
      <c r="A22" t="s">
        <v>40</v>
      </c>
      <c r="B22" s="13" t="s">
        <v>57</v>
      </c>
      <c r="D22" t="s">
        <v>18</v>
      </c>
      <c r="F22" s="38">
        <v>911000</v>
      </c>
      <c r="G22" s="19">
        <v>0</v>
      </c>
      <c r="H22" s="19">
        <v>0.1</v>
      </c>
      <c r="I22" s="19">
        <v>0.05</v>
      </c>
      <c r="J22" s="20">
        <v>44593</v>
      </c>
      <c r="K22" s="13" t="s">
        <v>56</v>
      </c>
      <c r="M22" s="5"/>
      <c r="N22">
        <f>(F21-F22)/F21</f>
        <v>0.46030805687203791</v>
      </c>
    </row>
    <row r="23" spans="1:17" ht="48" x14ac:dyDescent="0.2">
      <c r="A23" t="s">
        <v>42</v>
      </c>
      <c r="D23" t="s">
        <v>18</v>
      </c>
      <c r="F23">
        <v>6.6023598758794488</v>
      </c>
      <c r="G23" s="19">
        <v>0</v>
      </c>
      <c r="H23" s="19">
        <v>0.1</v>
      </c>
      <c r="I23" s="19">
        <v>0.05</v>
      </c>
      <c r="J23" s="20">
        <v>44593</v>
      </c>
      <c r="K23" t="s">
        <v>43</v>
      </c>
      <c r="M23" s="5" t="s">
        <v>108</v>
      </c>
      <c r="N23">
        <f>F23-F24</f>
        <v>1.8025337767530933</v>
      </c>
      <c r="P23" s="17"/>
    </row>
    <row r="24" spans="1:17" x14ac:dyDescent="0.2">
      <c r="A24" t="s">
        <v>42</v>
      </c>
      <c r="B24" s="13" t="s">
        <v>57</v>
      </c>
      <c r="D24" t="s">
        <v>18</v>
      </c>
      <c r="F24">
        <v>4.7998260991263555</v>
      </c>
      <c r="G24" s="19">
        <v>0</v>
      </c>
      <c r="H24" s="19">
        <v>0.1</v>
      </c>
      <c r="I24" s="19">
        <v>0.05</v>
      </c>
      <c r="J24" s="20">
        <v>44593</v>
      </c>
      <c r="M24" s="5"/>
      <c r="N24">
        <f>N23/0.0276</f>
        <v>65.309194809894692</v>
      </c>
    </row>
    <row r="25" spans="1:17" x14ac:dyDescent="0.2">
      <c r="F25" s="14"/>
      <c r="G25" s="19"/>
      <c r="H25" s="19"/>
      <c r="I25" s="19"/>
      <c r="J25" s="20"/>
      <c r="M25" s="5"/>
      <c r="N25" s="52" t="s">
        <v>140</v>
      </c>
    </row>
    <row r="26" spans="1:17" x14ac:dyDescent="0.2">
      <c r="B26" s="13"/>
      <c r="F26" s="14"/>
      <c r="G26" s="19"/>
      <c r="H26" s="19"/>
      <c r="I26" s="19"/>
      <c r="J26" s="20"/>
      <c r="P26" s="17"/>
    </row>
    <row r="28" spans="1:17" x14ac:dyDescent="0.2">
      <c r="A28" s="47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13" t="s">
        <v>83</v>
      </c>
    </row>
    <row r="29" spans="1:17" x14ac:dyDescent="0.2">
      <c r="A29" s="13"/>
      <c r="E29" s="13" t="s">
        <v>71</v>
      </c>
      <c r="F29" s="39">
        <f>F19*F20*60</f>
        <v>19164600000</v>
      </c>
      <c r="G29" t="s">
        <v>70</v>
      </c>
      <c r="J29" s="40" t="s">
        <v>78</v>
      </c>
      <c r="K29">
        <v>469.40175416605479</v>
      </c>
      <c r="P29" s="17"/>
    </row>
    <row r="30" spans="1:17" x14ac:dyDescent="0.2">
      <c r="A30" s="13"/>
      <c r="E30" s="13" t="s">
        <v>72</v>
      </c>
      <c r="F30" s="39">
        <f>F29*365/12</f>
        <v>582923250000</v>
      </c>
      <c r="G30" t="s">
        <v>70</v>
      </c>
      <c r="J30" s="40" t="s">
        <v>79</v>
      </c>
      <c r="K30">
        <v>9857.4368374871538</v>
      </c>
    </row>
    <row r="31" spans="1:17" x14ac:dyDescent="0.2">
      <c r="A31" s="13"/>
      <c r="D31">
        <v>1080</v>
      </c>
      <c r="J31" s="40" t="s">
        <v>80</v>
      </c>
      <c r="K31">
        <v>6720.6160710000004</v>
      </c>
    </row>
    <row r="32" spans="1:17" x14ac:dyDescent="0.2">
      <c r="E32" s="13" t="s">
        <v>73</v>
      </c>
      <c r="F32" s="39">
        <f>F30*F23</f>
        <v>3848669076517.2451</v>
      </c>
      <c r="G32" s="13" t="s">
        <v>75</v>
      </c>
      <c r="J32" s="40" t="s">
        <v>81</v>
      </c>
      <c r="K32">
        <v>4316.8420481675757</v>
      </c>
      <c r="P32" s="17"/>
    </row>
    <row r="33" spans="1:16" x14ac:dyDescent="0.2">
      <c r="A33" s="13"/>
      <c r="E33" s="13"/>
      <c r="F33" s="39">
        <f>F32/3600000</f>
        <v>1069074.7434770125</v>
      </c>
      <c r="G33" s="13" t="s">
        <v>76</v>
      </c>
      <c r="J33" s="40" t="s">
        <v>82</v>
      </c>
      <c r="K33">
        <v>876222.86509401642</v>
      </c>
      <c r="L33" s="39">
        <f>K33/F33</f>
        <v>0.81960861056751466</v>
      </c>
    </row>
    <row r="34" spans="1:16" x14ac:dyDescent="0.2">
      <c r="E34" s="13" t="s">
        <v>74</v>
      </c>
      <c r="F34" s="39">
        <f>F33*F14</f>
        <v>421215448.92994291</v>
      </c>
      <c r="G34" s="13" t="s">
        <v>77</v>
      </c>
    </row>
    <row r="35" spans="1:16" x14ac:dyDescent="0.2">
      <c r="P35" s="17"/>
    </row>
    <row r="36" spans="1:16" x14ac:dyDescent="0.2">
      <c r="E36" s="13" t="s">
        <v>84</v>
      </c>
      <c r="F36" s="39">
        <f>F21*F30</f>
        <v>9.83974446E+17</v>
      </c>
      <c r="G36" s="13" t="s">
        <v>85</v>
      </c>
    </row>
    <row r="37" spans="1:16" x14ac:dyDescent="0.2">
      <c r="F37" s="39">
        <f>F36/1000000</f>
        <v>983974446000</v>
      </c>
      <c r="G37" s="13" t="s">
        <v>86</v>
      </c>
    </row>
    <row r="38" spans="1:16" x14ac:dyDescent="0.2">
      <c r="E38" s="13" t="s">
        <v>87</v>
      </c>
      <c r="F38" s="39">
        <f>F37*F10</f>
        <v>19679488920</v>
      </c>
      <c r="G38" s="13" t="s">
        <v>88</v>
      </c>
      <c r="P38" s="17"/>
    </row>
    <row r="39" spans="1:16" x14ac:dyDescent="0.2">
      <c r="F39" s="39">
        <f>F38/3600000</f>
        <v>5466.5246999999999</v>
      </c>
      <c r="G39" s="13" t="s">
        <v>76</v>
      </c>
    </row>
    <row r="41" spans="1:16" x14ac:dyDescent="0.2">
      <c r="P41" s="17"/>
    </row>
    <row r="47" spans="1:16" x14ac:dyDescent="0.2">
      <c r="K47" t="s">
        <v>141</v>
      </c>
      <c r="L47">
        <v>30</v>
      </c>
      <c r="M47" t="s">
        <v>142</v>
      </c>
    </row>
    <row r="49" spans="10:13" x14ac:dyDescent="0.2">
      <c r="K49" t="s">
        <v>143</v>
      </c>
      <c r="L49">
        <v>0.06</v>
      </c>
      <c r="M49" t="s">
        <v>144</v>
      </c>
    </row>
    <row r="50" spans="10:13" x14ac:dyDescent="0.2">
      <c r="K50" t="s">
        <v>151</v>
      </c>
      <c r="L50">
        <v>0.06</v>
      </c>
      <c r="M50" t="s">
        <v>43</v>
      </c>
    </row>
    <row r="52" spans="10:13" x14ac:dyDescent="0.2">
      <c r="J52" t="s">
        <v>145</v>
      </c>
      <c r="K52" t="s">
        <v>40</v>
      </c>
      <c r="L52">
        <v>7500</v>
      </c>
      <c r="M52" t="s">
        <v>146</v>
      </c>
    </row>
    <row r="53" spans="10:13" x14ac:dyDescent="0.2">
      <c r="K53" t="s">
        <v>147</v>
      </c>
      <c r="L53">
        <v>3600</v>
      </c>
      <c r="M53" t="s">
        <v>148</v>
      </c>
    </row>
    <row r="54" spans="10:13" x14ac:dyDescent="0.2">
      <c r="K54" t="s">
        <v>149</v>
      </c>
      <c r="L54">
        <f>L53*L52*1000</f>
        <v>27000000000</v>
      </c>
      <c r="M54" t="s">
        <v>150</v>
      </c>
    </row>
    <row r="56" spans="10:13" x14ac:dyDescent="0.2">
      <c r="K56" t="s">
        <v>152</v>
      </c>
      <c r="L56">
        <f>L50/L54</f>
        <v>2.222222222222222E-12</v>
      </c>
      <c r="M56" t="s">
        <v>153</v>
      </c>
    </row>
    <row r="57" spans="10:13" x14ac:dyDescent="0.2">
      <c r="L57">
        <f>L56*1000000000</f>
        <v>2.2222222222222218E-3</v>
      </c>
      <c r="M57" t="s">
        <v>142</v>
      </c>
    </row>
  </sheetData>
  <hyperlinks>
    <hyperlink ref="Q12" r:id="rId1" xr:uid="{9457789D-A2B4-684F-8723-371AC82363FD}"/>
    <hyperlink ref="Q6" r:id="rId2" xr:uid="{770F17AD-6F52-D749-93D4-3560E5A28FFE}"/>
    <hyperlink ref="M14" r:id="rId3" display="https://github.com/carbon-intensity/methodology/raw/master/Carbon%20Intensity%20Forecast%20Methodology.pdf" xr:uid="{F9266DB3-7397-8F48-83F2-55D825A1A6CA}"/>
    <hyperlink ref="M20" r:id="rId4" xr:uid="{13F557E0-5A18-8140-A2C7-150350381894}"/>
    <hyperlink ref="M17" r:id="rId5" display="https://www.barb.co.uk/viewing-data/total-identified-viewing-summary/_x000a__x000a_Ofcom finds the viewing time has remained largely similar since pandemic ()" xr:uid="{78A7B747-76E0-D749-A511-4A5793808055}"/>
    <hyperlink ref="M18" r:id="rId6" xr:uid="{3A3EDA19-6F7F-2B4B-BD04-E37AF44B0EAA}"/>
    <hyperlink ref="M12" r:id="rId7" xr:uid="{9831A1D9-2E54-E24C-A8A5-B6FF3B97EE2D}"/>
    <hyperlink ref="M3" r:id="rId8" display="https://ieeexplore.ieee.org/stamp/stamp.jsp?tp=&amp;arnumber=7511356" xr:uid="{DEDDA21B-96C0-1849-AF53-3438B0E54F57}"/>
  </hyperlinks>
  <pageMargins left="0.7" right="0.7" top="0.75" bottom="0.75" header="0.51180555555555496" footer="0.51180555555555496"/>
  <pageSetup paperSize="9" firstPageNumber="0" orientation="portrait" horizontalDpi="300" verticalDpi="300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503C-9F3D-8F45-B74A-257932BFB632}">
  <dimension ref="A1:F25"/>
  <sheetViews>
    <sheetView workbookViewId="0">
      <selection activeCell="C2" sqref="C2:C25"/>
    </sheetView>
  </sheetViews>
  <sheetFormatPr baseColWidth="10" defaultRowHeight="15" x14ac:dyDescent="0.2"/>
  <sheetData>
    <row r="1" spans="1:6" x14ac:dyDescent="0.2">
      <c r="A1" t="s">
        <v>109</v>
      </c>
      <c r="B1" t="s">
        <v>1</v>
      </c>
      <c r="C1" t="s">
        <v>5</v>
      </c>
      <c r="D1" t="s">
        <v>6</v>
      </c>
      <c r="E1" t="s">
        <v>7</v>
      </c>
      <c r="F1" s="6" t="s">
        <v>8</v>
      </c>
    </row>
    <row r="2" spans="1:6" ht="16" x14ac:dyDescent="0.2">
      <c r="A2" s="48" t="s">
        <v>127</v>
      </c>
      <c r="C2">
        <v>1.4168554229999999</v>
      </c>
    </row>
    <row r="3" spans="1:6" ht="16" x14ac:dyDescent="0.2">
      <c r="A3" s="48" t="s">
        <v>128</v>
      </c>
      <c r="C3">
        <v>0.63783970300000004</v>
      </c>
    </row>
    <row r="4" spans="1:6" ht="16" x14ac:dyDescent="0.2">
      <c r="A4" s="48" t="s">
        <v>129</v>
      </c>
      <c r="C4">
        <v>0.37404512000000001</v>
      </c>
    </row>
    <row r="5" spans="1:6" ht="16" x14ac:dyDescent="0.2">
      <c r="A5" s="48" t="s">
        <v>130</v>
      </c>
      <c r="C5">
        <v>0.31920586299999998</v>
      </c>
    </row>
    <row r="6" spans="1:6" ht="16" x14ac:dyDescent="0.2">
      <c r="A6" s="48" t="s">
        <v>131</v>
      </c>
      <c r="C6">
        <v>0.26436660499999998</v>
      </c>
    </row>
    <row r="7" spans="1:6" ht="16" x14ac:dyDescent="0.2">
      <c r="A7" s="48" t="s">
        <v>132</v>
      </c>
      <c r="C7">
        <v>0.29876190600000002</v>
      </c>
    </row>
    <row r="8" spans="1:6" ht="16" x14ac:dyDescent="0.2">
      <c r="A8" s="48" t="s">
        <v>133</v>
      </c>
      <c r="C8">
        <v>0.86660710100000005</v>
      </c>
    </row>
    <row r="9" spans="1:6" ht="16" x14ac:dyDescent="0.2">
      <c r="A9" s="48" t="s">
        <v>134</v>
      </c>
      <c r="C9">
        <v>1.514157964</v>
      </c>
    </row>
    <row r="10" spans="1:6" ht="16" x14ac:dyDescent="0.2">
      <c r="A10" s="48" t="s">
        <v>135</v>
      </c>
      <c r="C10">
        <v>1.7012569230000001</v>
      </c>
    </row>
    <row r="11" spans="1:6" ht="16" x14ac:dyDescent="0.2">
      <c r="A11" s="48" t="s">
        <v>136</v>
      </c>
      <c r="C11">
        <v>1.6595511620000001</v>
      </c>
    </row>
    <row r="12" spans="1:6" ht="16" x14ac:dyDescent="0.2">
      <c r="A12" s="48" t="s">
        <v>110</v>
      </c>
      <c r="C12">
        <v>1.5244268249999999</v>
      </c>
    </row>
    <row r="13" spans="1:6" ht="16" x14ac:dyDescent="0.2">
      <c r="A13" s="48" t="s">
        <v>111</v>
      </c>
      <c r="C13">
        <v>1.448150056</v>
      </c>
    </row>
    <row r="14" spans="1:6" ht="16" x14ac:dyDescent="0.2">
      <c r="A14" s="48" t="s">
        <v>112</v>
      </c>
      <c r="C14">
        <v>1.575906287</v>
      </c>
    </row>
    <row r="15" spans="1:6" ht="16" x14ac:dyDescent="0.2">
      <c r="A15" s="48" t="s">
        <v>113</v>
      </c>
      <c r="C15">
        <v>1.7089537189999999</v>
      </c>
    </row>
    <row r="16" spans="1:6" ht="16" x14ac:dyDescent="0.2">
      <c r="A16" s="48" t="s">
        <v>114</v>
      </c>
      <c r="C16">
        <v>1.593198581</v>
      </c>
    </row>
    <row r="17" spans="1:3" ht="16" x14ac:dyDescent="0.2">
      <c r="A17" s="48" t="s">
        <v>115</v>
      </c>
      <c r="C17">
        <v>1.802996974</v>
      </c>
    </row>
    <row r="18" spans="1:3" ht="16" x14ac:dyDescent="0.2">
      <c r="A18" s="48" t="s">
        <v>116</v>
      </c>
      <c r="C18">
        <v>2.169305574</v>
      </c>
    </row>
    <row r="19" spans="1:3" ht="16" x14ac:dyDescent="0.2">
      <c r="A19" s="48" t="s">
        <v>117</v>
      </c>
      <c r="C19">
        <v>2.535614174</v>
      </c>
    </row>
    <row r="20" spans="1:3" ht="16" x14ac:dyDescent="0.2">
      <c r="A20" s="48" t="s">
        <v>118</v>
      </c>
      <c r="C20">
        <v>2.9019227750000001</v>
      </c>
    </row>
    <row r="21" spans="1:3" ht="16" x14ac:dyDescent="0.2">
      <c r="A21" s="48" t="s">
        <v>119</v>
      </c>
      <c r="C21">
        <v>3.188140942</v>
      </c>
    </row>
    <row r="22" spans="1:3" ht="16" x14ac:dyDescent="0.2">
      <c r="A22" s="48" t="s">
        <v>120</v>
      </c>
      <c r="C22">
        <v>3.4647006999999999</v>
      </c>
    </row>
    <row r="23" spans="1:3" ht="16" x14ac:dyDescent="0.2">
      <c r="A23" s="48" t="s">
        <v>121</v>
      </c>
      <c r="C23">
        <v>3.4224707250000002</v>
      </c>
    </row>
    <row r="24" spans="1:3" ht="16" x14ac:dyDescent="0.2">
      <c r="A24" s="48" t="s">
        <v>122</v>
      </c>
      <c r="C24">
        <v>3.5257825880000002</v>
      </c>
    </row>
    <row r="25" spans="1:3" ht="16" x14ac:dyDescent="0.2">
      <c r="A25" s="48" t="s">
        <v>123</v>
      </c>
      <c r="C25">
        <v>3.0857823099999999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4CB5-69F6-F447-81D4-FE2367EAF2AB}">
  <dimension ref="A1:S26"/>
  <sheetViews>
    <sheetView tabSelected="1" workbookViewId="0">
      <selection activeCell="G16" sqref="G16"/>
    </sheetView>
  </sheetViews>
  <sheetFormatPr baseColWidth="10" defaultRowHeight="15" x14ac:dyDescent="0.2"/>
  <sheetData>
    <row r="1" spans="1:19" x14ac:dyDescent="0.2">
      <c r="A1" t="s">
        <v>109</v>
      </c>
      <c r="B1" t="s">
        <v>1</v>
      </c>
      <c r="C1" t="s">
        <v>5</v>
      </c>
      <c r="D1" t="s">
        <v>6</v>
      </c>
      <c r="E1" t="s">
        <v>7</v>
      </c>
      <c r="F1" s="6" t="s">
        <v>8</v>
      </c>
      <c r="G1" s="6"/>
      <c r="M1" t="s">
        <v>155</v>
      </c>
      <c r="R1" t="s">
        <v>165</v>
      </c>
    </row>
    <row r="2" spans="1:19" ht="16" x14ac:dyDescent="0.2">
      <c r="A2" s="48" t="s">
        <v>127</v>
      </c>
      <c r="B2" s="43"/>
      <c r="C2" cm="1">
        <f t="array" ref="C2:C25">S2:S25</f>
        <v>280</v>
      </c>
      <c r="M2">
        <v>0.27255205500000002</v>
      </c>
      <c r="N2">
        <f>M2*1000</f>
        <v>272.552055</v>
      </c>
      <c r="P2" s="43">
        <v>161.8295019</v>
      </c>
      <c r="R2">
        <v>0.28000000000000003</v>
      </c>
      <c r="S2">
        <f>R2*1000</f>
        <v>280</v>
      </c>
    </row>
    <row r="3" spans="1:19" ht="16" x14ac:dyDescent="0.2">
      <c r="A3" s="48" t="s">
        <v>128</v>
      </c>
      <c r="C3">
        <v>408</v>
      </c>
      <c r="M3">
        <v>0.26600684899999999</v>
      </c>
      <c r="N3">
        <f>M3*1000</f>
        <v>266.00684899999999</v>
      </c>
      <c r="P3" s="43">
        <v>160.9808429</v>
      </c>
      <c r="R3">
        <v>0.40799999999999997</v>
      </c>
      <c r="S3">
        <f t="shared" ref="S3:S25" si="0">R3*1000</f>
        <v>408</v>
      </c>
    </row>
    <row r="4" spans="1:19" ht="16" x14ac:dyDescent="0.2">
      <c r="A4" s="48" t="s">
        <v>129</v>
      </c>
      <c r="C4">
        <v>232</v>
      </c>
      <c r="M4">
        <v>0.24877260300000001</v>
      </c>
      <c r="N4">
        <f>M4*1000</f>
        <v>248.772603</v>
      </c>
      <c r="P4" s="43">
        <v>159.10153260000001</v>
      </c>
      <c r="R4">
        <v>0.23200000000000001</v>
      </c>
      <c r="S4">
        <f t="shared" si="0"/>
        <v>232</v>
      </c>
    </row>
    <row r="5" spans="1:19" ht="16" x14ac:dyDescent="0.2">
      <c r="A5" s="48" t="s">
        <v>130</v>
      </c>
      <c r="C5">
        <v>190</v>
      </c>
      <c r="M5">
        <v>0.24897123300000001</v>
      </c>
      <c r="N5">
        <f>M5*1000</f>
        <v>248.97123300000001</v>
      </c>
      <c r="P5" s="43">
        <v>158.9961686</v>
      </c>
      <c r="R5">
        <v>0.19</v>
      </c>
      <c r="S5">
        <f t="shared" si="0"/>
        <v>190</v>
      </c>
    </row>
    <row r="6" spans="1:19" ht="16" x14ac:dyDescent="0.2">
      <c r="A6" s="48" t="s">
        <v>131</v>
      </c>
      <c r="C6">
        <v>195</v>
      </c>
      <c r="M6">
        <v>0.28523698600000003</v>
      </c>
      <c r="N6">
        <f>M6*1000</f>
        <v>285.236986</v>
      </c>
      <c r="P6" s="43">
        <v>163.4291188</v>
      </c>
      <c r="R6">
        <v>0.19500000000000001</v>
      </c>
      <c r="S6">
        <f t="shared" si="0"/>
        <v>195</v>
      </c>
    </row>
    <row r="7" spans="1:19" ht="16" x14ac:dyDescent="0.2">
      <c r="A7" s="48" t="s">
        <v>132</v>
      </c>
      <c r="C7">
        <v>333</v>
      </c>
      <c r="M7">
        <v>0.334458904</v>
      </c>
      <c r="N7">
        <f>M7*1000</f>
        <v>334.45890400000002</v>
      </c>
      <c r="P7" s="43">
        <v>177.37931029999999</v>
      </c>
      <c r="R7">
        <v>0.33300000000000002</v>
      </c>
      <c r="S7">
        <f t="shared" si="0"/>
        <v>333</v>
      </c>
    </row>
    <row r="8" spans="1:19" ht="16" x14ac:dyDescent="0.2">
      <c r="A8" s="48" t="s">
        <v>133</v>
      </c>
      <c r="C8">
        <v>416</v>
      </c>
      <c r="M8">
        <v>0.33444383599999999</v>
      </c>
      <c r="N8">
        <f>M8*1000</f>
        <v>334.44383599999998</v>
      </c>
      <c r="P8" s="43">
        <v>194.62068970000001</v>
      </c>
      <c r="R8">
        <v>0.41599999999999998</v>
      </c>
      <c r="S8">
        <f t="shared" si="0"/>
        <v>416</v>
      </c>
    </row>
    <row r="9" spans="1:19" ht="16" x14ac:dyDescent="0.2">
      <c r="A9" s="48" t="s">
        <v>134</v>
      </c>
      <c r="C9">
        <v>395</v>
      </c>
      <c r="M9">
        <v>0.239157534</v>
      </c>
      <c r="N9">
        <f>M9*1000</f>
        <v>239.157534</v>
      </c>
      <c r="P9" s="43">
        <v>202.58237550000001</v>
      </c>
      <c r="R9">
        <v>0.39500000000000002</v>
      </c>
      <c r="S9">
        <f t="shared" si="0"/>
        <v>395</v>
      </c>
    </row>
    <row r="10" spans="1:19" ht="16" x14ac:dyDescent="0.2">
      <c r="A10" s="48" t="s">
        <v>135</v>
      </c>
      <c r="C10">
        <v>224</v>
      </c>
      <c r="M10">
        <v>0.151635616</v>
      </c>
      <c r="N10">
        <f>M10*1000</f>
        <v>151.635616</v>
      </c>
      <c r="P10" s="43">
        <v>200.98659000000001</v>
      </c>
      <c r="R10">
        <v>0.224</v>
      </c>
      <c r="S10">
        <f t="shared" si="0"/>
        <v>224</v>
      </c>
    </row>
    <row r="11" spans="1:19" ht="16" x14ac:dyDescent="0.2">
      <c r="A11" s="48" t="s">
        <v>136</v>
      </c>
      <c r="C11">
        <v>162</v>
      </c>
      <c r="M11">
        <v>0.10239588999999999</v>
      </c>
      <c r="N11">
        <f>M11*1000</f>
        <v>102.39588999999999</v>
      </c>
      <c r="P11" s="43">
        <v>196.61111109999999</v>
      </c>
      <c r="R11">
        <v>0.16200000000000001</v>
      </c>
      <c r="S11">
        <f t="shared" si="0"/>
        <v>162</v>
      </c>
    </row>
    <row r="12" spans="1:19" ht="16" x14ac:dyDescent="0.2">
      <c r="A12" s="48" t="s">
        <v>110</v>
      </c>
      <c r="C12">
        <v>309</v>
      </c>
      <c r="M12">
        <v>0.118893151</v>
      </c>
      <c r="N12">
        <f>M12*1000</f>
        <v>118.893151</v>
      </c>
      <c r="P12" s="43">
        <v>191.38505749999999</v>
      </c>
      <c r="R12">
        <v>0.309</v>
      </c>
      <c r="S12">
        <f t="shared" si="0"/>
        <v>309</v>
      </c>
    </row>
    <row r="13" spans="1:19" ht="16" x14ac:dyDescent="0.2">
      <c r="A13" s="48" t="s">
        <v>111</v>
      </c>
      <c r="C13">
        <v>253</v>
      </c>
      <c r="M13">
        <v>0.148576712</v>
      </c>
      <c r="N13">
        <f>M13*1000</f>
        <v>148.57671199999999</v>
      </c>
      <c r="P13" s="43">
        <v>188.39463599999999</v>
      </c>
      <c r="R13">
        <v>0.253</v>
      </c>
      <c r="S13">
        <f t="shared" si="0"/>
        <v>253</v>
      </c>
    </row>
    <row r="14" spans="1:19" ht="16" x14ac:dyDescent="0.2">
      <c r="A14" s="48" t="s">
        <v>112</v>
      </c>
      <c r="C14">
        <v>281</v>
      </c>
      <c r="M14">
        <v>0.202276712</v>
      </c>
      <c r="N14">
        <f>M14*1000</f>
        <v>202.276712</v>
      </c>
      <c r="P14" s="43">
        <v>186.1896552</v>
      </c>
      <c r="R14">
        <v>0.28100000000000003</v>
      </c>
      <c r="S14">
        <f t="shared" si="0"/>
        <v>281</v>
      </c>
    </row>
    <row r="15" spans="1:19" ht="16" x14ac:dyDescent="0.2">
      <c r="A15" s="48" t="s">
        <v>113</v>
      </c>
      <c r="C15">
        <v>188</v>
      </c>
      <c r="M15">
        <v>0.15460137000000002</v>
      </c>
      <c r="N15">
        <f>M15*1000</f>
        <v>154.60137</v>
      </c>
      <c r="P15" s="43">
        <v>185.6743295</v>
      </c>
      <c r="R15">
        <v>0.188</v>
      </c>
      <c r="S15">
        <f t="shared" si="0"/>
        <v>188</v>
      </c>
    </row>
    <row r="16" spans="1:19" ht="16" x14ac:dyDescent="0.2">
      <c r="A16" s="48" t="s">
        <v>114</v>
      </c>
      <c r="C16">
        <v>32</v>
      </c>
      <c r="M16">
        <v>0.124071233</v>
      </c>
      <c r="N16">
        <f>M16*1000</f>
        <v>124.07123300000001</v>
      </c>
      <c r="P16" s="43">
        <v>189.98659000000001</v>
      </c>
      <c r="R16">
        <v>3.2000000000000001E-2</v>
      </c>
      <c r="S16">
        <f t="shared" si="0"/>
        <v>32</v>
      </c>
    </row>
    <row r="17" spans="1:19" ht="16" x14ac:dyDescent="0.2">
      <c r="A17" s="48" t="s">
        <v>115</v>
      </c>
      <c r="C17">
        <v>259</v>
      </c>
      <c r="M17">
        <v>0.208646575</v>
      </c>
      <c r="N17">
        <f>M17*1000</f>
        <v>208.64657500000001</v>
      </c>
      <c r="P17" s="43">
        <v>198.83716480000001</v>
      </c>
      <c r="R17">
        <v>0.25900000000000001</v>
      </c>
      <c r="S17">
        <f t="shared" si="0"/>
        <v>259</v>
      </c>
    </row>
    <row r="18" spans="1:19" ht="16" x14ac:dyDescent="0.2">
      <c r="A18" s="48" t="s">
        <v>116</v>
      </c>
      <c r="C18">
        <v>417</v>
      </c>
      <c r="M18">
        <v>0.177216438</v>
      </c>
      <c r="N18">
        <f>M18*1000</f>
        <v>177.21643800000001</v>
      </c>
      <c r="P18" s="43">
        <v>206.66666670000001</v>
      </c>
      <c r="R18">
        <v>0.41699999999999998</v>
      </c>
      <c r="S18">
        <f t="shared" si="0"/>
        <v>417</v>
      </c>
    </row>
    <row r="19" spans="1:19" ht="16" x14ac:dyDescent="0.2">
      <c r="A19" s="48" t="s">
        <v>117</v>
      </c>
      <c r="C19">
        <v>258</v>
      </c>
      <c r="M19">
        <v>0.121783562</v>
      </c>
      <c r="N19">
        <f>M19*1000</f>
        <v>121.783562</v>
      </c>
      <c r="P19" s="43">
        <v>211.86973180000001</v>
      </c>
      <c r="R19">
        <v>0.25800000000000001</v>
      </c>
      <c r="S19">
        <f t="shared" si="0"/>
        <v>258</v>
      </c>
    </row>
    <row r="20" spans="1:19" ht="16" x14ac:dyDescent="0.2">
      <c r="A20" s="48" t="s">
        <v>118</v>
      </c>
      <c r="C20">
        <v>245</v>
      </c>
      <c r="M20">
        <v>0.147079452</v>
      </c>
      <c r="N20">
        <f>M20*1000</f>
        <v>147.079452</v>
      </c>
      <c r="P20" s="43">
        <v>215.1091954</v>
      </c>
      <c r="R20">
        <v>0.245</v>
      </c>
      <c r="S20">
        <f t="shared" si="0"/>
        <v>245</v>
      </c>
    </row>
    <row r="21" spans="1:19" ht="16" x14ac:dyDescent="0.2">
      <c r="A21" s="48" t="s">
        <v>119</v>
      </c>
      <c r="C21">
        <v>248</v>
      </c>
      <c r="M21">
        <v>0.175157534</v>
      </c>
      <c r="N21">
        <f>M21*1000</f>
        <v>175.157534</v>
      </c>
      <c r="P21" s="43">
        <v>216.75287359999999</v>
      </c>
      <c r="R21">
        <v>0.248</v>
      </c>
      <c r="S21">
        <f t="shared" si="0"/>
        <v>248</v>
      </c>
    </row>
    <row r="22" spans="1:19" ht="16" x14ac:dyDescent="0.2">
      <c r="A22" s="48" t="s">
        <v>120</v>
      </c>
      <c r="C22">
        <v>340</v>
      </c>
      <c r="M22">
        <v>0.29710000000000003</v>
      </c>
      <c r="N22">
        <f>M22*1000</f>
        <v>297.10000000000002</v>
      </c>
      <c r="P22" s="43">
        <v>211.82183910000001</v>
      </c>
      <c r="R22">
        <v>0.34</v>
      </c>
      <c r="S22">
        <f t="shared" si="0"/>
        <v>340</v>
      </c>
    </row>
    <row r="23" spans="1:19" ht="16" x14ac:dyDescent="0.2">
      <c r="A23" s="48" t="s">
        <v>121</v>
      </c>
      <c r="C23">
        <v>507</v>
      </c>
      <c r="M23">
        <v>0.37654520499999999</v>
      </c>
      <c r="N23">
        <f>M23*1000</f>
        <v>376.54520500000001</v>
      </c>
      <c r="P23" s="43">
        <v>198.18773949999999</v>
      </c>
      <c r="R23">
        <v>0.50700000000000001</v>
      </c>
      <c r="S23">
        <f t="shared" si="0"/>
        <v>507</v>
      </c>
    </row>
    <row r="24" spans="1:19" ht="16" x14ac:dyDescent="0.2">
      <c r="A24" s="48" t="s">
        <v>122</v>
      </c>
      <c r="C24">
        <v>359</v>
      </c>
      <c r="M24">
        <v>0.38226712300000004</v>
      </c>
      <c r="N24">
        <f>M24*1000</f>
        <v>382.26712300000003</v>
      </c>
      <c r="P24" s="43">
        <v>180.302682</v>
      </c>
      <c r="R24">
        <v>0.35899999999999999</v>
      </c>
      <c r="S24">
        <f t="shared" si="0"/>
        <v>359</v>
      </c>
    </row>
    <row r="25" spans="1:19" ht="16" x14ac:dyDescent="0.2">
      <c r="A25" s="48" t="s">
        <v>123</v>
      </c>
      <c r="C25">
        <v>326</v>
      </c>
      <c r="M25">
        <v>0.36048767099999995</v>
      </c>
      <c r="N25">
        <f>M25*1000</f>
        <v>360.48767099999998</v>
      </c>
      <c r="P25" s="43">
        <v>166.66091950000001</v>
      </c>
      <c r="R25">
        <v>0.32600000000000001</v>
      </c>
      <c r="S25">
        <f t="shared" si="0"/>
        <v>326</v>
      </c>
    </row>
    <row r="26" spans="1:19" ht="16" x14ac:dyDescent="0.2">
      <c r="A26" s="4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771D-6F80-F045-B144-615B3F88F36B}">
  <dimension ref="A1:F38"/>
  <sheetViews>
    <sheetView workbookViewId="0">
      <selection activeCell="F17" sqref="A1:F17"/>
    </sheetView>
  </sheetViews>
  <sheetFormatPr baseColWidth="10" defaultRowHeight="15" x14ac:dyDescent="0.2"/>
  <sheetData>
    <row r="1" spans="1:6" x14ac:dyDescent="0.2">
      <c r="A1" s="13" t="s">
        <v>161</v>
      </c>
      <c r="B1" t="s">
        <v>162</v>
      </c>
      <c r="C1" t="s">
        <v>163</v>
      </c>
      <c r="D1" t="s">
        <v>9</v>
      </c>
      <c r="E1" t="s">
        <v>164</v>
      </c>
      <c r="F1" t="s">
        <v>13</v>
      </c>
    </row>
    <row r="2" spans="1:6" x14ac:dyDescent="0.2">
      <c r="D2" s="27"/>
    </row>
    <row r="3" spans="1:6" x14ac:dyDescent="0.2">
      <c r="A3" t="str">
        <f>params!A6</f>
        <v>I_Tx</v>
      </c>
      <c r="B3">
        <f>params!F6</f>
        <v>13.5</v>
      </c>
      <c r="C3" t="str">
        <f>params!K6</f>
        <v>J/gigabit</v>
      </c>
      <c r="D3" s="27">
        <f>params!J6</f>
        <v>44562</v>
      </c>
      <c r="E3" t="str">
        <f>params!M6</f>
        <v>OpenConnect Appliances. https://openconnect.netflix.com/en_gb/appliances/ - lists ideal energy intensity values during full utilisation. From the list of appliances we calculate the marginal energy intensity, assuming 40% base power and PUE of 1.5. Cautiously select the least energy efficient one (9J/Gb).</v>
      </c>
    </row>
    <row r="4" spans="1:6" x14ac:dyDescent="0.2">
      <c r="D4" s="27"/>
    </row>
    <row r="5" spans="1:6" x14ac:dyDescent="0.2">
      <c r="A5" t="str">
        <f>params!A8</f>
        <v>I_Core</v>
      </c>
      <c r="B5">
        <f>params!F8</f>
        <v>0.03</v>
      </c>
      <c r="C5" t="str">
        <f>params!K8</f>
        <v>J/megabit</v>
      </c>
      <c r="D5" s="27">
        <f>params!J8</f>
        <v>43983</v>
      </c>
      <c r="E5" t="str">
        <f>params!M8</f>
        <v>The power consumption of mobile and fixed network data services - The case of streaming video and downloading large files</v>
      </c>
    </row>
    <row r="6" spans="1:6" x14ac:dyDescent="0.2">
      <c r="D6" s="27"/>
    </row>
    <row r="7" spans="1:6" x14ac:dyDescent="0.2">
      <c r="A7" t="str">
        <f>params!A10</f>
        <v>I_Acc</v>
      </c>
      <c r="B7">
        <f>params!F10</f>
        <v>0.02</v>
      </c>
      <c r="C7" t="str">
        <f>params!K10</f>
        <v>J/megabit</v>
      </c>
      <c r="D7" s="27">
        <f>params!J10</f>
        <v>43831</v>
      </c>
      <c r="E7" t="str">
        <f>params!M10</f>
        <v>The power consumption of mobile and fixed network data services - The case of streaming video and downloading large files</v>
      </c>
    </row>
    <row r="8" spans="1:6" x14ac:dyDescent="0.2">
      <c r="D8" s="27"/>
    </row>
    <row r="9" spans="1:6" x14ac:dyDescent="0.2">
      <c r="A9" t="str">
        <f>params!A12</f>
        <v>cachemiss_rate</v>
      </c>
      <c r="B9">
        <f>params!F12</f>
        <v>0.3</v>
      </c>
      <c r="C9">
        <f>params!K12</f>
        <v>0</v>
      </c>
      <c r="D9" s="27">
        <f>params!J12</f>
        <v>43831</v>
      </c>
      <c r="E9" t="str">
        <f>params!M12</f>
        <v>https://support.google.com/interconnect/answer/9058809?hl=en</v>
      </c>
    </row>
    <row r="10" spans="1:6" x14ac:dyDescent="0.2">
      <c r="D10" s="27"/>
    </row>
    <row r="11" spans="1:6" x14ac:dyDescent="0.2">
      <c r="A11" t="str">
        <f>params!A14</f>
        <v>carbon_intensity</v>
      </c>
      <c r="B11">
        <f>params!F14</f>
        <v>394</v>
      </c>
      <c r="C11" t="str">
        <f>params!K14</f>
        <v>g/kWh</v>
      </c>
      <c r="D11" s="27">
        <f>params!J14</f>
        <v>43831</v>
      </c>
      <c r="E11" t="str">
        <f>params!M14</f>
        <v>Combined Cycle Gas. -https://github.com/carbon-intensity/methodology/raw/master/Carbon%20Intensity%20Forecast%20Methodology.pdf</v>
      </c>
    </row>
    <row r="12" spans="1:6" x14ac:dyDescent="0.2">
      <c r="D12" s="27"/>
    </row>
    <row r="13" spans="1:6" x14ac:dyDescent="0.2">
      <c r="D13" s="27"/>
    </row>
    <row r="14" spans="1:6" x14ac:dyDescent="0.2">
      <c r="A14" t="str">
        <f>params!A19</f>
        <v>daily_audience</v>
      </c>
      <c r="B14">
        <f>params!F17</f>
        <v>50700000</v>
      </c>
      <c r="C14">
        <f>params!K19</f>
        <v>0</v>
      </c>
      <c r="D14" s="27">
        <f>params!J19</f>
        <v>43862</v>
      </c>
      <c r="E14" t="str">
        <f>params!M17</f>
        <v>https://www.barb.co.uk/viewing-data/total-identified-viewing-summary/
Ofcom finds the viewing time has remained largely similar since pandemic (https://www.ofcom.org.uk/__data/assets/pdf_file/0016/242701/media-nations-report-2022.pdf)</v>
      </c>
    </row>
    <row r="15" spans="1:6" x14ac:dyDescent="0.2">
      <c r="A15" t="str">
        <f>params!A20</f>
        <v>viewing_time</v>
      </c>
      <c r="B15">
        <f>params!F20</f>
        <v>42</v>
      </c>
      <c r="C15" t="str">
        <f>params!K20</f>
        <v>minute</v>
      </c>
      <c r="D15" s="27">
        <f>params!J20</f>
        <v>44228</v>
      </c>
      <c r="E15" t="str">
        <f>params!M20</f>
        <v>https://www.ofcom.org.uk/__data/assets/pdf_file/0016/242701/media-nations-report-2022.pdf</v>
      </c>
    </row>
    <row r="16" spans="1:6" x14ac:dyDescent="0.2">
      <c r="A16" t="str">
        <f>params!A21</f>
        <v>bitrate</v>
      </c>
      <c r="B16">
        <f>params!F21</f>
        <v>1688000</v>
      </c>
      <c r="C16" t="str">
        <f>params!K21</f>
        <v>bps</v>
      </c>
      <c r="D16" s="27">
        <f>params!J21</f>
        <v>44593</v>
      </c>
      <c r="E16" t="str">
        <f>params!M21</f>
        <v>Own</v>
      </c>
    </row>
    <row r="17" spans="1:5" x14ac:dyDescent="0.2">
      <c r="A17" t="str">
        <f>params!A23</f>
        <v>power_decoding</v>
      </c>
      <c r="B17">
        <f>params!F23</f>
        <v>6.6023598758794488</v>
      </c>
      <c r="C17" t="str">
        <f>params!K23</f>
        <v>W</v>
      </c>
      <c r="D17" s="27">
        <f>params!J23</f>
        <v>44593</v>
      </c>
      <c r="E17" t="str">
        <f>params!M23</f>
        <v>Own measurements</v>
      </c>
    </row>
    <row r="18" spans="1:5" x14ac:dyDescent="0.2">
      <c r="D18" s="27"/>
    </row>
    <row r="19" spans="1:5" x14ac:dyDescent="0.2">
      <c r="D19" s="27"/>
    </row>
    <row r="20" spans="1:5" x14ac:dyDescent="0.2">
      <c r="D20" s="27"/>
    </row>
    <row r="21" spans="1:5" x14ac:dyDescent="0.2">
      <c r="D21" s="27"/>
    </row>
    <row r="22" spans="1:5" x14ac:dyDescent="0.2">
      <c r="D22" s="27"/>
    </row>
    <row r="23" spans="1:5" x14ac:dyDescent="0.2">
      <c r="D23" s="27"/>
    </row>
    <row r="24" spans="1:5" x14ac:dyDescent="0.2">
      <c r="D24" s="27"/>
    </row>
    <row r="25" spans="1:5" x14ac:dyDescent="0.2">
      <c r="D25" s="27"/>
    </row>
    <row r="26" spans="1:5" x14ac:dyDescent="0.2">
      <c r="D26" s="27"/>
    </row>
    <row r="27" spans="1:5" x14ac:dyDescent="0.2">
      <c r="D27" s="27"/>
    </row>
    <row r="28" spans="1:5" x14ac:dyDescent="0.2">
      <c r="D28" s="27"/>
    </row>
    <row r="29" spans="1:5" x14ac:dyDescent="0.2">
      <c r="D29" s="27"/>
    </row>
    <row r="30" spans="1:5" x14ac:dyDescent="0.2">
      <c r="D30" s="27"/>
    </row>
    <row r="31" spans="1:5" x14ac:dyDescent="0.2">
      <c r="D31" s="27"/>
    </row>
    <row r="32" spans="1:5" x14ac:dyDescent="0.2">
      <c r="D32" s="27"/>
    </row>
    <row r="33" spans="4:4" x14ac:dyDescent="0.2">
      <c r="D33" s="27"/>
    </row>
    <row r="34" spans="4:4" x14ac:dyDescent="0.2">
      <c r="D34" s="27"/>
    </row>
    <row r="35" spans="4:4" x14ac:dyDescent="0.2">
      <c r="D35" s="27"/>
    </row>
    <row r="36" spans="4:4" x14ac:dyDescent="0.2">
      <c r="D36" s="27"/>
    </row>
    <row r="37" spans="4:4" x14ac:dyDescent="0.2">
      <c r="D37" s="27"/>
    </row>
    <row r="38" spans="4:4" x14ac:dyDescent="0.2">
      <c r="D38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C5D5-94B1-FE4A-8A6C-ACB9A57C077A}">
  <dimension ref="A2:T37"/>
  <sheetViews>
    <sheetView workbookViewId="0">
      <selection activeCell="F12" sqref="F12"/>
    </sheetView>
  </sheetViews>
  <sheetFormatPr baseColWidth="10" defaultRowHeight="15" x14ac:dyDescent="0.2"/>
  <cols>
    <col min="1" max="1" width="35.5" bestFit="1" customWidth="1"/>
  </cols>
  <sheetData>
    <row r="2" spans="1:20" x14ac:dyDescent="0.2">
      <c r="A2" s="13" t="s">
        <v>89</v>
      </c>
    </row>
    <row r="3" spans="1:20" x14ac:dyDescent="0.2">
      <c r="A3" s="13" t="s">
        <v>90</v>
      </c>
      <c r="B3">
        <v>20</v>
      </c>
      <c r="M3" s="13" t="s">
        <v>98</v>
      </c>
    </row>
    <row r="4" spans="1:20" x14ac:dyDescent="0.2">
      <c r="A4" s="13" t="s">
        <v>91</v>
      </c>
      <c r="E4" s="23" t="s">
        <v>96</v>
      </c>
      <c r="H4" s="13" t="s">
        <v>97</v>
      </c>
      <c r="M4" s="23" t="s">
        <v>99</v>
      </c>
    </row>
    <row r="5" spans="1:20" x14ac:dyDescent="0.2">
      <c r="A5" s="13" t="s">
        <v>92</v>
      </c>
      <c r="B5">
        <f>B3/12</f>
        <v>1.6666666666666667</v>
      </c>
      <c r="E5" s="13" t="s">
        <v>94</v>
      </c>
      <c r="H5" s="13" t="s">
        <v>95</v>
      </c>
      <c r="L5">
        <v>2022</v>
      </c>
      <c r="M5" s="41">
        <v>64364</v>
      </c>
    </row>
    <row r="6" spans="1:20" x14ac:dyDescent="0.2">
      <c r="B6">
        <f>B5*3</f>
        <v>5</v>
      </c>
      <c r="D6">
        <v>2022</v>
      </c>
      <c r="E6">
        <v>48</v>
      </c>
      <c r="G6">
        <v>2022</v>
      </c>
      <c r="H6" s="13">
        <v>482</v>
      </c>
      <c r="I6">
        <f>(H6-H7)/(H7/100)</f>
        <v>6.4017660044150109</v>
      </c>
      <c r="L6">
        <v>2021</v>
      </c>
      <c r="M6" s="41">
        <v>62700</v>
      </c>
    </row>
    <row r="7" spans="1:20" x14ac:dyDescent="0.2">
      <c r="D7">
        <v>2021</v>
      </c>
      <c r="E7">
        <v>38</v>
      </c>
      <c r="G7">
        <v>2021</v>
      </c>
      <c r="H7" s="13">
        <v>453</v>
      </c>
      <c r="I7">
        <f>(H7-H8)/(H8/100)</f>
        <v>5.5944055944055942</v>
      </c>
      <c r="M7">
        <f>(M5-M6)/(M6/100)</f>
        <v>2.6539074960127591</v>
      </c>
    </row>
    <row r="8" spans="1:20" x14ac:dyDescent="0.2">
      <c r="D8" s="13" t="s">
        <v>93</v>
      </c>
      <c r="E8">
        <f>(E6-E7)/(E7/100)</f>
        <v>26.315789473684209</v>
      </c>
      <c r="G8">
        <v>2020</v>
      </c>
      <c r="H8">
        <v>429</v>
      </c>
      <c r="I8">
        <f>(H8-H9)/(H9/100)</f>
        <v>36.19047619047619</v>
      </c>
      <c r="L8">
        <v>2021</v>
      </c>
      <c r="M8" s="41">
        <v>62700</v>
      </c>
    </row>
    <row r="9" spans="1:20" x14ac:dyDescent="0.2">
      <c r="G9">
        <v>2019</v>
      </c>
      <c r="H9">
        <v>315</v>
      </c>
      <c r="I9">
        <f>(H9-H10)/(H10/100)</f>
        <v>30.705394190871367</v>
      </c>
      <c r="L9">
        <v>2020</v>
      </c>
      <c r="M9">
        <v>50000</v>
      </c>
    </row>
    <row r="10" spans="1:20" x14ac:dyDescent="0.2">
      <c r="G10">
        <v>2018</v>
      </c>
      <c r="H10" s="13">
        <v>241</v>
      </c>
      <c r="I10">
        <f>(H10-H11)/(H11/100)</f>
        <v>26.000000000000004</v>
      </c>
      <c r="K10">
        <f>(100*H10)/(I10+100)</f>
        <v>191.26984126984127</v>
      </c>
      <c r="M10">
        <f>(M8-M9)/(M9/100)</f>
        <v>25.4</v>
      </c>
    </row>
    <row r="11" spans="1:20" x14ac:dyDescent="0.2">
      <c r="G11">
        <v>2017</v>
      </c>
      <c r="H11">
        <v>191.26984126984127</v>
      </c>
      <c r="I11">
        <f t="shared" ref="I11:I15" si="0">(H11-H12)/(H12/100)</f>
        <v>44.901394901394895</v>
      </c>
      <c r="L11">
        <v>2020</v>
      </c>
      <c r="M11">
        <v>50000</v>
      </c>
    </row>
    <row r="12" spans="1:20" x14ac:dyDescent="0.2">
      <c r="G12">
        <v>2016</v>
      </c>
      <c r="H12">
        <v>132</v>
      </c>
      <c r="I12">
        <f t="shared" si="0"/>
        <v>36.082474226804123</v>
      </c>
      <c r="L12">
        <v>2019</v>
      </c>
      <c r="M12">
        <v>22000</v>
      </c>
    </row>
    <row r="13" spans="1:20" x14ac:dyDescent="0.2">
      <c r="G13">
        <v>2015</v>
      </c>
      <c r="H13">
        <v>97</v>
      </c>
      <c r="I13">
        <f t="shared" si="0"/>
        <v>67.241379310344826</v>
      </c>
      <c r="M13">
        <f>(M11-M12)/(M12/100)</f>
        <v>127.27272727272727</v>
      </c>
    </row>
    <row r="14" spans="1:20" x14ac:dyDescent="0.2">
      <c r="G14">
        <v>2014</v>
      </c>
      <c r="H14">
        <v>58</v>
      </c>
      <c r="I14">
        <f t="shared" si="0"/>
        <v>93.333333333333343</v>
      </c>
      <c r="L14">
        <v>2019</v>
      </c>
      <c r="M14">
        <f>M12</f>
        <v>22000</v>
      </c>
    </row>
    <row r="15" spans="1:20" x14ac:dyDescent="0.2">
      <c r="G15">
        <v>2013</v>
      </c>
      <c r="H15">
        <v>30</v>
      </c>
      <c r="I15">
        <f t="shared" si="0"/>
        <v>30.434782608695652</v>
      </c>
      <c r="L15">
        <v>2018</v>
      </c>
      <c r="M15">
        <f>(100*M14)/(M16+100)</f>
        <v>15714.285714285714</v>
      </c>
      <c r="N15" s="13" t="s">
        <v>106</v>
      </c>
    </row>
    <row r="16" spans="1:20" x14ac:dyDescent="0.2">
      <c r="G16">
        <v>2012</v>
      </c>
      <c r="H16">
        <v>23</v>
      </c>
      <c r="M16">
        <v>40</v>
      </c>
      <c r="R16" s="13" t="s">
        <v>103</v>
      </c>
      <c r="S16" s="13" t="s">
        <v>105</v>
      </c>
      <c r="T16" s="13" t="s">
        <v>104</v>
      </c>
    </row>
    <row r="17" spans="7:20" x14ac:dyDescent="0.2">
      <c r="R17">
        <v>2013</v>
      </c>
      <c r="S17">
        <v>30.434782608695652</v>
      </c>
      <c r="T17">
        <v>30</v>
      </c>
    </row>
    <row r="18" spans="7:20" x14ac:dyDescent="0.2">
      <c r="H18" s="42"/>
      <c r="R18">
        <v>2014</v>
      </c>
      <c r="S18">
        <v>93.333333333333343</v>
      </c>
      <c r="T18">
        <v>58</v>
      </c>
    </row>
    <row r="19" spans="7:20" x14ac:dyDescent="0.2">
      <c r="R19">
        <v>2015</v>
      </c>
      <c r="S19">
        <v>67.241379310344826</v>
      </c>
      <c r="T19">
        <v>97</v>
      </c>
    </row>
    <row r="20" spans="7:20" x14ac:dyDescent="0.2">
      <c r="R20">
        <v>2016</v>
      </c>
      <c r="S20">
        <v>36.082474226804123</v>
      </c>
      <c r="T20">
        <v>132</v>
      </c>
    </row>
    <row r="21" spans="7:20" x14ac:dyDescent="0.2">
      <c r="H21" s="13" t="s">
        <v>100</v>
      </c>
      <c r="I21" s="13" t="s">
        <v>101</v>
      </c>
      <c r="R21">
        <v>2017</v>
      </c>
      <c r="S21">
        <v>44.901394901394895</v>
      </c>
      <c r="T21">
        <v>191.26984126984127</v>
      </c>
    </row>
    <row r="22" spans="7:20" x14ac:dyDescent="0.2">
      <c r="G22">
        <v>2022</v>
      </c>
      <c r="H22">
        <f>I6</f>
        <v>6.4017660044150109</v>
      </c>
      <c r="I22">
        <f>M7</f>
        <v>2.6539074960127591</v>
      </c>
      <c r="R22">
        <v>2018</v>
      </c>
      <c r="S22">
        <v>26.000000000000004</v>
      </c>
      <c r="T22">
        <v>241</v>
      </c>
    </row>
    <row r="23" spans="7:20" x14ac:dyDescent="0.2">
      <c r="G23">
        <v>2021</v>
      </c>
      <c r="H23">
        <f>I7</f>
        <v>5.5944055944055942</v>
      </c>
      <c r="I23">
        <f>M10</f>
        <v>25.4</v>
      </c>
      <c r="R23">
        <v>2019</v>
      </c>
      <c r="S23">
        <v>30.705394190871367</v>
      </c>
      <c r="T23">
        <v>315</v>
      </c>
    </row>
    <row r="24" spans="7:20" x14ac:dyDescent="0.2">
      <c r="G24">
        <v>2020</v>
      </c>
      <c r="H24">
        <f>H14</f>
        <v>58</v>
      </c>
      <c r="I24">
        <f>M13</f>
        <v>127.27272727272727</v>
      </c>
      <c r="R24">
        <v>2020</v>
      </c>
      <c r="S24">
        <v>36.19047619047619</v>
      </c>
      <c r="T24">
        <v>429</v>
      </c>
    </row>
    <row r="25" spans="7:20" x14ac:dyDescent="0.2">
      <c r="G25">
        <v>2019</v>
      </c>
      <c r="H25">
        <v>30</v>
      </c>
      <c r="R25">
        <v>2021</v>
      </c>
      <c r="S25">
        <v>5.5944055944055942</v>
      </c>
      <c r="T25">
        <v>453</v>
      </c>
    </row>
    <row r="26" spans="7:20" x14ac:dyDescent="0.2">
      <c r="G26">
        <v>2018</v>
      </c>
      <c r="H26">
        <v>26</v>
      </c>
      <c r="R26">
        <v>2022</v>
      </c>
      <c r="S26">
        <v>6.4017660044150109</v>
      </c>
      <c r="T26">
        <v>482</v>
      </c>
    </row>
    <row r="32" spans="7:20" x14ac:dyDescent="0.2">
      <c r="H32" s="13" t="s">
        <v>107</v>
      </c>
      <c r="I32" s="13" t="s">
        <v>101</v>
      </c>
    </row>
    <row r="33" spans="7:10" x14ac:dyDescent="0.2">
      <c r="G33">
        <v>2018</v>
      </c>
      <c r="H33">
        <v>26</v>
      </c>
    </row>
    <row r="34" spans="7:10" x14ac:dyDescent="0.2">
      <c r="G34">
        <v>2019</v>
      </c>
      <c r="H34">
        <v>30</v>
      </c>
      <c r="I34">
        <v>40</v>
      </c>
      <c r="J34" s="13" t="s">
        <v>102</v>
      </c>
    </row>
    <row r="35" spans="7:10" x14ac:dyDescent="0.2">
      <c r="G35">
        <v>2020</v>
      </c>
      <c r="H35">
        <v>36.19047619047619</v>
      </c>
      <c r="I35">
        <v>127.27272727272727</v>
      </c>
    </row>
    <row r="36" spans="7:10" x14ac:dyDescent="0.2">
      <c r="G36">
        <v>2021</v>
      </c>
      <c r="H36">
        <v>5.5944055944055942</v>
      </c>
      <c r="I36">
        <v>25.4</v>
      </c>
    </row>
    <row r="37" spans="7:10" x14ac:dyDescent="0.2">
      <c r="G37">
        <v>2022</v>
      </c>
      <c r="H37">
        <v>6.4017660044150109</v>
      </c>
      <c r="I37">
        <v>2.6539074960127591</v>
      </c>
    </row>
  </sheetData>
  <sortState xmlns:xlrd2="http://schemas.microsoft.com/office/spreadsheetml/2017/richdata2" ref="R17:T26">
    <sortCondition ref="R17:R26"/>
  </sortState>
  <hyperlinks>
    <hyperlink ref="E4" r:id="rId1" xr:uid="{6B1470D6-F1B5-C246-B425-E04B05FE89C3}"/>
    <hyperlink ref="M4" r:id="rId2" xr:uid="{6E803BCB-05A9-CB43-A732-BD2D83FF21DD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Normal="100" workbookViewId="0">
      <selection activeCell="F12" sqref="F12"/>
    </sheetView>
  </sheetViews>
  <sheetFormatPr baseColWidth="10" defaultColWidth="14.6640625" defaultRowHeight="15" x14ac:dyDescent="0.2"/>
  <sheetData>
    <row r="1" spans="1:12" ht="15" customHeight="1" x14ac:dyDescent="0.2">
      <c r="A1" s="10" t="s">
        <v>34</v>
      </c>
      <c r="B1" s="10" t="s">
        <v>35</v>
      </c>
    </row>
    <row r="7" spans="1:12" x14ac:dyDescent="0.2">
      <c r="D7" s="11"/>
      <c r="E7" s="9" t="s">
        <v>10</v>
      </c>
      <c r="F7" s="9" t="s">
        <v>36</v>
      </c>
      <c r="G7" s="9" t="s">
        <v>37</v>
      </c>
      <c r="I7" s="11"/>
      <c r="J7" s="9" t="s">
        <v>10</v>
      </c>
      <c r="K7" s="9" t="s">
        <v>36</v>
      </c>
      <c r="L7" s="9" t="s">
        <v>37</v>
      </c>
    </row>
    <row r="8" spans="1:12" x14ac:dyDescent="0.2">
      <c r="D8" s="11" t="s">
        <v>30</v>
      </c>
      <c r="E8" s="9" t="s">
        <v>38</v>
      </c>
      <c r="F8">
        <v>0.1521875</v>
      </c>
      <c r="G8">
        <v>0.30437500000000001</v>
      </c>
      <c r="I8" s="11" t="s">
        <v>28</v>
      </c>
      <c r="J8" s="9" t="s">
        <v>29</v>
      </c>
      <c r="K8">
        <v>83.3333333333333</v>
      </c>
      <c r="L8">
        <v>83.3333333333333</v>
      </c>
    </row>
    <row r="9" spans="1:12" x14ac:dyDescent="0.2">
      <c r="D9" s="11" t="s">
        <v>31</v>
      </c>
      <c r="E9" s="9" t="s">
        <v>38</v>
      </c>
      <c r="F9">
        <v>15.21875</v>
      </c>
      <c r="G9">
        <v>30.4375</v>
      </c>
      <c r="I9" s="11" t="s">
        <v>30</v>
      </c>
      <c r="J9" s="9" t="s">
        <v>29</v>
      </c>
      <c r="K9">
        <v>4.5656250000000002E-2</v>
      </c>
      <c r="L9">
        <v>0.18262500000000001</v>
      </c>
    </row>
    <row r="10" spans="1:12" x14ac:dyDescent="0.2">
      <c r="D10" s="11" t="s">
        <v>23</v>
      </c>
      <c r="E10" s="9" t="s">
        <v>38</v>
      </c>
      <c r="F10">
        <v>3.0437499999999999E-2</v>
      </c>
      <c r="G10">
        <v>6.0874999999999999E-2</v>
      </c>
      <c r="I10" s="11" t="s">
        <v>31</v>
      </c>
      <c r="J10" s="9" t="s">
        <v>29</v>
      </c>
      <c r="K10">
        <v>4.5656249999999998</v>
      </c>
      <c r="L10">
        <v>18.262499999999999</v>
      </c>
    </row>
    <row r="11" spans="1:12" x14ac:dyDescent="0.2">
      <c r="D11" s="11" t="s">
        <v>32</v>
      </c>
      <c r="E11" s="9" t="s">
        <v>38</v>
      </c>
      <c r="F11">
        <v>11.117296874999999</v>
      </c>
      <c r="G11">
        <v>22.234593749999998</v>
      </c>
      <c r="I11" s="11" t="s">
        <v>23</v>
      </c>
      <c r="J11" s="9" t="s">
        <v>29</v>
      </c>
      <c r="K11">
        <v>9.1312500000000005E-3</v>
      </c>
      <c r="L11">
        <v>3.6525000000000002E-2</v>
      </c>
    </row>
    <row r="12" spans="1:12" x14ac:dyDescent="0.2">
      <c r="D12" s="11" t="s">
        <v>33</v>
      </c>
      <c r="E12" s="9" t="s">
        <v>38</v>
      </c>
      <c r="F12">
        <v>3.0437500000000002</v>
      </c>
      <c r="G12">
        <v>6.0875000000000004</v>
      </c>
      <c r="I12" s="11" t="s">
        <v>32</v>
      </c>
      <c r="J12" s="9" t="s">
        <v>29</v>
      </c>
      <c r="K12">
        <v>3.3351890625</v>
      </c>
      <c r="L12">
        <v>13.34075625</v>
      </c>
    </row>
    <row r="13" spans="1:12" ht="16" x14ac:dyDescent="0.2">
      <c r="I13" s="11" t="s">
        <v>33</v>
      </c>
      <c r="J13" s="9" t="s">
        <v>29</v>
      </c>
      <c r="K13" s="12">
        <v>0.91312499999999996</v>
      </c>
      <c r="L13" s="12">
        <v>3.6524999999999999</v>
      </c>
    </row>
    <row r="16" spans="1:12" x14ac:dyDescent="0.2">
      <c r="E16" s="8"/>
    </row>
    <row r="17" spans="5:10" x14ac:dyDescent="0.2">
      <c r="E17" s="8"/>
      <c r="J17" s="8"/>
    </row>
    <row r="18" spans="5:10" x14ac:dyDescent="0.2">
      <c r="E18" s="8"/>
      <c r="J18" s="8"/>
    </row>
    <row r="19" spans="5:10" x14ac:dyDescent="0.2">
      <c r="E19" s="8"/>
      <c r="J19" s="8"/>
    </row>
    <row r="20" spans="5:10" x14ac:dyDescent="0.2">
      <c r="E20" s="8"/>
      <c r="J20" s="8"/>
    </row>
    <row r="21" spans="5:10" x14ac:dyDescent="0.2">
      <c r="J21" s="8"/>
    </row>
    <row r="22" spans="5:10" x14ac:dyDescent="0.2">
      <c r="J22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>
      <selection activeCell="F12" sqref="F12"/>
    </sheetView>
  </sheetViews>
  <sheetFormatPr baseColWidth="10" defaultColWidth="14.6640625" defaultRowHeight="15" x14ac:dyDescent="0.2"/>
  <sheetData>
    <row r="1" spans="1:2" ht="15" customHeight="1" x14ac:dyDescent="0.2">
      <c r="A1" s="10" t="s">
        <v>39</v>
      </c>
      <c r="B1" s="10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params</vt:lpstr>
      <vt:lpstr>viewing_time</vt:lpstr>
      <vt:lpstr>carbon_intensity</vt:lpstr>
      <vt:lpstr>article_view</vt:lpstr>
      <vt:lpstr>aux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Daniel Schien</cp:lastModifiedBy>
  <cp:revision>103</cp:revision>
  <dcterms:created xsi:type="dcterms:W3CDTF">2020-04-23T17:14:05Z</dcterms:created>
  <dcterms:modified xsi:type="dcterms:W3CDTF">2023-02-22T14:17:15Z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