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xds/workspaces/python/ngmodel/tests/data/"/>
    </mc:Choice>
  </mc:AlternateContent>
  <xr:revisionPtr revIDLastSave="0" documentId="13_ncr:1_{19A856EB-45AD-A845-BEFE-412D74FFB145}" xr6:coauthVersionLast="45" xr6:coauthVersionMax="45" xr10:uidLastSave="{00000000-0000-0000-0000-000000000000}"/>
  <bookViews>
    <workbookView xWindow="0" yWindow="460" windowWidth="28800" windowHeight="18000" activeTab="1" xr2:uid="{00000000-000D-0000-FFFF-FFFF00000000}"/>
  </bookViews>
  <sheets>
    <sheet name="Changes" sheetId="1" r:id="rId1"/>
    <sheet name="metadata" sheetId="9" r:id="rId2"/>
    <sheet name="all" sheetId="2" r:id="rId3"/>
    <sheet name="Cell Data" sheetId="3" r:id="rId4"/>
    <sheet name="upload" sheetId="4" r:id="rId5"/>
    <sheet name="Virgin" sheetId="5" r:id="rId6"/>
    <sheet name="Emissions" sheetId="6" r:id="rId7"/>
    <sheet name="Help" sheetId="7" r:id="rId8"/>
    <sheet name="YouTubeStat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5" i="8" l="1"/>
  <c r="C108" i="8"/>
  <c r="C87" i="8"/>
  <c r="C86" i="8"/>
  <c r="C80" i="8"/>
  <c r="C74" i="8"/>
  <c r="C73" i="8"/>
  <c r="C70" i="8"/>
  <c r="C64" i="8"/>
  <c r="C67" i="8" s="1"/>
  <c r="C50" i="8"/>
  <c r="C39" i="8"/>
  <c r="C102" i="8" s="1"/>
  <c r="C103" i="8" s="1"/>
  <c r="C104" i="8" s="1"/>
  <c r="C25" i="8"/>
  <c r="C27" i="8" s="1"/>
  <c r="C23" i="8"/>
  <c r="C26" i="8" s="1"/>
  <c r="C29" i="7"/>
  <c r="C30" i="7" s="1"/>
  <c r="D24" i="7"/>
  <c r="D23" i="7"/>
  <c r="D19" i="7"/>
  <c r="E18" i="7"/>
  <c r="D18" i="7"/>
  <c r="E16" i="7"/>
  <c r="H12" i="7"/>
  <c r="H13" i="7" s="1"/>
  <c r="H14" i="7" s="1"/>
  <c r="H11" i="7"/>
  <c r="C8" i="7"/>
  <c r="C5" i="7"/>
  <c r="C4" i="7"/>
  <c r="G4" i="6"/>
  <c r="I4" i="6" s="1"/>
  <c r="B3" i="6"/>
  <c r="I2" i="6"/>
  <c r="H2" i="6"/>
  <c r="G2" i="6"/>
  <c r="B32" i="5"/>
  <c r="B7" i="5" s="1"/>
  <c r="B25" i="5"/>
  <c r="B23" i="5"/>
  <c r="B22" i="5"/>
  <c r="B24" i="5" s="1"/>
  <c r="C23" i="5" s="1"/>
  <c r="B17" i="3"/>
  <c r="B18" i="3" s="1"/>
  <c r="B9" i="3"/>
  <c r="B10" i="3" s="1"/>
  <c r="E100" i="2"/>
  <c r="F98" i="2"/>
  <c r="E96" i="2"/>
  <c r="E95" i="2"/>
  <c r="E94" i="2"/>
  <c r="O71" i="2"/>
  <c r="E71" i="2"/>
  <c r="F68" i="2"/>
  <c r="F67" i="2"/>
  <c r="F66" i="2"/>
  <c r="F64" i="2"/>
  <c r="E62" i="2"/>
  <c r="F62" i="2" s="1"/>
  <c r="E61" i="2"/>
  <c r="F59" i="2"/>
  <c r="F58" i="2"/>
  <c r="F57" i="2"/>
  <c r="F54" i="2"/>
  <c r="F53" i="2"/>
  <c r="E51" i="2"/>
  <c r="F51" i="2" s="1"/>
  <c r="F50" i="2"/>
  <c r="O49" i="2"/>
  <c r="F49" i="2"/>
  <c r="E46" i="2"/>
  <c r="F45" i="2"/>
  <c r="F44" i="2"/>
  <c r="F43" i="2"/>
  <c r="O41" i="2"/>
  <c r="F41" i="2"/>
  <c r="O40" i="2"/>
  <c r="F40" i="2"/>
  <c r="F39" i="2"/>
  <c r="F38" i="2"/>
  <c r="F34" i="2"/>
  <c r="F33" i="2"/>
  <c r="F32" i="2"/>
  <c r="O31" i="2"/>
  <c r="F31" i="2"/>
  <c r="O30" i="2"/>
  <c r="F30" i="2"/>
  <c r="O29" i="2"/>
  <c r="F29" i="2"/>
  <c r="F28" i="2"/>
  <c r="E28" i="2"/>
  <c r="F27" i="2"/>
  <c r="F26" i="2"/>
  <c r="E23" i="2"/>
  <c r="F23" i="2" s="1"/>
  <c r="E22" i="2"/>
  <c r="F22" i="2" s="1"/>
  <c r="F19" i="2"/>
  <c r="G18" i="2"/>
  <c r="G19" i="2" s="1"/>
  <c r="F18" i="2"/>
  <c r="E18" i="2"/>
  <c r="E19" i="2" s="1"/>
  <c r="I19" i="2" s="1"/>
  <c r="I17" i="2"/>
  <c r="G17" i="2"/>
  <c r="F17" i="2"/>
  <c r="E17" i="2"/>
  <c r="F16" i="2"/>
  <c r="E14" i="2"/>
  <c r="F14" i="2" s="1"/>
  <c r="O7" i="2"/>
  <c r="F7" i="2"/>
  <c r="F5" i="2"/>
  <c r="F4" i="2"/>
  <c r="F3" i="2"/>
  <c r="F2" i="2"/>
  <c r="B8" i="5" l="1"/>
  <c r="B9" i="5" s="1"/>
  <c r="B10" i="5" s="1"/>
  <c r="B11" i="5" s="1"/>
  <c r="B13" i="3"/>
  <c r="B19" i="3"/>
  <c r="C110" i="8"/>
  <c r="C90" i="8"/>
  <c r="C91" i="8" s="1"/>
  <c r="C92" i="8" s="1"/>
  <c r="C93" i="8" s="1"/>
  <c r="C95" i="8" s="1"/>
  <c r="C96" i="8" s="1"/>
  <c r="H4" i="6"/>
  <c r="B26" i="5"/>
  <c r="B27" i="5" s="1"/>
  <c r="B28" i="5" s="1"/>
  <c r="C22" i="5"/>
  <c r="G3" i="6"/>
  <c r="I3" i="6" s="1"/>
  <c r="I18" i="2"/>
  <c r="H3" i="6" l="1"/>
  <c r="C109" i="8"/>
  <c r="C112" i="8"/>
  <c r="C113" i="8" s="1"/>
  <c r="E47" i="2" s="1"/>
  <c r="C106" i="8"/>
  <c r="E74" i="2" l="1"/>
  <c r="E72" i="2"/>
  <c r="F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7" authorId="0" shapeId="0" xr:uid="{00000000-0006-0000-0100-000001000000}">
      <text>
        <r>
          <rPr>
            <sz val="12"/>
            <color rgb="FF000000"/>
            <rFont val="Calibri"/>
          </rPr>
          <t>D Schien:
Edler and Andrae don’t say what shape their distribution is. The variance is based on the upper and lower bounds they describe.</t>
        </r>
      </text>
    </comment>
    <comment ref="A31" authorId="0" shapeId="0" xr:uid="{00000000-0006-0000-0100-000002000000}">
      <text>
        <r>
          <rPr>
            <sz val="12"/>
            <color rgb="FF000000"/>
            <rFont val="Calibri"/>
          </rPr>
          <t>Microsoft Office User:
Desktop includes laptop and "desktop"
it is a weighted power conusmption valu</t>
        </r>
      </text>
    </comment>
  </commentList>
</comments>
</file>

<file path=xl/sharedStrings.xml><?xml version="1.0" encoding="utf-8"?>
<sst xmlns="http://schemas.openxmlformats.org/spreadsheetml/2006/main" count="729" uniqueCount="440">
  <si>
    <t>Date</t>
  </si>
  <si>
    <t>variable</t>
  </si>
  <si>
    <t>Here we perform back of the envelope calculations on cell data volumes.</t>
  </si>
  <si>
    <t>Author</t>
  </si>
  <si>
    <t>Change</t>
  </si>
  <si>
    <t>14.9.2017</t>
  </si>
  <si>
    <t>DS</t>
  </si>
  <si>
    <t>big clean out. moved to cloud.</t>
  </si>
  <si>
    <t>6.8.2018</t>
  </si>
  <si>
    <t>Overall Data Volume</t>
  </si>
  <si>
    <t>scenario</t>
  </si>
  <si>
    <t>module</t>
  </si>
  <si>
    <t>distribution</t>
  </si>
  <si>
    <t>param 1</t>
  </si>
  <si>
    <t>param 2</t>
  </si>
  <si>
    <t>param 3</t>
  </si>
  <si>
    <t>moved content of sheet 'UserDevices', deleted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</si>
  <si>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</si>
  <si>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</si>
  <si>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</si>
  <si>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</si>
  <si>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</si>
  <si>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</si>
  <si>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</si>
  <si>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</si>
  <si>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energy_intensity_core_network</t>
  </si>
  <si>
    <t>numpy.random</t>
  </si>
  <si>
    <t>normal</t>
  </si>
  <si>
    <t>video volume</t>
  </si>
  <si>
    <t>ref year</t>
  </si>
  <si>
    <t>total traffic 2016 (monthly)</t>
  </si>
  <si>
    <t>EB/m</t>
  </si>
  <si>
    <t>https://www.ericsson.com/assets/local/mobility-report/documents/2016/ericsson-mobility-report-november-2016.pdf</t>
  </si>
  <si>
    <t>share video</t>
  </si>
  <si>
    <t>share youtube US</t>
  </si>
  <si>
    <t xml:space="preserve">0.2 according to </t>
  </si>
  <si>
    <t>J / bit</t>
  </si>
  <si>
    <t>youtube mobile traffic 2016</t>
  </si>
  <si>
    <t>youtube mobile traffic per year 2016</t>
  </si>
  <si>
    <t>IEEE Magazine article, Schien and Preist 2014, also Krug in Backhaul , metro
and core in table 1 (~8 or 9 muJ/bit)</t>
  </si>
  <si>
    <t>energy_intensity_metro_network</t>
  </si>
  <si>
    <t>EB/a</t>
  </si>
  <si>
    <t>average bitrate</t>
  </si>
  <si>
    <t>Mbps</t>
  </si>
  <si>
    <t>http://ieeexplore.ieee.org/stamp/stamp.jsp?arnumber=7020798</t>
  </si>
  <si>
    <t>time</t>
  </si>
  <si>
    <t>IEEE Magazine article, Schien and Preist 2014</t>
  </si>
  <si>
    <t>energy_intensity_edge_network</t>
  </si>
  <si>
    <t>3G</t>
  </si>
  <si>
    <t>PB/m</t>
  </si>
  <si>
    <t>energy_intensity_submarine</t>
  </si>
  <si>
    <t>4G</t>
  </si>
  <si>
    <t>cell data volume</t>
  </si>
  <si>
    <t>energy_intensity_youtube_server</t>
  </si>
  <si>
    <t>PB/a</t>
  </si>
  <si>
    <t>Share LTE and HSDPA</t>
  </si>
  <si>
    <t>cum</t>
  </si>
  <si>
    <t>abs</t>
  </si>
  <si>
    <t>mid value</t>
  </si>
  <si>
    <t>edge</t>
  </si>
  <si>
    <t>of total</t>
  </si>
  <si>
    <t>hsdpa</t>
  </si>
  <si>
    <t>lta</t>
  </si>
  <si>
    <t>dv</t>
  </si>
  <si>
    <t>dv_hsdpa</t>
  </si>
  <si>
    <t>dv_lte</t>
  </si>
  <si>
    <t>GGC_hitrate</t>
  </si>
  <si>
    <t>uniform</t>
  </si>
  <si>
    <t>percent</t>
  </si>
  <si>
    <t>https://peering.google.com/about/ggc.html</t>
  </si>
  <si>
    <t>overhead_ggc_synch</t>
  </si>
  <si>
    <t>guess</t>
  </si>
  <si>
    <t>embodied_carbon_intensity_per_dv</t>
  </si>
  <si>
    <t>gCO2e/b</t>
  </si>
  <si>
    <t>0.24 g/GB to g/b</t>
  </si>
  <si>
    <t>Shehabi, A., Walker, B., &amp; Masanet, E. (2014). The energy and greenhouse-gas implications of internet video streaming in the United States. Environmental Research Letters, 9(5), 054007. doi:10.1088/1748-9326/9/5/054007
http://iopscience.iop.org/1748-9326/9/5/054007/media/erl487799suppdata.pdf page 6</t>
  </si>
  <si>
    <t>share_4g</t>
  </si>
  <si>
    <t>video duration per month</t>
  </si>
  <si>
    <t>hrs/month</t>
  </si>
  <si>
    <t>new video datavolume per minute</t>
  </si>
  <si>
    <t>hrs/min</t>
  </si>
  <si>
    <t>min per month</t>
  </si>
  <si>
    <t>ratio</t>
  </si>
  <si>
    <t>Calculated from estimates for intensity of 3G and 4G and proportion of 4G (0.6 based on Ofcom estimates - Ofcom. 2016. "Connected Nations 2016." https://www.ofcom.org.uk/research-and-data/infrastructure-research/connected-nations-2016.)</t>
  </si>
  <si>
    <r>
      <t xml:space="preserve">Andrae, Anders, and Tomas Edler. 2015. “On Global Electricity Usage of Communication Technology: Trends to 2030.” </t>
    </r>
    <r>
      <rPr>
        <i/>
        <sz val="12"/>
        <color rgb="FF000000"/>
        <rFont val="Calibri"/>
      </rPr>
      <t>Challenges</t>
    </r>
    <r>
      <rPr>
        <sz val="12"/>
        <color rgb="FF000000"/>
        <rFont val="Calibri"/>
      </rPr>
      <t xml:space="preserve"> 6 (1): 117–57. doi:10.3390/challe6010117.</t>
    </r>
  </si>
  <si>
    <t>energy_intensity_cellular_3g</t>
  </si>
  <si>
    <t>triangular</t>
  </si>
  <si>
    <t>Scope 2 location-based emissions (indirect)</t>
  </si>
  <si>
    <t>tonnes CO2 e</t>
  </si>
  <si>
    <t>Electricity</t>
  </si>
  <si>
    <t>tonnes CO2e</t>
  </si>
  <si>
    <t>Scope 2 market-based emissions (indirect)</t>
  </si>
  <si>
    <t>Energy for infrastructure</t>
  </si>
  <si>
    <r>
      <t xml:space="preserve">Andrae, Anders, and Tomas Edler. 2015. “On Global Electricity Usage of Communication Technology: Trends to 2030.” </t>
    </r>
    <r>
      <rPr>
        <i/>
        <sz val="12"/>
        <color rgb="FF000000"/>
        <rFont val="Calibri"/>
      </rPr>
      <t>Challenges</t>
    </r>
    <r>
      <rPr>
        <sz val="12"/>
        <color rgb="FF000000"/>
        <rFont val="Calibri"/>
      </rPr>
      <t xml:space="preserve"> 6 (1): 117–57. doi:10.3390/challe6010117.</t>
    </r>
  </si>
  <si>
    <t>energy_intensity_cellular_4g</t>
  </si>
  <si>
    <t>kWh/a</t>
  </si>
  <si>
    <t>Portion for IP</t>
  </si>
  <si>
    <t>allocated in proportion of customer impact</t>
  </si>
  <si>
    <t>Infrastructure energy per modem</t>
  </si>
  <si>
    <t>Andrae, Anders, and Tomas Edler. 2015. “On Global Electricity Usage of Communication Technology: Trends to 2030.” Challenges 6 (1): 117–57. doi:10.3390/challe6010117.</t>
  </si>
  <si>
    <t>energy_intensity_cellular_5g</t>
  </si>
  <si>
    <t>J/a</t>
  </si>
  <si>
    <t>Infrastructure power per modem</t>
  </si>
  <si>
    <t>Description</t>
  </si>
  <si>
    <t>Value</t>
  </si>
  <si>
    <t>Unit</t>
  </si>
  <si>
    <t>Source</t>
  </si>
  <si>
    <t>Uncertainty factor</t>
  </si>
  <si>
    <t>year</t>
  </si>
  <si>
    <t>W</t>
  </si>
  <si>
    <t>std dev</t>
  </si>
  <si>
    <t>lower CI (5%)</t>
  </si>
  <si>
    <t>upper CI (95%)</t>
  </si>
  <si>
    <t>Emission factor for grid electricity</t>
  </si>
  <si>
    <r>
      <t xml:space="preserve">Andrae, Anders, and Tomas Edler. 2015. “On Global Electricity Usage of Communication Technology: Trends to 2030.” </t>
    </r>
    <r>
      <rPr>
        <i/>
        <sz val="12"/>
        <color rgb="FF000000"/>
        <rFont val="Calibri"/>
      </rPr>
      <t>Challenges</t>
    </r>
    <r>
      <rPr>
        <sz val="12"/>
        <color rgb="FF000000"/>
        <rFont val="Calibri"/>
      </rPr>
      <t xml:space="preserve"> 6 (1): 117–57. doi:10.3390/challe6010117.</t>
    </r>
  </si>
  <si>
    <t>kgCO2e/kWh</t>
  </si>
  <si>
    <t>DEFRA</t>
  </si>
  <si>
    <t>Scope 3 emissions (other indirect)</t>
  </si>
  <si>
    <t>Customer premise equipment4</t>
  </si>
  <si>
    <t>Normalised customer premise equipment</t>
  </si>
  <si>
    <t>kg/CPE</t>
  </si>
  <si>
    <t>Modems4</t>
  </si>
  <si>
    <t>share_3g</t>
  </si>
  <si>
    <t>Emissions per modem</t>
  </si>
  <si>
    <t>kg/modem</t>
  </si>
  <si>
    <t>Set-top-boxes4</t>
  </si>
  <si>
    <t>Emission per box</t>
  </si>
  <si>
    <t>kg/box</t>
  </si>
  <si>
    <t>number of modems</t>
  </si>
  <si>
    <t>Emission factor for Google DC operations</t>
  </si>
  <si>
    <t>https://www.google.co.uk/green/energy/</t>
  </si>
  <si>
    <t>Global average emission factor</t>
  </si>
  <si>
    <t>IEA</t>
  </si>
  <si>
    <t>number of stb</t>
  </si>
  <si>
    <t>Ericsson report</t>
  </si>
  <si>
    <t>share_4g_old</t>
  </si>
  <si>
    <t>sum</t>
  </si>
  <si>
    <t>power_smartphone</t>
  </si>
  <si>
    <t>seconds per year</t>
  </si>
  <si>
    <t>https://www.usenix.org/legacy/event/usenix10/tech/full_papers/Carroll.pdf</t>
  </si>
  <si>
    <t>power_tablet</t>
  </si>
  <si>
    <t>s/a</t>
  </si>
  <si>
    <t xml:space="preserve">modem energy per year </t>
  </si>
  <si>
    <t>https://images.apple.com/euro/environment/pdf/f/generic/products/ipad/iPad_PER_mar2017.pdf</t>
  </si>
  <si>
    <t>power_laptop_and_screen</t>
  </si>
  <si>
    <t>estimated power draw per box</t>
  </si>
  <si>
    <t>power_laptop</t>
  </si>
  <si>
    <t>generation UK grid</t>
  </si>
  <si>
    <t>https://www.gov.uk/government/publications/greenhouse-gas-reporting-conversion-factors-2016</t>
  </si>
  <si>
    <t>T&amp;D losses</t>
  </si>
  <si>
    <t>carbon intensity UK grid</t>
  </si>
  <si>
    <t>power_screen</t>
  </si>
  <si>
    <t>Based on 'Value 23.5-24" display'</t>
  </si>
  <si>
    <t>power_desktop</t>
  </si>
  <si>
    <t>power_tv</t>
  </si>
  <si>
    <t>LIKELY UNDERESTIMATE - Weighted mean of energy star data 2016 by population and average power by size based on Energy Star TV population of models NOT actual populations of TV's in use + distribution of screen size from BARB</t>
  </si>
  <si>
    <t>Energy Star TV population of models + distribution of screen size from BARB</t>
  </si>
  <si>
    <t>power_gamesconsole</t>
  </si>
  <si>
    <t>average of active media use column</t>
  </si>
  <si>
    <t>Webb, a., Mayers, K., France, C., &amp; Koomey, J. (2013). Estimating the energy use of high definition games consoles. Energy Policy, 61, 1412–1421. doi:10.1016/j.enpol.2013.05.056</t>
  </si>
  <si>
    <t>power_ip_stb</t>
  </si>
  <si>
    <t>https://ting.com/blog/the-hidden-costs-of-cable-tv/</t>
  </si>
  <si>
    <t>power_po_stb</t>
  </si>
  <si>
    <t>Power_backhaul_Fibre</t>
  </si>
  <si>
    <t>we believe these values are relatively stable over time as savings from increased energy efficiency are offset by increases in bandwidth</t>
  </si>
  <si>
    <t>Krug et al 2014</t>
  </si>
  <si>
    <t>Power_AN_port_Fibre</t>
  </si>
  <si>
    <t>Power_CPE_Fibre</t>
  </si>
  <si>
    <t>this is the router that the B4RN fibre ISP is using</t>
  </si>
  <si>
    <t>power_wifi_router</t>
  </si>
  <si>
    <t>share_DSL</t>
  </si>
  <si>
    <t xml:space="preserve">OECD Broadband Portal http://www.oecd.org/sti/broadband/broadband-statistics/ </t>
  </si>
  <si>
    <t>share_Cable</t>
  </si>
  <si>
    <t>share_Fibre</t>
  </si>
  <si>
    <t>share_cell_networks</t>
  </si>
  <si>
    <t>Power_CPE_DSL</t>
  </si>
  <si>
    <t>9.75 is under load (see spreadsheet krug_bt_power for details)</t>
  </si>
  <si>
    <t>Power_backhaul_DSL</t>
  </si>
  <si>
    <t>Power_AN_port_DSL</t>
  </si>
  <si>
    <t>Power_backhaul_Cable</t>
  </si>
  <si>
    <t>Virgin Media</t>
  </si>
  <si>
    <t>Power_CPE_Cable</t>
  </si>
  <si>
    <t>Virgin Media env report</t>
  </si>
  <si>
    <t>audio_bitrate</t>
  </si>
  <si>
    <t xml:space="preserve">own experiments, </t>
  </si>
  <si>
    <t>spotify default rate</t>
  </si>
  <si>
    <t>video_bitrate</t>
  </si>
  <si>
    <t>calculated mean from Cisco
SDR 480 p low frame rate level value + audio stereo according to https://support.google.com/youtube/answer/1722171?hl=en-GB</t>
  </si>
  <si>
    <t>precaching_overhead</t>
  </si>
  <si>
    <t>s</t>
  </si>
  <si>
    <t>the amount of video that is precached in the stream , own experiments</t>
  </si>
  <si>
    <t>h/m</t>
  </si>
  <si>
    <t>video_minutes_monthly</t>
  </si>
  <si>
    <t>minute</t>
  </si>
  <si>
    <t>share_music_videos</t>
  </si>
  <si>
    <t xml:space="preserve">Percentage of YouTube views that are Music Videos (Soure marked as upated Aug 2014) </t>
  </si>
  <si>
    <t>https://blog.pex.com/state-of-the-youtube-address-an-overview-of-youtube-usage-and-growth-8d562d4b7fe
Large Scale Characterisation
of YouTube Requests in a Cellular Network
http://expandedramblings.com/index.php/youtube-statistics/4/</t>
  </si>
  <si>
    <t>share_audio_only</t>
  </si>
  <si>
    <t>AO_10</t>
  </si>
  <si>
    <t>AO_25</t>
  </si>
  <si>
    <t>AO_50</t>
  </si>
  <si>
    <t>share_mobile</t>
  </si>
  <si>
    <t>i.e. handheld</t>
  </si>
  <si>
    <t>https://www.thinkwithgoogle.com/data/youtube-views-from-mobile/</t>
  </si>
  <si>
    <t>share_smartphone</t>
  </si>
  <si>
    <t>vs tablet</t>
  </si>
  <si>
    <t>share_tablet_cell</t>
  </si>
  <si>
    <t>vs wifi</t>
  </si>
  <si>
    <t>share_smartphone_cell</t>
  </si>
  <si>
    <t>share_IP_STB</t>
  </si>
  <si>
    <t>share_TV</t>
  </si>
  <si>
    <t>share_gamesconsole</t>
  </si>
  <si>
    <t>share_Computer</t>
  </si>
  <si>
    <t>share_Desktop</t>
  </si>
  <si>
    <t>share_Laptop_like</t>
  </si>
  <si>
    <t>share_Laptop_and_Screen</t>
  </si>
  <si>
    <t>share_Laptop</t>
  </si>
  <si>
    <t>carbon_intensity_global</t>
  </si>
  <si>
    <t>kg / kWh</t>
  </si>
  <si>
    <t>carbonfootprint.com - 2016 IEA        electricity / generation        World        kWh        electricity generation
https://ecometrica.com/assets/Electricity-specific-emission-factors-for-grid-electricity.pdf#page=20 (IEA Total 2011 = 0.540771157 kgCO2e/kWh)</t>
  </si>
  <si>
    <t>carbon_intensity_google</t>
  </si>
  <si>
    <t>ww_broadband</t>
  </si>
  <si>
    <t>global_subscriptions_DSL</t>
  </si>
  <si>
    <t>https://www.itu.int/dms_pub/itu-s/opb/pol/S-POL-BROADBAND.18-2017-PDF-E.pdf</t>
  </si>
  <si>
    <t>global_subscriptions_Cable</t>
  </si>
  <si>
    <t>global_subscriptions_Fibre</t>
  </si>
  <si>
    <t>hh_total_data</t>
  </si>
  <si>
    <t>GB</t>
  </si>
  <si>
    <t>ofcom connected nations https://www.ofcom.org.uk/__data/assets/pdf_file/0035/95876/CN-Report-2016.pdf</t>
  </si>
  <si>
    <t>seconds_per_ref</t>
  </si>
  <si>
    <t>choice</t>
  </si>
  <si>
    <t>TWh/EB</t>
  </si>
  <si>
    <t>kWh/EB</t>
  </si>
  <si>
    <t>kWh</t>
  </si>
  <si>
    <t>TWh</t>
  </si>
  <si>
    <t>kWh/GB</t>
  </si>
  <si>
    <t>Wh/MB</t>
  </si>
  <si>
    <t>Ws/MB</t>
  </si>
  <si>
    <t>J/Mb</t>
  </si>
  <si>
    <t>youtube per day</t>
  </si>
  <si>
    <t>h</t>
  </si>
  <si>
    <t>monthly youtube minutes</t>
  </si>
  <si>
    <t>TB</t>
  </si>
  <si>
    <t>EB</t>
  </si>
  <si>
    <t>Type</t>
  </si>
  <si>
    <t>Statistic</t>
  </si>
  <si>
    <t>Units</t>
  </si>
  <si>
    <t>Ref/Source Date</t>
  </si>
  <si>
    <t>Discription</t>
  </si>
  <si>
    <t xml:space="preserve">Source Name </t>
  </si>
  <si>
    <t>Source URL</t>
  </si>
  <si>
    <t>Source Notes</t>
  </si>
  <si>
    <t>Number of YouTube Users</t>
  </si>
  <si>
    <t>Users 2016</t>
  </si>
  <si>
    <t>users per year (2016)</t>
  </si>
  <si>
    <t>Number of YouTube users worldwide from 2016 to 2021</t>
  </si>
  <si>
    <t>Statistica</t>
  </si>
  <si>
    <t>https://www.statista.com/statistics/805656/number-youtube-viewers-worldwide/</t>
  </si>
  <si>
    <t>Underlying Source Unknown - need to pay</t>
  </si>
  <si>
    <t>Number of users</t>
  </si>
  <si>
    <t>amount of users</t>
  </si>
  <si>
    <t>unknown</t>
  </si>
  <si>
    <t>"Amount of Uusers"</t>
  </si>
  <si>
    <t>https://digitalcommunicationscareers.com/social-media-advertising-guide/youtube/#Intro</t>
  </si>
  <si>
    <t>visitors/month</t>
  </si>
  <si>
    <t>"Monthly visitors</t>
  </si>
  <si>
    <t xml:space="preserve">Number of YouTube Viewing Hours </t>
  </si>
  <si>
    <t>Glogal Hours of YouTube Viewing per day</t>
  </si>
  <si>
    <t>hours/day</t>
  </si>
  <si>
    <t>"viewers are watching a billion hours of its clips per day" (published 2017)</t>
  </si>
  <si>
    <t>TechCrunch</t>
  </si>
  <si>
    <t>https://techcrunch.com/2017/02/28/people-now-watch-1-billion-hours-of-youtube-per-day/?guccounter=2</t>
  </si>
  <si>
    <t>Source Google Blog - see below</t>
  </si>
  <si>
    <t>Not clear if this is for 2017 or from earlier period "And last year, we hit a big milestone on that journey: people around the world are now watching a billion hours of YouTube’s incredible content every single day!"</t>
  </si>
  <si>
    <t>Google Blog</t>
  </si>
  <si>
    <t>https://youtube.googleblog.com/2017/02/you-know-whats-cool-billion-hours.html</t>
  </si>
  <si>
    <t>Global Years of YouTube content viewed per day</t>
  </si>
  <si>
    <t>years/day</t>
  </si>
  <si>
    <t>403,000,000 hrs per day</t>
  </si>
  <si>
    <t>Venture Beat</t>
  </si>
  <si>
    <t>https://venturebeat.com/2015/10/02/facebook-v-google-in-digital-video-battle-youtube-is-11x-bigger/</t>
  </si>
  <si>
    <t>Underlying Source Unknown</t>
  </si>
  <si>
    <t>Global hours of YouTube content viewed per min</t>
  </si>
  <si>
    <t>billion hours per month</t>
  </si>
  <si>
    <t>"3.25 billion hours of video are watched on YouTube each month. Logged-in users spend an average of over an hour a day on the site." (750M hrs per day)</t>
  </si>
  <si>
    <t>YouTube Users Listening to Music</t>
  </si>
  <si>
    <t>Share of Users Using YouTube for Music</t>
  </si>
  <si>
    <t>Share of worldwide users who have accessed YouTube to listen to music as of 2017, by country</t>
  </si>
  <si>
    <t>https://www.statista.com/statistics/608622/users-who-use-youtube-music-country/</t>
  </si>
  <si>
    <t>Portion of requests on cellular networks for music</t>
  </si>
  <si>
    <t>Large Scale Characterisation
of YouTube Requests in a Cellular Network</t>
  </si>
  <si>
    <t>https://ieeexplore.ieee.org/stamp/stamp.jsp?tp=&amp;arnumber=6918954&amp;tag=1</t>
  </si>
  <si>
    <t xml:space="preserve">Percentage of YouTube views that are Music Videos </t>
  </si>
  <si>
    <t>Source marked as upated Aug 2014</t>
  </si>
  <si>
    <t>https://pando.com/2014/06/17/screwyoutube-people-are-finally-realizing-that-youtube-screws-musicians-worse-than-anybody/</t>
  </si>
  <si>
    <t xml:space="preserve">Percentage of total YouTube. views that are Music category </t>
  </si>
  <si>
    <t>pex</t>
  </si>
  <si>
    <t>https://blog.pex.com/state-of-the-youtube-address-an-overview-of-youtube-usage-and-growth-8d562d4b7fe</t>
  </si>
  <si>
    <t>Percentage of average YouTube viewers viewing time that is music (Estimate typical month)</t>
  </si>
  <si>
    <t>Calculated from various Google/YouTube sources (see source). Including https://youtube-creators.googleblog.com/2016/04/setting-record-straight.html where Google claim "Despite the billions of views music generates, the average YouTube user spends just one hour watching music on YouTube a month. Compare that to the 55 hours a month the average Spotify subscriber consumes"</t>
  </si>
  <si>
    <t>digitalmusicnews</t>
  </si>
  <si>
    <t>https://www.digitalmusicnews.com/2016/04/29/youtube-says-just-2-5-of-its-traffic-is-music-related/</t>
  </si>
  <si>
    <t>YouTube Video Upload Behaviour/Data</t>
  </si>
  <si>
    <t>hours of video uploaded to YouTube a minute</t>
  </si>
  <si>
    <t>hours of video uploaed per minute</t>
  </si>
  <si>
    <t xml:space="preserve">"400 hours of video are uploaded to YouTube each minute, or 65 years of video a day". Seems to be sourced from the same period as the 100Billion hours per day viewing </t>
  </si>
  <si>
    <t>Sourced to speach byYouTube CEO Susan Wojcicki, TubeFilter, also reported in Wall Street Journal, Mac Rumors, ... Statistica (says' 2015)</t>
  </si>
  <si>
    <t>https://www.wsj.com/articles/youtube-tops-1-billion-hours-of-video-a-day-on-pace-to-eclipse-tv-1488220851 and 
https://www.macrumors.com/2017/02/28/youtube-1-billion-hours/ and 
https://www.statista.com/statistics/259477/hours-of-video-uploaded-to-youtube-every-minute/
https://www.tubefilter.com/2015/07/26/youtube-400-hours-content-every-minute/</t>
  </si>
  <si>
    <t>Hours of video uploaded to YouTube a day (2015)</t>
  </si>
  <si>
    <t>hrs of video uploaded per day</t>
  </si>
  <si>
    <t xml:space="preserve">calculated </t>
  </si>
  <si>
    <t>Projected Hours of video uploaded to YouTube a day (Max Likely)</t>
  </si>
  <si>
    <t xml:space="preserve">Extrapolated </t>
  </si>
  <si>
    <t>http://tubularinsights.com/hours-minute-uploaded-youtube/</t>
  </si>
  <si>
    <t>Hours of video uploaded to YouTube a day (projected to 2016)</t>
  </si>
  <si>
    <t>Percentage of hours uploaded to downloaded (2015 upload / 2016 download)</t>
  </si>
  <si>
    <t>2015 Vs 2016</t>
  </si>
  <si>
    <t>Percentage of hours uploaded to downloaded (2016 upload projection / 2016 download)</t>
  </si>
  <si>
    <t>YouTube Mobile Device Viewing</t>
  </si>
  <si>
    <t>YouTube views from mobile (Global)</t>
  </si>
  <si>
    <t>More than 60% of YouTube's views come from mobile</t>
  </si>
  <si>
    <t>ThinkWithGoogle</t>
  </si>
  <si>
    <t>YouTube Internal, Global 2016</t>
  </si>
  <si>
    <t>Percentage of USA viewers who use mobile devices to watch YouTube at home</t>
  </si>
  <si>
    <t>https://www.thinkwithgoogle.com/consumer-insights/youtube-television-online-video-consumption/</t>
  </si>
  <si>
    <t>Percentage of YouTube videos are watched on mobile devices (May be just UK)</t>
  </si>
  <si>
    <t>"nearly 70% of all YouTube videos are watched on mobile devices"</t>
  </si>
  <si>
    <t>businessincider</t>
  </si>
  <si>
    <t>http://uk.businessinsider.com/comscore-adds-youtube-mobile-metrics-2017-2?utm_source=feedly&amp;amp;utm_medium=referral&amp;r=US&amp;IR=T</t>
  </si>
  <si>
    <t>Looks like the source is COMSCORE</t>
  </si>
  <si>
    <t>Percentage of YouTube viewing on Mobile Devices (UK)</t>
  </si>
  <si>
    <t>comscore</t>
  </si>
  <si>
    <t>https://www.comscore.com/Insights/Infographics/Unlocking-Mobile-Measurement-for-YouTube-in-the-UK</t>
  </si>
  <si>
    <t>Percentage of YouTube viewing on Mobile Devices (USA)</t>
  </si>
  <si>
    <t>https://www.comscore.com/Insights/Infographics/Unlocking-Mobile-Measurement-for-YouTube-in-the-US</t>
  </si>
  <si>
    <t>Overall video traffic in cellular networks</t>
  </si>
  <si>
    <t>Ericsson</t>
  </si>
  <si>
    <t>https://www.ericsson.com/en/mobility-report/mobile-traffic-by-application-category2</t>
  </si>
  <si>
    <t>Share youTube of video in cellular networks</t>
  </si>
  <si>
    <t>between 40-70%, depending on the country</t>
  </si>
  <si>
    <t>Total cellular DV</t>
  </si>
  <si>
    <t>Total cellular youtube DV</t>
  </si>
  <si>
    <t>EB/year?</t>
  </si>
  <si>
    <t>YouTube Consumer Behaviour</t>
  </si>
  <si>
    <t>USA YouTube and TV Viewing Behavours</t>
  </si>
  <si>
    <t>Various</t>
  </si>
  <si>
    <t>YouTube on TV or TV on YouTube? The blurred lines of online video consumption</t>
  </si>
  <si>
    <t>T-Mobile Binge On includes YouTube (does not count towards data vol limits)</t>
  </si>
  <si>
    <t>https://variety.com/2016/digital/news/t-mobile-youtube-videos-data-usage-caps-binge-on-1201732590/</t>
  </si>
  <si>
    <t>USA YouTube Percentage of Internet Traffic due to YouTube</t>
  </si>
  <si>
    <t>18.7% if only downstream</t>
  </si>
  <si>
    <t>Sandvine?</t>
  </si>
  <si>
    <t>Device Share</t>
  </si>
  <si>
    <t>MOBILE NETWORK DEVICE SHARE</t>
  </si>
  <si>
    <t>Global Mobile Traffic % - Smart Phone</t>
  </si>
  <si>
    <t>Cisco</t>
  </si>
  <si>
    <t>Global Mobile Traffic % - Tablets</t>
  </si>
  <si>
    <t xml:space="preserve">Global Mobile Traffic % - PCs </t>
  </si>
  <si>
    <t>Global Mobile Traffic % - Other (e.g. M2M 2%, non-smart phones 2%)</t>
  </si>
  <si>
    <t xml:space="preserve">DEVICE SHARE BY VIEWING DURATION YOUTUBE </t>
  </si>
  <si>
    <t>Device Share by viewing duration - SmartPhone</t>
  </si>
  <si>
    <t>Uncertain</t>
  </si>
  <si>
    <t xml:space="preserve">Drawn from multiple sources - [1]61%, [1]44% </t>
  </si>
  <si>
    <t xml:space="preserve">[1] 2015 Quora - https://www.quora.com/Approximately-what-percentage-of-YouTube-views-are-from-TVs-as-opposed-to-desktop-computers-or-mobile-devices
</t>
  </si>
  <si>
    <t>Device Share by viewing duration - Tablet</t>
  </si>
  <si>
    <t xml:space="preserve">Drawn from multiple sources - [1]24%, [1]28% </t>
  </si>
  <si>
    <t>Device Share by viewing duration - PC</t>
  </si>
  <si>
    <t xml:space="preserve">Drawn from multiple sources - [1]15%, [1]23% </t>
  </si>
  <si>
    <t>Device Share by viewing duration - Games Console</t>
  </si>
  <si>
    <t xml:space="preserve">Drawn from multiple sources - [1]0.6%, [1]4.0% </t>
  </si>
  <si>
    <t>Device Share by viewing duration - TV</t>
  </si>
  <si>
    <t xml:space="preserve">Drawn from multiple sources - [1]0.2%, [1]0.5% </t>
  </si>
  <si>
    <t>Device Share by viewing duration - Other</t>
  </si>
  <si>
    <t xml:space="preserve">Drawn from multiple sources - [1]0.6%, [1]0.4% </t>
  </si>
  <si>
    <t>YouTube CDN/GGC</t>
  </si>
  <si>
    <t># of PoPs</t>
  </si>
  <si>
    <t>Video Quality Report</t>
  </si>
  <si>
    <t>https://www.google.co.uk/get/videoqualityreport/</t>
  </si>
  <si>
    <t>Internet Video Data Volumes</t>
  </si>
  <si>
    <t>NOTE defn. of Consumer IP Traffic</t>
  </si>
  <si>
    <t>"Consumer: Includes fixed IP traffic generated by households, university populations, and Internet cafés"</t>
  </si>
  <si>
    <t>CISCO</t>
  </si>
  <si>
    <t>https://www.cisco.com/c/en/us/solutions/collateral/service-provider/visual-networking-index-vni/complete-white-paper-c11-481360.pdf</t>
  </si>
  <si>
    <t>TOTAL IP traffic (Global)</t>
  </si>
  <si>
    <t>PB per Month</t>
  </si>
  <si>
    <t>Cisco Visual Networking Index: Forecast and Methodology, 2016–2021</t>
  </si>
  <si>
    <t>Total Consumer IP traffic (Global)</t>
  </si>
  <si>
    <t>Total Consumer Internet Video Data Volume (Global)</t>
  </si>
  <si>
    <t>Caculated percentage video of all IP traffic</t>
  </si>
  <si>
    <t>Total Consumer Internet Video Data Volume over Cellular Networks (Global)</t>
  </si>
  <si>
    <t>Total Consumer Internet Video Data Volume to TV (Global)</t>
  </si>
  <si>
    <t>% of Consumer Internet Video Data Volume on Mobile Networks (Global)</t>
  </si>
  <si>
    <t>(mean monthly)</t>
  </si>
  <si>
    <t>TOTAL Mobile IP traffic (Global)</t>
  </si>
  <si>
    <t xml:space="preserve">Calculated % of mobile IP traffic that is video </t>
  </si>
  <si>
    <t>Calculated mobile IP traffic data volume allocated to Youtube (assume 55% share of all cellular traffic is due to youtube traffic - Ericsson above)</t>
  </si>
  <si>
    <t>EB/year</t>
  </si>
  <si>
    <t>Cisco Mobile Cellular Traffic (per year)</t>
  </si>
  <si>
    <t xml:space="preserve">% of mobile Mobile traffic that is video </t>
  </si>
  <si>
    <t>mean yearly</t>
  </si>
  <si>
    <t>"Mobile video traffic accounted for 60 percent of total mobile data traffic in 2016. Mobile video traffic now accounts for more than half of all mobile data traffic."</t>
  </si>
  <si>
    <t>https://www.cisco.com/c/en/us/solutions/collateral/service-provider/visual-networking-index-vni/mobile-white-paper-c11-520862.html</t>
  </si>
  <si>
    <t xml:space="preserve">Global mobile data traffic </t>
  </si>
  <si>
    <t>exabytes per month</t>
  </si>
  <si>
    <t>end 2016</t>
  </si>
  <si>
    <t>Mobile data traffic were offloaded onto the fixed network (WiFi and FemtoCell)</t>
  </si>
  <si>
    <t>“Mobile offload exceeded cellular traffic by a significant margin in 2016. Sixty percent of total mobile data traffic was offloaded onto the fixed network through Wi-Fi or femtocell in 2016. In total, 10.7 exabytes of mobile data traffic were offloaded onto the fixed network each month.”</t>
  </si>
  <si>
    <t xml:space="preserve">Percent of total mobile data traffic was offloaded onto the fixed network through Wi-Fi or femtocell </t>
  </si>
  <si>
    <t>Calculated total Mobile Device (Cellular and Fixed Network)</t>
  </si>
  <si>
    <t>Bitrate</t>
  </si>
  <si>
    <t>According to Finamore et al. in [14], YouTube mobile users:
(i) similarly to non-mobile users, they prefer short videos
(40% of the watched videos are shorter than three minutes,
and only 5% are longer than ten minutes); (ii) similarly to
non-mobile users, they rarely change video resolution and,
whenever they do that, it is to switch to a higher resolution
(although full screen mode is not frequently used); and
(iii) more frequently than non-mobile users, they early stop
watching the video (within the first fifth of its duration for
60% of the videos).</t>
  </si>
  <si>
    <t>The Dark Side(-Channel) of Mobile Devices:
A Survey on Network Traffic Analysis</t>
  </si>
  <si>
    <t>https://dl.acm.org/citation.cfm?id=2068849
https://ieeexplore.ieee.org/stamp/stamp.jsp?tp=&amp;arnumber=8371242</t>
  </si>
  <si>
    <t>Calculated mean bit rate overall based simple 1Bhrs/day and 17% of traffic (USA mean)</t>
  </si>
  <si>
    <t>hrs youtube viewing per day</t>
  </si>
  <si>
    <t>seconds of youtube viewing /day</t>
  </si>
  <si>
    <t>Total Global IP Traffic PB/Month</t>
  </si>
  <si>
    <t>total bits global IP traffic/month</t>
  </si>
  <si>
    <t>total bits/day</t>
  </si>
  <si>
    <t>YouTube bits/day</t>
  </si>
  <si>
    <t>b/s</t>
  </si>
  <si>
    <t>kb/s</t>
  </si>
  <si>
    <t>Calculated if we take Mobile Only (Ericsson)</t>
  </si>
  <si>
    <t xml:space="preserve">EB/year YouTube Cellular Estimate from Ericsson </t>
  </si>
  <si>
    <t xml:space="preserve">b/year YouTube Cellular Estimate from Ericsson </t>
  </si>
  <si>
    <t xml:space="preserve">b/day YouTube Cellular Estimate from Ericsson </t>
  </si>
  <si>
    <t xml:space="preserve">Implies </t>
  </si>
  <si>
    <t>% mobile network viewing /overall youtube data volumes</t>
  </si>
  <si>
    <t>Assume</t>
  </si>
  <si>
    <t>% of YouTube viewing on Mobile Platforms</t>
  </si>
  <si>
    <t>b/day YouTube on Mobile Platforms All Networks (CISCO)</t>
  </si>
  <si>
    <t>b/day YouTube over Cellular Mobile (Ericsson)</t>
  </si>
  <si>
    <t>Therefore</t>
  </si>
  <si>
    <t xml:space="preserve">% of data volume Cellular / Total viewing on Mobile Platforms - Calculated (from Ericsson calc. data volume) </t>
  </si>
  <si>
    <t xml:space="preserve">% of data volume Cellular / Total viewing on Mobile Platforms - Calculated (from Cisco calc. data volume) </t>
  </si>
  <si>
    <t>Reality Check - assuming Cisco mobile offload stats</t>
  </si>
  <si>
    <t>If 60% of total mobile data traffic was offloaded onto the fixed network through Wi-Fi or femtocell in 2016 (see above and if that means from smartphones) &amp; 80% of mobile network use is smartphones (see above again)</t>
  </si>
  <si>
    <t>Approx % of mobile traffic on Smarthones would be via Celluar Networks
and I THINK need to confirm - about 90% of YouTube mobile device viewing is on SmartPhones</t>
  </si>
  <si>
    <t>\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</si>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</sst>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_-* #,##0.00000_-;\-* #,##0.00000_-;_-* &quot;-&quot;??_-;_-@"/>
    <numFmt numFmtId="165" formatCode="_-* #,##0.000000_-;\-* #,##0.000000_-;_-* &quot;-&quot;??_-;_-@"/>
    <numFmt numFmtId="166" formatCode="yyyy\-mm\-dd\ hh:mm:ss"/>
    <numFmt numFmtId="167" formatCode="#,##0.00000"/>
    <numFmt numFmtId="168" formatCode="_-* #,##0.00_-;\-* #,##0.00_-;_-* &quot;-&quot;??_-;_-@"/>
    <numFmt numFmtId="169" formatCode="??0.0?????"/>
    <numFmt numFmtId="170" formatCode="d/m/yyyy"/>
    <numFmt numFmtId="171" formatCode="0.0%"/>
    <numFmt numFmtId="172" formatCode="m/d/yyyy"/>
    <numFmt numFmtId="173" formatCode="_(* #,##0.000000_);_(* \(#,##0.000000\);_(* &quot;-&quot;??_);_(@_)"/>
    <numFmt numFmtId="174" formatCode="#,##0;\(#,##0\)"/>
    <numFmt numFmtId="175" formatCode="#,##0.000"/>
  </numFmts>
  <fonts count="26">
    <font>
      <sz val="12"/>
      <color rgb="FF000000"/>
      <name val="Calibri"/>
    </font>
    <font>
      <sz val="10"/>
      <color rgb="FF000000"/>
      <name val="Calibri"/>
    </font>
    <font>
      <sz val="12"/>
      <name val="Calibri"/>
    </font>
    <font>
      <sz val="10"/>
      <name val="Calibri"/>
    </font>
    <font>
      <b/>
      <sz val="12"/>
      <color rgb="FF000000"/>
      <name val="Calibri"/>
    </font>
    <font>
      <u/>
      <sz val="10"/>
      <color rgb="FF0000FF"/>
      <name val="Calibri"/>
    </font>
    <font>
      <sz val="10"/>
      <color rgb="FF008080"/>
      <name val="Menlo"/>
    </font>
    <font>
      <sz val="10"/>
      <color rgb="FF6897BB"/>
      <name val="Menlo"/>
    </font>
    <font>
      <sz val="10"/>
      <color rgb="FF808080"/>
      <name val="Menlo"/>
    </font>
    <font>
      <b/>
      <sz val="10"/>
      <name val="Calibri"/>
    </font>
    <font>
      <sz val="11"/>
      <color rgb="FF002060"/>
      <name val="Calibri"/>
    </font>
    <font>
      <u/>
      <sz val="10"/>
      <color rgb="FF000000"/>
      <name val="Calibri"/>
    </font>
    <font>
      <sz val="10"/>
      <name val="Calibri"/>
    </font>
    <font>
      <sz val="10"/>
      <color rgb="FFBFBFBF"/>
      <name val="Calibri"/>
    </font>
    <font>
      <u/>
      <sz val="10"/>
      <color rgb="FFBFBFBF"/>
      <name val="Calibri"/>
    </font>
    <font>
      <sz val="10"/>
      <color rgb="FF212121"/>
      <name val="Helvetica Neue"/>
    </font>
    <font>
      <i/>
      <sz val="10"/>
      <color rgb="FF999999"/>
      <name val="Calibri"/>
    </font>
    <font>
      <u/>
      <sz val="10"/>
      <color rgb="FF0000FF"/>
      <name val="Calibri"/>
    </font>
    <font>
      <u/>
      <sz val="10"/>
      <color rgb="FF000000"/>
      <name val="Calibri"/>
    </font>
    <font>
      <sz val="11"/>
      <color rgb="FF333333"/>
      <name val="&quot;Open Sans&quot;"/>
    </font>
    <font>
      <sz val="10"/>
      <color rgb="FF000000"/>
      <name val="-webkit-standard"/>
    </font>
    <font>
      <sz val="14"/>
      <color rgb="FF000000"/>
      <name val="Arial"/>
    </font>
    <font>
      <b/>
      <sz val="12"/>
      <name val="Calibri"/>
    </font>
    <font>
      <u/>
      <sz val="12"/>
      <color rgb="FF0000FF"/>
      <name val="Calibri"/>
    </font>
    <font>
      <u/>
      <sz val="12"/>
      <color rgb="FF000000"/>
      <name val="Calibri"/>
    </font>
    <font>
      <i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76923C"/>
        <bgColor rgb="FF76923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1FAF1"/>
        <bgColor rgb="FFF1FAF1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/>
    <xf numFmtId="0" fontId="1" fillId="0" borderId="0" xfId="0" applyFont="1" applyAlignment="1">
      <alignment vertical="top"/>
    </xf>
    <xf numFmtId="11" fontId="2" fillId="0" borderId="0" xfId="0" applyNumberFormat="1" applyFont="1" applyAlignment="1"/>
    <xf numFmtId="0" fontId="3" fillId="0" borderId="0" xfId="0" applyFont="1" applyAlignment="1">
      <alignment vertical="top"/>
    </xf>
    <xf numFmtId="0" fontId="4" fillId="2" borderId="1" xfId="0" applyFont="1" applyFill="1" applyBorder="1" applyAlignment="1"/>
    <xf numFmtId="11" fontId="1" fillId="0" borderId="0" xfId="0" applyNumberFormat="1" applyFont="1" applyAlignment="1">
      <alignment vertical="top"/>
    </xf>
    <xf numFmtId="0" fontId="0" fillId="2" borderId="1" xfId="0" applyFont="1" applyFill="1" applyBorder="1" applyAlignment="1"/>
    <xf numFmtId="11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3" borderId="1" xfId="0" applyFont="1" applyFill="1" applyBorder="1" applyAlignment="1">
      <alignment vertical="top"/>
    </xf>
    <xf numFmtId="14" fontId="1" fillId="0" borderId="2" xfId="0" applyNumberFormat="1" applyFont="1" applyBorder="1" applyAlignment="1">
      <alignment vertical="top"/>
    </xf>
    <xf numFmtId="0" fontId="4" fillId="0" borderId="0" xfId="0" applyFont="1" applyAlignment="1"/>
    <xf numFmtId="0" fontId="5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0" fontId="1" fillId="4" borderId="1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11" fontId="7" fillId="0" borderId="0" xfId="0" applyNumberFormat="1" applyFont="1" applyAlignment="1">
      <alignment vertical="top"/>
    </xf>
    <xf numFmtId="0" fontId="1" fillId="5" borderId="1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9" fillId="3" borderId="3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horizontal="right" vertical="top"/>
    </xf>
    <xf numFmtId="0" fontId="1" fillId="3" borderId="5" xfId="0" applyFont="1" applyFill="1" applyBorder="1" applyAlignment="1">
      <alignment horizontal="right" vertical="top"/>
    </xf>
    <xf numFmtId="0" fontId="1" fillId="5" borderId="1" xfId="0" applyFont="1" applyFill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167" fontId="1" fillId="0" borderId="0" xfId="0" applyNumberFormat="1" applyFont="1" applyAlignment="1">
      <alignment vertical="top"/>
    </xf>
    <xf numFmtId="3" fontId="0" fillId="0" borderId="0" xfId="0" applyNumberFormat="1" applyFont="1" applyAlignment="1"/>
    <xf numFmtId="0" fontId="3" fillId="0" borderId="0" xfId="0" applyFont="1"/>
    <xf numFmtId="0" fontId="0" fillId="0" borderId="0" xfId="0" applyFont="1" applyAlignment="1">
      <alignment wrapText="1"/>
    </xf>
    <xf numFmtId="11" fontId="1" fillId="0" borderId="0" xfId="0" applyNumberFormat="1" applyFont="1" applyAlignment="1">
      <alignment vertical="top"/>
    </xf>
    <xf numFmtId="14" fontId="1" fillId="0" borderId="0" xfId="0" applyNumberFormat="1" applyFont="1" applyAlignment="1">
      <alignment vertical="top"/>
    </xf>
    <xf numFmtId="11" fontId="1" fillId="0" borderId="0" xfId="0" applyNumberFormat="1" applyFont="1" applyAlignment="1">
      <alignment vertical="top"/>
    </xf>
    <xf numFmtId="4" fontId="1" fillId="0" borderId="0" xfId="0" applyNumberFormat="1" applyFont="1" applyAlignment="1">
      <alignment vertical="top"/>
    </xf>
    <xf numFmtId="43" fontId="0" fillId="0" borderId="0" xfId="0" applyNumberFormat="1" applyFont="1" applyAlignment="1"/>
    <xf numFmtId="0" fontId="1" fillId="6" borderId="1" xfId="0" applyFont="1" applyFill="1" applyBorder="1" applyAlignment="1">
      <alignment vertical="top"/>
    </xf>
    <xf numFmtId="11" fontId="0" fillId="0" borderId="0" xfId="0" applyNumberFormat="1" applyFont="1" applyAlignment="1"/>
    <xf numFmtId="168" fontId="0" fillId="0" borderId="0" xfId="0" applyNumberFormat="1" applyFont="1" applyAlignment="1"/>
    <xf numFmtId="0" fontId="1" fillId="0" borderId="6" xfId="0" applyFont="1" applyBorder="1" applyAlignment="1">
      <alignment vertical="top"/>
    </xf>
    <xf numFmtId="169" fontId="10" fillId="0" borderId="7" xfId="0" applyNumberFormat="1" applyFont="1" applyBorder="1" applyAlignment="1">
      <alignment horizontal="center"/>
    </xf>
    <xf numFmtId="0" fontId="11" fillId="0" borderId="0" xfId="0" applyFont="1" applyAlignment="1">
      <alignment vertical="top"/>
    </xf>
    <xf numFmtId="169" fontId="0" fillId="0" borderId="0" xfId="0" applyNumberFormat="1" applyFont="1" applyAlignment="1"/>
    <xf numFmtId="0" fontId="1" fillId="7" borderId="1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12" fillId="5" borderId="1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170" fontId="13" fillId="0" borderId="0" xfId="0" applyNumberFormat="1" applyFont="1" applyAlignment="1">
      <alignment vertical="top"/>
    </xf>
    <xf numFmtId="0" fontId="14" fillId="0" borderId="0" xfId="0" applyFont="1" applyAlignment="1">
      <alignment vertical="top"/>
    </xf>
    <xf numFmtId="171" fontId="1" fillId="8" borderId="1" xfId="0" applyNumberFormat="1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170" fontId="1" fillId="0" borderId="0" xfId="0" applyNumberFormat="1" applyFont="1" applyAlignment="1">
      <alignment vertical="top"/>
    </xf>
    <xf numFmtId="3" fontId="1" fillId="6" borderId="0" xfId="0" applyNumberFormat="1" applyFont="1" applyFill="1" applyAlignment="1">
      <alignment vertical="top"/>
    </xf>
    <xf numFmtId="43" fontId="1" fillId="6" borderId="0" xfId="0" applyNumberFormat="1" applyFont="1" applyFill="1" applyAlignment="1">
      <alignment vertical="top"/>
    </xf>
    <xf numFmtId="0" fontId="1" fillId="6" borderId="1" xfId="0" applyFont="1" applyFill="1" applyBorder="1" applyAlignment="1">
      <alignment vertical="top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10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8" fillId="0" borderId="0" xfId="0" applyFont="1" applyAlignment="1">
      <alignment vertical="top"/>
    </xf>
    <xf numFmtId="9" fontId="1" fillId="0" borderId="0" xfId="0" applyNumberFormat="1" applyFont="1" applyAlignment="1">
      <alignment horizontal="right" vertical="top"/>
    </xf>
    <xf numFmtId="171" fontId="1" fillId="0" borderId="0" xfId="0" applyNumberFormat="1" applyFont="1" applyAlignment="1">
      <alignment horizontal="right" vertical="top"/>
    </xf>
    <xf numFmtId="0" fontId="1" fillId="9" borderId="0" xfId="0" applyFont="1" applyFill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0" fontId="19" fillId="10" borderId="0" xfId="0" applyFont="1" applyFill="1" applyAlignment="1"/>
    <xf numFmtId="0" fontId="20" fillId="0" borderId="0" xfId="0" applyFont="1" applyAlignment="1">
      <alignment vertical="top"/>
    </xf>
    <xf numFmtId="172" fontId="1" fillId="0" borderId="0" xfId="0" applyNumberFormat="1" applyFont="1" applyAlignment="1">
      <alignment vertical="top"/>
    </xf>
    <xf numFmtId="173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11" fontId="0" fillId="0" borderId="0" xfId="0" applyNumberFormat="1" applyFont="1" applyAlignment="1"/>
    <xf numFmtId="11" fontId="21" fillId="9" borderId="0" xfId="0" applyNumberFormat="1" applyFont="1" applyFill="1" applyAlignment="1"/>
    <xf numFmtId="0" fontId="22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vertical="top"/>
    </xf>
    <xf numFmtId="0" fontId="23" fillId="0" borderId="0" xfId="0" applyFont="1" applyAlignment="1">
      <alignment vertical="top"/>
    </xf>
    <xf numFmtId="9" fontId="2" fillId="0" borderId="0" xfId="0" applyNumberFormat="1" applyFont="1" applyAlignment="1">
      <alignment vertical="top"/>
    </xf>
    <xf numFmtId="10" fontId="2" fillId="0" borderId="0" xfId="0" applyNumberFormat="1" applyFont="1" applyAlignment="1">
      <alignment vertical="top"/>
    </xf>
    <xf numFmtId="0" fontId="24" fillId="9" borderId="0" xfId="0" applyFont="1" applyFill="1" applyAlignment="1">
      <alignment horizontal="left"/>
    </xf>
    <xf numFmtId="0" fontId="2" fillId="0" borderId="0" xfId="0" applyFont="1" applyAlignment="1">
      <alignment vertical="top" wrapText="1"/>
    </xf>
    <xf numFmtId="10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174" fontId="2" fillId="0" borderId="0" xfId="0" applyNumberFormat="1" applyFont="1" applyAlignment="1">
      <alignment vertical="top"/>
    </xf>
    <xf numFmtId="175" fontId="2" fillId="0" borderId="0" xfId="0" applyNumberFormat="1" applyFont="1" applyAlignment="1">
      <alignment vertical="top"/>
    </xf>
    <xf numFmtId="9" fontId="2" fillId="0" borderId="0" xfId="0" applyNumberFormat="1" applyFont="1" applyAlignment="1"/>
    <xf numFmtId="175" fontId="2" fillId="0" borderId="0" xfId="0" applyNumberFormat="1" applyFont="1"/>
    <xf numFmtId="3" fontId="2" fillId="0" borderId="0" xfId="0" applyNumberFormat="1" applyFont="1" applyAlignment="1">
      <alignment vertical="top"/>
    </xf>
    <xf numFmtId="3" fontId="22" fillId="0" borderId="0" xfId="0" applyNumberFormat="1" applyFont="1" applyAlignment="1">
      <alignment vertical="top"/>
    </xf>
    <xf numFmtId="174" fontId="2" fillId="0" borderId="0" xfId="0" applyNumberFormat="1" applyFont="1"/>
    <xf numFmtId="0" fontId="2" fillId="0" borderId="0" xfId="0" applyFont="1" applyAlignment="1">
      <alignment horizontal="right" vertical="top"/>
    </xf>
    <xf numFmtId="4" fontId="2" fillId="0" borderId="0" xfId="0" applyNumberFormat="1" applyFont="1" applyAlignment="1">
      <alignment vertical="top"/>
    </xf>
    <xf numFmtId="171" fontId="2" fillId="0" borderId="0" xfId="0" applyNumberFormat="1" applyFont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sz val="11"/>
        <color rgb="FF9C0006"/>
        <name val="Calibri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itu.int/dms_pub/itu-s/opb/pol/S-POL-BROADBAND.18-2017-PDF-E.pdf" TargetMode="External"/><Relationship Id="rId1" Type="http://schemas.openxmlformats.org/officeDocument/2006/relationships/hyperlink" Target="https://www.thinkwithgoogle.com/data/youtube-views-from-mobile/" TargetMode="Externa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tubularinsights.com/hours-minute-uploaded-youtube/" TargetMode="External"/><Relationship Id="rId18" Type="http://schemas.openxmlformats.org/officeDocument/2006/relationships/hyperlink" Target="https://www.comscore.com/Insights/Infographics/Unlocking-Mobile-Measurement-for-YouTube-in-the-US" TargetMode="External"/><Relationship Id="rId26" Type="http://schemas.openxmlformats.org/officeDocument/2006/relationships/hyperlink" Target="https://www.cisco.com/c/en/us/solutions/collateral/service-provider/visual-networking-index-vni/complete-white-paper-c11-481360.pdf" TargetMode="External"/><Relationship Id="rId3" Type="http://schemas.openxmlformats.org/officeDocument/2006/relationships/hyperlink" Target="https://digitalcommunicationscareers.com/social-media-advertising-guide/youtube/" TargetMode="External"/><Relationship Id="rId21" Type="http://schemas.openxmlformats.org/officeDocument/2006/relationships/hyperlink" Target="https://www.ericsson.com/en/mobility-report/mobile-traffic-by-application-category2" TargetMode="External"/><Relationship Id="rId34" Type="http://schemas.openxmlformats.org/officeDocument/2006/relationships/hyperlink" Target="https://www.cisco.com/c/en/us/solutions/collateral/service-provider/visual-networking-index-vni/mobile-white-paper-c11-520862.html" TargetMode="External"/><Relationship Id="rId7" Type="http://schemas.openxmlformats.org/officeDocument/2006/relationships/hyperlink" Target="https://digitalcommunicationscareers.com/social-media-advertising-guide/youtube/" TargetMode="External"/><Relationship Id="rId12" Type="http://schemas.openxmlformats.org/officeDocument/2006/relationships/hyperlink" Target="https://www.digitalmusicnews.com/2016/04/29/youtube-says-just-2-5-of-its-traffic-is-music-related/" TargetMode="External"/><Relationship Id="rId17" Type="http://schemas.openxmlformats.org/officeDocument/2006/relationships/hyperlink" Target="https://www.comscore.com/Insights/Infographics/Unlocking-Mobile-Measurement-for-YouTube-in-the-UK" TargetMode="External"/><Relationship Id="rId25" Type="http://schemas.openxmlformats.org/officeDocument/2006/relationships/hyperlink" Target="https://www.cisco.com/c/en/us/solutions/collateral/service-provider/visual-networking-index-vni/complete-white-paper-c11-481360.pdf" TargetMode="External"/><Relationship Id="rId33" Type="http://schemas.openxmlformats.org/officeDocument/2006/relationships/hyperlink" Target="https://www.cisco.com/c/en/us/solutions/collateral/service-provider/visual-networking-index-vni/mobile-white-paper-c11-520862.html" TargetMode="External"/><Relationship Id="rId2" Type="http://schemas.openxmlformats.org/officeDocument/2006/relationships/hyperlink" Target="https://digitalcommunicationscareers.com/social-media-advertising-guide/youtube/" TargetMode="External"/><Relationship Id="rId16" Type="http://schemas.openxmlformats.org/officeDocument/2006/relationships/hyperlink" Target="http://uk.businessinsider.com/comscore-adds-youtube-mobile-metrics-2017-2?utm_source=feedly&amp;amp;utm_medium=referral&amp;r=US&amp;IR=T" TargetMode="External"/><Relationship Id="rId20" Type="http://schemas.openxmlformats.org/officeDocument/2006/relationships/hyperlink" Target="https://www.ericsson.com/en/mobility-report/mobile-traffic-by-application-category2" TargetMode="External"/><Relationship Id="rId29" Type="http://schemas.openxmlformats.org/officeDocument/2006/relationships/hyperlink" Target="https://www.cisco.com/c/en/us/solutions/collateral/service-provider/visual-networking-index-vni/complete-white-paper-c11-481360.pdf" TargetMode="External"/><Relationship Id="rId1" Type="http://schemas.openxmlformats.org/officeDocument/2006/relationships/hyperlink" Target="https://www.statista.com/statistics/805656/number-youtube-viewers-worldwide/" TargetMode="External"/><Relationship Id="rId6" Type="http://schemas.openxmlformats.org/officeDocument/2006/relationships/hyperlink" Target="https://venturebeat.com/2015/10/02/facebook-v-google-in-digital-video-battle-youtube-is-11x-bigger/" TargetMode="External"/><Relationship Id="rId11" Type="http://schemas.openxmlformats.org/officeDocument/2006/relationships/hyperlink" Target="https://blog.pex.com/state-of-the-youtube-address-an-overview-of-youtube-usage-and-growth-8d562d4b7fe" TargetMode="External"/><Relationship Id="rId24" Type="http://schemas.openxmlformats.org/officeDocument/2006/relationships/hyperlink" Target="https://www.google.co.uk/get/videoqualityreport/" TargetMode="External"/><Relationship Id="rId32" Type="http://schemas.openxmlformats.org/officeDocument/2006/relationships/hyperlink" Target="https://www.cisco.com/c/en/us/solutions/collateral/service-provider/visual-networking-index-vni/mobile-white-paper-c11-520862.html" TargetMode="External"/><Relationship Id="rId5" Type="http://schemas.openxmlformats.org/officeDocument/2006/relationships/hyperlink" Target="https://youtube.googleblog.com/2017/02/you-know-whats-cool-billion-hours.html" TargetMode="External"/><Relationship Id="rId15" Type="http://schemas.openxmlformats.org/officeDocument/2006/relationships/hyperlink" Target="https://www.thinkwithgoogle.com/consumer-insights/youtube-television-online-video-consumption/" TargetMode="External"/><Relationship Id="rId23" Type="http://schemas.openxmlformats.org/officeDocument/2006/relationships/hyperlink" Target="https://variety.com/2016/digital/news/t-mobile-youtube-videos-data-usage-caps-binge-on-1201732590/" TargetMode="External"/><Relationship Id="rId28" Type="http://schemas.openxmlformats.org/officeDocument/2006/relationships/hyperlink" Target="https://www.cisco.com/c/en/us/solutions/collateral/service-provider/visual-networking-index-vni/complete-white-paper-c11-481360.pdf" TargetMode="External"/><Relationship Id="rId10" Type="http://schemas.openxmlformats.org/officeDocument/2006/relationships/hyperlink" Target="https://pando.com/2014/06/17/screwyoutube-people-are-finally-realizing-that-youtube-screws-musicians-worse-than-anybody/" TargetMode="External"/><Relationship Id="rId19" Type="http://schemas.openxmlformats.org/officeDocument/2006/relationships/hyperlink" Target="https://www.ericsson.com/en/mobility-report/mobile-traffic-by-application-category2" TargetMode="External"/><Relationship Id="rId31" Type="http://schemas.openxmlformats.org/officeDocument/2006/relationships/hyperlink" Target="https://www.cisco.com/c/en/us/solutions/collateral/service-provider/visual-networking-index-vni/complete-white-paper-c11-481360.pdf" TargetMode="External"/><Relationship Id="rId4" Type="http://schemas.openxmlformats.org/officeDocument/2006/relationships/hyperlink" Target="https://techcrunch.com/2017/02/28/people-now-watch-1-billion-hours-of-youtube-per-day/?guccounter=2" TargetMode="External"/><Relationship Id="rId9" Type="http://schemas.openxmlformats.org/officeDocument/2006/relationships/hyperlink" Target="https://ieeexplore.ieee.org/stamp/stamp.jsp?tp=&amp;arnumber=6918954&amp;tag=1" TargetMode="External"/><Relationship Id="rId14" Type="http://schemas.openxmlformats.org/officeDocument/2006/relationships/hyperlink" Target="https://www.thinkwithgoogle.com/data/youtube-views-from-mobile/" TargetMode="External"/><Relationship Id="rId22" Type="http://schemas.openxmlformats.org/officeDocument/2006/relationships/hyperlink" Target="https://www.thinkwithgoogle.com/consumer-insights/youtube-television-online-video-consumption/" TargetMode="External"/><Relationship Id="rId27" Type="http://schemas.openxmlformats.org/officeDocument/2006/relationships/hyperlink" Target="https://www.cisco.com/c/en/us/solutions/collateral/service-provider/visual-networking-index-vni/complete-white-paper-c11-481360.pdf" TargetMode="External"/><Relationship Id="rId30" Type="http://schemas.openxmlformats.org/officeDocument/2006/relationships/hyperlink" Target="https://www.cisco.com/c/en/us/solutions/collateral/service-provider/visual-networking-index-vni/complete-white-paper-c11-481360.pdf" TargetMode="External"/><Relationship Id="rId35" Type="http://schemas.openxmlformats.org/officeDocument/2006/relationships/hyperlink" Target="https://www.cisco.com/c/en/us/solutions/collateral/service-provider/visual-networking-index-vni/mobile-white-paper-c11-520862.html" TargetMode="External"/><Relationship Id="rId8" Type="http://schemas.openxmlformats.org/officeDocument/2006/relationships/hyperlink" Target="https://www.statista.com/statistics/608622/users-who-use-youtube-music-coun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4" ht="15.75" customHeight="1">
      <c r="A1" s="1" t="s">
        <v>0</v>
      </c>
      <c r="B1" s="1" t="s">
        <v>3</v>
      </c>
      <c r="C1" s="1" t="s">
        <v>4</v>
      </c>
    </row>
    <row r="2" spans="1:4" ht="15.75" customHeight="1">
      <c r="A2" s="2" t="s">
        <v>5</v>
      </c>
      <c r="B2" s="2" t="s">
        <v>6</v>
      </c>
      <c r="C2" s="2" t="s">
        <v>7</v>
      </c>
    </row>
    <row r="3" spans="1:4" ht="15.75" customHeight="1">
      <c r="A3" s="4" t="s">
        <v>8</v>
      </c>
      <c r="B3" s="4" t="s">
        <v>6</v>
      </c>
      <c r="C3" s="4" t="s">
        <v>16</v>
      </c>
    </row>
    <row r="4" spans="1:4" ht="15.75" customHeight="1"/>
    <row r="5" spans="1:4" ht="15.75" customHeight="1"/>
    <row r="6" spans="1:4" ht="15.75" customHeight="1"/>
    <row r="7" spans="1:4" ht="15.75" customHeight="1"/>
    <row r="8" spans="1:4" ht="15.75" customHeight="1">
      <c r="D8" s="6"/>
    </row>
    <row r="9" spans="1:4" ht="15.75" customHeight="1"/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B232-DF46-1940-A07F-7AA0001B59C6}">
  <dimension ref="A1:B1"/>
  <sheetViews>
    <sheetView tabSelected="1" workbookViewId="0">
      <selection activeCell="A2" sqref="A2"/>
    </sheetView>
  </sheetViews>
  <sheetFormatPr baseColWidth="10" defaultRowHeight="16"/>
  <sheetData>
    <row r="1" spans="1:2">
      <c r="A1" t="s">
        <v>439</v>
      </c>
      <c r="B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1640625" defaultRowHeight="15" customHeight="1"/>
  <cols>
    <col min="1" max="1" width="24.33203125" customWidth="1"/>
    <col min="2" max="2" width="10.83203125" customWidth="1"/>
    <col min="3" max="3" width="14.1640625" customWidth="1"/>
    <col min="4" max="4" width="10.83203125" customWidth="1"/>
    <col min="5" max="5" width="19.1640625" customWidth="1"/>
    <col min="6" max="6" width="15.83203125" customWidth="1"/>
    <col min="7" max="8" width="10.83203125" customWidth="1"/>
    <col min="9" max="9" width="11.33203125" customWidth="1"/>
    <col min="10" max="12" width="13.83203125" customWidth="1"/>
    <col min="13" max="13" width="10.83203125" customWidth="1"/>
    <col min="14" max="14" width="23.33203125" customWidth="1"/>
    <col min="15" max="15" width="10.83203125" customWidth="1"/>
    <col min="16" max="26" width="10.5" customWidth="1"/>
  </cols>
  <sheetData>
    <row r="1" spans="1:26" ht="18.75" customHeight="1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5" t="s">
        <v>15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3" t="s">
        <v>22</v>
      </c>
      <c r="N1" s="5" t="s">
        <v>23</v>
      </c>
      <c r="O1" s="5" t="s">
        <v>24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>
      <c r="A2" s="5" t="s">
        <v>25</v>
      </c>
      <c r="B2" s="5"/>
      <c r="C2" s="3" t="s">
        <v>26</v>
      </c>
      <c r="D2" s="3" t="s">
        <v>27</v>
      </c>
      <c r="E2" s="9">
        <v>1.4892268600000001E-6</v>
      </c>
      <c r="F2" s="11">
        <f t="shared" ref="F2:F5" si="0">E2/10</f>
        <v>1.4892268600000002E-7</v>
      </c>
      <c r="G2" s="5"/>
      <c r="H2" s="12" t="s">
        <v>36</v>
      </c>
      <c r="I2" s="13"/>
      <c r="J2" s="13"/>
      <c r="K2" s="14">
        <v>-0.125</v>
      </c>
      <c r="L2" s="13">
        <v>41640</v>
      </c>
      <c r="N2" s="5"/>
      <c r="O2" s="12" t="s">
        <v>39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.75" customHeight="1">
      <c r="A3" s="5" t="s">
        <v>40</v>
      </c>
      <c r="B3" s="5"/>
      <c r="C3" s="3" t="s">
        <v>26</v>
      </c>
      <c r="D3" s="3" t="s">
        <v>27</v>
      </c>
      <c r="E3" s="9">
        <v>4.8736234100000002E-6</v>
      </c>
      <c r="F3" s="3">
        <f t="shared" si="0"/>
        <v>4.8736234100000007E-7</v>
      </c>
      <c r="G3" s="5"/>
      <c r="H3" s="12" t="s">
        <v>36</v>
      </c>
      <c r="I3" s="13"/>
      <c r="J3" s="13"/>
      <c r="K3" s="14">
        <v>-0.125</v>
      </c>
      <c r="L3" s="13">
        <v>42005</v>
      </c>
      <c r="N3" s="5"/>
      <c r="O3" s="3" t="s">
        <v>46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.75" customHeight="1">
      <c r="A4" s="5" t="s">
        <v>47</v>
      </c>
      <c r="B4" s="5"/>
      <c r="C4" s="5" t="s">
        <v>26</v>
      </c>
      <c r="D4" s="5" t="s">
        <v>27</v>
      </c>
      <c r="E4" s="9">
        <v>2.6971355400000001E-6</v>
      </c>
      <c r="F4" s="5">
        <f t="shared" si="0"/>
        <v>2.6971355400000003E-7</v>
      </c>
      <c r="G4" s="5"/>
      <c r="H4" s="14" t="s">
        <v>36</v>
      </c>
      <c r="I4" s="5"/>
      <c r="J4" s="5"/>
      <c r="K4" s="14">
        <v>-0.125</v>
      </c>
      <c r="L4" s="13">
        <v>42005</v>
      </c>
      <c r="N4" s="5"/>
      <c r="O4" s="5" t="s">
        <v>46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>
      <c r="A5" s="5" t="s">
        <v>50</v>
      </c>
      <c r="B5" s="5"/>
      <c r="C5" s="5" t="s">
        <v>26</v>
      </c>
      <c r="D5" s="5" t="s">
        <v>27</v>
      </c>
      <c r="E5" s="9">
        <v>1.2487407499999999E-7</v>
      </c>
      <c r="F5" s="5">
        <f t="shared" si="0"/>
        <v>1.2487407499999999E-8</v>
      </c>
      <c r="G5" s="5"/>
      <c r="H5" s="14" t="s">
        <v>36</v>
      </c>
      <c r="I5" s="5"/>
      <c r="J5" s="5"/>
      <c r="K5" s="5">
        <v>-0.125</v>
      </c>
      <c r="L5" s="13">
        <v>42005</v>
      </c>
      <c r="N5" s="5"/>
      <c r="O5" s="5" t="s">
        <v>46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>
      <c r="A6" s="5"/>
      <c r="B6" s="5"/>
      <c r="C6" s="5"/>
      <c r="D6" s="5"/>
      <c r="E6" s="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15" t="s">
        <v>53</v>
      </c>
      <c r="B7" s="5"/>
      <c r="C7" s="3" t="s">
        <v>26</v>
      </c>
      <c r="D7" s="5" t="s">
        <v>27</v>
      </c>
      <c r="E7" s="9">
        <v>2.6899999999999999E-7</v>
      </c>
      <c r="F7" s="9">
        <f>E7/5</f>
        <v>5.3799999999999999E-8</v>
      </c>
      <c r="G7" s="5"/>
      <c r="H7" s="12" t="s">
        <v>36</v>
      </c>
      <c r="I7" s="13"/>
      <c r="J7" s="16"/>
      <c r="K7" s="13"/>
      <c r="L7" s="13">
        <v>42742</v>
      </c>
      <c r="M7" s="5"/>
      <c r="N7" s="5"/>
      <c r="O7" s="18" t="str">
        <f>HYPERLINK("https://media.netflix.com/en/company-blog/renewable-energy-at-netflix-an-update-1","https://media.netflix.com/en/company-blog/renewable-energy-at-netflix-an-update-1")</f>
        <v>https://media.netflix.com/en/company-blog/renewable-energy-at-netflix-an-update-1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.75" customHeight="1">
      <c r="A8" s="3"/>
      <c r="B8" s="5"/>
      <c r="C8" s="5"/>
      <c r="D8" s="5"/>
      <c r="E8" s="19"/>
      <c r="F8" s="5"/>
      <c r="G8" s="5"/>
      <c r="H8" s="3"/>
      <c r="I8" s="5"/>
      <c r="J8" s="5"/>
      <c r="K8" s="5"/>
      <c r="L8" s="5"/>
      <c r="M8" s="5"/>
      <c r="N8" s="5"/>
      <c r="O8" s="3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8.75" customHeight="1">
      <c r="A9" s="5"/>
      <c r="B9" s="5"/>
      <c r="C9" s="5"/>
      <c r="D9" s="5"/>
      <c r="E9" s="20"/>
      <c r="F9" s="5"/>
      <c r="G9" s="5"/>
      <c r="H9" s="5"/>
      <c r="I9" s="5"/>
      <c r="J9" s="5"/>
      <c r="K9" s="5"/>
      <c r="L9" s="5"/>
      <c r="M9" s="5"/>
      <c r="N9" s="5"/>
      <c r="O9" s="5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.75" customHeight="1">
      <c r="A10" s="5" t="s">
        <v>66</v>
      </c>
      <c r="B10" s="5"/>
      <c r="C10" s="3" t="s">
        <v>26</v>
      </c>
      <c r="D10" s="3" t="s">
        <v>67</v>
      </c>
      <c r="E10" s="3">
        <v>0.7</v>
      </c>
      <c r="F10" s="3">
        <v>0.9</v>
      </c>
      <c r="G10" s="5"/>
      <c r="H10" s="7"/>
      <c r="I10" s="13"/>
      <c r="J10" s="13"/>
      <c r="K10" s="5">
        <v>0</v>
      </c>
      <c r="L10" s="13">
        <v>42005</v>
      </c>
      <c r="M10" s="7"/>
      <c r="N10" s="3" t="s">
        <v>68</v>
      </c>
      <c r="O10" s="3" t="s">
        <v>69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.75" customHeight="1">
      <c r="A11" s="21" t="s">
        <v>70</v>
      </c>
      <c r="B11" s="5"/>
      <c r="C11" s="3" t="s">
        <v>26</v>
      </c>
      <c r="D11" s="3" t="s">
        <v>67</v>
      </c>
      <c r="E11" s="3">
        <v>0.1</v>
      </c>
      <c r="F11" s="3">
        <v>0.2</v>
      </c>
      <c r="G11" s="5"/>
      <c r="H11" s="7"/>
      <c r="I11" s="13"/>
      <c r="J11" s="13"/>
      <c r="K11" s="5">
        <v>0</v>
      </c>
      <c r="L11" s="13">
        <v>42005</v>
      </c>
      <c r="M11" s="7"/>
      <c r="N11" s="3" t="s">
        <v>68</v>
      </c>
      <c r="O11" s="3" t="s">
        <v>71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.75" customHeight="1">
      <c r="A14" s="22" t="s">
        <v>72</v>
      </c>
      <c r="B14" s="5"/>
      <c r="C14" s="5" t="s">
        <v>26</v>
      </c>
      <c r="D14" s="5" t="s">
        <v>67</v>
      </c>
      <c r="E14" s="23" t="e">
        <f>0.249/O16</f>
        <v>#VALUE!</v>
      </c>
      <c r="F14" s="9" t="e">
        <f>E14/5</f>
        <v>#VALUE!</v>
      </c>
      <c r="G14" s="9"/>
      <c r="H14" s="5" t="s">
        <v>73</v>
      </c>
      <c r="I14" s="13"/>
      <c r="J14" s="13"/>
      <c r="K14" s="24">
        <v>-0.22</v>
      </c>
      <c r="L14" s="13">
        <v>40179</v>
      </c>
      <c r="M14" s="5"/>
      <c r="N14" s="5" t="s">
        <v>74</v>
      </c>
      <c r="O14" s="25" t="s">
        <v>75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.75" customHeight="1">
      <c r="A16" s="26" t="s">
        <v>76</v>
      </c>
      <c r="B16" s="5"/>
      <c r="C16" s="5" t="s">
        <v>26</v>
      </c>
      <c r="D16" s="27" t="s">
        <v>27</v>
      </c>
      <c r="E16" s="28">
        <v>0.6</v>
      </c>
      <c r="F16" s="29">
        <f>E16/10</f>
        <v>0.06</v>
      </c>
      <c r="G16" s="5"/>
      <c r="H16" s="14"/>
      <c r="I16" s="5"/>
      <c r="J16" s="5"/>
      <c r="K16" s="30">
        <v>0.1</v>
      </c>
      <c r="L16" s="31">
        <v>42370</v>
      </c>
      <c r="M16" s="5"/>
      <c r="N16" s="32" t="s">
        <v>83</v>
      </c>
      <c r="O16" s="5" t="s">
        <v>84</v>
      </c>
      <c r="P16" s="5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8.75" customHeight="1">
      <c r="A17" s="5" t="s">
        <v>85</v>
      </c>
      <c r="B17" s="5"/>
      <c r="C17" s="5" t="s">
        <v>26</v>
      </c>
      <c r="D17" s="14" t="s">
        <v>86</v>
      </c>
      <c r="E17" s="33">
        <f>2.6*0.00045</f>
        <v>1.17E-3</v>
      </c>
      <c r="F17" s="35">
        <f>2.9*0.00045</f>
        <v>1.305E-3</v>
      </c>
      <c r="G17" s="9">
        <f>3.5*0.00045</f>
        <v>1.575E-3</v>
      </c>
      <c r="H17" s="14" t="s">
        <v>36</v>
      </c>
      <c r="I17" s="37">
        <f t="shared" ref="I17:I19" si="1">(E17+F17+G17)/3</f>
        <v>1.3499999999999999E-3</v>
      </c>
      <c r="J17" s="13"/>
      <c r="K17" s="24">
        <v>-0.22</v>
      </c>
      <c r="L17" s="38">
        <v>40179</v>
      </c>
      <c r="M17" s="5"/>
      <c r="N17" s="5"/>
      <c r="O17" s="5" t="s">
        <v>93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.75" customHeight="1">
      <c r="A18" s="5" t="s">
        <v>94</v>
      </c>
      <c r="B18" s="5"/>
      <c r="C18" s="5" t="s">
        <v>26</v>
      </c>
      <c r="D18" s="14" t="s">
        <v>86</v>
      </c>
      <c r="E18" s="39">
        <f>0.5*0.00045</f>
        <v>2.2499999999999999E-4</v>
      </c>
      <c r="F18" s="9">
        <f>0.6*0.00045</f>
        <v>2.7E-4</v>
      </c>
      <c r="G18" s="39">
        <f>1.37*0.00045</f>
        <v>6.1650000000000008E-4</v>
      </c>
      <c r="H18" s="14" t="s">
        <v>36</v>
      </c>
      <c r="I18" s="37">
        <f t="shared" si="1"/>
        <v>3.7050000000000001E-4</v>
      </c>
      <c r="J18" s="13"/>
      <c r="K18" s="24">
        <v>-0.22</v>
      </c>
      <c r="L18" s="38">
        <v>40179</v>
      </c>
      <c r="M18" s="5"/>
      <c r="N18" s="5"/>
      <c r="O18" s="14" t="s">
        <v>99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.75" customHeight="1">
      <c r="A19" s="5" t="s">
        <v>100</v>
      </c>
      <c r="B19" s="5"/>
      <c r="C19" s="5" t="s">
        <v>26</v>
      </c>
      <c r="D19" s="14" t="s">
        <v>86</v>
      </c>
      <c r="E19" s="9">
        <f t="shared" ref="E19:G19" si="2">E18/10</f>
        <v>2.2499999999999998E-5</v>
      </c>
      <c r="F19" s="9">
        <f t="shared" si="2"/>
        <v>2.6999999999999999E-5</v>
      </c>
      <c r="G19" s="9">
        <f t="shared" si="2"/>
        <v>6.1650000000000008E-5</v>
      </c>
      <c r="H19" s="14" t="s">
        <v>36</v>
      </c>
      <c r="I19" s="37">
        <f t="shared" si="1"/>
        <v>3.7049999999999999E-5</v>
      </c>
      <c r="J19" s="13"/>
      <c r="K19" s="24">
        <v>-0.22</v>
      </c>
      <c r="L19" s="38">
        <v>40179</v>
      </c>
      <c r="M19" s="5"/>
      <c r="N19" s="5"/>
      <c r="O19" s="5" t="s">
        <v>114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.75" customHeight="1">
      <c r="A20" s="5"/>
      <c r="B20" s="5"/>
      <c r="C20" s="5"/>
      <c r="D20" s="5"/>
      <c r="E20" s="5"/>
      <c r="F20" s="9"/>
      <c r="G20" s="5"/>
      <c r="H20" s="5"/>
      <c r="I20" s="5"/>
      <c r="J20" s="5"/>
      <c r="K20" s="5"/>
      <c r="L20" s="5"/>
      <c r="M20" s="5"/>
      <c r="N20" s="5"/>
      <c r="O20" s="5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.75" customHeight="1">
      <c r="A22" s="5" t="s">
        <v>122</v>
      </c>
      <c r="B22" s="5"/>
      <c r="C22" s="5" t="s">
        <v>26</v>
      </c>
      <c r="D22" s="5" t="s">
        <v>27</v>
      </c>
      <c r="E22" s="40">
        <f>'Cell Data'!H25</f>
        <v>0.53306976699999997</v>
      </c>
      <c r="F22" s="9">
        <f t="shared" ref="F22:F23" si="3">E22/5</f>
        <v>0.10661395339999999</v>
      </c>
      <c r="G22" s="9"/>
      <c r="H22" s="14" t="s">
        <v>36</v>
      </c>
      <c r="I22" s="13"/>
      <c r="J22" s="13"/>
      <c r="K22" s="42">
        <v>0</v>
      </c>
      <c r="L22" s="13">
        <v>42736</v>
      </c>
      <c r="M22" s="5"/>
      <c r="N22" s="5"/>
      <c r="O22" s="5" t="s">
        <v>134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8.75" customHeight="1">
      <c r="A23" s="14" t="s">
        <v>135</v>
      </c>
      <c r="B23" s="5"/>
      <c r="C23" s="5" t="s">
        <v>26</v>
      </c>
      <c r="D23" s="5" t="s">
        <v>27</v>
      </c>
      <c r="E23" s="40">
        <f>'Cell Data'!H26</f>
        <v>0.46693023299999997</v>
      </c>
      <c r="F23" s="9">
        <f t="shared" si="3"/>
        <v>9.3386046599999994E-2</v>
      </c>
      <c r="G23" s="9"/>
      <c r="H23" s="14" t="s">
        <v>36</v>
      </c>
      <c r="I23" s="13"/>
      <c r="J23" s="13"/>
      <c r="K23" s="42">
        <v>0</v>
      </c>
      <c r="L23" s="13">
        <v>42736</v>
      </c>
      <c r="M23" s="5"/>
      <c r="N23" s="5"/>
      <c r="O23" s="5" t="s">
        <v>134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8.75" customHeight="1">
      <c r="A26" s="26" t="s">
        <v>137</v>
      </c>
      <c r="B26" s="5"/>
      <c r="C26" s="3" t="s">
        <v>26</v>
      </c>
      <c r="D26" s="3" t="s">
        <v>27</v>
      </c>
      <c r="E26" s="12">
        <v>1</v>
      </c>
      <c r="F26" s="3">
        <f t="shared" ref="F26:F34" si="4">E26/10</f>
        <v>0.1</v>
      </c>
      <c r="G26" s="5"/>
      <c r="H26" s="3" t="s">
        <v>109</v>
      </c>
      <c r="I26" s="13"/>
      <c r="J26" s="13"/>
      <c r="K26" s="5">
        <v>0</v>
      </c>
      <c r="L26" s="13">
        <v>40179</v>
      </c>
      <c r="M26" s="5"/>
      <c r="N26" s="5"/>
      <c r="O26" s="5" t="s">
        <v>139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30" t="s">
        <v>140</v>
      </c>
      <c r="B27" s="5"/>
      <c r="C27" s="3" t="s">
        <v>26</v>
      </c>
      <c r="D27" s="3" t="s">
        <v>27</v>
      </c>
      <c r="E27" s="3">
        <v>3</v>
      </c>
      <c r="F27" s="3">
        <f t="shared" si="4"/>
        <v>0.3</v>
      </c>
      <c r="G27" s="5"/>
      <c r="H27" s="3" t="s">
        <v>109</v>
      </c>
      <c r="I27" s="13"/>
      <c r="J27" s="13"/>
      <c r="K27" s="45">
        <v>0</v>
      </c>
      <c r="L27" s="13">
        <v>42736</v>
      </c>
      <c r="M27" s="5"/>
      <c r="N27" s="5"/>
      <c r="O27" s="5" t="s">
        <v>143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8.75" customHeight="1">
      <c r="A28" s="12" t="s">
        <v>144</v>
      </c>
      <c r="B28" s="5"/>
      <c r="C28" s="3" t="s">
        <v>26</v>
      </c>
      <c r="D28" s="3" t="s">
        <v>27</v>
      </c>
      <c r="E28" s="5">
        <f>E29+E30</f>
        <v>32</v>
      </c>
      <c r="F28" s="3">
        <f t="shared" si="4"/>
        <v>3.2</v>
      </c>
      <c r="G28" s="5"/>
      <c r="H28" s="3" t="s">
        <v>109</v>
      </c>
      <c r="I28" s="13"/>
      <c r="J28" s="13"/>
      <c r="K28" s="5">
        <v>-0.01</v>
      </c>
      <c r="L28" s="13">
        <v>42005</v>
      </c>
      <c r="M28" s="5"/>
      <c r="N28" s="5"/>
      <c r="O28" s="5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.75" customHeight="1">
      <c r="A29" s="12" t="s">
        <v>146</v>
      </c>
      <c r="B29" s="5"/>
      <c r="C29" s="3" t="s">
        <v>26</v>
      </c>
      <c r="D29" s="3" t="s">
        <v>27</v>
      </c>
      <c r="E29" s="5">
        <v>15</v>
      </c>
      <c r="F29" s="3">
        <f t="shared" si="4"/>
        <v>1.5</v>
      </c>
      <c r="G29" s="5"/>
      <c r="H29" s="3" t="s">
        <v>109</v>
      </c>
      <c r="I29" s="13"/>
      <c r="J29" s="13"/>
      <c r="K29" s="5">
        <v>-0.01</v>
      </c>
      <c r="L29" s="13">
        <v>42005</v>
      </c>
      <c r="M29" s="5"/>
      <c r="N29" s="21"/>
      <c r="O29" s="47" t="str">
        <f t="shared" ref="O29:O31" si="5">HYPERLINK("https://www.eu-energystar.org/calculator.htm","https://www.eu-energystar.org/calculator.htm")</f>
        <v>https://www.eu-energystar.org/calculator.htm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.75" customHeight="1">
      <c r="A30" s="12" t="s">
        <v>151</v>
      </c>
      <c r="B30" s="5"/>
      <c r="C30" s="3" t="s">
        <v>26</v>
      </c>
      <c r="D30" s="3" t="s">
        <v>27</v>
      </c>
      <c r="E30" s="5">
        <v>17</v>
      </c>
      <c r="F30" s="3">
        <f t="shared" si="4"/>
        <v>1.7</v>
      </c>
      <c r="G30" s="5"/>
      <c r="H30" s="3" t="s">
        <v>109</v>
      </c>
      <c r="I30" s="13"/>
      <c r="J30" s="13"/>
      <c r="K30" s="5">
        <v>-0.01</v>
      </c>
      <c r="L30" s="13">
        <v>42005</v>
      </c>
      <c r="M30" s="5"/>
      <c r="N30" s="3" t="s">
        <v>152</v>
      </c>
      <c r="O30" s="47" t="str">
        <f t="shared" si="5"/>
        <v>https://www.eu-energystar.org/calculator.htm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12" t="s">
        <v>153</v>
      </c>
      <c r="B31" s="5"/>
      <c r="C31" s="3" t="s">
        <v>26</v>
      </c>
      <c r="D31" s="3" t="s">
        <v>27</v>
      </c>
      <c r="E31" s="5">
        <v>60</v>
      </c>
      <c r="F31" s="3">
        <f t="shared" si="4"/>
        <v>6</v>
      </c>
      <c r="G31" s="5"/>
      <c r="H31" s="3" t="s">
        <v>109</v>
      </c>
      <c r="I31" s="13"/>
      <c r="J31" s="13"/>
      <c r="K31" s="5">
        <v>-0.01</v>
      </c>
      <c r="L31" s="13">
        <v>42005</v>
      </c>
      <c r="M31" s="5"/>
      <c r="N31" s="5"/>
      <c r="O31" s="18" t="str">
        <f t="shared" si="5"/>
        <v>https://www.eu-energystar.org/calculator.htm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8.75" customHeight="1">
      <c r="A32" s="12" t="s">
        <v>154</v>
      </c>
      <c r="B32" s="5"/>
      <c r="C32" s="3" t="s">
        <v>26</v>
      </c>
      <c r="D32" s="3" t="s">
        <v>27</v>
      </c>
      <c r="E32" s="49">
        <v>37</v>
      </c>
      <c r="F32" s="3">
        <f t="shared" si="4"/>
        <v>3.7</v>
      </c>
      <c r="G32" s="5"/>
      <c r="H32" s="14" t="s">
        <v>109</v>
      </c>
      <c r="I32" s="13"/>
      <c r="J32" s="13"/>
      <c r="K32" s="5">
        <v>-0.01</v>
      </c>
      <c r="L32" s="13">
        <v>42005</v>
      </c>
      <c r="M32" s="5"/>
      <c r="N32" s="21" t="s">
        <v>155</v>
      </c>
      <c r="O32" s="50" t="s">
        <v>156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.75" customHeight="1">
      <c r="A33" s="30" t="s">
        <v>157</v>
      </c>
      <c r="B33" s="5"/>
      <c r="C33" s="3" t="s">
        <v>26</v>
      </c>
      <c r="D33" s="3" t="s">
        <v>27</v>
      </c>
      <c r="E33" s="3">
        <v>108.45</v>
      </c>
      <c r="F33" s="3">
        <f t="shared" si="4"/>
        <v>10.845000000000001</v>
      </c>
      <c r="G33" s="5"/>
      <c r="H33" s="3" t="s">
        <v>109</v>
      </c>
      <c r="I33" s="13"/>
      <c r="J33" s="13"/>
      <c r="K33" s="5">
        <v>-0.01</v>
      </c>
      <c r="L33" s="13">
        <v>41275</v>
      </c>
      <c r="M33" s="5"/>
      <c r="N33" s="5" t="s">
        <v>158</v>
      </c>
      <c r="O33" s="3" t="s">
        <v>159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8.75" customHeight="1">
      <c r="A34" s="12" t="s">
        <v>160</v>
      </c>
      <c r="B34" s="5"/>
      <c r="C34" s="3" t="s">
        <v>26</v>
      </c>
      <c r="D34" s="3" t="s">
        <v>27</v>
      </c>
      <c r="E34" s="5">
        <v>3.5</v>
      </c>
      <c r="F34" s="3">
        <f t="shared" si="4"/>
        <v>0.35</v>
      </c>
      <c r="G34" s="5"/>
      <c r="H34" s="3" t="s">
        <v>109</v>
      </c>
      <c r="I34" s="13"/>
      <c r="J34" s="13"/>
      <c r="K34" s="5">
        <v>-0.01</v>
      </c>
      <c r="L34" s="13">
        <v>42005</v>
      </c>
      <c r="M34" s="5"/>
      <c r="N34" s="5"/>
      <c r="O34" s="5" t="s">
        <v>161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8.75" customHeight="1">
      <c r="A35" s="14" t="s">
        <v>162</v>
      </c>
      <c r="B35" s="5"/>
      <c r="C35" s="5" t="s">
        <v>26</v>
      </c>
      <c r="D35" s="5" t="s">
        <v>27</v>
      </c>
      <c r="E35" s="5">
        <v>21</v>
      </c>
      <c r="F35" s="5">
        <v>0.442</v>
      </c>
      <c r="G35" s="5"/>
      <c r="H35" s="5" t="s">
        <v>109</v>
      </c>
      <c r="I35" s="13"/>
      <c r="J35" s="13"/>
      <c r="K35" s="5">
        <v>-0.01</v>
      </c>
      <c r="L35" s="13">
        <v>42005</v>
      </c>
      <c r="M35" s="5"/>
      <c r="N35" s="5"/>
      <c r="O35" s="5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8.75" customHeight="1">
      <c r="A36" s="5"/>
      <c r="B36" s="5"/>
      <c r="C36" s="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8.75" customHeight="1">
      <c r="A37" s="5"/>
      <c r="B37" s="5"/>
      <c r="C37" s="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8.75" customHeight="1">
      <c r="A38" s="30" t="s">
        <v>163</v>
      </c>
      <c r="B38" s="5"/>
      <c r="C38" s="5" t="s">
        <v>26</v>
      </c>
      <c r="D38" s="5" t="s">
        <v>27</v>
      </c>
      <c r="E38" s="5">
        <v>2</v>
      </c>
      <c r="F38" s="5">
        <f t="shared" ref="F38:F41" si="6">E38/10</f>
        <v>0.2</v>
      </c>
      <c r="G38" s="5"/>
      <c r="H38" s="5" t="s">
        <v>109</v>
      </c>
      <c r="I38" s="5"/>
      <c r="J38" s="5"/>
      <c r="K38" s="5">
        <v>0</v>
      </c>
      <c r="L38" s="13">
        <v>41275</v>
      </c>
      <c r="M38" s="5"/>
      <c r="N38" s="5" t="s">
        <v>164</v>
      </c>
      <c r="O38" s="5" t="s">
        <v>165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8.75" customHeight="1">
      <c r="A39" s="51" t="s">
        <v>166</v>
      </c>
      <c r="B39" s="5"/>
      <c r="C39" s="3" t="s">
        <v>26</v>
      </c>
      <c r="D39" s="3" t="s">
        <v>27</v>
      </c>
      <c r="E39" s="3">
        <v>3.5</v>
      </c>
      <c r="F39" s="3">
        <f t="shared" si="6"/>
        <v>0.35</v>
      </c>
      <c r="G39" s="5"/>
      <c r="H39" s="3" t="s">
        <v>109</v>
      </c>
      <c r="I39" s="5"/>
      <c r="J39" s="5"/>
      <c r="K39" s="5"/>
      <c r="L39" s="13">
        <v>41275</v>
      </c>
      <c r="M39" s="5"/>
      <c r="N39" s="5" t="s">
        <v>164</v>
      </c>
      <c r="O39" s="5" t="s">
        <v>165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8.75" customHeight="1">
      <c r="A40" s="51" t="s">
        <v>167</v>
      </c>
      <c r="B40" s="5"/>
      <c r="C40" s="5" t="s">
        <v>26</v>
      </c>
      <c r="D40" s="5" t="s">
        <v>27</v>
      </c>
      <c r="E40" s="5">
        <v>6.5</v>
      </c>
      <c r="F40" s="5">
        <f t="shared" si="6"/>
        <v>0.65</v>
      </c>
      <c r="G40" s="5"/>
      <c r="H40" s="5" t="s">
        <v>109</v>
      </c>
      <c r="I40" s="5"/>
      <c r="J40" s="5"/>
      <c r="K40" s="5"/>
      <c r="L40" s="13">
        <v>41275</v>
      </c>
      <c r="M40" s="5"/>
      <c r="N40" s="50" t="s">
        <v>168</v>
      </c>
      <c r="O40" s="18" t="str">
        <f>HYPERLINK("https://genexis.eu/content/uploads/2016/08/DRG700_7000_Datasheet_rev8.2.pdf","https://genexis.eu/content/uploads/2016/08/DRG700_7000_Datasheet_rev8.2.pdf")</f>
        <v>https://genexis.eu/content/uploads/2016/08/DRG700_7000_Datasheet_rev8.2.pdf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8.75" customHeight="1">
      <c r="A41" s="52" t="s">
        <v>169</v>
      </c>
      <c r="B41" s="52"/>
      <c r="C41" s="52" t="s">
        <v>26</v>
      </c>
      <c r="D41" s="52" t="s">
        <v>27</v>
      </c>
      <c r="E41" s="52">
        <v>6</v>
      </c>
      <c r="F41" s="52">
        <f t="shared" si="6"/>
        <v>0.6</v>
      </c>
      <c r="G41" s="52"/>
      <c r="H41" s="52" t="s">
        <v>109</v>
      </c>
      <c r="I41" s="52"/>
      <c r="J41" s="52"/>
      <c r="K41" s="52"/>
      <c r="L41" s="53">
        <v>42736</v>
      </c>
      <c r="M41" s="52"/>
      <c r="N41" s="52"/>
      <c r="O41" s="54" t="str">
        <f>HYPERLINK("http://www.ispreview.co.uk/index.php/2017/01/energy-usage-uk-home-broadband-routers-big-isps-compared.html/3","http://www.ispreview.co.uk/index.php/2017/01/energy-usage-uk-home-broadband-routers-big-isps-compared.html/3")</f>
        <v>http://www.ispreview.co.uk/index.php/2017/01/energy-usage-uk-home-broadband-routers-big-isps-compared.html/3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0"/>
      <c r="O42" s="1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8.75" customHeight="1">
      <c r="A43" s="30" t="s">
        <v>170</v>
      </c>
      <c r="B43" s="5"/>
      <c r="C43" s="3" t="s">
        <v>26</v>
      </c>
      <c r="D43" s="3" t="s">
        <v>27</v>
      </c>
      <c r="E43" s="3">
        <v>0.44</v>
      </c>
      <c r="F43" s="3">
        <f t="shared" ref="F43:F45" si="7">E43/10</f>
        <v>4.3999999999999997E-2</v>
      </c>
      <c r="G43" s="5"/>
      <c r="H43" s="7"/>
      <c r="I43" s="5"/>
      <c r="J43" s="5"/>
      <c r="K43" s="5"/>
      <c r="L43" s="13">
        <v>42370</v>
      </c>
      <c r="M43" s="5"/>
      <c r="N43" s="3" t="s">
        <v>68</v>
      </c>
      <c r="O43" s="12" t="s">
        <v>171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8.75" customHeight="1">
      <c r="A44" s="30" t="s">
        <v>172</v>
      </c>
      <c r="B44" s="5"/>
      <c r="C44" s="3" t="s">
        <v>26</v>
      </c>
      <c r="D44" s="3" t="s">
        <v>27</v>
      </c>
      <c r="E44" s="3">
        <v>0.34</v>
      </c>
      <c r="F44" s="3">
        <f t="shared" si="7"/>
        <v>3.4000000000000002E-2</v>
      </c>
      <c r="G44" s="5"/>
      <c r="H44" s="7"/>
      <c r="I44" s="5"/>
      <c r="J44" s="5"/>
      <c r="K44" s="5"/>
      <c r="L44" s="13">
        <v>42370</v>
      </c>
      <c r="M44" s="5"/>
      <c r="N44" s="3" t="s">
        <v>68</v>
      </c>
      <c r="O44" s="12" t="s">
        <v>171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8.75" customHeight="1">
      <c r="A45" s="30" t="s">
        <v>173</v>
      </c>
      <c r="B45" s="5"/>
      <c r="C45" s="3" t="s">
        <v>26</v>
      </c>
      <c r="D45" s="3" t="s">
        <v>27</v>
      </c>
      <c r="E45" s="3">
        <v>0.22</v>
      </c>
      <c r="F45" s="3">
        <f t="shared" si="7"/>
        <v>2.1999999999999999E-2</v>
      </c>
      <c r="G45" s="5"/>
      <c r="H45" s="7"/>
      <c r="I45" s="5"/>
      <c r="J45" s="5"/>
      <c r="K45" s="5"/>
      <c r="L45" s="13">
        <v>42370</v>
      </c>
      <c r="M45" s="5"/>
      <c r="N45" s="3" t="s">
        <v>68</v>
      </c>
      <c r="O45" s="12" t="s">
        <v>171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8.75" customHeight="1">
      <c r="A46" s="5"/>
      <c r="B46" s="5"/>
      <c r="C46" s="5"/>
      <c r="D46" s="5"/>
      <c r="E46" s="5">
        <f>SUM(E43:E45)</f>
        <v>1</v>
      </c>
      <c r="F46" s="5"/>
      <c r="G46" s="5"/>
      <c r="H46" s="7"/>
      <c r="I46" s="5"/>
      <c r="J46" s="5"/>
      <c r="K46" s="5"/>
      <c r="L46" s="5"/>
      <c r="M46" s="5"/>
      <c r="N46" s="5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8.75" customHeight="1">
      <c r="A47" s="42" t="s">
        <v>174</v>
      </c>
      <c r="B47" s="5"/>
      <c r="C47" s="3" t="s">
        <v>26</v>
      </c>
      <c r="D47" s="5" t="s">
        <v>27</v>
      </c>
      <c r="E47" s="55">
        <f>YouTubeStats!C113</f>
        <v>0.20790636616109792</v>
      </c>
      <c r="F47" s="3">
        <f>E47/10</f>
        <v>2.0790636616109793E-2</v>
      </c>
      <c r="G47" s="5"/>
      <c r="H47" s="7"/>
      <c r="I47" s="5"/>
      <c r="J47" s="5"/>
      <c r="K47" s="5"/>
      <c r="L47" s="5"/>
      <c r="M47" s="5"/>
      <c r="N47" s="3" t="s">
        <v>68</v>
      </c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8.75" customHeight="1">
      <c r="A48" s="5"/>
      <c r="B48" s="5"/>
      <c r="C48" s="5"/>
      <c r="D48" s="5"/>
      <c r="E48" s="56"/>
      <c r="F48" s="5"/>
      <c r="G48" s="5"/>
      <c r="H48" s="5"/>
      <c r="I48" s="5"/>
      <c r="J48" s="5"/>
      <c r="K48" s="5"/>
      <c r="L48" s="5"/>
      <c r="M48" s="5"/>
      <c r="N48" s="5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8.75" customHeight="1">
      <c r="A49" s="30" t="s">
        <v>175</v>
      </c>
      <c r="B49" s="5"/>
      <c r="C49" s="5" t="s">
        <v>26</v>
      </c>
      <c r="D49" s="5" t="s">
        <v>27</v>
      </c>
      <c r="E49" s="5">
        <v>9.6999999999999993</v>
      </c>
      <c r="F49" s="5">
        <f t="shared" ref="F49:F51" si="8">E49/10</f>
        <v>0.97</v>
      </c>
      <c r="G49" s="5"/>
      <c r="H49" s="5" t="s">
        <v>109</v>
      </c>
      <c r="I49" s="5"/>
      <c r="J49" s="5"/>
      <c r="K49" s="5"/>
      <c r="L49" s="57">
        <v>42736</v>
      </c>
      <c r="M49" s="5"/>
      <c r="N49" s="5" t="s">
        <v>176</v>
      </c>
      <c r="O49" s="47" t="str">
        <f>HYPERLINK("http://www.ispreview.co.uk/index.php/2017/01/energy-usage-uk-home-broadband-routers-big-isps-compared.html/3","http://www.ispreview.co.uk/index.php/2017/01/energy-usage-uk-home-broadband-routers-big-isps-compared.html/3")</f>
        <v>http://www.ispreview.co.uk/index.php/2017/01/energy-usage-uk-home-broadband-routers-big-isps-compared.html/3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8.75" customHeight="1">
      <c r="A50" s="30" t="s">
        <v>177</v>
      </c>
      <c r="B50" s="5"/>
      <c r="C50" s="5" t="s">
        <v>26</v>
      </c>
      <c r="D50" s="5" t="s">
        <v>27</v>
      </c>
      <c r="E50" s="5">
        <v>0.8</v>
      </c>
      <c r="F50" s="5">
        <f t="shared" si="8"/>
        <v>0.08</v>
      </c>
      <c r="G50" s="5"/>
      <c r="H50" s="5" t="s">
        <v>109</v>
      </c>
      <c r="I50" s="5"/>
      <c r="J50" s="5"/>
      <c r="K50" s="5"/>
      <c r="L50" s="13">
        <v>41275</v>
      </c>
      <c r="M50" s="5"/>
      <c r="N50" s="5"/>
      <c r="O50" s="5" t="s">
        <v>165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8.75" customHeight="1">
      <c r="A51" s="30" t="s">
        <v>178</v>
      </c>
      <c r="B51" s="5"/>
      <c r="C51" s="5" t="s">
        <v>26</v>
      </c>
      <c r="D51" s="5" t="s">
        <v>27</v>
      </c>
      <c r="E51" s="5">
        <f>AVERAGE(2.9,3.5)</f>
        <v>3.2</v>
      </c>
      <c r="F51" s="5">
        <f t="shared" si="8"/>
        <v>0.32</v>
      </c>
      <c r="G51" s="5"/>
      <c r="H51" s="5" t="s">
        <v>109</v>
      </c>
      <c r="I51" s="5"/>
      <c r="J51" s="5"/>
      <c r="K51" s="5"/>
      <c r="L51" s="13">
        <v>41275</v>
      </c>
      <c r="M51" s="5"/>
      <c r="N51" s="5"/>
      <c r="O51" s="5" t="s">
        <v>165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13"/>
      <c r="M52" s="5"/>
      <c r="N52" s="5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8.75" customHeight="1">
      <c r="A53" s="14" t="s">
        <v>179</v>
      </c>
      <c r="B53" s="5"/>
      <c r="C53" s="5" t="s">
        <v>26</v>
      </c>
      <c r="D53" s="5" t="s">
        <v>27</v>
      </c>
      <c r="E53" s="58">
        <v>3</v>
      </c>
      <c r="F53" s="5">
        <f t="shared" ref="F53:F54" si="9">E53/10</f>
        <v>0.3</v>
      </c>
      <c r="G53" s="5"/>
      <c r="H53" s="5" t="s">
        <v>109</v>
      </c>
      <c r="I53" s="5"/>
      <c r="J53" s="5"/>
      <c r="K53" s="5"/>
      <c r="L53" s="13">
        <v>42370</v>
      </c>
      <c r="M53" s="5"/>
      <c r="N53" s="5"/>
      <c r="O53" s="5" t="s">
        <v>180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8.75" customHeight="1">
      <c r="A54" s="30" t="s">
        <v>181</v>
      </c>
      <c r="B54" s="5"/>
      <c r="C54" s="3" t="s">
        <v>26</v>
      </c>
      <c r="D54" s="3" t="s">
        <v>27</v>
      </c>
      <c r="E54" s="59">
        <v>9</v>
      </c>
      <c r="F54" s="3">
        <f t="shared" si="9"/>
        <v>0.9</v>
      </c>
      <c r="G54" s="5"/>
      <c r="H54" s="3" t="s">
        <v>109</v>
      </c>
      <c r="I54" s="5"/>
      <c r="J54" s="5"/>
      <c r="K54" s="5"/>
      <c r="L54" s="13">
        <v>42370</v>
      </c>
      <c r="M54" s="5"/>
      <c r="N54" s="5"/>
      <c r="O54" s="3" t="s">
        <v>182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8.75" customHeight="1">
      <c r="A57" s="3" t="s">
        <v>183</v>
      </c>
      <c r="B57" s="5"/>
      <c r="C57" s="3" t="s">
        <v>26</v>
      </c>
      <c r="D57" s="14" t="s">
        <v>27</v>
      </c>
      <c r="E57" s="60">
        <v>0.16</v>
      </c>
      <c r="F57" s="3">
        <f t="shared" ref="F57:F58" si="10">E57/10</f>
        <v>1.6E-2</v>
      </c>
      <c r="G57" s="5"/>
      <c r="H57" s="12" t="s">
        <v>43</v>
      </c>
      <c r="I57" s="13"/>
      <c r="J57" s="13"/>
      <c r="K57" s="42"/>
      <c r="L57" s="13">
        <v>42005</v>
      </c>
      <c r="M57" s="3" t="s">
        <v>184</v>
      </c>
      <c r="N57" s="3"/>
      <c r="O57" s="12" t="s">
        <v>185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8.75" customHeight="1">
      <c r="A58" s="3" t="s">
        <v>186</v>
      </c>
      <c r="B58" s="5"/>
      <c r="C58" s="3" t="s">
        <v>26</v>
      </c>
      <c r="D58" s="14" t="s">
        <v>27</v>
      </c>
      <c r="E58" s="61">
        <v>1.18</v>
      </c>
      <c r="F58" s="12">
        <f t="shared" si="10"/>
        <v>0.11799999999999999</v>
      </c>
      <c r="G58" s="5"/>
      <c r="H58" s="12" t="s">
        <v>43</v>
      </c>
      <c r="I58" s="13"/>
      <c r="J58" s="13"/>
      <c r="K58" s="42"/>
      <c r="L58" s="13">
        <v>42005</v>
      </c>
      <c r="M58" s="5"/>
      <c r="N58" s="3"/>
      <c r="O58" s="12" t="s">
        <v>187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8.75" customHeight="1">
      <c r="A59" s="3" t="s">
        <v>188</v>
      </c>
      <c r="B59" s="5"/>
      <c r="C59" s="3" t="s">
        <v>26</v>
      </c>
      <c r="D59" s="5" t="s">
        <v>27</v>
      </c>
      <c r="E59" s="3">
        <v>10</v>
      </c>
      <c r="F59" s="3">
        <f>E59/10</f>
        <v>1</v>
      </c>
      <c r="G59" s="5"/>
      <c r="H59" s="3" t="s">
        <v>189</v>
      </c>
      <c r="I59" s="13"/>
      <c r="J59" s="5"/>
      <c r="K59" s="5"/>
      <c r="L59" s="5"/>
      <c r="M59" s="3" t="s">
        <v>190</v>
      </c>
      <c r="N59" s="5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8.75" customHeight="1">
      <c r="A61" s="62" t="s">
        <v>77</v>
      </c>
      <c r="B61" s="5"/>
      <c r="C61" s="3"/>
      <c r="D61" s="14"/>
      <c r="E61" s="39">
        <f>1000000000*365/12</f>
        <v>30416666666.666668</v>
      </c>
      <c r="F61" s="5"/>
      <c r="G61" s="5"/>
      <c r="H61" s="12" t="s">
        <v>191</v>
      </c>
      <c r="I61" s="5"/>
      <c r="J61" s="5"/>
      <c r="K61" s="5"/>
      <c r="L61" s="5"/>
      <c r="M61" s="5"/>
      <c r="N61" s="5"/>
      <c r="O61" s="5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8.75" customHeight="1">
      <c r="A62" s="3" t="s">
        <v>192</v>
      </c>
      <c r="B62" s="5"/>
      <c r="C62" s="3" t="s">
        <v>26</v>
      </c>
      <c r="D62" s="3" t="s">
        <v>27</v>
      </c>
      <c r="E62" s="9">
        <f>E61*60</f>
        <v>1825000000000</v>
      </c>
      <c r="F62" s="9">
        <f>E62/10</f>
        <v>182500000000</v>
      </c>
      <c r="G62" s="5"/>
      <c r="H62" s="12" t="s">
        <v>193</v>
      </c>
      <c r="I62" s="13"/>
      <c r="J62" s="13"/>
      <c r="K62" s="12">
        <v>0</v>
      </c>
      <c r="L62" s="38">
        <v>42370</v>
      </c>
      <c r="M62" s="5"/>
      <c r="N62" s="5"/>
      <c r="O62" s="5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8.75" customHeight="1">
      <c r="A64" s="3" t="s">
        <v>194</v>
      </c>
      <c r="B64" s="5"/>
      <c r="C64" s="3" t="s">
        <v>26</v>
      </c>
      <c r="D64" s="3" t="s">
        <v>27</v>
      </c>
      <c r="E64" s="63">
        <v>0.27</v>
      </c>
      <c r="F64" s="3">
        <f>E64/10</f>
        <v>2.7000000000000003E-2</v>
      </c>
      <c r="G64" s="5"/>
      <c r="H64" s="7"/>
      <c r="I64" s="13"/>
      <c r="J64" s="13"/>
      <c r="K64" s="3">
        <v>0</v>
      </c>
      <c r="L64" s="13">
        <v>42005</v>
      </c>
      <c r="M64" s="5"/>
      <c r="N64" s="64" t="s">
        <v>195</v>
      </c>
      <c r="O64" s="65" t="s">
        <v>196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8.75" customHeight="1">
      <c r="A65" s="14" t="s">
        <v>197</v>
      </c>
      <c r="B65" s="14"/>
      <c r="C65" s="3" t="s">
        <v>26</v>
      </c>
      <c r="D65" s="3" t="s">
        <v>27</v>
      </c>
      <c r="E65" s="14">
        <v>0</v>
      </c>
      <c r="F65" s="14">
        <v>0</v>
      </c>
      <c r="G65" s="5"/>
      <c r="H65" s="5"/>
      <c r="I65" s="5"/>
      <c r="J65" s="5"/>
      <c r="K65" s="5"/>
      <c r="L65" s="5"/>
      <c r="M65" s="5"/>
      <c r="N65" s="5"/>
      <c r="O65" s="5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8.75" customHeight="1">
      <c r="A66" s="14" t="s">
        <v>197</v>
      </c>
      <c r="B66" s="14" t="s">
        <v>198</v>
      </c>
      <c r="C66" s="3" t="s">
        <v>26</v>
      </c>
      <c r="D66" s="3" t="s">
        <v>27</v>
      </c>
      <c r="E66" s="14">
        <v>0.1</v>
      </c>
      <c r="F66" s="5">
        <f t="shared" ref="F66:F68" si="11">E66/10</f>
        <v>0.01</v>
      </c>
      <c r="G66" s="5"/>
      <c r="H66" s="5"/>
      <c r="I66" s="5"/>
      <c r="J66" s="5"/>
      <c r="K66" s="5"/>
      <c r="L66" s="5"/>
      <c r="M66" s="5"/>
      <c r="N66" s="5"/>
      <c r="O66" s="5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8.75" customHeight="1">
      <c r="A67" s="14" t="s">
        <v>197</v>
      </c>
      <c r="B67" s="14" t="s">
        <v>199</v>
      </c>
      <c r="C67" s="3" t="s">
        <v>26</v>
      </c>
      <c r="D67" s="3" t="s">
        <v>27</v>
      </c>
      <c r="E67" s="14">
        <v>0.25</v>
      </c>
      <c r="F67" s="5">
        <f t="shared" si="11"/>
        <v>2.5000000000000001E-2</v>
      </c>
      <c r="G67" s="5"/>
      <c r="H67" s="5"/>
      <c r="I67" s="5"/>
      <c r="J67" s="5"/>
      <c r="K67" s="5"/>
      <c r="L67" s="5"/>
      <c r="M67" s="5"/>
      <c r="N67" s="5"/>
      <c r="O67" s="5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8.75" customHeight="1">
      <c r="A68" s="14" t="s">
        <v>197</v>
      </c>
      <c r="B68" s="14" t="s">
        <v>200</v>
      </c>
      <c r="C68" s="3" t="s">
        <v>26</v>
      </c>
      <c r="D68" s="3" t="s">
        <v>27</v>
      </c>
      <c r="E68" s="14">
        <v>0.5</v>
      </c>
      <c r="F68" s="5">
        <f t="shared" si="11"/>
        <v>0.05</v>
      </c>
      <c r="G68" s="5"/>
      <c r="H68" s="5"/>
      <c r="I68" s="5"/>
      <c r="J68" s="5"/>
      <c r="K68" s="5"/>
      <c r="L68" s="5"/>
      <c r="M68" s="5"/>
      <c r="N68" s="5"/>
      <c r="O68" s="5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8.75" customHeight="1">
      <c r="F69" s="5"/>
      <c r="G69" s="5"/>
      <c r="H69" s="5"/>
      <c r="I69" s="5"/>
      <c r="J69" s="5"/>
      <c r="K69" s="5"/>
      <c r="L69" s="5"/>
      <c r="M69" s="5"/>
      <c r="N69" s="5"/>
      <c r="O69" s="5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8.75" customHeight="1">
      <c r="A70" s="66" t="s">
        <v>201</v>
      </c>
      <c r="B70" s="7"/>
      <c r="C70" s="3" t="s">
        <v>26</v>
      </c>
      <c r="D70" s="3" t="s">
        <v>27</v>
      </c>
      <c r="E70" s="67">
        <v>0.6</v>
      </c>
      <c r="F70" s="5"/>
      <c r="G70" s="5"/>
      <c r="H70" s="5"/>
      <c r="I70" s="5"/>
      <c r="J70" s="5"/>
      <c r="K70" s="5"/>
      <c r="L70" s="5"/>
      <c r="M70" s="5"/>
      <c r="N70" s="14" t="s">
        <v>202</v>
      </c>
      <c r="O70" s="68" t="s">
        <v>203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8.75" customHeight="1">
      <c r="A71" s="66" t="s">
        <v>204</v>
      </c>
      <c r="B71" s="7"/>
      <c r="C71" s="3" t="s">
        <v>26</v>
      </c>
      <c r="D71" s="3" t="s">
        <v>27</v>
      </c>
      <c r="E71" s="69">
        <f>YouTubeStats!C47</f>
        <v>0.81</v>
      </c>
      <c r="F71" s="5"/>
      <c r="G71" s="5"/>
      <c r="H71" s="5"/>
      <c r="I71" s="5"/>
      <c r="J71" s="5"/>
      <c r="K71" s="5"/>
      <c r="L71" s="5"/>
      <c r="M71" s="5"/>
      <c r="N71" s="14" t="s">
        <v>205</v>
      </c>
      <c r="O71" s="47" t="str">
        <f>YouTubeStats!H79</f>
        <v>https://www.cisco.com/c/en/us/solutions/collateral/service-provider/visual-networking-index-vni/mobile-white-paper-c11-520862.html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8.75" customHeight="1">
      <c r="A72" s="66" t="s">
        <v>206</v>
      </c>
      <c r="B72" s="7"/>
      <c r="C72" s="3" t="s">
        <v>26</v>
      </c>
      <c r="D72" s="3" t="s">
        <v>27</v>
      </c>
      <c r="E72" s="70">
        <f>E47</f>
        <v>0.20790636616109792</v>
      </c>
      <c r="F72" s="5"/>
      <c r="G72" s="5"/>
      <c r="H72" s="5"/>
      <c r="I72" s="5"/>
      <c r="J72" s="5"/>
      <c r="K72" s="5"/>
      <c r="L72" s="5"/>
      <c r="M72" s="5"/>
      <c r="N72" s="14" t="s">
        <v>207</v>
      </c>
      <c r="O72" s="5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8.75" customHeight="1">
      <c r="A73" s="66"/>
      <c r="B73" s="7"/>
      <c r="C73" s="3"/>
      <c r="D73" s="3"/>
      <c r="E73" s="67"/>
      <c r="F73" s="5"/>
      <c r="G73" s="5"/>
      <c r="H73" s="5"/>
      <c r="I73" s="5"/>
      <c r="J73" s="5"/>
      <c r="K73" s="5"/>
      <c r="L73" s="5"/>
      <c r="M73" s="5"/>
      <c r="N73" s="5"/>
      <c r="O73" s="5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8.75" customHeight="1">
      <c r="A74" s="66" t="s">
        <v>208</v>
      </c>
      <c r="B74" s="7"/>
      <c r="C74" s="3" t="s">
        <v>26</v>
      </c>
      <c r="D74" s="3" t="s">
        <v>27</v>
      </c>
      <c r="E74" s="70">
        <f>E47</f>
        <v>0.20790636616109792</v>
      </c>
      <c r="F74" s="5"/>
      <c r="G74" s="5"/>
      <c r="H74" s="5"/>
      <c r="I74" s="5"/>
      <c r="J74" s="5"/>
      <c r="K74" s="5"/>
      <c r="L74" s="5"/>
      <c r="M74" s="5"/>
      <c r="N74" s="14" t="s">
        <v>207</v>
      </c>
      <c r="O74" s="5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8.75" customHeight="1">
      <c r="A75" s="66"/>
      <c r="B75" s="7"/>
      <c r="C75" s="3"/>
      <c r="D75" s="3"/>
      <c r="E75" s="67"/>
      <c r="F75" s="5"/>
      <c r="G75" s="5"/>
      <c r="H75" s="5"/>
      <c r="I75" s="5"/>
      <c r="J75" s="5"/>
      <c r="K75" s="5"/>
      <c r="L75" s="5"/>
      <c r="M75" s="5"/>
      <c r="N75" s="5"/>
      <c r="O75" s="5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.75" customHeight="1">
      <c r="A76" s="71" t="s">
        <v>209</v>
      </c>
      <c r="B76" s="7"/>
      <c r="C76" s="72" t="s">
        <v>26</v>
      </c>
      <c r="D76" s="72" t="s">
        <v>27</v>
      </c>
      <c r="E76" s="73">
        <v>0.1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8.75" customHeight="1">
      <c r="A77" s="66" t="s">
        <v>210</v>
      </c>
      <c r="B77" s="7"/>
      <c r="C77" s="3" t="s">
        <v>26</v>
      </c>
      <c r="D77" s="3" t="s">
        <v>27</v>
      </c>
      <c r="E77" s="67">
        <v>0.1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customHeight="1">
      <c r="A78" s="66" t="s">
        <v>211</v>
      </c>
      <c r="B78" s="7"/>
      <c r="C78" s="3" t="s">
        <v>26</v>
      </c>
      <c r="D78" s="3" t="s">
        <v>27</v>
      </c>
      <c r="E78" s="67">
        <v>0.1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8.75" customHeight="1">
      <c r="A79" s="66" t="s">
        <v>212</v>
      </c>
      <c r="B79" s="7"/>
      <c r="C79" s="3" t="s">
        <v>26</v>
      </c>
      <c r="D79" s="3" t="s">
        <v>27</v>
      </c>
      <c r="E79" s="67">
        <v>0.7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8.75" customHeight="1">
      <c r="A80" s="66"/>
      <c r="B80" s="7"/>
      <c r="C80" s="3"/>
      <c r="D80" s="3"/>
      <c r="E80" s="67"/>
      <c r="F80" s="5"/>
      <c r="G80" s="5"/>
      <c r="H80" s="5"/>
      <c r="I80" s="5"/>
      <c r="J80" s="5"/>
      <c r="K80" s="5"/>
      <c r="L80" s="5"/>
      <c r="M80" s="5"/>
      <c r="N80" s="5"/>
      <c r="O80" s="5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8.75" customHeight="1">
      <c r="A81" s="74"/>
      <c r="B81" s="7"/>
      <c r="C81" s="5"/>
      <c r="D81" s="5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8.75" customHeight="1">
      <c r="A82" s="66" t="s">
        <v>213</v>
      </c>
      <c r="B82" s="7"/>
      <c r="C82" s="3" t="s">
        <v>26</v>
      </c>
      <c r="D82" s="3" t="s">
        <v>27</v>
      </c>
      <c r="E82" s="67">
        <v>0.3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.75" customHeight="1">
      <c r="A83" s="66" t="s">
        <v>214</v>
      </c>
      <c r="B83" s="7"/>
      <c r="C83" s="3" t="s">
        <v>26</v>
      </c>
      <c r="D83" s="3" t="s">
        <v>27</v>
      </c>
      <c r="E83" s="67">
        <v>0.7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8.75" customHeight="1">
      <c r="A84" s="74"/>
      <c r="B84" s="7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8.75" customHeight="1">
      <c r="A85" s="66" t="s">
        <v>215</v>
      </c>
      <c r="B85" s="67"/>
      <c r="C85" s="3" t="s">
        <v>26</v>
      </c>
      <c r="D85" s="3" t="s">
        <v>27</v>
      </c>
      <c r="E85" s="67">
        <v>0.3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8.75" customHeight="1">
      <c r="A86" s="66" t="s">
        <v>216</v>
      </c>
      <c r="B86" s="67"/>
      <c r="C86" s="3" t="s">
        <v>26</v>
      </c>
      <c r="D86" s="3" t="s">
        <v>27</v>
      </c>
      <c r="E86" s="67">
        <v>0.7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8.75" customHeight="1">
      <c r="A90" s="14" t="s">
        <v>217</v>
      </c>
      <c r="B90" s="5"/>
      <c r="C90" s="3" t="s">
        <v>26</v>
      </c>
      <c r="D90" s="14" t="s">
        <v>27</v>
      </c>
      <c r="E90" s="75">
        <v>0.51854</v>
      </c>
      <c r="F90" s="76"/>
      <c r="G90" s="5"/>
      <c r="H90" s="14" t="s">
        <v>218</v>
      </c>
      <c r="I90" s="5"/>
      <c r="J90" s="5"/>
      <c r="K90" s="5"/>
      <c r="L90" s="77">
        <v>42005</v>
      </c>
      <c r="M90" s="5"/>
      <c r="N90" s="5"/>
      <c r="O90" s="14" t="s">
        <v>219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8.75" customHeight="1">
      <c r="A91" s="14" t="s">
        <v>220</v>
      </c>
      <c r="B91" s="5"/>
      <c r="C91" s="3" t="s">
        <v>26</v>
      </c>
      <c r="D91" s="14" t="s">
        <v>27</v>
      </c>
      <c r="E91" s="14">
        <v>0</v>
      </c>
      <c r="F91" s="76"/>
      <c r="G91" s="5"/>
      <c r="H91" s="14" t="s">
        <v>218</v>
      </c>
      <c r="I91" s="5"/>
      <c r="J91" s="5"/>
      <c r="K91" s="5"/>
      <c r="L91" s="77">
        <v>42005</v>
      </c>
      <c r="M91" s="5"/>
      <c r="N91" s="5"/>
      <c r="O91" s="5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8.75" customHeight="1">
      <c r="A93" s="14" t="s">
        <v>221</v>
      </c>
      <c r="B93" s="5"/>
      <c r="C93" s="5"/>
      <c r="D93" s="5"/>
      <c r="E93" s="14">
        <v>917000000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8.75" customHeight="1">
      <c r="A94" s="14" t="s">
        <v>222</v>
      </c>
      <c r="B94" s="5"/>
      <c r="C94" s="3" t="s">
        <v>26</v>
      </c>
      <c r="D94" s="14" t="s">
        <v>27</v>
      </c>
      <c r="E94" s="5">
        <f t="shared" ref="E94:E96" si="12">E$93*E43</f>
        <v>403480000</v>
      </c>
      <c r="F94" s="5"/>
      <c r="G94" s="5"/>
      <c r="H94" s="5"/>
      <c r="I94" s="5"/>
      <c r="J94" s="5"/>
      <c r="K94" s="5"/>
      <c r="L94" s="77">
        <v>42370</v>
      </c>
      <c r="M94" s="5"/>
      <c r="N94" s="5"/>
      <c r="O94" s="68" t="s">
        <v>223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8.75" customHeight="1">
      <c r="A95" s="14" t="s">
        <v>224</v>
      </c>
      <c r="B95" s="5"/>
      <c r="C95" s="3" t="s">
        <v>26</v>
      </c>
      <c r="D95" s="14" t="s">
        <v>27</v>
      </c>
      <c r="E95" s="5">
        <f t="shared" si="12"/>
        <v>311780000</v>
      </c>
      <c r="F95" s="5"/>
      <c r="G95" s="5"/>
      <c r="H95" s="5"/>
      <c r="I95" s="5"/>
      <c r="J95" s="5"/>
      <c r="K95" s="5"/>
      <c r="L95" s="77">
        <v>42370</v>
      </c>
      <c r="M95" s="5"/>
      <c r="N95" s="5"/>
      <c r="O95" s="5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8.75" customHeight="1">
      <c r="A96" s="14" t="s">
        <v>225</v>
      </c>
      <c r="B96" s="5"/>
      <c r="C96" s="3" t="s">
        <v>26</v>
      </c>
      <c r="D96" s="14" t="s">
        <v>27</v>
      </c>
      <c r="E96" s="5">
        <f t="shared" si="12"/>
        <v>201740000</v>
      </c>
      <c r="F96" s="5"/>
      <c r="G96" s="5"/>
      <c r="H96" s="5"/>
      <c r="I96" s="5"/>
      <c r="J96" s="5"/>
      <c r="K96" s="5"/>
      <c r="L96" s="77">
        <v>42370</v>
      </c>
      <c r="M96" s="5"/>
      <c r="N96" s="5"/>
      <c r="O96" s="5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8.75" customHeight="1">
      <c r="A98" s="14" t="s">
        <v>226</v>
      </c>
      <c r="B98" s="5"/>
      <c r="C98" s="3" t="s">
        <v>26</v>
      </c>
      <c r="D98" s="14" t="s">
        <v>27</v>
      </c>
      <c r="E98" s="14">
        <v>132</v>
      </c>
      <c r="F98" s="5">
        <f>E98/10</f>
        <v>13.2</v>
      </c>
      <c r="G98" s="5"/>
      <c r="H98" s="14" t="s">
        <v>227</v>
      </c>
      <c r="I98" s="5"/>
      <c r="J98" s="5"/>
      <c r="K98" s="5"/>
      <c r="L98" s="77">
        <v>42370</v>
      </c>
      <c r="M98" s="5"/>
      <c r="N98" s="5"/>
      <c r="O98" s="14" t="s">
        <v>228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8.75" customHeight="1">
      <c r="A99" s="5"/>
      <c r="B99" s="5"/>
      <c r="C99" s="3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8.75" customHeight="1">
      <c r="A100" s="14" t="s">
        <v>229</v>
      </c>
      <c r="B100" s="5"/>
      <c r="C100" s="3" t="s">
        <v>26</v>
      </c>
      <c r="D100" s="14" t="s">
        <v>230</v>
      </c>
      <c r="E100" s="5">
        <f>86400 * 365/12</f>
        <v>2628000</v>
      </c>
      <c r="F100" s="5"/>
      <c r="G100" s="5"/>
      <c r="H100" s="14" t="s">
        <v>189</v>
      </c>
      <c r="I100" s="5"/>
      <c r="J100" s="5"/>
      <c r="K100" s="5"/>
      <c r="L100" s="5"/>
      <c r="M100" s="5"/>
      <c r="N100" s="5"/>
      <c r="O100" s="5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8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8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8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8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conditionalFormatting sqref="N27">
    <cfRule type="containsText" dxfId="2" priority="1" operator="containsText" text="old">
      <formula>NOT(ISERROR(SEARCH(("old"),(N27))))</formula>
    </cfRule>
  </conditionalFormatting>
  <conditionalFormatting sqref="M26 N28 N30:N31">
    <cfRule type="containsText" dxfId="1" priority="2" operator="containsText" text="old">
      <formula>NOT(ISERROR(SEARCH(("old"),(M26))))</formula>
    </cfRule>
  </conditionalFormatting>
  <conditionalFormatting sqref="N29 O49">
    <cfRule type="containsText" dxfId="0" priority="3" operator="containsText" text="old">
      <formula>NOT(ISERROR(SEARCH(("old"),(N29))))</formula>
    </cfRule>
  </conditionalFormatting>
  <hyperlinks>
    <hyperlink ref="O70" r:id="rId1" xr:uid="{00000000-0004-0000-0100-000000000000}"/>
    <hyperlink ref="O94" r:id="rId2" xr:uid="{00000000-0004-0000-0100-000001000000}"/>
  </hyperlinks>
  <pageMargins left="0.7" right="0.7" top="0.75" bottom="0.75" header="0.3" footer="0.3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1.1640625" defaultRowHeight="15" customHeight="1"/>
  <cols>
    <col min="1" max="1" width="53.1640625" customWidth="1"/>
    <col min="2" max="3" width="16.83203125" customWidth="1"/>
    <col min="4" max="4" width="17.5" customWidth="1"/>
    <col min="5" max="5" width="18.1640625" customWidth="1"/>
    <col min="6" max="26" width="10.5" customWidth="1"/>
  </cols>
  <sheetData>
    <row r="1" spans="1:26" ht="15.75" customHeight="1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8" t="s">
        <v>9</v>
      </c>
      <c r="B4" s="10"/>
      <c r="C4" s="10"/>
      <c r="D4" s="10"/>
      <c r="E4" s="10"/>
      <c r="F4" s="10"/>
      <c r="G4" s="10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 t="s">
        <v>28</v>
      </c>
      <c r="B5" s="1"/>
      <c r="C5" s="1"/>
      <c r="D5" s="1" t="s">
        <v>29</v>
      </c>
      <c r="E5" s="1"/>
      <c r="F5" s="1"/>
    </row>
    <row r="6" spans="1:26" ht="15.75" customHeight="1">
      <c r="A6" s="1" t="s">
        <v>30</v>
      </c>
      <c r="B6" s="1">
        <v>8.5</v>
      </c>
      <c r="C6" s="1" t="s">
        <v>31</v>
      </c>
      <c r="D6" s="1">
        <v>2016</v>
      </c>
      <c r="E6" s="1" t="s">
        <v>32</v>
      </c>
      <c r="F6" s="1"/>
    </row>
    <row r="7" spans="1:26" ht="15.75" customHeight="1">
      <c r="A7" s="1" t="s">
        <v>33</v>
      </c>
      <c r="B7" s="1">
        <v>0.5</v>
      </c>
      <c r="C7" s="1"/>
      <c r="D7" s="1"/>
      <c r="E7" s="1"/>
      <c r="F7" s="1"/>
    </row>
    <row r="8" spans="1:26" ht="15.75" customHeight="1">
      <c r="A8" s="1" t="s">
        <v>34</v>
      </c>
      <c r="B8" s="1">
        <v>0.15</v>
      </c>
      <c r="C8" s="1"/>
      <c r="D8" s="1">
        <v>2015</v>
      </c>
      <c r="E8" s="1" t="s">
        <v>32</v>
      </c>
      <c r="F8" s="1" t="s">
        <v>35</v>
      </c>
    </row>
    <row r="9" spans="1:26" ht="15.75" customHeight="1">
      <c r="A9" s="1" t="s">
        <v>37</v>
      </c>
      <c r="B9" s="1">
        <f>B6*B8</f>
        <v>1.2749999999999999</v>
      </c>
      <c r="C9" s="1" t="s">
        <v>31</v>
      </c>
      <c r="D9" s="1">
        <v>2016</v>
      </c>
      <c r="E9" s="1"/>
      <c r="F9" s="1"/>
    </row>
    <row r="10" spans="1:26" ht="15.75" customHeight="1">
      <c r="A10" s="1" t="s">
        <v>38</v>
      </c>
      <c r="B10" s="1">
        <f>B9*12</f>
        <v>15.299999999999999</v>
      </c>
      <c r="C10" s="1" t="s">
        <v>41</v>
      </c>
      <c r="D10" s="1">
        <v>2016</v>
      </c>
      <c r="E10" s="1"/>
      <c r="F10" s="1"/>
    </row>
    <row r="11" spans="1:26" ht="15.75" customHeight="1">
      <c r="A11" s="1"/>
      <c r="B11" s="1"/>
      <c r="C11" s="1"/>
      <c r="D11" s="1"/>
      <c r="E11" s="1"/>
      <c r="F11" s="1"/>
    </row>
    <row r="12" spans="1:26" ht="15.75" customHeight="1">
      <c r="A12" s="1" t="s">
        <v>42</v>
      </c>
      <c r="B12" s="1">
        <v>1.5</v>
      </c>
      <c r="C12" s="1" t="s">
        <v>43</v>
      </c>
      <c r="D12" s="1">
        <v>2013</v>
      </c>
      <c r="E12" s="1" t="s">
        <v>44</v>
      </c>
      <c r="F12" s="1"/>
    </row>
    <row r="13" spans="1:26" ht="15.75" customHeight="1">
      <c r="A13" s="1" t="s">
        <v>45</v>
      </c>
      <c r="B13" s="1">
        <f>B18/B12</f>
        <v>2560</v>
      </c>
      <c r="C13" s="1"/>
      <c r="D13" s="1"/>
      <c r="E13" s="1"/>
      <c r="F13" s="1"/>
    </row>
    <row r="14" spans="1:26" ht="15.75" customHeight="1">
      <c r="A14" s="1"/>
      <c r="B14" s="1"/>
      <c r="C14" s="1"/>
      <c r="D14" s="1"/>
      <c r="E14" s="1"/>
      <c r="F14" s="1"/>
    </row>
    <row r="15" spans="1:26" ht="15.75" customHeight="1">
      <c r="A15" s="1" t="s">
        <v>48</v>
      </c>
      <c r="B15" s="1">
        <v>170</v>
      </c>
      <c r="C15" s="1" t="s">
        <v>49</v>
      </c>
      <c r="D15" s="1"/>
      <c r="E15" s="1"/>
      <c r="F15" s="1"/>
    </row>
    <row r="16" spans="1:26" ht="15.75" customHeight="1">
      <c r="A16" s="1" t="s">
        <v>51</v>
      </c>
      <c r="B16" s="1">
        <v>150</v>
      </c>
      <c r="C16" s="1" t="s">
        <v>49</v>
      </c>
      <c r="D16" s="1"/>
      <c r="E16" s="1"/>
      <c r="F16" s="1"/>
    </row>
    <row r="17" spans="1:9" ht="15.75" customHeight="1">
      <c r="A17" s="1" t="s">
        <v>52</v>
      </c>
      <c r="B17" s="1">
        <f>SUM(B15:B16)</f>
        <v>320</v>
      </c>
      <c r="C17" s="1" t="s">
        <v>49</v>
      </c>
      <c r="D17" s="1"/>
      <c r="E17" s="1"/>
      <c r="F17" s="1"/>
    </row>
    <row r="18" spans="1:9" ht="15.75" customHeight="1">
      <c r="A18" s="1"/>
      <c r="B18" s="1">
        <f>B17*12</f>
        <v>3840</v>
      </c>
      <c r="C18" s="1" t="s">
        <v>54</v>
      </c>
      <c r="D18" s="1"/>
      <c r="E18" s="1"/>
      <c r="F18" s="1"/>
    </row>
    <row r="19" spans="1:9" ht="15.75" customHeight="1">
      <c r="A19" s="1"/>
      <c r="B19" s="1">
        <f>B18/1000</f>
        <v>3.84</v>
      </c>
      <c r="C19" s="1" t="s">
        <v>41</v>
      </c>
      <c r="D19" s="1"/>
      <c r="E19" s="1"/>
      <c r="F19" s="1"/>
    </row>
    <row r="20" spans="1:9" ht="15.75" customHeight="1"/>
    <row r="21" spans="1:9" ht="15.75" customHeight="1"/>
    <row r="22" spans="1:9" ht="15.75" customHeight="1">
      <c r="A22" s="8" t="s">
        <v>55</v>
      </c>
      <c r="B22" s="10"/>
      <c r="C22" s="10"/>
      <c r="D22" s="10"/>
      <c r="E22" s="10"/>
      <c r="F22" s="10"/>
      <c r="G22" s="10"/>
      <c r="H22" s="10"/>
    </row>
    <row r="23" spans="1:9" ht="15.75" customHeight="1">
      <c r="A23" s="1">
        <v>2016</v>
      </c>
      <c r="B23" s="1" t="s">
        <v>56</v>
      </c>
      <c r="C23" s="1" t="s">
        <v>57</v>
      </c>
      <c r="D23" s="1">
        <v>2017</v>
      </c>
      <c r="E23" s="1" t="s">
        <v>56</v>
      </c>
      <c r="F23" s="1" t="s">
        <v>57</v>
      </c>
      <c r="G23" s="1"/>
      <c r="H23" s="1" t="s">
        <v>58</v>
      </c>
    </row>
    <row r="24" spans="1:9" ht="15.75" customHeight="1">
      <c r="A24" s="1" t="s">
        <v>59</v>
      </c>
      <c r="B24" s="1">
        <v>3.2</v>
      </c>
      <c r="C24" s="1"/>
      <c r="D24" s="1" t="s">
        <v>60</v>
      </c>
      <c r="E24" s="1">
        <v>2.7</v>
      </c>
      <c r="F24" s="1"/>
      <c r="G24" s="1"/>
      <c r="H24" s="1"/>
    </row>
    <row r="25" spans="1:9" ht="15.75" customHeight="1">
      <c r="A25" s="1" t="s">
        <v>61</v>
      </c>
      <c r="B25" s="1">
        <v>5.6</v>
      </c>
      <c r="C25" s="1">
        <v>2.4</v>
      </c>
      <c r="D25" s="1">
        <v>0.55813953500000002</v>
      </c>
      <c r="E25" s="1">
        <v>5.24</v>
      </c>
      <c r="F25" s="1">
        <v>2.54</v>
      </c>
      <c r="G25" s="1">
        <v>0.50800000000000001</v>
      </c>
      <c r="H25" s="17">
        <v>0.53306976699999997</v>
      </c>
      <c r="I25" s="1" t="s">
        <v>61</v>
      </c>
    </row>
    <row r="26" spans="1:9" ht="15.75" customHeight="1">
      <c r="A26" s="1" t="s">
        <v>62</v>
      </c>
      <c r="B26" s="1">
        <v>7.5</v>
      </c>
      <c r="C26" s="1">
        <v>1.9</v>
      </c>
      <c r="D26" s="1">
        <v>0.44186046499999998</v>
      </c>
      <c r="E26" s="1">
        <v>7.7</v>
      </c>
      <c r="F26" s="1">
        <v>2.46</v>
      </c>
      <c r="G26" s="1">
        <v>0.49199999999999999</v>
      </c>
      <c r="H26" s="17">
        <v>0.46693023299999997</v>
      </c>
      <c r="I26" s="1" t="s">
        <v>62</v>
      </c>
    </row>
    <row r="27" spans="1:9" ht="15.75" customHeight="1">
      <c r="A27" s="1"/>
      <c r="B27" s="1"/>
      <c r="C27" s="1">
        <v>4.3</v>
      </c>
      <c r="D27" s="1">
        <v>1.263157895</v>
      </c>
      <c r="E27" s="1"/>
      <c r="F27" s="1">
        <v>5</v>
      </c>
      <c r="G27" s="1">
        <v>1.0325203249999999</v>
      </c>
      <c r="H27" s="1"/>
    </row>
    <row r="28" spans="1:9" ht="15.75" customHeight="1">
      <c r="A28" s="1"/>
      <c r="B28" s="1"/>
      <c r="C28" s="1"/>
      <c r="D28" s="1"/>
      <c r="E28" s="1"/>
      <c r="F28" s="1"/>
      <c r="G28" s="1"/>
      <c r="H28" s="1"/>
    </row>
    <row r="29" spans="1:9" ht="15.75" customHeight="1">
      <c r="A29" s="1"/>
      <c r="B29" s="1"/>
      <c r="C29" s="1" t="s">
        <v>63</v>
      </c>
      <c r="D29" s="1">
        <v>5</v>
      </c>
      <c r="E29" s="1"/>
      <c r="F29" s="1"/>
      <c r="G29" s="1"/>
      <c r="H29" s="1"/>
    </row>
    <row r="30" spans="1:9" ht="15.75" customHeight="1">
      <c r="A30" s="1"/>
      <c r="B30" s="1"/>
      <c r="C30" s="1" t="s">
        <v>64</v>
      </c>
      <c r="D30" s="1">
        <v>2.790697674</v>
      </c>
      <c r="E30" s="1"/>
      <c r="F30" s="1"/>
      <c r="G30" s="1"/>
      <c r="H30" s="1"/>
    </row>
    <row r="31" spans="1:9" ht="15.75" customHeight="1">
      <c r="A31" s="1"/>
      <c r="B31" s="1"/>
      <c r="C31" s="1" t="s">
        <v>65</v>
      </c>
      <c r="D31" s="1">
        <v>2.209302326</v>
      </c>
      <c r="E31" s="1"/>
      <c r="F31" s="1"/>
      <c r="G31" s="1"/>
      <c r="H31" s="1"/>
    </row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7" ht="15.75" customHeight="1">
      <c r="A1" s="1" t="s">
        <v>77</v>
      </c>
      <c r="B1" s="1">
        <v>30416666667</v>
      </c>
      <c r="C1" s="1" t="s">
        <v>78</v>
      </c>
      <c r="D1" s="1"/>
      <c r="E1" s="1"/>
      <c r="F1" s="1"/>
      <c r="G1" s="1"/>
    </row>
    <row r="2" spans="1:7" ht="15.75" customHeight="1">
      <c r="A2" s="1" t="s">
        <v>79</v>
      </c>
      <c r="B2" s="1">
        <v>300</v>
      </c>
      <c r="C2" s="1" t="s">
        <v>80</v>
      </c>
      <c r="D2" s="1"/>
      <c r="E2" s="1"/>
      <c r="F2" s="1"/>
      <c r="G2" s="1"/>
    </row>
    <row r="3" spans="1:7" ht="15.75" customHeight="1">
      <c r="A3" s="1" t="s">
        <v>79</v>
      </c>
      <c r="B3" s="1">
        <v>13140000</v>
      </c>
      <c r="C3" s="1" t="s">
        <v>78</v>
      </c>
      <c r="D3" s="1"/>
      <c r="E3" s="1"/>
      <c r="F3" s="1" t="s">
        <v>81</v>
      </c>
      <c r="G3" s="1">
        <v>43800</v>
      </c>
    </row>
    <row r="4" spans="1:7" ht="15.75" customHeight="1">
      <c r="A4" s="1" t="s">
        <v>82</v>
      </c>
      <c r="B4" s="1">
        <v>2314.8148150000002</v>
      </c>
      <c r="C4" s="1"/>
      <c r="D4" s="1"/>
      <c r="E4" s="1"/>
      <c r="F4" s="1"/>
      <c r="G4" s="1"/>
    </row>
    <row r="5" spans="1:7" ht="15.75" customHeight="1"/>
    <row r="6" spans="1:7" ht="15.75" customHeight="1"/>
    <row r="7" spans="1:7" ht="15.75" customHeight="1"/>
    <row r="8" spans="1:7" ht="15.75" customHeight="1"/>
    <row r="9" spans="1:7" ht="15.75" customHeight="1"/>
    <row r="10" spans="1:7" ht="15.75" customHeight="1"/>
    <row r="11" spans="1:7" ht="15.75" customHeight="1"/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1.1640625" defaultRowHeight="15" customHeight="1"/>
  <cols>
    <col min="1" max="1" width="36.1640625" customWidth="1"/>
    <col min="2" max="2" width="13" customWidth="1"/>
    <col min="3" max="3" width="12.6640625" customWidth="1"/>
    <col min="4" max="6" width="10.83203125" customWidth="1"/>
    <col min="7" max="26" width="10.5" customWidth="1"/>
  </cols>
  <sheetData>
    <row r="1" spans="1:26" ht="15.75" customHeight="1">
      <c r="A1" s="1"/>
      <c r="B1" s="1">
        <v>2016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 t="s">
        <v>87</v>
      </c>
      <c r="B2" s="34">
        <v>217700</v>
      </c>
      <c r="C2" s="1" t="s">
        <v>88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 t="s">
        <v>89</v>
      </c>
      <c r="B3" s="34">
        <v>217700</v>
      </c>
      <c r="C3" s="36" t="s">
        <v>90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 t="s">
        <v>91</v>
      </c>
      <c r="B4" s="34">
        <v>229988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 t="s">
        <v>89</v>
      </c>
      <c r="B5" s="34">
        <v>229988</v>
      </c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3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 t="s">
        <v>92</v>
      </c>
      <c r="B7" s="34">
        <f>B2*1000/B32</f>
        <v>484509926.11056709</v>
      </c>
      <c r="C7" s="1" t="s">
        <v>95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 t="s">
        <v>96</v>
      </c>
      <c r="B8" s="34">
        <f>B7*C22</f>
        <v>234543604.09734377</v>
      </c>
      <c r="C8" s="1" t="s">
        <v>95</v>
      </c>
      <c r="D8" s="1" t="s">
        <v>97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 t="s">
        <v>98</v>
      </c>
      <c r="B9" s="34">
        <f>B8/B22</f>
        <v>48.83757209655186</v>
      </c>
      <c r="C9" s="1" t="s">
        <v>95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 t="s">
        <v>98</v>
      </c>
      <c r="B10" s="34">
        <f>3600000*B9</f>
        <v>175815259.54758671</v>
      </c>
      <c r="C10" s="1" t="s">
        <v>101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 t="s">
        <v>102</v>
      </c>
      <c r="B11" s="34">
        <f>B10/B25</f>
        <v>5.5750653078255556</v>
      </c>
      <c r="C11" s="1" t="s">
        <v>109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3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 t="s">
        <v>117</v>
      </c>
      <c r="B13" s="34">
        <v>452800</v>
      </c>
      <c r="C13" s="1" t="s">
        <v>88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 t="s">
        <v>118</v>
      </c>
      <c r="B14" s="34">
        <v>427175</v>
      </c>
      <c r="C14" s="1" t="s">
        <v>88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 t="s">
        <v>119</v>
      </c>
      <c r="B15" s="1">
        <v>42.9</v>
      </c>
      <c r="C15" s="1" t="s">
        <v>120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 t="s">
        <v>121</v>
      </c>
      <c r="B16" s="34">
        <v>171258</v>
      </c>
      <c r="C16" s="1" t="s">
        <v>88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 t="s">
        <v>123</v>
      </c>
      <c r="B17" s="1">
        <v>35.659999999999997</v>
      </c>
      <c r="C17" s="1" t="s">
        <v>124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 t="s">
        <v>125</v>
      </c>
      <c r="B18" s="34">
        <v>255916</v>
      </c>
      <c r="C18" s="1" t="s">
        <v>88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126</v>
      </c>
      <c r="B19" s="1">
        <v>50</v>
      </c>
      <c r="C19" s="1" t="s">
        <v>127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 t="s">
        <v>128</v>
      </c>
      <c r="B22" s="41">
        <f>B16*1000/B17</f>
        <v>4802523.8362310715</v>
      </c>
      <c r="C22" s="1">
        <f>B22/B24</f>
        <v>0.48408420851179834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133</v>
      </c>
      <c r="B23" s="41">
        <f>B18*1000/B19</f>
        <v>5118320</v>
      </c>
      <c r="C23" s="1">
        <f>B23/B24</f>
        <v>0.51591579148820166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136</v>
      </c>
      <c r="B24" s="41">
        <f>B22+B23</f>
        <v>9920843.8362310715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 t="s">
        <v>138</v>
      </c>
      <c r="B25" s="1">
        <f>365*86400</f>
        <v>31536000</v>
      </c>
      <c r="C25" s="1" t="s">
        <v>141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 t="s">
        <v>142</v>
      </c>
      <c r="B26" s="1">
        <f>B17/B32</f>
        <v>79.364372830054293</v>
      </c>
      <c r="C26" s="1" t="s">
        <v>95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142</v>
      </c>
      <c r="B27" s="43">
        <f>3600000*B26</f>
        <v>285711742.18819547</v>
      </c>
      <c r="C27" s="1" t="s">
        <v>101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 t="s">
        <v>145</v>
      </c>
      <c r="B28" s="41">
        <f>B27/B25</f>
        <v>9.0598599121066545</v>
      </c>
      <c r="C28" s="1" t="s">
        <v>109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147</v>
      </c>
      <c r="B30" s="46">
        <v>0.41204999999999997</v>
      </c>
      <c r="C30" s="1"/>
      <c r="D30" s="1" t="s">
        <v>116</v>
      </c>
      <c r="E30" s="1" t="s">
        <v>148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 t="s">
        <v>149</v>
      </c>
      <c r="B31" s="46">
        <v>3.7270000000000005E-2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 t="s">
        <v>150</v>
      </c>
      <c r="B32" s="48">
        <f>SUM(B30:B31)</f>
        <v>0.44932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baseColWidth="10" defaultColWidth="11.1640625" defaultRowHeight="15" customHeight="1"/>
  <cols>
    <col min="1" max="1" width="34.5" customWidth="1"/>
    <col min="2" max="9" width="10.83203125" customWidth="1"/>
    <col min="10" max="26" width="10.5" customWidth="1"/>
  </cols>
  <sheetData>
    <row r="1" spans="1:9" ht="15.75" customHeight="1">
      <c r="A1" s="2" t="s">
        <v>103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110</v>
      </c>
      <c r="H1" s="2" t="s">
        <v>111</v>
      </c>
      <c r="I1" s="2" t="s">
        <v>112</v>
      </c>
    </row>
    <row r="2" spans="1:9" ht="15.75" customHeight="1">
      <c r="A2" s="2" t="s">
        <v>113</v>
      </c>
      <c r="B2" s="2">
        <v>0.54418</v>
      </c>
      <c r="C2" s="2" t="s">
        <v>115</v>
      </c>
      <c r="D2" s="2" t="s">
        <v>116</v>
      </c>
      <c r="E2" s="2">
        <v>1</v>
      </c>
      <c r="F2" s="2">
        <v>2009</v>
      </c>
      <c r="G2" s="2">
        <f t="shared" ref="G2:G4" si="0">E2/100*B2</f>
        <v>5.4418000000000001E-3</v>
      </c>
      <c r="H2" s="2">
        <f t="shared" ref="H2:H4" si="1">B2-G2*2</f>
        <v>0.5332964</v>
      </c>
      <c r="I2" s="2">
        <f t="shared" ref="I2:I4" si="2">B2+G2*2</f>
        <v>0.55506359999999999</v>
      </c>
    </row>
    <row r="3" spans="1:9" ht="15.75" customHeight="1">
      <c r="A3" s="2" t="s">
        <v>129</v>
      </c>
      <c r="B3" s="2">
        <f>B4*0.37</f>
        <v>0.222</v>
      </c>
      <c r="C3" s="2" t="s">
        <v>115</v>
      </c>
      <c r="D3" s="2" t="s">
        <v>130</v>
      </c>
      <c r="E3" s="2">
        <v>1</v>
      </c>
      <c r="F3" s="2">
        <v>2009</v>
      </c>
      <c r="G3" s="2">
        <f t="shared" si="0"/>
        <v>2.2200000000000002E-3</v>
      </c>
      <c r="H3" s="2">
        <f t="shared" si="1"/>
        <v>0.21756</v>
      </c>
      <c r="I3" s="2">
        <f t="shared" si="2"/>
        <v>0.22644</v>
      </c>
    </row>
    <row r="4" spans="1:9" ht="15.75" customHeight="1">
      <c r="A4" s="2" t="s">
        <v>131</v>
      </c>
      <c r="B4" s="2">
        <v>0.6</v>
      </c>
      <c r="C4" s="2" t="s">
        <v>115</v>
      </c>
      <c r="D4" s="2" t="s">
        <v>132</v>
      </c>
      <c r="E4" s="2">
        <v>1</v>
      </c>
      <c r="F4" s="2">
        <v>2009</v>
      </c>
      <c r="G4" s="2">
        <f t="shared" si="0"/>
        <v>6.0000000000000001E-3</v>
      </c>
      <c r="H4" s="2">
        <f t="shared" si="1"/>
        <v>0.58799999999999997</v>
      </c>
      <c r="I4" s="2">
        <f t="shared" si="2"/>
        <v>0.61199999999999999</v>
      </c>
    </row>
    <row r="5" spans="1:9" ht="15.75" customHeight="1">
      <c r="A5" s="1"/>
      <c r="B5" s="1"/>
      <c r="C5" s="1"/>
      <c r="D5" s="1"/>
      <c r="E5" s="1"/>
      <c r="F5" s="1"/>
      <c r="G5" s="1"/>
      <c r="H5" s="1"/>
      <c r="I5" s="1"/>
    </row>
    <row r="6" spans="1:9" ht="15.75" customHeight="1">
      <c r="A6" s="1"/>
      <c r="B6" s="1"/>
      <c r="C6" s="1"/>
      <c r="D6" s="1"/>
      <c r="E6" s="1"/>
      <c r="F6" s="1"/>
      <c r="G6" s="1"/>
      <c r="H6" s="1"/>
      <c r="I6" s="1"/>
    </row>
    <row r="7" spans="1:9" ht="15.75" customHeight="1">
      <c r="A7" s="1"/>
      <c r="B7" s="1"/>
      <c r="C7" s="1"/>
      <c r="D7" s="1"/>
      <c r="E7" s="1"/>
      <c r="F7" s="1"/>
      <c r="G7" s="1"/>
      <c r="H7" s="1"/>
      <c r="I7" s="1"/>
    </row>
    <row r="8" spans="1:9" ht="15.75" customHeight="1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>
      <c r="A9" s="1"/>
      <c r="B9" s="1"/>
      <c r="C9" s="1"/>
      <c r="D9" s="1"/>
      <c r="E9" s="1"/>
      <c r="F9" s="1"/>
      <c r="G9" s="1"/>
      <c r="H9" s="1"/>
      <c r="I9" s="1"/>
    </row>
    <row r="10" spans="1:9" ht="15.75" customHeight="1">
      <c r="A10" s="1"/>
      <c r="B10" s="1"/>
      <c r="C10" s="1"/>
      <c r="D10" s="1"/>
      <c r="E10" s="1"/>
      <c r="F10" s="1"/>
      <c r="G10" s="1"/>
      <c r="H10" s="1"/>
      <c r="I10" s="1"/>
    </row>
    <row r="11" spans="1:9" ht="15.75" customHeight="1">
      <c r="A11" s="1"/>
      <c r="B11" s="1"/>
      <c r="C11" s="1"/>
      <c r="D11" s="1"/>
      <c r="E11" s="1"/>
      <c r="F11" s="1"/>
      <c r="G11" s="1"/>
      <c r="H11" s="1"/>
      <c r="I11" s="1"/>
    </row>
    <row r="12" spans="1:9" ht="15.75" customHeight="1">
      <c r="A12" s="1"/>
      <c r="B12" s="1"/>
      <c r="C12" s="1"/>
      <c r="D12" s="1"/>
      <c r="E12" s="1"/>
      <c r="F12" s="1"/>
      <c r="G12" s="1"/>
      <c r="H12" s="1"/>
      <c r="I12" s="1"/>
    </row>
    <row r="13" spans="1:9" ht="15.75" customHeight="1">
      <c r="A13" s="1"/>
      <c r="B13" s="1"/>
      <c r="C13" s="1"/>
      <c r="D13" s="1"/>
      <c r="E13" s="1"/>
      <c r="F13" s="1"/>
      <c r="G13" s="1"/>
      <c r="H13" s="1"/>
      <c r="I13" s="1"/>
    </row>
    <row r="14" spans="1:9" ht="15.75" customHeight="1">
      <c r="A14" s="1"/>
      <c r="B14" s="1"/>
      <c r="C14" s="1"/>
      <c r="D14" s="1"/>
      <c r="E14" s="1"/>
      <c r="F14" s="1"/>
      <c r="G14" s="1"/>
      <c r="H14" s="1"/>
      <c r="I14" s="1"/>
    </row>
    <row r="15" spans="1:9" ht="15.75" customHeight="1">
      <c r="A15" s="1"/>
      <c r="B15" s="1"/>
      <c r="C15" s="1"/>
      <c r="D15" s="1"/>
      <c r="E15" s="1"/>
      <c r="F15" s="1"/>
      <c r="G15" s="1"/>
      <c r="H15" s="1"/>
      <c r="I15" s="1"/>
    </row>
    <row r="16" spans="1:9" ht="15.75" customHeight="1">
      <c r="A16" s="1"/>
      <c r="B16" s="1"/>
      <c r="C16" s="1"/>
      <c r="D16" s="1"/>
      <c r="E16" s="1"/>
      <c r="F16" s="1"/>
      <c r="G16" s="1"/>
      <c r="H16" s="1"/>
      <c r="I16" s="1"/>
    </row>
    <row r="17" spans="1:9" ht="15.75" customHeight="1">
      <c r="A17" s="1"/>
      <c r="B17" s="43"/>
      <c r="C17" s="1"/>
      <c r="D17" s="1"/>
      <c r="E17" s="1"/>
      <c r="F17" s="1"/>
      <c r="G17" s="1"/>
      <c r="H17" s="1"/>
      <c r="I17" s="1"/>
    </row>
    <row r="18" spans="1:9" ht="15.75" customHeight="1">
      <c r="A18" s="1"/>
      <c r="B18" s="43"/>
      <c r="C18" s="1"/>
      <c r="D18" s="1"/>
      <c r="E18" s="1"/>
      <c r="F18" s="1"/>
      <c r="G18" s="1"/>
      <c r="H18" s="1"/>
      <c r="I18" s="1"/>
    </row>
    <row r="19" spans="1:9" ht="15.75" customHeight="1">
      <c r="A19" s="1"/>
      <c r="B19" s="43"/>
      <c r="C19" s="1"/>
      <c r="D19" s="1"/>
      <c r="E19" s="1"/>
      <c r="F19" s="1"/>
      <c r="G19" s="1"/>
      <c r="H19" s="1"/>
      <c r="I19" s="1"/>
    </row>
    <row r="20" spans="1:9" ht="15.75" customHeight="1">
      <c r="A20" s="1"/>
      <c r="B20" s="43"/>
      <c r="C20" s="1"/>
      <c r="D20" s="1"/>
      <c r="E20" s="1"/>
      <c r="F20" s="1"/>
      <c r="G20" s="1"/>
      <c r="H20" s="1"/>
      <c r="I20" s="1"/>
    </row>
    <row r="21" spans="1:9" ht="15.75" customHeight="1">
      <c r="A21" s="1"/>
      <c r="B21" s="44"/>
      <c r="C21" s="1"/>
      <c r="D21" s="1"/>
      <c r="E21" s="1"/>
      <c r="F21" s="1"/>
      <c r="G21" s="1"/>
      <c r="H21" s="1"/>
      <c r="I21" s="1"/>
    </row>
    <row r="22" spans="1:9" ht="15.75" customHeight="1">
      <c r="A22" s="1"/>
      <c r="B22" s="1"/>
      <c r="C22" s="1"/>
      <c r="D22" s="1"/>
      <c r="E22" s="1"/>
      <c r="F22" s="1"/>
      <c r="G22" s="1"/>
      <c r="H22" s="1"/>
      <c r="I22" s="1"/>
    </row>
    <row r="23" spans="1:9" ht="15.75" customHeight="1">
      <c r="A23" s="1"/>
      <c r="B23" s="1"/>
      <c r="C23" s="1"/>
      <c r="D23" s="1"/>
      <c r="E23" s="1"/>
      <c r="F23" s="1"/>
      <c r="G23" s="1"/>
      <c r="H23" s="1"/>
      <c r="I23" s="1"/>
    </row>
    <row r="24" spans="1:9" ht="15.75" customHeight="1">
      <c r="A24" s="1"/>
      <c r="B24" s="1"/>
      <c r="C24" s="1"/>
      <c r="D24" s="1"/>
      <c r="E24" s="1"/>
      <c r="F24" s="1"/>
      <c r="G24" s="1"/>
      <c r="H24" s="1"/>
      <c r="I24" s="1"/>
    </row>
    <row r="25" spans="1:9" ht="15.75" customHeight="1">
      <c r="A25" s="1"/>
      <c r="B25" s="1"/>
      <c r="C25" s="1"/>
      <c r="D25" s="1"/>
      <c r="E25" s="1"/>
      <c r="F25" s="1"/>
      <c r="G25" s="1"/>
      <c r="H25" s="1"/>
      <c r="I25" s="1"/>
    </row>
    <row r="26" spans="1:9" ht="15.75" customHeight="1">
      <c r="A26" s="1"/>
      <c r="B26" s="1"/>
      <c r="C26" s="1"/>
      <c r="D26" s="1"/>
      <c r="E26" s="1"/>
      <c r="F26" s="1"/>
      <c r="G26" s="1"/>
      <c r="H26" s="1"/>
      <c r="I26" s="1"/>
    </row>
    <row r="27" spans="1:9" ht="15.75" customHeight="1">
      <c r="A27" s="1"/>
      <c r="B27" s="1"/>
      <c r="C27" s="1"/>
      <c r="D27" s="1"/>
      <c r="E27" s="1"/>
      <c r="F27" s="1"/>
      <c r="G27" s="1"/>
      <c r="H27" s="1"/>
      <c r="I27" s="1"/>
    </row>
    <row r="28" spans="1:9" ht="15.75" customHeight="1">
      <c r="A28" s="1"/>
      <c r="B28" s="1"/>
      <c r="C28" s="1"/>
      <c r="D28" s="1"/>
      <c r="E28" s="1"/>
      <c r="F28" s="1"/>
      <c r="G28" s="1"/>
      <c r="H28" s="1"/>
      <c r="I28" s="1"/>
    </row>
    <row r="29" spans="1:9" ht="15.75" customHeight="1">
      <c r="A29" s="1"/>
      <c r="B29" s="1"/>
      <c r="C29" s="1"/>
      <c r="D29" s="1"/>
      <c r="E29" s="1"/>
      <c r="F29" s="1"/>
      <c r="G29" s="1"/>
      <c r="H29" s="1"/>
      <c r="I29" s="1"/>
    </row>
    <row r="30" spans="1:9" ht="15.75" customHeight="1">
      <c r="A30" s="1"/>
      <c r="B30" s="1"/>
      <c r="C30" s="1"/>
      <c r="D30" s="1"/>
      <c r="E30" s="1"/>
      <c r="F30" s="1"/>
      <c r="G30" s="1"/>
      <c r="H30" s="1"/>
      <c r="I30" s="1"/>
    </row>
    <row r="31" spans="1:9" ht="15.75" customHeight="1">
      <c r="A31" s="1"/>
      <c r="B31" s="1"/>
      <c r="C31" s="1"/>
      <c r="D31" s="1"/>
      <c r="E31" s="1"/>
      <c r="F31" s="1"/>
      <c r="G31" s="1"/>
      <c r="H31" s="1"/>
      <c r="I31" s="1"/>
    </row>
    <row r="32" spans="1:9" ht="15.75" customHeight="1">
      <c r="A32" s="1"/>
      <c r="B32" s="1"/>
      <c r="C32" s="1"/>
      <c r="D32" s="1"/>
      <c r="E32" s="1"/>
      <c r="F32" s="1"/>
      <c r="G32" s="1"/>
      <c r="H32" s="1"/>
      <c r="I32" s="1"/>
    </row>
    <row r="33" spans="1:9" ht="15.75" customHeight="1">
      <c r="A33" s="1"/>
      <c r="B33" s="1"/>
      <c r="C33" s="1"/>
      <c r="D33" s="1"/>
      <c r="E33" s="1"/>
      <c r="F33" s="1"/>
      <c r="G33" s="1"/>
      <c r="H33" s="1"/>
      <c r="I33" s="1"/>
    </row>
    <row r="34" spans="1:9" ht="15.75" customHeight="1">
      <c r="A34" s="1"/>
      <c r="B34" s="1"/>
      <c r="C34" s="1"/>
      <c r="D34" s="1"/>
      <c r="E34" s="1"/>
      <c r="F34" s="1"/>
      <c r="G34" s="1"/>
      <c r="H34" s="1"/>
      <c r="I34" s="1"/>
    </row>
    <row r="35" spans="1:9" ht="15.75" customHeight="1">
      <c r="A35" s="1"/>
      <c r="B35" s="1"/>
      <c r="C35" s="1"/>
      <c r="D35" s="1"/>
      <c r="E35" s="1"/>
      <c r="F35" s="1"/>
      <c r="G35" s="1"/>
      <c r="H35" s="1"/>
      <c r="I35" s="1"/>
    </row>
    <row r="36" spans="1:9" ht="15.75" customHeight="1">
      <c r="A36" s="1"/>
      <c r="B36" s="1"/>
      <c r="C36" s="1"/>
      <c r="D36" s="1"/>
      <c r="E36" s="1"/>
      <c r="F36" s="1"/>
      <c r="G36" s="1"/>
      <c r="H36" s="1"/>
      <c r="I36" s="1"/>
    </row>
    <row r="37" spans="1:9" ht="15.75" customHeight="1">
      <c r="A37" s="1"/>
      <c r="B37" s="1"/>
      <c r="C37" s="1"/>
      <c r="D37" s="1"/>
      <c r="E37" s="1"/>
      <c r="F37" s="1"/>
      <c r="G37" s="1"/>
      <c r="H37" s="1"/>
      <c r="I37" s="1"/>
    </row>
    <row r="38" spans="1:9" ht="15.75" customHeight="1">
      <c r="A38" s="1"/>
      <c r="B38" s="1"/>
      <c r="C38" s="1"/>
      <c r="D38" s="1"/>
      <c r="E38" s="1"/>
      <c r="F38" s="1"/>
      <c r="G38" s="1"/>
      <c r="H38" s="1"/>
      <c r="I38" s="1"/>
    </row>
    <row r="39" spans="1:9" ht="15.75" customHeight="1">
      <c r="A39" s="1"/>
      <c r="B39" s="1"/>
      <c r="C39" s="1"/>
      <c r="D39" s="1"/>
      <c r="E39" s="1"/>
      <c r="F39" s="1"/>
      <c r="G39" s="1"/>
      <c r="H39" s="1"/>
      <c r="I39" s="1"/>
    </row>
    <row r="40" spans="1:9" ht="15.75" customHeight="1">
      <c r="A40" s="1"/>
      <c r="B40" s="1"/>
      <c r="C40" s="1"/>
      <c r="D40" s="1"/>
      <c r="E40" s="1"/>
      <c r="F40" s="1"/>
      <c r="G40" s="1"/>
      <c r="H40" s="1"/>
      <c r="I40" s="1"/>
    </row>
    <row r="41" spans="1:9" ht="15.75" customHeight="1">
      <c r="A41" s="1"/>
      <c r="B41" s="1"/>
      <c r="C41" s="1"/>
      <c r="D41" s="1"/>
      <c r="E41" s="1"/>
      <c r="F41" s="1"/>
      <c r="G41" s="1"/>
      <c r="H41" s="1"/>
      <c r="I41" s="1"/>
    </row>
    <row r="42" spans="1:9" ht="15.75" customHeight="1">
      <c r="A42" s="1"/>
      <c r="B42" s="1"/>
      <c r="C42" s="1"/>
      <c r="D42" s="1"/>
      <c r="E42" s="1"/>
      <c r="F42" s="1"/>
      <c r="G42" s="1"/>
      <c r="H42" s="1"/>
      <c r="I42" s="1"/>
    </row>
    <row r="43" spans="1:9" ht="15.75" customHeight="1">
      <c r="A43" s="1"/>
      <c r="B43" s="1"/>
      <c r="C43" s="1"/>
      <c r="D43" s="1"/>
      <c r="E43" s="1"/>
      <c r="F43" s="1"/>
      <c r="G43" s="1"/>
      <c r="H43" s="1"/>
      <c r="I43" s="1"/>
    </row>
    <row r="44" spans="1:9" ht="15.75" customHeight="1">
      <c r="A44" s="1"/>
      <c r="B44" s="1"/>
      <c r="C44" s="1"/>
      <c r="D44" s="1"/>
      <c r="E44" s="1"/>
      <c r="F44" s="1"/>
      <c r="G44" s="1"/>
      <c r="H44" s="1"/>
      <c r="I44" s="1"/>
    </row>
    <row r="45" spans="1:9" ht="15.75" customHeight="1">
      <c r="A45" s="1"/>
      <c r="B45" s="1"/>
      <c r="C45" s="1"/>
      <c r="D45" s="1"/>
      <c r="E45" s="1"/>
      <c r="F45" s="1"/>
      <c r="G45" s="1"/>
      <c r="H45" s="1"/>
      <c r="I45" s="1"/>
    </row>
    <row r="46" spans="1:9" ht="15.75" customHeight="1">
      <c r="A46" s="1"/>
      <c r="B46" s="1"/>
      <c r="C46" s="1"/>
      <c r="D46" s="1"/>
      <c r="E46" s="1"/>
      <c r="F46" s="1"/>
      <c r="G46" s="1"/>
      <c r="H46" s="1"/>
      <c r="I46" s="1"/>
    </row>
    <row r="47" spans="1:9" ht="15.75" customHeight="1">
      <c r="A47" s="1"/>
      <c r="B47" s="1"/>
      <c r="C47" s="1"/>
      <c r="D47" s="1"/>
      <c r="E47" s="1"/>
      <c r="F47" s="1"/>
      <c r="G47" s="1"/>
      <c r="H47" s="1"/>
      <c r="I47" s="1"/>
    </row>
    <row r="48" spans="1:9" ht="15.75" customHeight="1">
      <c r="A48" s="1"/>
      <c r="B48" s="1"/>
      <c r="C48" s="1"/>
      <c r="D48" s="1"/>
      <c r="E48" s="1"/>
      <c r="F48" s="1"/>
      <c r="G48" s="1"/>
      <c r="H48" s="1"/>
      <c r="I48" s="1"/>
    </row>
    <row r="49" spans="1:9" ht="15.75" customHeight="1">
      <c r="A49" s="1"/>
      <c r="B49" s="1"/>
      <c r="C49" s="1"/>
      <c r="D49" s="1"/>
      <c r="E49" s="1"/>
      <c r="F49" s="1"/>
      <c r="G49" s="1"/>
      <c r="H49" s="1"/>
      <c r="I49" s="1"/>
    </row>
    <row r="50" spans="1:9" ht="15.75" customHeight="1">
      <c r="A50" s="1"/>
      <c r="B50" s="1"/>
      <c r="C50" s="1"/>
      <c r="D50" s="1"/>
      <c r="E50" s="1"/>
      <c r="F50" s="1"/>
      <c r="G50" s="1"/>
      <c r="H50" s="1"/>
      <c r="I50" s="1"/>
    </row>
    <row r="51" spans="1:9" ht="15.75" customHeight="1">
      <c r="A51" s="1"/>
      <c r="B51" s="1"/>
      <c r="C51" s="1"/>
      <c r="D51" s="1"/>
      <c r="E51" s="1"/>
      <c r="F51" s="1"/>
      <c r="G51" s="1"/>
      <c r="H51" s="1"/>
      <c r="I51" s="1"/>
    </row>
    <row r="52" spans="1:9" ht="15.75" customHeight="1">
      <c r="A52" s="1"/>
      <c r="B52" s="1"/>
      <c r="C52" s="1"/>
      <c r="D52" s="1"/>
      <c r="E52" s="1"/>
      <c r="F52" s="1"/>
      <c r="G52" s="1"/>
      <c r="H52" s="1"/>
      <c r="I52" s="1"/>
    </row>
    <row r="53" spans="1:9" ht="15.75" customHeight="1">
      <c r="A53" s="1"/>
      <c r="B53" s="1"/>
      <c r="C53" s="1"/>
      <c r="D53" s="1"/>
      <c r="E53" s="1"/>
      <c r="F53" s="1"/>
      <c r="G53" s="1"/>
      <c r="H53" s="1"/>
      <c r="I53" s="1"/>
    </row>
    <row r="54" spans="1:9" ht="15.75" customHeight="1">
      <c r="A54" s="1"/>
      <c r="B54" s="1"/>
      <c r="C54" s="1"/>
      <c r="D54" s="1"/>
      <c r="E54" s="1"/>
      <c r="F54" s="1"/>
      <c r="G54" s="1"/>
      <c r="H54" s="1"/>
      <c r="I54" s="1"/>
    </row>
    <row r="55" spans="1:9" ht="15.75" customHeight="1">
      <c r="A55" s="1"/>
      <c r="B55" s="1"/>
      <c r="C55" s="1"/>
      <c r="D55" s="1"/>
      <c r="E55" s="1"/>
      <c r="F55" s="1"/>
      <c r="G55" s="1"/>
      <c r="H55" s="1"/>
      <c r="I55" s="1"/>
    </row>
    <row r="56" spans="1:9" ht="15.75" customHeight="1">
      <c r="A56" s="1"/>
      <c r="B56" s="1"/>
      <c r="C56" s="1"/>
      <c r="D56" s="1"/>
      <c r="E56" s="1"/>
      <c r="F56" s="1"/>
      <c r="G56" s="1"/>
      <c r="H56" s="1"/>
      <c r="I56" s="1"/>
    </row>
    <row r="57" spans="1:9" ht="15.75" customHeight="1">
      <c r="A57" s="1"/>
      <c r="B57" s="1"/>
      <c r="C57" s="1"/>
      <c r="D57" s="1"/>
      <c r="E57" s="1"/>
      <c r="F57" s="1"/>
      <c r="G57" s="1"/>
      <c r="H57" s="1"/>
      <c r="I57" s="1"/>
    </row>
    <row r="58" spans="1:9" ht="15.75" customHeight="1">
      <c r="A58" s="1"/>
      <c r="B58" s="1"/>
      <c r="C58" s="1"/>
      <c r="D58" s="1"/>
      <c r="E58" s="1"/>
      <c r="F58" s="1"/>
      <c r="G58" s="1"/>
      <c r="H58" s="1"/>
      <c r="I58" s="1"/>
    </row>
    <row r="59" spans="1:9" ht="15.75" customHeight="1">
      <c r="A59" s="1"/>
      <c r="B59" s="1"/>
      <c r="C59" s="1"/>
      <c r="D59" s="1"/>
      <c r="E59" s="1"/>
      <c r="F59" s="1"/>
      <c r="G59" s="1"/>
      <c r="H59" s="1"/>
      <c r="I59" s="1"/>
    </row>
    <row r="60" spans="1:9" ht="15.75" customHeight="1">
      <c r="A60" s="1"/>
      <c r="B60" s="1"/>
      <c r="C60" s="1"/>
      <c r="D60" s="1"/>
      <c r="E60" s="1"/>
      <c r="F60" s="1"/>
      <c r="G60" s="1"/>
      <c r="H60" s="1"/>
      <c r="I60" s="1"/>
    </row>
    <row r="61" spans="1:9" ht="15.75" customHeight="1">
      <c r="A61" s="1"/>
      <c r="B61" s="1"/>
      <c r="C61" s="1"/>
      <c r="D61" s="1"/>
      <c r="E61" s="1"/>
      <c r="F61" s="1"/>
      <c r="G61" s="1"/>
      <c r="H61" s="1"/>
      <c r="I61" s="1"/>
    </row>
    <row r="62" spans="1:9" ht="15.75" customHeight="1">
      <c r="A62" s="1"/>
      <c r="B62" s="1"/>
      <c r="C62" s="1"/>
      <c r="D62" s="1"/>
      <c r="E62" s="1"/>
      <c r="F62" s="1"/>
      <c r="G62" s="1"/>
      <c r="H62" s="1"/>
      <c r="I62" s="1"/>
    </row>
    <row r="63" spans="1:9" ht="15.75" customHeight="1">
      <c r="A63" s="1"/>
      <c r="B63" s="1"/>
      <c r="C63" s="1"/>
      <c r="D63" s="1"/>
      <c r="E63" s="1"/>
      <c r="F63" s="1"/>
      <c r="G63" s="1"/>
      <c r="H63" s="1"/>
      <c r="I63" s="1"/>
    </row>
    <row r="64" spans="1:9" ht="15.75" customHeight="1">
      <c r="A64" s="1"/>
      <c r="B64" s="1"/>
      <c r="C64" s="1"/>
      <c r="D64" s="1"/>
      <c r="E64" s="1"/>
      <c r="F64" s="1"/>
      <c r="G64" s="1"/>
      <c r="H64" s="1"/>
      <c r="I64" s="1"/>
    </row>
    <row r="65" spans="1:9" ht="15.75" customHeight="1">
      <c r="A65" s="1"/>
      <c r="B65" s="1"/>
      <c r="C65" s="1"/>
      <c r="D65" s="1"/>
      <c r="E65" s="1"/>
      <c r="F65" s="1"/>
      <c r="G65" s="1"/>
      <c r="H65" s="1"/>
      <c r="I65" s="1"/>
    </row>
    <row r="66" spans="1:9" ht="15.75" customHeight="1">
      <c r="A66" s="1"/>
      <c r="B66" s="1"/>
      <c r="C66" s="1"/>
      <c r="D66" s="1"/>
      <c r="E66" s="1"/>
      <c r="F66" s="1"/>
      <c r="G66" s="1"/>
      <c r="H66" s="1"/>
      <c r="I66" s="1"/>
    </row>
    <row r="67" spans="1:9" ht="15.75" customHeight="1">
      <c r="A67" s="1"/>
      <c r="B67" s="1"/>
      <c r="C67" s="1"/>
      <c r="D67" s="1"/>
      <c r="E67" s="1"/>
      <c r="F67" s="1"/>
      <c r="G67" s="1"/>
      <c r="H67" s="1"/>
      <c r="I67" s="1"/>
    </row>
    <row r="68" spans="1:9" ht="15.75" customHeight="1">
      <c r="A68" s="1"/>
      <c r="B68" s="1"/>
      <c r="C68" s="1"/>
      <c r="D68" s="1"/>
      <c r="E68" s="1"/>
      <c r="F68" s="1"/>
      <c r="G68" s="1"/>
      <c r="H68" s="1"/>
      <c r="I68" s="1"/>
    </row>
    <row r="69" spans="1:9" ht="15.75" customHeight="1">
      <c r="A69" s="1"/>
      <c r="B69" s="1"/>
      <c r="C69" s="1"/>
      <c r="D69" s="1"/>
      <c r="E69" s="1"/>
      <c r="F69" s="1"/>
      <c r="G69" s="1"/>
      <c r="H69" s="1"/>
      <c r="I69" s="1"/>
    </row>
    <row r="70" spans="1:9" ht="15.75" customHeight="1">
      <c r="A70" s="1"/>
      <c r="B70" s="1"/>
      <c r="C70" s="1"/>
      <c r="D70" s="1"/>
      <c r="E70" s="1"/>
      <c r="F70" s="1"/>
      <c r="G70" s="1"/>
      <c r="H70" s="1"/>
      <c r="I70" s="1"/>
    </row>
    <row r="71" spans="1:9" ht="15.75" customHeight="1">
      <c r="A71" s="1"/>
      <c r="B71" s="1"/>
      <c r="C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C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C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C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C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C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C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C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C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C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C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C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C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C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C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C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C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C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C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C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C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C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C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C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C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C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C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C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5.75" customHeight="1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5.75" customHeight="1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5.75" customHeight="1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5.75" customHeight="1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5.75" customHeight="1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5.75" customHeight="1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5.75" customHeight="1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5.75" customHeight="1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5.75" customHeight="1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5.75" customHeight="1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5.75" customHeight="1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5.75" customHeight="1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5.75" customHeight="1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5.75" customHeight="1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5.7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5.75" customHeight="1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5.75" customHeight="1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5.75" customHeight="1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5.75" customHeight="1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5.75" customHeight="1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5.75" customHeight="1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5.75" customHeight="1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5.75" customHeight="1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5.75" customHeight="1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5.75" customHeight="1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5.75" customHeight="1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5.75" customHeight="1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5.75" customHeight="1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5.75" customHeight="1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5.75" customHeight="1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5.75" customHeight="1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5.75" customHeight="1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5.75" customHeight="1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5.75" customHeight="1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5.75" customHeight="1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5.75" customHeight="1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5.75" customHeight="1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5.75" customHeight="1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5.75" customHeight="1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5.75" customHeight="1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5.75" customHeight="1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5.75" customHeight="1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5.75" customHeight="1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5.75" customHeight="1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5.75" customHeight="1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5.75" customHeight="1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5.75" customHeight="1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5.75" customHeight="1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5.75" customHeight="1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5.75" customHeight="1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5.75" customHeight="1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5.75" customHeight="1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5.75" customHeight="1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5.75" customHeight="1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5.75" customHeight="1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5.75" customHeight="1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5.75" customHeight="1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5.75" customHeight="1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5.75" customHeight="1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5.75" customHeight="1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5.75" customHeight="1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5.75" customHeight="1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5.75" customHeight="1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5.75" customHeight="1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5.75" customHeight="1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5.75" customHeight="1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5.75" customHeight="1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5.75" customHeight="1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5.75" customHeight="1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5.75" customHeight="1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5.75" customHeight="1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5.75" customHeight="1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5.75" customHeight="1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5.75" customHeight="1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5.75" customHeight="1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5.75" customHeight="1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5.75" customHeight="1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5.75" customHeight="1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5.75" customHeight="1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5.75" customHeight="1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5.75" customHeight="1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5.75" customHeight="1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5.75" customHeight="1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5.75" customHeight="1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5.75" customHeight="1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5.75" customHeight="1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5.75" customHeight="1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5.75" customHeight="1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5.75" customHeight="1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5.75" customHeight="1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5.75" customHeight="1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5.75" customHeight="1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5.75" customHeight="1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5.75" customHeight="1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5.75" customHeight="1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5.75" customHeight="1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5.75" customHeight="1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5.75" customHeight="1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5.75" customHeight="1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5.75" customHeight="1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5.75" customHeight="1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5.75" customHeight="1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5.75" customHeight="1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5.75" customHeight="1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5.75" customHeight="1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5.75" customHeight="1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5.75" customHeight="1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5.75" customHeight="1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5.75" customHeight="1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5.75" customHeight="1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5.75" customHeight="1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5.75" customHeight="1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5.75" customHeight="1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5.75" customHeight="1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5.75" customHeight="1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5.75" customHeight="1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5.75" customHeight="1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5.75" customHeight="1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5.75" customHeight="1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5.75" customHeight="1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5.75" customHeight="1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5.75" customHeight="1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5.75" customHeight="1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5.75" customHeight="1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5.75" customHeight="1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5.75" customHeight="1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5.75" customHeight="1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5.75" customHeight="1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5.75" customHeight="1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5.75" customHeight="1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5.75" customHeight="1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5.75" customHeight="1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5.75" customHeight="1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5.75" customHeight="1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5.75" customHeight="1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5.75" customHeight="1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5.75" customHeight="1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5.75" customHeight="1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5.75" customHeight="1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5.75" customHeight="1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5.75" customHeight="1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5.75" customHeight="1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5.75" customHeight="1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5.75" customHeight="1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5.75" customHeight="1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5.75" customHeight="1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5.75" customHeight="1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5.75" customHeight="1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5.75" customHeight="1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5.75" customHeight="1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5.75" customHeight="1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5.75" customHeight="1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5.75" customHeight="1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5.75" customHeight="1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5.75" customHeight="1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5.75" customHeight="1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5.75" customHeight="1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5.75" customHeight="1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5.75" customHeight="1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5.75" customHeight="1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5.75" customHeight="1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5.75" customHeight="1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5.75" customHeight="1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5.75" customHeight="1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5.75" customHeight="1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5.75" customHeight="1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5.75" customHeight="1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5.75" customHeight="1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5.75" customHeight="1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5.75" customHeight="1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5.75" customHeight="1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5.75" customHeight="1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5.75" customHeight="1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5.75" customHeight="1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5.75" customHeight="1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5.75" customHeight="1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5.75" customHeight="1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5.75" customHeight="1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5.75" customHeight="1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5.75" customHeight="1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5.75" customHeight="1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5.75" customHeight="1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5.75" customHeight="1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5.75" customHeight="1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5.75" customHeight="1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5.75" customHeight="1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5.75" customHeight="1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5.75" customHeight="1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5.75" customHeight="1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5.75" customHeight="1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5.75" customHeight="1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5.75" customHeight="1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5.75" customHeight="1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5.75" customHeight="1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5.75" customHeight="1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5.75" customHeight="1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5.75" customHeight="1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5.75" customHeight="1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5.75" customHeight="1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5.75" customHeight="1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5.75" customHeight="1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5.75" customHeight="1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5.75" customHeight="1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5.75" customHeight="1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5.75" customHeight="1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5.75" customHeight="1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5.75" customHeight="1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5.75" customHeight="1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5.75" customHeight="1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5.75" customHeight="1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5.75" customHeight="1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5.75" customHeight="1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5.75" customHeight="1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5.75" customHeight="1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5.75" customHeight="1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5.75" customHeight="1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5.75" customHeight="1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5.75" customHeight="1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5.75" customHeight="1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5.75" customHeight="1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5.75" customHeight="1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5.75" customHeight="1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5.75" customHeight="1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5.75" customHeight="1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5.75" customHeight="1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5.75" customHeight="1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5.75" customHeight="1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5.75" customHeight="1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5.75" customHeight="1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5.75" customHeight="1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5.75" customHeight="1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5.75" customHeight="1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5.75" customHeight="1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5.75" customHeight="1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5.75" customHeight="1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5.75" customHeight="1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5.75" customHeight="1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5.75" customHeight="1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5.75" customHeight="1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5.75" customHeight="1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5.75" customHeight="1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5.75" customHeight="1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5.75" customHeight="1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5.75" customHeight="1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5.75" customHeight="1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5.75" customHeight="1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5.75" customHeight="1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5.75" customHeight="1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5.75" customHeight="1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5.75" customHeight="1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5.75" customHeight="1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5.75" customHeight="1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5.75" customHeight="1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5.75" customHeight="1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5.75" customHeight="1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5.75" customHeight="1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5.75" customHeight="1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5.75" customHeight="1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5.75" customHeight="1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5.75" customHeight="1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5.75" customHeight="1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5.75" customHeight="1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5.75" customHeight="1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5.75" customHeight="1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5.75" customHeight="1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5.75" customHeight="1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5.75" customHeight="1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5.75" customHeight="1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5.75" customHeight="1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5.75" customHeight="1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5.7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5.7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5.7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5.75" customHeight="1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5.7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5.7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5.7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5.7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5.7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5.7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5.7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5.7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5.7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5.7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5.7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5.7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5.7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5.7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5.7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5.7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5.7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5.7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5.7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5.7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5.7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5.7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5.7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5.7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5.7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5.7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5.7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5.7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5.7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5.7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5.7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5.7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5.7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5.7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5.7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5.7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5.7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5.7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5.7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5.7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5.7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5.7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5.7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5.7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5.7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5.7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5.7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5.7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5.7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5.7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5.7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5.7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5.7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5.7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5.7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5.7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5.7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5.7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5.7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5.7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5.7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5.7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5.7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5.7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5.7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5.7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5.7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5.7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5.7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5.7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5.7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5.7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5.7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5.7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5.7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5.7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5.7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5.7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5.7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5.7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5.7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5.7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5.7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5.7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5.7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5.7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5.7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5.7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5.7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5.7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5.7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5.7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5.7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5.7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5.7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5.7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5.7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5.7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5.7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5.7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5.7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5.7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5.7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5.7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5.7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5.7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5.7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5.7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5.7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5.7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5.7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5.7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5.7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5.7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5.7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5.7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5.7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5.7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5.7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5.7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5.7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5.7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5.7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5.7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5.7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5.7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5.7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5.7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5.7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5.7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5.7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5.7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5.7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5.7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5.7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5.7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5.7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5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5.7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5.7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5.7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5.7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5.7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5.7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5.7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5.7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5.7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5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5.7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5.7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5.7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5.7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5.7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5.7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5.7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5.7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5.7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5.7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5.7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5.7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5.7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5.7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5.7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5.7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5.7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5.7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5.7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5.7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5.7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5.7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5.7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5.7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5.7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5.7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5.7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5.7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5.7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5.7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5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5.7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5.7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5.7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5.7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5.7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5.7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5.7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5.7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5.7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5.7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5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5.7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5.7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5.7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5.7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5.7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5.7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5.7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5.7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5.7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5.7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5.7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5.7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5.7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5.7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5.7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5.7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5.7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5.7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5.7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5.7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5.7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5.7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5.7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5.7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5.7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5.7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5.7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5.7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5.7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5.7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5.7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5.7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5.7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5.7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5.7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5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5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5.7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5.7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5.7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5.7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5.7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5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5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5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5.7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5.7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5.7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5.7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5.7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5.7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5.7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5.7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5.7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5.7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5.7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5.7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5.7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5.7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5.7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5.7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5.7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5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5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5.7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5.7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5.7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5.7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5.7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5.7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5.7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5.7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5.7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5.7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5.7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5.7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5.7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5.7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5.7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5.7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5.7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5.7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5.7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5.7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5.7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5.7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5.7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5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5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5.7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5.7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5.7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5.7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5.7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5.7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5.7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5.7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5.7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5.7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5.7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5.7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5.7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5.7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5.7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5.7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5.7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5.7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5.7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5.7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5.7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5.7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5.7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5.7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5.7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5.7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5.7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5.7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5.7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5.7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5.7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5.7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5.7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5.7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5.7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5.7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5.7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5.7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5.7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5.7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5.7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5.7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5.7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5.7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5.7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5.7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5.7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5.7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5.7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5.7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5.7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5.7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5.7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5.7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5.7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5.7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5.7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5.7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5.7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5.7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5.7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5.7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5.7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5.7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5.7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5.7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5.7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5.7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5.7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5.7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5.7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5.7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5.7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5.7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5.7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5.7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5.7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5.7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5.7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5.7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5.7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5.7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5.7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5.7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5.7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5.7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5.7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5.7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5.7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5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5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5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5.7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5.7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5.7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5.7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5.7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5.7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5.7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5.7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5.7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5.7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5.7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5.7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5.7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5.7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5.7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5.7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5.7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5.7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5.7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5.7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5.7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5.7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5.7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5.7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5.7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5.7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5.7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5.7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5.7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5.7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5.7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5.7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5.7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5.7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5.7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5.7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5.7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5.7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5.7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5.7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5.7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5.7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5.7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5.7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5.7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5.7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5.7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5.7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5.7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5.7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5.7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5.7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5.7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5.7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5.7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5.7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5.7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5.7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5.7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5.7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5.7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5.7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5.7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5.7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5.7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5.7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5.7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5.7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5.7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5.7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5.7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5.7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5.7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5.7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5.7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5.7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5.7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5.7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5.7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5.7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5.7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5.7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5.7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5.7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5.7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5.7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5.7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5.7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5.7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5.7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5.7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5.7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5.7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5.7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5.7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5.7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5.7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5.7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5.7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5.7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5.7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5.7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5.7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5.7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5.7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5.7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5.7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5.7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5.7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5.7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5.7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5.7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5.7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5.7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5.7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5.7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5.7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5.7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5.7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5.7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5.7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5.7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5.7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5.7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5.7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5.7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5.7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5.7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5.7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5.7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5.7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5.7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5.7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5.7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5.7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5.7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5.7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5.7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5.7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5.7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5.7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5.7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5.7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5.7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5.7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5.7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5.7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5.7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5.7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5.7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5.7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5.7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5.7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5.7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5.7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5.7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5.7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5.7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5.7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5.7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5.7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5.7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5.7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5.7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5.7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5.7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5.7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5.7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5.7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5.7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5.7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5.7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5.7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5.7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5.7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5.7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5.7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5.7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5.7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5.7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5.7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5.7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5.7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5.7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5.7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5.7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5.7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5.7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5.7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5.7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5.7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5.7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5.7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5.7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5.7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5.7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5.7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5.7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5.7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5.7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5.7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5.7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5.7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5.7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5.7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5.7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5.7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5.7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5.7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5.7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5.7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5.7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5.7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5.7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5.7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5.7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5.7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5.7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5.7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5.7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5.7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5.7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5.7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5.7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5.7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5.7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5.7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5.7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5.7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5.7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5.7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5.7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5.7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5.7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15.7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15.7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15.7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15.7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15.7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15.7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15.7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15.7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15.7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15.7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15.7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15.7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15.7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15.7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15.7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15.7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spans="1:9" ht="15.7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spans="1:9" ht="15.7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spans="1:9" ht="15.75" customHeight="1">
      <c r="A1000" s="1"/>
      <c r="B1000" s="1"/>
      <c r="C1000" s="1"/>
      <c r="D1000" s="1"/>
      <c r="E1000" s="1"/>
      <c r="F1000" s="1"/>
      <c r="G1000" s="1"/>
      <c r="H1000" s="1"/>
      <c r="I100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/>
  </sheetViews>
  <sheetFormatPr baseColWidth="10" defaultColWidth="11.1640625" defaultRowHeight="15" customHeight="1"/>
  <cols>
    <col min="1" max="2" width="10.83203125" customWidth="1"/>
    <col min="3" max="3" width="12.1640625" customWidth="1"/>
    <col min="4" max="7" width="10.83203125" customWidth="1"/>
    <col min="8" max="8" width="8.1640625" customWidth="1"/>
    <col min="9" max="9" width="10.83203125" customWidth="1"/>
    <col min="10" max="26" width="10.5" customWidth="1"/>
  </cols>
  <sheetData>
    <row r="1" spans="1:9" ht="15.75" customHeight="1">
      <c r="A1" s="2"/>
      <c r="B1" s="2"/>
      <c r="C1" s="2"/>
      <c r="D1" s="2"/>
      <c r="E1" s="2"/>
      <c r="F1" s="2"/>
      <c r="G1" s="1"/>
      <c r="H1" s="1"/>
      <c r="I1" s="2"/>
    </row>
    <row r="2" spans="1:9" ht="15.75" customHeight="1">
      <c r="A2" s="2"/>
      <c r="B2" s="1"/>
      <c r="C2" s="2"/>
      <c r="D2" s="2"/>
      <c r="E2" s="2"/>
      <c r="F2" s="1"/>
      <c r="G2" s="1"/>
      <c r="H2" s="1"/>
      <c r="I2" s="2"/>
    </row>
    <row r="3" spans="1:9" ht="15.75" customHeight="1">
      <c r="A3" s="1"/>
      <c r="B3" s="1"/>
      <c r="C3" s="1">
        <v>1</v>
      </c>
      <c r="D3" s="1" t="s">
        <v>231</v>
      </c>
      <c r="E3" s="1"/>
      <c r="F3" s="1"/>
      <c r="G3" s="1"/>
      <c r="H3" s="1"/>
      <c r="I3" s="1"/>
    </row>
    <row r="4" spans="1:9" ht="15.75" customHeight="1">
      <c r="A4" s="1"/>
      <c r="B4" s="1"/>
      <c r="C4" s="1">
        <f>C3*1000000000</f>
        <v>1000000000</v>
      </c>
      <c r="D4" s="1" t="s">
        <v>232</v>
      </c>
      <c r="E4" s="1"/>
      <c r="F4" s="1"/>
      <c r="G4" s="1"/>
      <c r="H4" s="1"/>
      <c r="I4" s="1"/>
    </row>
    <row r="5" spans="1:9" ht="15.75" customHeight="1">
      <c r="A5" s="17"/>
      <c r="B5" s="1"/>
      <c r="C5" s="78">
        <f>0.00000000000045*C4</f>
        <v>4.4999999999999999E-4</v>
      </c>
      <c r="D5" s="79" t="s">
        <v>36</v>
      </c>
      <c r="E5" s="17"/>
      <c r="F5" s="17"/>
      <c r="G5" s="1"/>
      <c r="H5" s="1"/>
      <c r="I5" s="1"/>
    </row>
    <row r="6" spans="1:9" ht="15.75" customHeight="1">
      <c r="A6" s="1"/>
      <c r="B6" s="1"/>
      <c r="C6" s="1"/>
      <c r="D6" s="1"/>
      <c r="E6" s="1"/>
      <c r="F6" s="1"/>
      <c r="G6" s="1"/>
      <c r="H6" s="1"/>
      <c r="I6" s="1"/>
    </row>
    <row r="7" spans="1:9" ht="15.75" customHeight="1">
      <c r="A7" s="2"/>
      <c r="B7" s="2"/>
      <c r="C7" s="2">
        <v>1</v>
      </c>
      <c r="D7" s="2" t="s">
        <v>233</v>
      </c>
      <c r="E7" s="2"/>
      <c r="F7" s="1"/>
      <c r="G7" s="1"/>
      <c r="H7" s="1"/>
      <c r="I7" s="2"/>
    </row>
    <row r="8" spans="1:9" ht="15.75" customHeight="1">
      <c r="A8" s="1"/>
      <c r="B8" s="1"/>
      <c r="C8" s="1">
        <f>C7*0.000000001</f>
        <v>1.0000000000000001E-9</v>
      </c>
      <c r="D8" s="1" t="s">
        <v>234</v>
      </c>
      <c r="E8" s="1"/>
      <c r="F8" s="1"/>
      <c r="G8" s="1"/>
      <c r="H8" s="1"/>
      <c r="I8" s="1"/>
    </row>
    <row r="9" spans="1:9" ht="15.75" customHeight="1">
      <c r="A9" s="1"/>
      <c r="B9" s="1"/>
      <c r="C9" s="1"/>
      <c r="D9" s="1"/>
      <c r="E9" s="1"/>
      <c r="F9" s="1"/>
      <c r="G9" s="1"/>
      <c r="H9" s="1"/>
      <c r="I9" s="1"/>
    </row>
    <row r="10" spans="1:9" ht="15.75" customHeight="1">
      <c r="A10" s="1"/>
      <c r="B10" s="1"/>
      <c r="C10" s="1"/>
      <c r="D10" s="1"/>
      <c r="E10" s="1"/>
      <c r="F10" s="2" t="s">
        <v>25</v>
      </c>
      <c r="G10" s="1"/>
      <c r="H10" s="2">
        <v>0.02</v>
      </c>
      <c r="I10" s="2" t="s">
        <v>235</v>
      </c>
    </row>
    <row r="11" spans="1:9" ht="15.75" customHeight="1">
      <c r="A11" s="1"/>
      <c r="B11" s="1"/>
      <c r="C11" s="1"/>
      <c r="D11" s="1"/>
      <c r="E11" s="1"/>
      <c r="F11" s="1"/>
      <c r="G11" s="1"/>
      <c r="H11" s="2">
        <f>H10</f>
        <v>0.02</v>
      </c>
      <c r="I11" s="2" t="s">
        <v>236</v>
      </c>
    </row>
    <row r="12" spans="1:9" ht="15.75" customHeight="1">
      <c r="A12" s="1"/>
      <c r="B12" s="1"/>
      <c r="C12" s="1"/>
      <c r="D12" s="1"/>
      <c r="E12" s="1"/>
      <c r="F12" s="1"/>
      <c r="G12" s="1"/>
      <c r="H12" s="2">
        <f>H11*3600</f>
        <v>72</v>
      </c>
      <c r="I12" s="2" t="s">
        <v>237</v>
      </c>
    </row>
    <row r="13" spans="1:9" ht="15.75" customHeight="1">
      <c r="A13" s="1"/>
      <c r="B13" s="1"/>
      <c r="C13" s="1"/>
      <c r="D13" s="1"/>
      <c r="E13" s="1"/>
      <c r="F13" s="1"/>
      <c r="G13" s="1"/>
      <c r="H13" s="2">
        <f>H12/8</f>
        <v>9</v>
      </c>
      <c r="I13" s="2" t="s">
        <v>238</v>
      </c>
    </row>
    <row r="14" spans="1:9" ht="15.75" customHeight="1">
      <c r="A14" s="1"/>
      <c r="B14" s="1"/>
      <c r="C14" s="1"/>
      <c r="D14" s="1"/>
      <c r="E14" s="1"/>
      <c r="F14" s="1"/>
      <c r="G14" s="1"/>
      <c r="H14" s="2">
        <f>H13/1000000</f>
        <v>9.0000000000000002E-6</v>
      </c>
      <c r="I14" s="80" t="s">
        <v>36</v>
      </c>
    </row>
    <row r="15" spans="1:9" ht="15.75" customHeight="1">
      <c r="A15" s="1"/>
      <c r="B15" s="1"/>
      <c r="C15" s="1"/>
      <c r="D15" s="1"/>
      <c r="E15" s="1"/>
      <c r="F15" s="1"/>
      <c r="G15" s="1"/>
      <c r="H15" s="1"/>
      <c r="I15" s="1"/>
    </row>
    <row r="16" spans="1:9" ht="15.75" customHeight="1">
      <c r="A16" s="1"/>
      <c r="B16" s="1"/>
      <c r="C16" s="1"/>
      <c r="D16" s="1"/>
      <c r="E16" s="1">
        <f>E17-C17</f>
        <v>6</v>
      </c>
      <c r="F16" s="1"/>
      <c r="G16" s="1"/>
      <c r="H16" s="1"/>
      <c r="I16" s="1"/>
    </row>
    <row r="17" spans="1:9" ht="15.75" customHeight="1">
      <c r="A17" s="1"/>
      <c r="B17" s="1"/>
      <c r="C17" s="1">
        <v>2010</v>
      </c>
      <c r="D17" s="1">
        <v>2011</v>
      </c>
      <c r="E17" s="1">
        <v>2016</v>
      </c>
      <c r="F17" s="1"/>
      <c r="G17" s="1"/>
      <c r="H17" s="1"/>
      <c r="I17" s="1"/>
    </row>
    <row r="18" spans="1:9" ht="15.75" customHeight="1">
      <c r="A18" s="1"/>
      <c r="B18" s="1"/>
      <c r="C18" s="43">
        <v>1.2999999999999999E-3</v>
      </c>
      <c r="D18" s="1">
        <f>C18*(1-0.22)</f>
        <v>1.0139999999999999E-3</v>
      </c>
      <c r="E18" s="43">
        <f>C18*POWER(1-0.22,E17-C17)</f>
        <v>2.9275948091520004E-4</v>
      </c>
      <c r="F18" s="1"/>
      <c r="G18" s="1"/>
      <c r="H18" s="1"/>
      <c r="I18" s="1"/>
    </row>
    <row r="19" spans="1:9" ht="15.75" customHeight="1">
      <c r="A19" s="1"/>
      <c r="B19" s="1"/>
      <c r="C19" s="1"/>
      <c r="D19" s="78">
        <f>C18*POWER(1-0.22,D17-C17)</f>
        <v>1.0139999999999999E-3</v>
      </c>
      <c r="E19" s="1"/>
      <c r="F19" s="1"/>
      <c r="G19" s="1"/>
      <c r="H19" s="1"/>
      <c r="I19" s="1"/>
    </row>
    <row r="20" spans="1:9" ht="15.75" customHeight="1">
      <c r="A20" s="1"/>
      <c r="B20" s="1"/>
      <c r="C20" s="1"/>
      <c r="D20" s="1"/>
      <c r="E20" s="1"/>
      <c r="F20" s="1"/>
      <c r="G20" s="1"/>
      <c r="H20" s="1"/>
      <c r="I20" s="1"/>
    </row>
    <row r="21" spans="1:9" ht="15.75" customHeight="1">
      <c r="A21" s="1"/>
      <c r="B21" s="1"/>
      <c r="C21" s="1"/>
      <c r="D21" s="1"/>
      <c r="E21" s="1"/>
      <c r="F21" s="1"/>
      <c r="G21" s="1"/>
      <c r="H21" s="1"/>
      <c r="I21" s="1"/>
    </row>
    <row r="22" spans="1:9" ht="15.75" customHeight="1">
      <c r="A22" s="1"/>
      <c r="B22" s="1"/>
      <c r="C22" s="79" t="s">
        <v>239</v>
      </c>
      <c r="D22" s="81">
        <v>1000000000</v>
      </c>
      <c r="E22" s="79" t="s">
        <v>240</v>
      </c>
      <c r="F22" s="1"/>
      <c r="G22" s="1"/>
      <c r="H22" s="1"/>
      <c r="I22" s="1"/>
    </row>
    <row r="23" spans="1:9" ht="15.75" customHeight="1">
      <c r="A23" s="1"/>
      <c r="B23" s="1"/>
      <c r="C23" s="1"/>
      <c r="D23" s="82">
        <f>D22*60</f>
        <v>60000000000</v>
      </c>
      <c r="E23" s="79" t="s">
        <v>193</v>
      </c>
      <c r="F23" s="1"/>
      <c r="G23" s="1"/>
      <c r="H23" s="1"/>
      <c r="I23" s="1"/>
    </row>
    <row r="24" spans="1:9" ht="15.75" customHeight="1">
      <c r="A24" s="1"/>
      <c r="B24" s="1"/>
      <c r="C24" s="79" t="s">
        <v>241</v>
      </c>
      <c r="D24" s="82">
        <f>D23*30</f>
        <v>1800000000000</v>
      </c>
      <c r="E24" s="1"/>
      <c r="F24" s="1"/>
      <c r="G24" s="1"/>
      <c r="H24" s="1"/>
      <c r="I24" s="1"/>
    </row>
    <row r="25" spans="1:9" ht="15.75" customHeight="1">
      <c r="A25" s="1"/>
      <c r="B25" s="1"/>
      <c r="C25" s="1"/>
      <c r="D25" s="1"/>
      <c r="E25" s="1"/>
      <c r="F25" s="1"/>
      <c r="G25" s="1"/>
      <c r="H25" s="1"/>
      <c r="I25" s="1"/>
    </row>
    <row r="26" spans="1:9" ht="15.75" customHeight="1">
      <c r="A26" s="1"/>
      <c r="B26" s="1"/>
      <c r="C26" s="1"/>
      <c r="D26" s="1"/>
      <c r="E26" s="1"/>
      <c r="F26" s="1"/>
      <c r="G26" s="1"/>
      <c r="H26" s="1"/>
      <c r="I26" s="1"/>
    </row>
    <row r="27" spans="1:9" ht="15.75" customHeight="1">
      <c r="A27" s="1"/>
      <c r="B27" s="1"/>
      <c r="C27" s="1"/>
      <c r="D27" s="1"/>
      <c r="E27" s="1"/>
      <c r="F27" s="1"/>
      <c r="G27" s="1"/>
      <c r="H27" s="1"/>
      <c r="I27" s="1"/>
    </row>
    <row r="28" spans="1:9" ht="15.75" customHeight="1">
      <c r="A28" s="1"/>
      <c r="B28" s="1"/>
      <c r="C28" s="83">
        <v>315000</v>
      </c>
      <c r="D28" s="79" t="s">
        <v>242</v>
      </c>
      <c r="E28" s="1"/>
      <c r="F28" s="1"/>
      <c r="G28" s="1"/>
      <c r="H28" s="1"/>
      <c r="I28" s="1"/>
    </row>
    <row r="29" spans="1:9" ht="15.75" customHeight="1">
      <c r="A29" s="1"/>
      <c r="B29" s="1"/>
      <c r="C29" s="82">
        <f>C28*12</f>
        <v>3780000</v>
      </c>
      <c r="D29" s="79" t="s">
        <v>242</v>
      </c>
      <c r="E29" s="1"/>
      <c r="F29" s="1"/>
      <c r="G29" s="1"/>
      <c r="H29" s="1"/>
      <c r="I29" s="1"/>
    </row>
    <row r="30" spans="1:9" ht="15.75" customHeight="1">
      <c r="A30" s="1"/>
      <c r="B30" s="1"/>
      <c r="C30" s="82">
        <f>C29*0.000001</f>
        <v>3.78</v>
      </c>
      <c r="D30" s="79" t="s">
        <v>243</v>
      </c>
      <c r="E30" s="1"/>
      <c r="F30" s="1"/>
      <c r="G30" s="1"/>
      <c r="H30" s="1"/>
      <c r="I30" s="1"/>
    </row>
    <row r="31" spans="1:9" ht="15.75" customHeight="1">
      <c r="A31" s="1"/>
      <c r="B31" s="1"/>
      <c r="C31" s="1"/>
      <c r="D31" s="1"/>
      <c r="E31" s="1"/>
      <c r="F31" s="1"/>
      <c r="G31" s="1"/>
      <c r="H31" s="1"/>
      <c r="I31" s="1"/>
    </row>
    <row r="32" spans="1:9" ht="15.75" customHeight="1">
      <c r="A32" s="1"/>
      <c r="B32" s="1"/>
      <c r="C32" s="1"/>
      <c r="D32" s="1"/>
      <c r="E32" s="1"/>
      <c r="F32" s="1"/>
      <c r="G32" s="1"/>
      <c r="H32" s="1"/>
      <c r="I32" s="1"/>
    </row>
    <row r="33" spans="1:9" ht="15.75" customHeight="1">
      <c r="A33" s="1"/>
      <c r="B33" s="1"/>
      <c r="C33" s="1"/>
      <c r="D33" s="1"/>
      <c r="E33" s="1"/>
      <c r="F33" s="1"/>
      <c r="G33" s="1"/>
      <c r="H33" s="1"/>
      <c r="I33" s="1"/>
    </row>
    <row r="34" spans="1:9" ht="15.75" customHeight="1">
      <c r="A34" s="1"/>
      <c r="B34" s="1"/>
      <c r="C34" s="1"/>
      <c r="D34" s="1"/>
      <c r="E34" s="1"/>
      <c r="F34" s="1"/>
      <c r="G34" s="1"/>
      <c r="H34" s="1"/>
      <c r="I34" s="1"/>
    </row>
    <row r="35" spans="1:9" ht="15.75" customHeight="1">
      <c r="A35" s="1"/>
      <c r="B35" s="1"/>
      <c r="C35" s="1"/>
      <c r="D35" s="1"/>
      <c r="E35" s="1"/>
      <c r="F35" s="1"/>
      <c r="G35" s="1"/>
      <c r="H35" s="1"/>
      <c r="I35" s="1"/>
    </row>
    <row r="36" spans="1:9" ht="15.75" customHeight="1">
      <c r="A36" s="1"/>
      <c r="B36" s="1"/>
      <c r="C36" s="1"/>
      <c r="D36" s="1"/>
      <c r="E36" s="1"/>
      <c r="F36" s="1"/>
      <c r="G36" s="1"/>
      <c r="H36" s="1"/>
      <c r="I36" s="1"/>
    </row>
    <row r="37" spans="1:9" ht="15.75" customHeight="1">
      <c r="A37" s="1"/>
      <c r="B37" s="1"/>
      <c r="C37" s="1"/>
      <c r="D37" s="1"/>
      <c r="E37" s="1"/>
      <c r="F37" s="1"/>
      <c r="G37" s="1"/>
      <c r="H37" s="1"/>
      <c r="I37" s="1"/>
    </row>
    <row r="38" spans="1:9" ht="15.75" customHeight="1">
      <c r="A38" s="1"/>
      <c r="B38" s="1"/>
      <c r="C38" s="1"/>
      <c r="D38" s="1"/>
      <c r="E38" s="1"/>
      <c r="F38" s="1"/>
      <c r="G38" s="1"/>
      <c r="H38" s="1"/>
      <c r="I38" s="1"/>
    </row>
    <row r="39" spans="1:9" ht="15.75" customHeight="1">
      <c r="A39" s="1"/>
      <c r="B39" s="1"/>
      <c r="C39" s="1"/>
      <c r="D39" s="1"/>
      <c r="E39" s="1"/>
      <c r="F39" s="1"/>
      <c r="G39" s="1"/>
      <c r="H39" s="1"/>
      <c r="I39" s="1"/>
    </row>
    <row r="40" spans="1:9" ht="15.75" customHeight="1">
      <c r="A40" s="1"/>
      <c r="B40" s="1"/>
      <c r="C40" s="1"/>
      <c r="D40" s="1"/>
      <c r="E40" s="1"/>
      <c r="F40" s="1"/>
      <c r="G40" s="1"/>
      <c r="H40" s="1"/>
      <c r="I40" s="1"/>
    </row>
    <row r="41" spans="1:9" ht="15.75" customHeight="1">
      <c r="A41" s="1"/>
      <c r="B41" s="1"/>
      <c r="C41" s="1"/>
      <c r="D41" s="1"/>
      <c r="E41" s="1"/>
      <c r="F41" s="1"/>
      <c r="G41" s="1"/>
      <c r="H41" s="1"/>
      <c r="I41" s="1"/>
    </row>
    <row r="42" spans="1:9" ht="15.75" customHeight="1">
      <c r="A42" s="1"/>
      <c r="B42" s="1"/>
      <c r="C42" s="1"/>
      <c r="D42" s="1"/>
      <c r="E42" s="1"/>
      <c r="F42" s="1"/>
      <c r="G42" s="1"/>
      <c r="H42" s="1"/>
      <c r="I42" s="1"/>
    </row>
    <row r="43" spans="1:9" ht="15.75" customHeight="1">
      <c r="A43" s="1"/>
      <c r="B43" s="1"/>
      <c r="C43" s="1"/>
      <c r="D43" s="1"/>
      <c r="E43" s="1"/>
      <c r="F43" s="1"/>
      <c r="G43" s="1"/>
      <c r="H43" s="1"/>
      <c r="I43" s="1"/>
    </row>
    <row r="44" spans="1:9" ht="15.75" customHeight="1">
      <c r="A44" s="1"/>
      <c r="B44" s="1"/>
      <c r="C44" s="1"/>
      <c r="D44" s="1"/>
      <c r="E44" s="1"/>
      <c r="F44" s="1"/>
      <c r="G44" s="1"/>
      <c r="H44" s="1"/>
      <c r="I44" s="1"/>
    </row>
    <row r="45" spans="1:9" ht="15.75" customHeight="1">
      <c r="A45" s="1"/>
      <c r="B45" s="1"/>
      <c r="C45" s="1"/>
      <c r="D45" s="1"/>
      <c r="E45" s="1"/>
      <c r="F45" s="1"/>
      <c r="G45" s="1"/>
      <c r="H45" s="1"/>
      <c r="I45" s="1"/>
    </row>
    <row r="46" spans="1:9" ht="15.75" customHeight="1">
      <c r="A46" s="1"/>
      <c r="B46" s="1"/>
      <c r="C46" s="1"/>
      <c r="D46" s="1"/>
      <c r="E46" s="1"/>
      <c r="F46" s="1"/>
      <c r="G46" s="1"/>
      <c r="H46" s="1"/>
      <c r="I46" s="1"/>
    </row>
    <row r="47" spans="1:9" ht="15.75" customHeight="1">
      <c r="A47" s="1"/>
      <c r="B47" s="1"/>
      <c r="C47" s="1"/>
      <c r="D47" s="1"/>
      <c r="E47" s="1"/>
      <c r="F47" s="1"/>
      <c r="G47" s="1"/>
      <c r="H47" s="1"/>
      <c r="I47" s="1"/>
    </row>
    <row r="48" spans="1:9" ht="15.75" customHeight="1">
      <c r="A48" s="1"/>
      <c r="B48" s="1"/>
      <c r="C48" s="1"/>
      <c r="D48" s="1"/>
      <c r="E48" s="1"/>
      <c r="F48" s="1"/>
      <c r="G48" s="1"/>
      <c r="H48" s="1"/>
      <c r="I48" s="1"/>
    </row>
    <row r="49" spans="1:9" ht="15.75" customHeight="1">
      <c r="A49" s="1"/>
      <c r="B49" s="1"/>
      <c r="C49" s="1"/>
      <c r="D49" s="1"/>
      <c r="E49" s="1"/>
      <c r="F49" s="1"/>
      <c r="G49" s="1"/>
      <c r="H49" s="1"/>
      <c r="I49" s="1"/>
    </row>
    <row r="50" spans="1:9" ht="15.75" customHeight="1">
      <c r="A50" s="1"/>
      <c r="B50" s="1"/>
      <c r="C50" s="1"/>
      <c r="D50" s="1"/>
      <c r="E50" s="1"/>
      <c r="F50" s="1"/>
      <c r="G50" s="1"/>
      <c r="H50" s="1"/>
      <c r="I50" s="1"/>
    </row>
    <row r="51" spans="1:9" ht="15.75" customHeight="1">
      <c r="A51" s="1"/>
      <c r="B51" s="1"/>
      <c r="C51" s="1"/>
      <c r="D51" s="1"/>
      <c r="E51" s="1"/>
      <c r="F51" s="1"/>
      <c r="G51" s="1"/>
      <c r="H51" s="1"/>
      <c r="I51" s="1"/>
    </row>
    <row r="52" spans="1:9" ht="15.75" customHeight="1">
      <c r="A52" s="1"/>
      <c r="B52" s="1"/>
      <c r="C52" s="1"/>
      <c r="D52" s="1"/>
      <c r="E52" s="1"/>
      <c r="F52" s="1"/>
      <c r="G52" s="1"/>
      <c r="H52" s="1"/>
      <c r="I52" s="1"/>
    </row>
    <row r="53" spans="1:9" ht="15.75" customHeight="1">
      <c r="A53" s="1"/>
      <c r="B53" s="1"/>
      <c r="C53" s="1"/>
      <c r="D53" s="1"/>
      <c r="E53" s="1"/>
      <c r="F53" s="1"/>
      <c r="G53" s="1"/>
      <c r="H53" s="1"/>
      <c r="I53" s="1"/>
    </row>
    <row r="54" spans="1:9" ht="15.75" customHeight="1">
      <c r="A54" s="1"/>
      <c r="B54" s="1"/>
      <c r="C54" s="1"/>
      <c r="D54" s="1"/>
      <c r="E54" s="1"/>
      <c r="F54" s="1"/>
      <c r="G54" s="1"/>
      <c r="H54" s="1"/>
      <c r="I54" s="1"/>
    </row>
    <row r="55" spans="1:9" ht="15.75" customHeight="1">
      <c r="A55" s="1"/>
      <c r="B55" s="1"/>
      <c r="C55" s="1"/>
      <c r="D55" s="1"/>
      <c r="E55" s="1"/>
      <c r="F55" s="1"/>
      <c r="G55" s="1"/>
      <c r="H55" s="1"/>
      <c r="I55" s="1"/>
    </row>
    <row r="56" spans="1:9" ht="15.75" customHeight="1">
      <c r="A56" s="1"/>
      <c r="B56" s="1"/>
      <c r="C56" s="1"/>
      <c r="D56" s="1"/>
      <c r="E56" s="1"/>
      <c r="F56" s="1"/>
      <c r="G56" s="1"/>
      <c r="H56" s="1"/>
      <c r="I56" s="1"/>
    </row>
    <row r="57" spans="1:9" ht="15.75" customHeight="1">
      <c r="A57" s="1"/>
      <c r="B57" s="1"/>
      <c r="C57" s="1"/>
      <c r="D57" s="1"/>
      <c r="E57" s="1"/>
      <c r="F57" s="1"/>
      <c r="G57" s="1"/>
      <c r="H57" s="1"/>
      <c r="I57" s="1"/>
    </row>
    <row r="58" spans="1:9" ht="15.75" customHeight="1">
      <c r="A58" s="1"/>
      <c r="B58" s="1"/>
      <c r="C58" s="1"/>
      <c r="D58" s="1"/>
      <c r="E58" s="1"/>
      <c r="F58" s="1"/>
      <c r="G58" s="1"/>
      <c r="H58" s="1"/>
      <c r="I58" s="1"/>
    </row>
    <row r="59" spans="1:9" ht="15.75" customHeight="1">
      <c r="A59" s="1"/>
      <c r="B59" s="1"/>
      <c r="C59" s="1"/>
      <c r="D59" s="1"/>
      <c r="E59" s="1"/>
      <c r="F59" s="1"/>
      <c r="G59" s="1"/>
      <c r="H59" s="1"/>
      <c r="I59" s="1"/>
    </row>
    <row r="60" spans="1:9" ht="15.75" customHeight="1">
      <c r="A60" s="1"/>
      <c r="B60" s="1"/>
      <c r="C60" s="1"/>
      <c r="D60" s="1"/>
      <c r="E60" s="1"/>
      <c r="F60" s="1"/>
      <c r="G60" s="1"/>
      <c r="H60" s="1"/>
      <c r="I60" s="1"/>
    </row>
    <row r="61" spans="1:9" ht="15.75" customHeight="1">
      <c r="A61" s="1"/>
      <c r="B61" s="1"/>
      <c r="C61" s="1"/>
      <c r="D61" s="1"/>
      <c r="E61" s="1"/>
      <c r="F61" s="1"/>
      <c r="G61" s="1"/>
      <c r="H61" s="1"/>
      <c r="I61" s="1"/>
    </row>
    <row r="62" spans="1:9" ht="15.75" customHeight="1">
      <c r="A62" s="1"/>
      <c r="B62" s="1"/>
      <c r="C62" s="1"/>
      <c r="D62" s="1"/>
      <c r="E62" s="1"/>
      <c r="F62" s="1"/>
      <c r="G62" s="1"/>
      <c r="H62" s="1"/>
      <c r="I62" s="1"/>
    </row>
    <row r="63" spans="1:9" ht="15.75" customHeight="1">
      <c r="A63" s="1"/>
      <c r="B63" s="1"/>
      <c r="C63" s="1"/>
      <c r="D63" s="1"/>
      <c r="E63" s="1"/>
      <c r="F63" s="1"/>
      <c r="G63" s="1"/>
      <c r="H63" s="1"/>
      <c r="I63" s="1"/>
    </row>
    <row r="64" spans="1:9" ht="15.75" customHeight="1">
      <c r="A64" s="1"/>
      <c r="B64" s="1"/>
      <c r="C64" s="1"/>
      <c r="D64" s="1"/>
      <c r="E64" s="1"/>
      <c r="F64" s="1"/>
      <c r="G64" s="1"/>
      <c r="H64" s="1"/>
      <c r="I64" s="1"/>
    </row>
    <row r="65" spans="1:9" ht="15.75" customHeight="1">
      <c r="A65" s="1"/>
      <c r="B65" s="1"/>
      <c r="C65" s="1"/>
      <c r="D65" s="1"/>
      <c r="E65" s="1"/>
      <c r="F65" s="1"/>
      <c r="G65" s="1"/>
      <c r="H65" s="1"/>
      <c r="I65" s="1"/>
    </row>
    <row r="66" spans="1:9" ht="15.75" customHeight="1">
      <c r="A66" s="1"/>
      <c r="B66" s="1"/>
      <c r="C66" s="1"/>
      <c r="D66" s="1"/>
      <c r="E66" s="1"/>
      <c r="F66" s="1"/>
      <c r="G66" s="1"/>
      <c r="H66" s="1"/>
      <c r="I66" s="1"/>
    </row>
    <row r="67" spans="1:9" ht="15.75" customHeight="1">
      <c r="A67" s="1"/>
      <c r="B67" s="1"/>
      <c r="C67" s="1"/>
      <c r="D67" s="1"/>
      <c r="E67" s="1"/>
      <c r="F67" s="1"/>
      <c r="G67" s="1"/>
      <c r="H67" s="1"/>
      <c r="I67" s="1"/>
    </row>
    <row r="68" spans="1:9" ht="15.75" customHeight="1">
      <c r="A68" s="1"/>
      <c r="B68" s="1"/>
      <c r="C68" s="1"/>
      <c r="D68" s="1"/>
      <c r="E68" s="1"/>
      <c r="F68" s="1"/>
      <c r="G68" s="1"/>
      <c r="H68" s="1"/>
      <c r="I68" s="1"/>
    </row>
    <row r="69" spans="1:9" ht="15.75" customHeight="1">
      <c r="A69" s="1"/>
      <c r="B69" s="1"/>
      <c r="C69" s="1"/>
      <c r="D69" s="1"/>
      <c r="E69" s="1"/>
      <c r="F69" s="1"/>
      <c r="G69" s="1"/>
      <c r="H69" s="1"/>
      <c r="I69" s="1"/>
    </row>
    <row r="70" spans="1:9" ht="15.75" customHeight="1">
      <c r="A70" s="1"/>
      <c r="B70" s="1"/>
      <c r="C70" s="1"/>
      <c r="D70" s="1"/>
      <c r="E70" s="1"/>
      <c r="F70" s="1"/>
      <c r="G70" s="1"/>
      <c r="H70" s="1"/>
      <c r="I70" s="1"/>
    </row>
    <row r="71" spans="1:9" ht="15.75" customHeight="1">
      <c r="A71" s="1"/>
      <c r="B71" s="1"/>
      <c r="C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C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C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C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C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C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C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C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C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C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C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C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C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C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C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C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C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C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C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C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C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C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C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C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C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C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C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C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5.75" customHeight="1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5.75" customHeight="1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5.75" customHeight="1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5.75" customHeight="1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5.75" customHeight="1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5.75" customHeight="1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5.75" customHeight="1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5.75" customHeight="1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5.75" customHeight="1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5.75" customHeight="1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5.75" customHeight="1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5.75" customHeight="1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5.75" customHeight="1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5.75" customHeight="1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5.7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5.75" customHeight="1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5.75" customHeight="1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5.75" customHeight="1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5.75" customHeight="1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5.75" customHeight="1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5.75" customHeight="1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5.75" customHeight="1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5.75" customHeight="1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5.75" customHeight="1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5.75" customHeight="1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5.75" customHeight="1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5.75" customHeight="1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5.75" customHeight="1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5.75" customHeight="1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5.75" customHeight="1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5.75" customHeight="1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5.75" customHeight="1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5.75" customHeight="1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5.75" customHeight="1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5.75" customHeight="1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5.75" customHeight="1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5.75" customHeight="1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5.75" customHeight="1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5.75" customHeight="1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5.75" customHeight="1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5.75" customHeight="1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5.75" customHeight="1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5.75" customHeight="1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5.75" customHeight="1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5.75" customHeight="1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5.75" customHeight="1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5.75" customHeight="1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5.75" customHeight="1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5.75" customHeight="1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5.75" customHeight="1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5.75" customHeight="1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5.75" customHeight="1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5.75" customHeight="1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5.75" customHeight="1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5.75" customHeight="1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5.75" customHeight="1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5.75" customHeight="1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5.75" customHeight="1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5.75" customHeight="1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5.75" customHeight="1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5.75" customHeight="1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5.75" customHeight="1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5.75" customHeight="1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5.75" customHeight="1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5.75" customHeight="1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5.75" customHeight="1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5.75" customHeight="1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5.75" customHeight="1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5.75" customHeight="1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5.75" customHeight="1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5.75" customHeight="1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5.75" customHeight="1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5.75" customHeight="1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5.75" customHeight="1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5.75" customHeight="1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5.75" customHeight="1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5.75" customHeight="1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5.75" customHeight="1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5.75" customHeight="1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5.75" customHeight="1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5.75" customHeight="1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5.75" customHeight="1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5.75" customHeight="1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5.75" customHeight="1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5.75" customHeight="1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5.75" customHeight="1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5.75" customHeight="1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5.75" customHeight="1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5.75" customHeight="1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5.75" customHeight="1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5.75" customHeight="1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5.75" customHeight="1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5.75" customHeight="1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5.75" customHeight="1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5.75" customHeight="1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5.75" customHeight="1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5.75" customHeight="1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5.75" customHeight="1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5.75" customHeight="1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5.75" customHeight="1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5.75" customHeight="1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5.75" customHeight="1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5.75" customHeight="1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5.75" customHeight="1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5.75" customHeight="1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5.75" customHeight="1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5.75" customHeight="1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5.75" customHeight="1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5.75" customHeight="1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5.75" customHeight="1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5.75" customHeight="1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5.75" customHeight="1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5.75" customHeight="1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5.75" customHeight="1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5.75" customHeight="1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5.75" customHeight="1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5.75" customHeight="1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5.75" customHeight="1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5.75" customHeight="1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5.75" customHeight="1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5.75" customHeight="1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5.75" customHeight="1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5.75" customHeight="1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5.75" customHeight="1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5.75" customHeight="1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5.75" customHeight="1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5.75" customHeight="1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5.75" customHeight="1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5.75" customHeight="1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5.75" customHeight="1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5.75" customHeight="1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5.75" customHeight="1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5.75" customHeight="1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5.75" customHeight="1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5.75" customHeight="1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5.75" customHeight="1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5.75" customHeight="1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5.75" customHeight="1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5.75" customHeight="1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5.75" customHeight="1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5.75" customHeight="1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5.75" customHeight="1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5.75" customHeight="1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5.75" customHeight="1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5.75" customHeight="1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5.75" customHeight="1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5.75" customHeight="1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5.75" customHeight="1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5.75" customHeight="1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5.75" customHeight="1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5.75" customHeight="1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5.75" customHeight="1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5.75" customHeight="1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5.75" customHeight="1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5.75" customHeight="1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5.75" customHeight="1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5.75" customHeight="1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5.75" customHeight="1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5.75" customHeight="1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5.75" customHeight="1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5.75" customHeight="1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5.75" customHeight="1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5.75" customHeight="1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5.75" customHeight="1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5.75" customHeight="1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5.75" customHeight="1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5.75" customHeight="1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5.75" customHeight="1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5.75" customHeight="1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5.75" customHeight="1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5.75" customHeight="1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5.75" customHeight="1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5.75" customHeight="1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5.75" customHeight="1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5.75" customHeight="1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5.75" customHeight="1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5.75" customHeight="1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5.75" customHeight="1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5.75" customHeight="1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5.75" customHeight="1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5.75" customHeight="1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5.75" customHeight="1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5.75" customHeight="1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5.75" customHeight="1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5.75" customHeight="1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5.75" customHeight="1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5.75" customHeight="1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5.75" customHeight="1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5.75" customHeight="1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5.75" customHeight="1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5.75" customHeight="1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5.75" customHeight="1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5.75" customHeight="1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5.75" customHeight="1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5.75" customHeight="1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5.75" customHeight="1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5.75" customHeight="1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5.75" customHeight="1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5.75" customHeight="1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5.75" customHeight="1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5.75" customHeight="1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5.75" customHeight="1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5.75" customHeight="1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5.75" customHeight="1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5.75" customHeight="1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5.75" customHeight="1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5.75" customHeight="1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5.75" customHeight="1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5.75" customHeight="1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5.75" customHeight="1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5.75" customHeight="1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5.75" customHeight="1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5.75" customHeight="1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5.75" customHeight="1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5.75" customHeight="1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5.75" customHeight="1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5.75" customHeight="1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5.75" customHeight="1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5.75" customHeight="1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5.75" customHeight="1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5.75" customHeight="1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5.75" customHeight="1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5.75" customHeight="1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5.75" customHeight="1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5.75" customHeight="1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5.75" customHeight="1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5.75" customHeight="1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5.75" customHeight="1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5.75" customHeight="1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5.75" customHeight="1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5.75" customHeight="1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5.75" customHeight="1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5.75" customHeight="1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5.75" customHeight="1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5.75" customHeight="1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5.75" customHeight="1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5.75" customHeight="1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5.75" customHeight="1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5.75" customHeight="1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5.75" customHeight="1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5.75" customHeight="1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5.75" customHeight="1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5.75" customHeight="1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5.75" customHeight="1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5.75" customHeight="1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5.75" customHeight="1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5.75" customHeight="1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5.75" customHeight="1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5.75" customHeight="1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5.75" customHeight="1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5.75" customHeight="1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5.75" customHeight="1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5.75" customHeight="1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5.75" customHeight="1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5.75" customHeight="1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5.75" customHeight="1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5.75" customHeight="1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5.75" customHeight="1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5.75" customHeight="1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5.75" customHeight="1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5.75" customHeight="1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5.75" customHeight="1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5.75" customHeight="1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5.75" customHeight="1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5.75" customHeight="1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5.75" customHeight="1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5.75" customHeight="1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5.75" customHeight="1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5.75" customHeight="1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5.75" customHeight="1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5.7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5.7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5.7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5.75" customHeight="1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5.7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5.7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5.7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5.7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5.7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5.7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5.7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5.7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5.7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5.7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5.7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5.7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5.7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5.7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5.7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5.7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5.7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5.7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5.7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5.7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5.7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5.7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5.7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5.7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5.7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5.7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5.7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5.7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5.7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5.7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5.7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5.7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5.7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5.7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5.7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5.7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5.7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5.7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5.7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5.7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5.7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5.7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5.7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5.7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5.7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5.7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5.7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5.7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5.7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5.7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5.7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5.7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5.7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5.7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5.7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5.7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5.7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5.7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5.7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5.7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5.7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5.7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5.7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5.7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5.7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5.7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5.7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5.7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5.7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5.7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5.7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5.7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5.7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5.7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5.7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5.7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5.7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5.7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5.7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5.7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5.7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5.7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5.7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5.7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5.7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5.7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5.7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5.7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5.7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5.7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5.7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5.7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5.7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5.7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5.7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5.7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5.7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5.7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5.7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5.7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5.7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5.7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5.7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5.7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5.7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5.7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5.7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5.7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5.7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5.7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5.7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5.7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5.7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5.7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5.7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5.7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5.7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5.7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5.7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5.7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5.7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5.7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5.7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5.7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5.7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5.7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5.7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5.7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5.7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5.7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5.7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5.7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5.7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5.7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5.7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5.7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5.7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5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5.7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5.7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5.7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5.7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5.7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5.7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5.7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5.7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5.7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5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5.7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5.7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5.7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5.7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5.7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5.7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5.7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5.7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5.7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5.7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5.7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5.7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5.7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5.7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5.7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5.7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5.7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5.7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5.7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5.7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5.7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5.7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5.7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5.7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5.7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5.7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5.7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5.7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5.7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5.7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5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5.7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5.7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5.7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5.7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5.7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5.7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5.7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5.7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5.7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5.7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5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5.7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5.7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5.7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5.7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5.7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5.7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5.7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5.7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5.7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5.7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5.7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5.7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5.7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5.7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5.7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5.7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5.7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5.7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5.7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5.7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5.7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5.7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5.7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5.7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5.7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5.7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5.7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5.7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5.7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5.7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5.7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5.7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5.7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5.7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5.7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5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5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5.7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5.7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5.7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5.7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5.7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5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5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5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5.7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5.7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5.7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5.7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5.7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5.7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5.7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5.7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5.7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5.7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5.7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5.7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5.7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5.7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5.7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5.7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5.7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5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5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5.7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5.7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5.7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5.7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5.7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5.7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5.7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5.7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5.7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5.7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5.7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5.7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5.7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5.7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5.7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5.7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5.7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5.7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5.7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5.7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5.7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5.7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5.7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5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5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5.7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5.7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5.7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5.7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5.7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5.7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5.7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5.7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5.7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5.7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5.7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5.7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5.7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5.7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5.7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5.7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5.7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5.7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5.7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5.7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5.7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5.7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5.7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5.7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5.7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5.7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5.7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5.7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5.7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5.7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5.7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5.7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5.7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5.7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5.7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5.7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5.7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5.7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5.7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5.7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5.7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5.7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5.7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5.7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5.7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5.7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5.7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5.7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5.7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5.7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5.7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5.7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5.7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5.7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5.7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5.7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5.7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5.7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5.7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5.7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5.7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5.7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5.7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5.7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5.7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5.7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5.7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5.7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5.7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5.7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5.7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5.7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5.7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5.7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5.7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5.7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5.7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5.7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5.7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5.7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5.7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5.7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5.7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5.7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5.7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5.7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5.7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5.7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5.7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5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5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5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5.7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5.7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5.7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5.7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5.7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5.7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5.7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5.7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5.7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5.7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5.7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5.7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5.7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5.7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5.7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5.7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5.7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5.7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5.7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5.7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5.7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5.7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5.7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5.7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5.7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5.7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5.7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5.7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5.7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5.7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5.7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5.7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5.7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5.7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5.7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5.7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5.7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5.7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5.7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5.7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5.7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5.7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5.7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5.7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5.7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5.7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5.7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5.7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5.7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5.7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5.7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5.7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5.7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5.7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5.7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5.7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5.7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5.7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5.7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5.7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5.7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5.7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5.7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5.7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5.7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5.7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5.7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5.7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5.7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5.7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5.7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5.7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5.7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5.7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5.7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5.7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5.7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5.7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5.7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5.7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5.7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5.7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5.7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5.7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5.7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5.7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5.7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5.7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5.7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5.7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5.7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5.7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5.7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5.7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5.7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5.7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5.7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5.7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5.7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5.7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5.7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5.7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5.7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5.7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5.7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5.7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5.7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5.7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5.7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5.7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5.7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5.7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5.7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5.7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5.7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5.7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5.7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5.7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5.7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5.7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5.7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5.7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5.7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5.7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5.7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5.7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5.7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5.7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5.7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5.7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5.7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5.7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5.7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5.7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5.7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5.7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5.7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5.7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5.7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5.7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5.7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5.7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5.7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5.7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5.7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5.7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5.7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5.7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5.7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5.7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5.7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5.7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5.7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5.7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5.7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5.7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5.7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5.7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5.7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5.7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5.7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5.7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5.7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5.7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5.7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5.7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5.7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5.7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5.7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5.7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5.7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5.7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5.7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5.7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5.7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5.7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5.7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5.7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5.7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5.7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5.7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5.7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5.7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5.7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5.7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5.7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5.7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5.7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5.7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5.7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5.7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5.7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5.7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5.7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5.7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5.7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5.7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5.7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5.7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5.7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5.7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5.7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5.7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5.7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5.7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5.7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5.7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5.7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5.7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5.7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5.7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5.7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5.7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5.7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5.7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5.7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5.7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5.7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5.7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5.7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5.7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5.7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5.7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5.7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5.7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5.7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5.7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5.7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5.7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5.7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5.7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5.7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5.7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5.7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15.7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15.7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15.7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15.7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15.7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15.7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15.7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15.7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15.7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15.7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15.7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15.7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15.7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15.7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15.7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15.7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spans="1:9" ht="15.7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spans="1:9" ht="15.7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spans="1:9" ht="15.75" customHeight="1">
      <c r="A1000" s="1"/>
      <c r="B1000" s="1"/>
      <c r="C1000" s="1"/>
      <c r="D1000" s="1"/>
      <c r="E1000" s="1"/>
      <c r="F1000" s="1"/>
      <c r="G1000" s="1"/>
      <c r="H1000" s="1"/>
      <c r="I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26.5" customWidth="1"/>
    <col min="2" max="2" width="57.5" customWidth="1"/>
    <col min="3" max="3" width="15.6640625" customWidth="1"/>
    <col min="4" max="4" width="19.1640625" customWidth="1"/>
    <col min="5" max="5" width="14" customWidth="1"/>
    <col min="6" max="6" width="41.33203125" customWidth="1"/>
    <col min="7" max="7" width="13.5" customWidth="1"/>
    <col min="8" max="8" width="19.1640625" customWidth="1"/>
  </cols>
  <sheetData>
    <row r="1" spans="1:29">
      <c r="A1" s="84" t="s">
        <v>244</v>
      </c>
      <c r="B1" s="84" t="s">
        <v>245</v>
      </c>
      <c r="C1" s="84" t="s">
        <v>104</v>
      </c>
      <c r="D1" s="84" t="s">
        <v>246</v>
      </c>
      <c r="E1" s="84" t="s">
        <v>247</v>
      </c>
      <c r="F1" s="84" t="s">
        <v>248</v>
      </c>
      <c r="G1" s="84" t="s">
        <v>249</v>
      </c>
      <c r="H1" s="84" t="s">
        <v>250</v>
      </c>
      <c r="I1" s="84" t="s">
        <v>251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</row>
    <row r="2" spans="1:29">
      <c r="A2" s="84" t="s">
        <v>252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</row>
    <row r="3" spans="1:29">
      <c r="A3" s="85"/>
      <c r="B3" s="87" t="s">
        <v>253</v>
      </c>
      <c r="C3" s="88">
        <v>1300000000</v>
      </c>
      <c r="D3" s="87" t="s">
        <v>254</v>
      </c>
      <c r="E3" s="87">
        <v>2016</v>
      </c>
      <c r="F3" s="87" t="s">
        <v>255</v>
      </c>
      <c r="G3" s="87" t="s">
        <v>256</v>
      </c>
      <c r="H3" s="89" t="s">
        <v>257</v>
      </c>
      <c r="I3" s="87" t="s">
        <v>258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</row>
    <row r="4" spans="1:29">
      <c r="A4" s="85"/>
      <c r="B4" s="87" t="s">
        <v>259</v>
      </c>
      <c r="C4" s="88">
        <v>2598400000</v>
      </c>
      <c r="D4" s="87" t="s">
        <v>260</v>
      </c>
      <c r="E4" s="87" t="s">
        <v>261</v>
      </c>
      <c r="F4" s="87" t="s">
        <v>262</v>
      </c>
      <c r="G4" s="86"/>
      <c r="H4" s="89" t="s">
        <v>263</v>
      </c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</row>
    <row r="5" spans="1:29">
      <c r="A5" s="85"/>
      <c r="B5" s="86"/>
      <c r="C5" s="88">
        <v>105963728</v>
      </c>
      <c r="D5" s="87" t="s">
        <v>264</v>
      </c>
      <c r="E5" s="87" t="s">
        <v>261</v>
      </c>
      <c r="F5" s="87" t="s">
        <v>265</v>
      </c>
      <c r="G5" s="86"/>
      <c r="H5" s="89" t="s">
        <v>263</v>
      </c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</row>
    <row r="6" spans="1:29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</row>
    <row r="7" spans="1:29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</row>
    <row r="8" spans="1:29">
      <c r="A8" s="84" t="s">
        <v>266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</row>
    <row r="9" spans="1:29">
      <c r="A9" s="86"/>
      <c r="B9" s="87" t="s">
        <v>267</v>
      </c>
      <c r="C9" s="88">
        <v>1000000000</v>
      </c>
      <c r="D9" s="87" t="s">
        <v>268</v>
      </c>
      <c r="E9" s="87">
        <v>2016</v>
      </c>
      <c r="F9" s="87" t="s">
        <v>269</v>
      </c>
      <c r="G9" s="87" t="s">
        <v>270</v>
      </c>
      <c r="H9" s="89" t="s">
        <v>271</v>
      </c>
      <c r="I9" s="87" t="s">
        <v>272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</row>
    <row r="10" spans="1:29">
      <c r="A10" s="85"/>
      <c r="B10" s="87" t="s">
        <v>267</v>
      </c>
      <c r="C10" s="88">
        <v>1000000000</v>
      </c>
      <c r="D10" s="87" t="s">
        <v>268</v>
      </c>
      <c r="E10" s="87">
        <v>2016</v>
      </c>
      <c r="F10" s="87" t="s">
        <v>273</v>
      </c>
      <c r="G10" s="87" t="s">
        <v>274</v>
      </c>
      <c r="H10" s="89" t="s">
        <v>275</v>
      </c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</row>
    <row r="11" spans="1:29">
      <c r="A11" s="85"/>
      <c r="B11" s="87" t="s">
        <v>276</v>
      </c>
      <c r="C11" s="88">
        <v>46000</v>
      </c>
      <c r="D11" s="87" t="s">
        <v>277</v>
      </c>
      <c r="E11" s="87">
        <v>2015</v>
      </c>
      <c r="F11" s="88" t="s">
        <v>278</v>
      </c>
      <c r="G11" s="87" t="s">
        <v>279</v>
      </c>
      <c r="H11" s="89" t="s">
        <v>280</v>
      </c>
      <c r="I11" s="87" t="s">
        <v>281</v>
      </c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</row>
    <row r="12" spans="1:29">
      <c r="A12" s="85"/>
      <c r="B12" s="87" t="s">
        <v>282</v>
      </c>
      <c r="C12" s="87">
        <v>3.25</v>
      </c>
      <c r="D12" s="87" t="s">
        <v>283</v>
      </c>
      <c r="E12" s="87" t="s">
        <v>261</v>
      </c>
      <c r="F12" s="87" t="s">
        <v>284</v>
      </c>
      <c r="G12" s="86"/>
      <c r="H12" s="89" t="s">
        <v>263</v>
      </c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</row>
    <row r="13" spans="1:29">
      <c r="A13" s="85"/>
      <c r="B13" s="86"/>
      <c r="C13" s="88"/>
      <c r="D13" s="87"/>
      <c r="E13" s="87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</row>
    <row r="14" spans="1:29">
      <c r="A14" s="85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</row>
    <row r="15" spans="1:29">
      <c r="A15" s="84" t="s">
        <v>285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</row>
    <row r="16" spans="1:29">
      <c r="A16" s="85"/>
      <c r="B16" s="87" t="s">
        <v>286</v>
      </c>
      <c r="C16" s="90">
        <v>0.83</v>
      </c>
      <c r="D16" s="87" t="s">
        <v>68</v>
      </c>
      <c r="E16" s="87">
        <v>2017</v>
      </c>
      <c r="F16" s="87" t="s">
        <v>287</v>
      </c>
      <c r="G16" s="87" t="s">
        <v>256</v>
      </c>
      <c r="H16" s="89" t="s">
        <v>288</v>
      </c>
      <c r="I16" s="87" t="s">
        <v>258</v>
      </c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</row>
    <row r="17" spans="1:29">
      <c r="A17" s="85"/>
      <c r="B17" s="87" t="s">
        <v>289</v>
      </c>
      <c r="C17" s="87">
        <v>40</v>
      </c>
      <c r="D17" s="87" t="s">
        <v>68</v>
      </c>
      <c r="E17" s="87">
        <v>2014</v>
      </c>
      <c r="F17" s="86"/>
      <c r="G17" s="87" t="s">
        <v>290</v>
      </c>
      <c r="H17" s="89" t="s">
        <v>291</v>
      </c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</row>
    <row r="18" spans="1:29">
      <c r="A18" s="85"/>
      <c r="B18" s="87" t="s">
        <v>292</v>
      </c>
      <c r="C18" s="91">
        <v>0.38400000000000001</v>
      </c>
      <c r="D18" s="87" t="s">
        <v>68</v>
      </c>
      <c r="E18" s="4">
        <v>2014</v>
      </c>
      <c r="F18" s="87" t="s">
        <v>293</v>
      </c>
      <c r="H18" s="92" t="s">
        <v>294</v>
      </c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</row>
    <row r="19" spans="1:29">
      <c r="A19" s="85"/>
      <c r="B19" s="87" t="s">
        <v>295</v>
      </c>
      <c r="C19" s="91">
        <v>0.25800000000000001</v>
      </c>
      <c r="D19" s="87" t="s">
        <v>68</v>
      </c>
      <c r="E19" s="87">
        <v>2016</v>
      </c>
      <c r="F19" s="86"/>
      <c r="G19" s="87" t="s">
        <v>296</v>
      </c>
      <c r="H19" s="89" t="s">
        <v>297</v>
      </c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</row>
    <row r="20" spans="1:29">
      <c r="A20" s="85"/>
      <c r="B20" s="93" t="s">
        <v>298</v>
      </c>
      <c r="C20" s="91">
        <v>2.5000000000000001E-2</v>
      </c>
      <c r="D20" s="87" t="s">
        <v>68</v>
      </c>
      <c r="E20" s="87">
        <v>2016</v>
      </c>
      <c r="F20" s="93" t="s">
        <v>299</v>
      </c>
      <c r="G20" s="87" t="s">
        <v>300</v>
      </c>
      <c r="H20" s="89" t="s">
        <v>301</v>
      </c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</row>
    <row r="21" spans="1:29">
      <c r="A21" s="84" t="s">
        <v>302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</row>
    <row r="22" spans="1:29">
      <c r="A22" s="85"/>
      <c r="B22" s="87" t="s">
        <v>303</v>
      </c>
      <c r="C22" s="87">
        <v>400</v>
      </c>
      <c r="D22" s="87" t="s">
        <v>304</v>
      </c>
      <c r="E22" s="87">
        <v>2015</v>
      </c>
      <c r="F22" s="93" t="s">
        <v>305</v>
      </c>
      <c r="G22" s="87" t="s">
        <v>306</v>
      </c>
      <c r="H22" s="87" t="s">
        <v>307</v>
      </c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</row>
    <row r="23" spans="1:29">
      <c r="A23" s="85"/>
      <c r="B23" s="87" t="s">
        <v>308</v>
      </c>
      <c r="C23" s="86">
        <f>C22*60*24</f>
        <v>576000</v>
      </c>
      <c r="D23" s="87" t="s">
        <v>309</v>
      </c>
      <c r="E23" s="87">
        <v>2015</v>
      </c>
      <c r="F23" s="87" t="s">
        <v>310</v>
      </c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</row>
    <row r="24" spans="1:29">
      <c r="A24" s="85"/>
      <c r="B24" s="87" t="s">
        <v>311</v>
      </c>
      <c r="C24" s="87">
        <v>700</v>
      </c>
      <c r="D24" s="87" t="s">
        <v>304</v>
      </c>
      <c r="E24" s="87">
        <v>2016</v>
      </c>
      <c r="F24" s="87" t="s">
        <v>312</v>
      </c>
      <c r="G24" s="86"/>
      <c r="H24" s="89" t="s">
        <v>313</v>
      </c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</row>
    <row r="25" spans="1:29">
      <c r="A25" s="85"/>
      <c r="B25" s="87" t="s">
        <v>314</v>
      </c>
      <c r="C25" s="86">
        <f>C24*60*24</f>
        <v>1008000</v>
      </c>
      <c r="D25" s="86"/>
      <c r="E25" s="87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</row>
    <row r="26" spans="1:29">
      <c r="A26" s="85"/>
      <c r="B26" s="87" t="s">
        <v>315</v>
      </c>
      <c r="C26" s="94">
        <f>C23/C10</f>
        <v>5.7600000000000001E-4</v>
      </c>
      <c r="D26" s="86"/>
      <c r="E26" s="87" t="s">
        <v>316</v>
      </c>
      <c r="F26" s="87" t="s">
        <v>310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</row>
    <row r="27" spans="1:29">
      <c r="A27" s="85"/>
      <c r="B27" s="87" t="s">
        <v>317</v>
      </c>
      <c r="C27" s="94">
        <f>C25/C10</f>
        <v>1.008E-3</v>
      </c>
      <c r="D27" s="86"/>
      <c r="E27" s="87">
        <v>2016</v>
      </c>
      <c r="F27" s="87" t="s">
        <v>310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</row>
    <row r="28" spans="1:29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</row>
    <row r="29" spans="1:29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</row>
    <row r="30" spans="1:29">
      <c r="A30" s="84" t="s">
        <v>318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</row>
    <row r="31" spans="1:29">
      <c r="A31" s="85"/>
      <c r="B31" s="87" t="s">
        <v>319</v>
      </c>
      <c r="C31" s="90">
        <v>0.6</v>
      </c>
      <c r="D31" s="87" t="s">
        <v>68</v>
      </c>
      <c r="E31" s="87">
        <v>2016</v>
      </c>
      <c r="F31" s="87" t="s">
        <v>320</v>
      </c>
      <c r="G31" s="87" t="s">
        <v>321</v>
      </c>
      <c r="H31" s="89" t="s">
        <v>203</v>
      </c>
      <c r="I31" s="87" t="s">
        <v>322</v>
      </c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</row>
    <row r="32" spans="1:29">
      <c r="A32" s="85"/>
      <c r="B32" s="87" t="s">
        <v>323</v>
      </c>
      <c r="C32" s="90">
        <v>0.92</v>
      </c>
      <c r="D32" s="87" t="s">
        <v>68</v>
      </c>
      <c r="E32" s="86"/>
      <c r="F32" s="86"/>
      <c r="G32" s="87" t="s">
        <v>321</v>
      </c>
      <c r="H32" s="89" t="s">
        <v>324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</row>
    <row r="33" spans="1:29">
      <c r="A33" s="85"/>
      <c r="B33" s="87" t="s">
        <v>325</v>
      </c>
      <c r="C33" s="90">
        <v>0.7</v>
      </c>
      <c r="D33" s="87" t="s">
        <v>68</v>
      </c>
      <c r="E33" s="87">
        <v>2016</v>
      </c>
      <c r="F33" s="87" t="s">
        <v>326</v>
      </c>
      <c r="G33" s="87" t="s">
        <v>327</v>
      </c>
      <c r="H33" s="89" t="s">
        <v>328</v>
      </c>
      <c r="I33" s="87" t="s">
        <v>329</v>
      </c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</row>
    <row r="34" spans="1:29">
      <c r="A34" s="85"/>
      <c r="B34" s="87" t="s">
        <v>330</v>
      </c>
      <c r="C34" s="90">
        <v>0.68</v>
      </c>
      <c r="D34" s="87" t="s">
        <v>68</v>
      </c>
      <c r="E34" s="87">
        <v>2016</v>
      </c>
      <c r="F34" s="86"/>
      <c r="G34" s="87" t="s">
        <v>331</v>
      </c>
      <c r="H34" s="89" t="s">
        <v>332</v>
      </c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</row>
    <row r="35" spans="1:29">
      <c r="A35" s="84"/>
      <c r="B35" s="87" t="s">
        <v>333</v>
      </c>
      <c r="C35" s="90">
        <v>0.7</v>
      </c>
      <c r="D35" s="87" t="s">
        <v>68</v>
      </c>
      <c r="E35" s="87">
        <v>2016</v>
      </c>
      <c r="F35" s="86"/>
      <c r="G35" s="87" t="s">
        <v>331</v>
      </c>
      <c r="H35" s="89" t="s">
        <v>334</v>
      </c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</row>
    <row r="36" spans="1:29">
      <c r="A36" s="84"/>
      <c r="B36" s="87" t="s">
        <v>335</v>
      </c>
      <c r="C36" s="91">
        <v>0.6</v>
      </c>
      <c r="D36" s="87" t="s">
        <v>68</v>
      </c>
      <c r="E36" s="87">
        <v>2016</v>
      </c>
      <c r="F36" s="86"/>
      <c r="G36" s="87" t="s">
        <v>336</v>
      </c>
      <c r="H36" s="89" t="s">
        <v>337</v>
      </c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</row>
    <row r="37" spans="1:29">
      <c r="A37" s="84"/>
      <c r="B37" s="87" t="s">
        <v>338</v>
      </c>
      <c r="C37" s="91">
        <v>0.55000000000000004</v>
      </c>
      <c r="D37" s="87" t="s">
        <v>68</v>
      </c>
      <c r="E37" s="87">
        <v>2016</v>
      </c>
      <c r="F37" s="87" t="s">
        <v>339</v>
      </c>
      <c r="G37" s="87" t="s">
        <v>336</v>
      </c>
      <c r="H37" s="89" t="s">
        <v>337</v>
      </c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</row>
    <row r="38" spans="1:29">
      <c r="A38" s="84"/>
      <c r="B38" s="87" t="s">
        <v>340</v>
      </c>
      <c r="C38" s="87">
        <v>8.8000000000000007</v>
      </c>
      <c r="D38" s="87" t="s">
        <v>31</v>
      </c>
      <c r="E38" s="87">
        <v>2016</v>
      </c>
      <c r="F38" s="86"/>
      <c r="G38" s="87" t="s">
        <v>336</v>
      </c>
      <c r="H38" s="89" t="s">
        <v>337</v>
      </c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</row>
    <row r="39" spans="1:29">
      <c r="A39" s="84"/>
      <c r="B39" s="87" t="s">
        <v>341</v>
      </c>
      <c r="C39" s="86">
        <f>C38*C36*C37*12</f>
        <v>34.848000000000006</v>
      </c>
      <c r="D39" s="87" t="s">
        <v>342</v>
      </c>
      <c r="E39" s="87">
        <v>2016</v>
      </c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</row>
    <row r="40" spans="1:29">
      <c r="A40" s="84" t="s">
        <v>343</v>
      </c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</row>
    <row r="41" spans="1:29">
      <c r="A41" s="85"/>
      <c r="B41" s="87" t="s">
        <v>344</v>
      </c>
      <c r="C41" s="87" t="s">
        <v>345</v>
      </c>
      <c r="D41" s="86"/>
      <c r="E41" s="87"/>
      <c r="F41" s="87" t="s">
        <v>346</v>
      </c>
      <c r="G41" s="86"/>
      <c r="H41" s="89" t="s">
        <v>324</v>
      </c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</row>
    <row r="42" spans="1:29">
      <c r="A42" s="85"/>
      <c r="B42" s="87" t="s">
        <v>347</v>
      </c>
      <c r="C42" s="86"/>
      <c r="D42" s="86"/>
      <c r="E42" s="86"/>
      <c r="F42" s="86"/>
      <c r="G42" s="86"/>
      <c r="H42" s="89" t="s">
        <v>348</v>
      </c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</row>
    <row r="43" spans="1:29">
      <c r="A43" s="85"/>
      <c r="B43" s="87" t="s">
        <v>349</v>
      </c>
      <c r="C43" s="91">
        <v>0.16800000000000001</v>
      </c>
      <c r="D43" s="87" t="s">
        <v>68</v>
      </c>
      <c r="E43" s="87">
        <v>2016</v>
      </c>
      <c r="F43" s="87" t="s">
        <v>350</v>
      </c>
      <c r="G43" s="87" t="s">
        <v>351</v>
      </c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</row>
    <row r="44" spans="1:29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</row>
    <row r="45" spans="1:29">
      <c r="A45" s="84" t="s">
        <v>352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</row>
    <row r="46" spans="1:29">
      <c r="A46" s="85"/>
      <c r="B46" s="87" t="s">
        <v>353</v>
      </c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</row>
    <row r="47" spans="1:29">
      <c r="A47" s="85"/>
      <c r="B47" s="87" t="s">
        <v>354</v>
      </c>
      <c r="C47" s="90">
        <v>0.81</v>
      </c>
      <c r="D47" s="87" t="s">
        <v>68</v>
      </c>
      <c r="E47" s="4">
        <v>2016</v>
      </c>
      <c r="G47" s="87" t="s">
        <v>355</v>
      </c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</row>
    <row r="48" spans="1:29">
      <c r="A48" s="85"/>
      <c r="B48" s="87" t="s">
        <v>356</v>
      </c>
      <c r="C48" s="90">
        <v>0.09</v>
      </c>
      <c r="D48" s="87" t="s">
        <v>68</v>
      </c>
      <c r="E48" s="4">
        <v>2016</v>
      </c>
      <c r="G48" s="87" t="s">
        <v>355</v>
      </c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</row>
    <row r="49" spans="1:29">
      <c r="A49" s="85"/>
      <c r="B49" s="87" t="s">
        <v>357</v>
      </c>
      <c r="C49" s="90">
        <v>0.06</v>
      </c>
      <c r="D49" s="87" t="s">
        <v>68</v>
      </c>
      <c r="E49" s="4">
        <v>2016</v>
      </c>
      <c r="G49" s="87" t="s">
        <v>355</v>
      </c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</row>
    <row r="50" spans="1:29">
      <c r="A50" s="85"/>
      <c r="B50" s="87" t="s">
        <v>358</v>
      </c>
      <c r="C50" s="95">
        <f>1-SUM(C47:C49)</f>
        <v>4.0000000000000036E-2</v>
      </c>
      <c r="D50" s="87" t="s">
        <v>68</v>
      </c>
      <c r="E50" s="4">
        <v>2016</v>
      </c>
      <c r="G50" s="87" t="s">
        <v>355</v>
      </c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</row>
    <row r="51" spans="1:29">
      <c r="A51" s="85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</row>
    <row r="52" spans="1:29">
      <c r="A52" s="85"/>
      <c r="B52" s="87" t="s">
        <v>359</v>
      </c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</row>
    <row r="53" spans="1:29">
      <c r="A53" s="85"/>
      <c r="B53" s="87" t="s">
        <v>360</v>
      </c>
      <c r="C53" s="87" t="s">
        <v>361</v>
      </c>
      <c r="D53" s="87" t="s">
        <v>68</v>
      </c>
      <c r="E53" s="86"/>
      <c r="F53" s="87" t="s">
        <v>362</v>
      </c>
      <c r="G53" s="86"/>
      <c r="H53" s="87" t="s">
        <v>363</v>
      </c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</row>
    <row r="54" spans="1:29">
      <c r="A54" s="85"/>
      <c r="B54" s="87" t="s">
        <v>364</v>
      </c>
      <c r="C54" s="87" t="s">
        <v>361</v>
      </c>
      <c r="D54" s="87" t="s">
        <v>68</v>
      </c>
      <c r="E54" s="86"/>
      <c r="F54" s="87" t="s">
        <v>365</v>
      </c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</row>
    <row r="55" spans="1:29">
      <c r="A55" s="85"/>
      <c r="B55" s="87" t="s">
        <v>366</v>
      </c>
      <c r="C55" s="87" t="s">
        <v>361</v>
      </c>
      <c r="D55" s="87" t="s">
        <v>68</v>
      </c>
      <c r="E55" s="86"/>
      <c r="F55" s="87" t="s">
        <v>367</v>
      </c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</row>
    <row r="56" spans="1:29">
      <c r="A56" s="85"/>
      <c r="B56" s="87" t="s">
        <v>368</v>
      </c>
      <c r="C56" s="87" t="s">
        <v>361</v>
      </c>
      <c r="D56" s="87" t="s">
        <v>68</v>
      </c>
      <c r="E56" s="86"/>
      <c r="F56" s="87" t="s">
        <v>369</v>
      </c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</row>
    <row r="57" spans="1:29">
      <c r="A57" s="85"/>
      <c r="B57" s="87" t="s">
        <v>370</v>
      </c>
      <c r="C57" s="87" t="s">
        <v>361</v>
      </c>
      <c r="D57" s="87" t="s">
        <v>68</v>
      </c>
      <c r="E57" s="86"/>
      <c r="F57" s="87" t="s">
        <v>371</v>
      </c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</row>
    <row r="58" spans="1:29">
      <c r="A58" s="85"/>
      <c r="B58" s="87" t="s">
        <v>372</v>
      </c>
      <c r="C58" s="87" t="s">
        <v>361</v>
      </c>
      <c r="D58" s="87" t="s">
        <v>68</v>
      </c>
      <c r="E58" s="86"/>
      <c r="F58" s="87" t="s">
        <v>373</v>
      </c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</row>
    <row r="59" spans="1:29">
      <c r="A59" s="85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</row>
    <row r="60" spans="1:29">
      <c r="A60" s="85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</row>
    <row r="61" spans="1:29">
      <c r="A61" s="84" t="s">
        <v>374</v>
      </c>
      <c r="B61" s="87" t="s">
        <v>375</v>
      </c>
      <c r="C61" s="87">
        <v>70</v>
      </c>
      <c r="D61" s="86"/>
      <c r="E61" s="86"/>
      <c r="F61" s="86"/>
      <c r="G61" s="87" t="s">
        <v>376</v>
      </c>
      <c r="H61" s="89" t="s">
        <v>377</v>
      </c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</row>
    <row r="62" spans="1:29">
      <c r="A62" s="85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</row>
    <row r="63" spans="1:29">
      <c r="A63" s="84" t="s">
        <v>378</v>
      </c>
      <c r="B63" s="87" t="s">
        <v>379</v>
      </c>
      <c r="C63" s="86"/>
      <c r="D63" s="86"/>
      <c r="E63" s="86"/>
      <c r="F63" s="93" t="s">
        <v>380</v>
      </c>
      <c r="G63" s="87" t="s">
        <v>381</v>
      </c>
      <c r="H63" s="89" t="s">
        <v>382</v>
      </c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</row>
    <row r="64" spans="1:29">
      <c r="A64" s="85"/>
      <c r="B64" s="87" t="s">
        <v>383</v>
      </c>
      <c r="C64" s="96">
        <f>96054</f>
        <v>96054</v>
      </c>
      <c r="D64" s="87" t="s">
        <v>384</v>
      </c>
      <c r="E64" s="87">
        <v>2016</v>
      </c>
      <c r="F64" s="87" t="s">
        <v>385</v>
      </c>
      <c r="G64" s="87" t="s">
        <v>381</v>
      </c>
      <c r="H64" s="89" t="s">
        <v>382</v>
      </c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</row>
    <row r="65" spans="1:29">
      <c r="A65" s="85"/>
      <c r="B65" s="87" t="s">
        <v>386</v>
      </c>
      <c r="C65" s="96">
        <v>78250</v>
      </c>
      <c r="D65" s="87" t="s">
        <v>384</v>
      </c>
      <c r="E65" s="87">
        <v>2016</v>
      </c>
      <c r="F65" s="87" t="s">
        <v>385</v>
      </c>
      <c r="G65" s="87" t="s">
        <v>381</v>
      </c>
      <c r="H65" s="89" t="s">
        <v>382</v>
      </c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</row>
    <row r="66" spans="1:29">
      <c r="A66" s="85"/>
      <c r="B66" s="87" t="s">
        <v>387</v>
      </c>
      <c r="C66" s="96">
        <v>42029</v>
      </c>
      <c r="D66" s="87" t="s">
        <v>384</v>
      </c>
      <c r="E66" s="87">
        <v>2016</v>
      </c>
      <c r="F66" s="87" t="s">
        <v>385</v>
      </c>
      <c r="G66" s="87" t="s">
        <v>381</v>
      </c>
      <c r="H66" s="89" t="s">
        <v>382</v>
      </c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</row>
    <row r="67" spans="1:29">
      <c r="A67" s="85"/>
      <c r="B67" s="87" t="s">
        <v>388</v>
      </c>
      <c r="C67" s="91">
        <f>C66/C64</f>
        <v>0.43755595810689818</v>
      </c>
      <c r="D67" s="87"/>
      <c r="E67" s="87"/>
      <c r="F67" s="87"/>
      <c r="G67" s="87"/>
      <c r="H67" s="87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</row>
    <row r="68" spans="1:29">
      <c r="A68" s="85"/>
      <c r="B68" s="87" t="s">
        <v>389</v>
      </c>
      <c r="C68" s="96">
        <v>3660</v>
      </c>
      <c r="D68" s="87" t="s">
        <v>384</v>
      </c>
      <c r="E68" s="87">
        <v>2016</v>
      </c>
      <c r="F68" s="87" t="s">
        <v>385</v>
      </c>
      <c r="G68" s="87" t="s">
        <v>381</v>
      </c>
      <c r="H68" s="89" t="s">
        <v>382</v>
      </c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</row>
    <row r="69" spans="1:29">
      <c r="A69" s="85"/>
      <c r="B69" s="87" t="s">
        <v>390</v>
      </c>
      <c r="C69" s="96">
        <v>12704</v>
      </c>
      <c r="D69" s="87" t="s">
        <v>384</v>
      </c>
      <c r="E69" s="87">
        <v>2016</v>
      </c>
      <c r="F69" s="87" t="s">
        <v>385</v>
      </c>
      <c r="G69" s="87" t="s">
        <v>381</v>
      </c>
      <c r="H69" s="89" t="s">
        <v>382</v>
      </c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</row>
    <row r="70" spans="1:29">
      <c r="A70" s="85"/>
      <c r="B70" s="87" t="s">
        <v>391</v>
      </c>
      <c r="C70" s="94">
        <f>C68/C66</f>
        <v>8.7082728592162553E-2</v>
      </c>
      <c r="D70" s="87" t="s">
        <v>392</v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</row>
    <row r="71" spans="1:29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</row>
    <row r="72" spans="1:29">
      <c r="A72" s="85"/>
      <c r="B72" s="87" t="s">
        <v>393</v>
      </c>
      <c r="C72" s="88">
        <v>7201</v>
      </c>
      <c r="D72" s="87" t="s">
        <v>384</v>
      </c>
      <c r="E72" s="87">
        <v>2016</v>
      </c>
      <c r="F72" s="87" t="s">
        <v>385</v>
      </c>
      <c r="G72" s="87" t="s">
        <v>381</v>
      </c>
      <c r="H72" s="89" t="s">
        <v>382</v>
      </c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</row>
    <row r="73" spans="1:29">
      <c r="A73" s="85"/>
      <c r="B73" s="87" t="s">
        <v>394</v>
      </c>
      <c r="C73" s="94">
        <f>C68/C72</f>
        <v>0.50826274128593252</v>
      </c>
      <c r="D73" s="87" t="s">
        <v>392</v>
      </c>
      <c r="E73" s="87">
        <v>2016</v>
      </c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</row>
    <row r="74" spans="1:29">
      <c r="A74" s="85"/>
      <c r="B74" s="93" t="s">
        <v>395</v>
      </c>
      <c r="C74" s="97">
        <f>C68*C37*12/1000</f>
        <v>24.156000000000002</v>
      </c>
      <c r="D74" s="87" t="s">
        <v>396</v>
      </c>
      <c r="E74" s="87">
        <v>2016</v>
      </c>
      <c r="F74" s="87" t="s">
        <v>397</v>
      </c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</row>
    <row r="75" spans="1:29">
      <c r="A75" s="85"/>
      <c r="B75" s="93"/>
      <c r="C75" s="97"/>
      <c r="D75" s="87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</row>
    <row r="76" spans="1:29">
      <c r="A76" s="85"/>
      <c r="B76" s="93" t="s">
        <v>398</v>
      </c>
      <c r="C76" s="90">
        <v>0.6</v>
      </c>
      <c r="D76" s="87" t="s">
        <v>399</v>
      </c>
      <c r="E76" s="87">
        <v>2016</v>
      </c>
      <c r="F76" s="93" t="s">
        <v>400</v>
      </c>
      <c r="G76" s="86"/>
      <c r="H76" s="89" t="s">
        <v>401</v>
      </c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</row>
    <row r="77" spans="1:29">
      <c r="A77" s="85"/>
      <c r="B77" s="93" t="s">
        <v>402</v>
      </c>
      <c r="C77" s="97">
        <v>7.2</v>
      </c>
      <c r="D77" s="87" t="s">
        <v>403</v>
      </c>
      <c r="E77" s="87" t="s">
        <v>404</v>
      </c>
      <c r="F77" s="86"/>
      <c r="G77" s="86"/>
      <c r="H77" s="89" t="s">
        <v>401</v>
      </c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</row>
    <row r="78" spans="1:29">
      <c r="A78" s="85"/>
      <c r="B78" s="93" t="s">
        <v>405</v>
      </c>
      <c r="C78" s="97">
        <v>10.7</v>
      </c>
      <c r="D78" s="87" t="s">
        <v>403</v>
      </c>
      <c r="E78" s="86"/>
      <c r="F78" s="93" t="s">
        <v>406</v>
      </c>
      <c r="G78" s="86"/>
      <c r="H78" s="89" t="s">
        <v>401</v>
      </c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</row>
    <row r="79" spans="1:29">
      <c r="A79" s="85"/>
      <c r="B79" s="93" t="s">
        <v>407</v>
      </c>
      <c r="C79" s="98">
        <v>0.6</v>
      </c>
      <c r="D79" s="87"/>
      <c r="E79" s="87">
        <v>2016</v>
      </c>
      <c r="F79" s="86"/>
      <c r="G79" s="86"/>
      <c r="H79" s="89" t="s">
        <v>401</v>
      </c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</row>
    <row r="80" spans="1:29">
      <c r="A80" s="85"/>
      <c r="B80" s="93" t="s">
        <v>408</v>
      </c>
      <c r="C80" s="99">
        <f>C77+C78</f>
        <v>17.899999999999999</v>
      </c>
      <c r="D80" s="87" t="s">
        <v>403</v>
      </c>
      <c r="E80" s="87">
        <v>2016</v>
      </c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</row>
    <row r="81" spans="1:29">
      <c r="A81" s="85"/>
      <c r="B81" s="93"/>
      <c r="C81" s="97"/>
      <c r="D81" s="87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</row>
    <row r="82" spans="1:29">
      <c r="A82" s="84" t="s">
        <v>409</v>
      </c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</row>
    <row r="83" spans="1:29">
      <c r="A83" s="85"/>
      <c r="B83" s="87" t="s">
        <v>410</v>
      </c>
      <c r="C83" s="86"/>
      <c r="D83" s="86"/>
      <c r="E83" s="86"/>
      <c r="F83" s="86"/>
      <c r="G83" s="87" t="s">
        <v>411</v>
      </c>
      <c r="H83" s="87" t="s">
        <v>412</v>
      </c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</row>
    <row r="84" spans="1:29">
      <c r="A84" s="85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</row>
    <row r="85" spans="1:29">
      <c r="A85" s="85"/>
      <c r="B85" s="87" t="s">
        <v>413</v>
      </c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</row>
    <row r="86" spans="1:29">
      <c r="A86" s="85"/>
      <c r="B86" s="86"/>
      <c r="C86" s="100">
        <f>C9</f>
        <v>1000000000</v>
      </c>
      <c r="D86" s="87" t="s">
        <v>414</v>
      </c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</row>
    <row r="87" spans="1:29">
      <c r="A87" s="85"/>
      <c r="B87" s="86"/>
      <c r="C87" s="101">
        <f>C86*60*60</f>
        <v>3600000000000</v>
      </c>
      <c r="D87" s="87" t="s">
        <v>415</v>
      </c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</row>
    <row r="88" spans="1:29">
      <c r="A88" s="85"/>
      <c r="B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</row>
    <row r="89" spans="1:29">
      <c r="A89" s="85"/>
      <c r="B89" s="86"/>
      <c r="E89" s="87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</row>
    <row r="90" spans="1:29">
      <c r="A90" s="85"/>
      <c r="B90" s="86"/>
      <c r="C90" s="102">
        <f>C64</f>
        <v>96054</v>
      </c>
      <c r="D90" s="4" t="s">
        <v>416</v>
      </c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</row>
    <row r="91" spans="1:29">
      <c r="A91" s="85"/>
      <c r="B91" s="86"/>
      <c r="C91" s="87">
        <f>(((C90*1000000000000000)*8))</f>
        <v>7.68432E+20</v>
      </c>
      <c r="D91" s="87" t="s">
        <v>417</v>
      </c>
      <c r="E91" s="87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</row>
    <row r="92" spans="1:29">
      <c r="A92" s="85"/>
      <c r="B92" s="86"/>
      <c r="C92">
        <f>C91/(365/12)</f>
        <v>2.5263517808219177E+19</v>
      </c>
      <c r="D92" s="4" t="s">
        <v>418</v>
      </c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</row>
    <row r="93" spans="1:29">
      <c r="A93" s="85"/>
      <c r="B93" s="86"/>
      <c r="C93" s="86">
        <f>C92*C43</f>
        <v>4.244270991780822E+18</v>
      </c>
      <c r="D93" s="87" t="s">
        <v>419</v>
      </c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</row>
    <row r="94" spans="1:29">
      <c r="A94" s="85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</row>
    <row r="95" spans="1:29">
      <c r="A95" s="85"/>
      <c r="B95" s="86"/>
      <c r="C95" s="88">
        <f>C93/C87</f>
        <v>1178964.1643835616</v>
      </c>
      <c r="D95" s="87" t="s">
        <v>420</v>
      </c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</row>
    <row r="96" spans="1:29">
      <c r="A96" s="85"/>
      <c r="B96" s="86"/>
      <c r="C96" s="88">
        <f>C95/1000</f>
        <v>1178.9641643835616</v>
      </c>
      <c r="D96" s="87" t="s">
        <v>421</v>
      </c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</row>
    <row r="97" spans="1:29">
      <c r="A97" s="85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</row>
    <row r="98" spans="1:29">
      <c r="A98" s="85"/>
      <c r="B98" s="87" t="s">
        <v>422</v>
      </c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</row>
    <row r="99" spans="1:29">
      <c r="A99" s="85"/>
      <c r="B99" s="86"/>
      <c r="C99" s="86"/>
      <c r="D99" s="87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</row>
    <row r="100" spans="1:29">
      <c r="A100" s="85"/>
      <c r="B100" s="86"/>
      <c r="C100" s="86"/>
      <c r="D100" s="87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</row>
    <row r="101" spans="1:29">
      <c r="A101" s="85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</row>
    <row r="102" spans="1:29">
      <c r="A102" s="85"/>
      <c r="B102" s="86"/>
      <c r="C102" s="86">
        <f>C39</f>
        <v>34.848000000000006</v>
      </c>
      <c r="D102" s="87" t="s">
        <v>423</v>
      </c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</row>
    <row r="103" spans="1:29">
      <c r="A103" s="85"/>
      <c r="B103" s="86"/>
      <c r="C103" s="86">
        <f>C102*1000000000000000000*8</f>
        <v>2.7878400000000003E+20</v>
      </c>
      <c r="D103" s="87" t="s">
        <v>424</v>
      </c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</row>
    <row r="104" spans="1:29">
      <c r="A104" s="85"/>
      <c r="B104" s="86"/>
      <c r="C104" s="86">
        <f>C103/(365)</f>
        <v>7.6379178082191795E+17</v>
      </c>
      <c r="D104" s="87" t="s">
        <v>425</v>
      </c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</row>
    <row r="105" spans="1:29">
      <c r="A105" s="85"/>
      <c r="B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</row>
    <row r="106" spans="1:29">
      <c r="A106" s="85"/>
      <c r="B106" s="103" t="s">
        <v>426</v>
      </c>
      <c r="C106" s="94">
        <f>C104/C93</f>
        <v>0.17995829726731097</v>
      </c>
      <c r="D106" s="87" t="s">
        <v>427</v>
      </c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</row>
    <row r="107" spans="1:29">
      <c r="A107" s="85"/>
      <c r="B107" s="86"/>
      <c r="C107" s="104"/>
      <c r="D107" s="87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</row>
    <row r="108" spans="1:29">
      <c r="A108" s="85"/>
      <c r="B108" s="103" t="s">
        <v>428</v>
      </c>
      <c r="C108" s="90">
        <f>C31</f>
        <v>0.6</v>
      </c>
      <c r="D108" s="87" t="s">
        <v>429</v>
      </c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</row>
    <row r="109" spans="1:29">
      <c r="A109" s="85"/>
      <c r="B109" s="86"/>
      <c r="C109" s="86">
        <f>C108*C93</f>
        <v>2.5465625950684933E+18</v>
      </c>
      <c r="D109" s="87" t="s">
        <v>430</v>
      </c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</row>
    <row r="110" spans="1:29">
      <c r="A110" s="85"/>
      <c r="B110" s="86"/>
      <c r="C110">
        <f>C104</f>
        <v>7.6379178082191795E+17</v>
      </c>
      <c r="D110" s="4" t="s">
        <v>431</v>
      </c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</row>
    <row r="111" spans="1:29">
      <c r="A111" s="85"/>
      <c r="B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</row>
    <row r="112" spans="1:29">
      <c r="A112" s="85"/>
      <c r="B112" s="103" t="s">
        <v>432</v>
      </c>
      <c r="C112" s="105">
        <f>C110/C109</f>
        <v>0.29993049544551831</v>
      </c>
      <c r="D112" s="87" t="s">
        <v>433</v>
      </c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</row>
    <row r="113" spans="1:29">
      <c r="A113" s="85"/>
      <c r="B113" s="86"/>
      <c r="C113" s="105">
        <f>C112*C74/C102</f>
        <v>0.20790636616109792</v>
      </c>
      <c r="D113" s="87" t="s">
        <v>434</v>
      </c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</row>
    <row r="114" spans="1:29">
      <c r="A114" s="85"/>
      <c r="B114" s="84" t="s">
        <v>435</v>
      </c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</row>
    <row r="115" spans="1:29">
      <c r="A115" s="85"/>
      <c r="B115" s="93" t="s">
        <v>436</v>
      </c>
      <c r="C115" s="87">
        <f>0.4*0.8</f>
        <v>0.32000000000000006</v>
      </c>
      <c r="D115" s="87" t="s">
        <v>437</v>
      </c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</row>
    <row r="116" spans="1:29">
      <c r="A116" s="85"/>
      <c r="B116" s="87" t="s">
        <v>438</v>
      </c>
      <c r="C116" s="105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</row>
    <row r="117" spans="1:29">
      <c r="A117" s="85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</row>
    <row r="118" spans="1:29">
      <c r="A118" s="85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</row>
    <row r="119" spans="1:29">
      <c r="A119" s="85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</row>
    <row r="120" spans="1:29">
      <c r="A120" s="85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</row>
    <row r="121" spans="1:29">
      <c r="A121" s="85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</row>
    <row r="122" spans="1:29">
      <c r="A122" s="85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</row>
    <row r="123" spans="1:29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</row>
    <row r="124" spans="1:29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</row>
    <row r="125" spans="1:29">
      <c r="A125" s="85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</row>
    <row r="126" spans="1:29">
      <c r="A126" s="85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</row>
    <row r="127" spans="1:29">
      <c r="A127" s="85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</row>
    <row r="128" spans="1:29">
      <c r="A128" s="85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</row>
    <row r="129" spans="1:29">
      <c r="A129" s="85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</row>
    <row r="130" spans="1:29">
      <c r="A130" s="85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</row>
    <row r="131" spans="1:29">
      <c r="A131" s="85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</row>
    <row r="132" spans="1:29">
      <c r="A132" s="85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</row>
    <row r="133" spans="1:29">
      <c r="A133" s="85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</row>
    <row r="134" spans="1:29">
      <c r="A134" s="85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</row>
    <row r="135" spans="1:29">
      <c r="A135" s="85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</row>
    <row r="136" spans="1:29">
      <c r="A136" s="85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</row>
    <row r="137" spans="1:29">
      <c r="A137" s="85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</row>
    <row r="138" spans="1:29">
      <c r="A138" s="85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</row>
    <row r="139" spans="1:29">
      <c r="A139" s="85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</row>
    <row r="140" spans="1:29">
      <c r="A140" s="85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</row>
    <row r="141" spans="1:29">
      <c r="A141" s="85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</row>
    <row r="142" spans="1:29">
      <c r="A142" s="85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</row>
    <row r="143" spans="1:29">
      <c r="A143" s="85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</row>
    <row r="144" spans="1:29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</row>
    <row r="145" spans="1:29">
      <c r="A145" s="85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</row>
    <row r="146" spans="1:29">
      <c r="A146" s="85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</row>
    <row r="147" spans="1:29">
      <c r="A147" s="85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</row>
    <row r="148" spans="1:29">
      <c r="A148" s="85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</row>
    <row r="149" spans="1:29">
      <c r="A149" s="85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</row>
    <row r="150" spans="1:29">
      <c r="A150" s="85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</row>
    <row r="151" spans="1:29">
      <c r="A151" s="85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</row>
    <row r="152" spans="1:29">
      <c r="A152" s="85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</row>
    <row r="153" spans="1:29">
      <c r="A153" s="85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</row>
    <row r="154" spans="1:29">
      <c r="A154" s="85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</row>
    <row r="155" spans="1:29">
      <c r="A155" s="85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</row>
    <row r="156" spans="1:29">
      <c r="A156" s="85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</row>
    <row r="157" spans="1:29">
      <c r="A157" s="85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</row>
    <row r="158" spans="1:29">
      <c r="A158" s="85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</row>
    <row r="159" spans="1:29">
      <c r="A159" s="85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</row>
    <row r="160" spans="1:29">
      <c r="A160" s="85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</row>
    <row r="161" spans="1:29">
      <c r="A161" s="85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</row>
    <row r="162" spans="1:29">
      <c r="A162" s="85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</row>
    <row r="163" spans="1:29">
      <c r="A163" s="85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</row>
    <row r="164" spans="1:29">
      <c r="A164" s="85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</row>
    <row r="165" spans="1:29">
      <c r="A165" s="85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</row>
    <row r="166" spans="1:29">
      <c r="A166" s="85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</row>
    <row r="167" spans="1:29">
      <c r="A167" s="85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</row>
    <row r="168" spans="1:29">
      <c r="A168" s="85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</row>
    <row r="169" spans="1:29">
      <c r="A169" s="85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</row>
    <row r="170" spans="1:29">
      <c r="A170" s="85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</row>
    <row r="171" spans="1:29">
      <c r="A171" s="85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</row>
    <row r="172" spans="1:29">
      <c r="A172" s="85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</row>
    <row r="173" spans="1:29">
      <c r="A173" s="85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</row>
    <row r="174" spans="1:29">
      <c r="A174" s="85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</row>
    <row r="175" spans="1:29">
      <c r="A175" s="85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</row>
    <row r="176" spans="1:29">
      <c r="A176" s="85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</row>
    <row r="177" spans="1:29">
      <c r="A177" s="85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</row>
    <row r="178" spans="1:29">
      <c r="A178" s="85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</row>
    <row r="179" spans="1:29">
      <c r="A179" s="85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</row>
    <row r="180" spans="1:29">
      <c r="A180" s="85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</row>
    <row r="181" spans="1:29">
      <c r="A181" s="85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</row>
    <row r="182" spans="1:29">
      <c r="A182" s="85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</row>
    <row r="183" spans="1:29">
      <c r="A183" s="85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</row>
    <row r="184" spans="1:29">
      <c r="A184" s="85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</row>
    <row r="185" spans="1:29">
      <c r="A185" s="85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</row>
    <row r="186" spans="1:29">
      <c r="A186" s="85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</row>
    <row r="187" spans="1:29">
      <c r="A187" s="85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</row>
    <row r="188" spans="1:29">
      <c r="A188" s="85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</row>
    <row r="189" spans="1:29">
      <c r="A189" s="85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</row>
    <row r="190" spans="1:29">
      <c r="A190" s="85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</row>
    <row r="191" spans="1:29">
      <c r="A191" s="85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</row>
    <row r="192" spans="1:29">
      <c r="A192" s="85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</row>
    <row r="193" spans="1:29">
      <c r="A193" s="85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</row>
    <row r="194" spans="1:29">
      <c r="A194" s="85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</row>
    <row r="195" spans="1:29">
      <c r="A195" s="85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</row>
    <row r="196" spans="1:29">
      <c r="A196" s="85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</row>
    <row r="197" spans="1:29">
      <c r="A197" s="85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</row>
    <row r="198" spans="1:29">
      <c r="A198" s="85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</row>
    <row r="199" spans="1:29">
      <c r="A199" s="85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</row>
    <row r="200" spans="1:29">
      <c r="A200" s="85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</row>
    <row r="201" spans="1:29">
      <c r="A201" s="85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</row>
    <row r="202" spans="1:29">
      <c r="A202" s="85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</row>
    <row r="203" spans="1:29">
      <c r="A203" s="85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</row>
    <row r="204" spans="1:29">
      <c r="A204" s="85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</row>
    <row r="205" spans="1:29">
      <c r="A205" s="85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</row>
    <row r="206" spans="1:29">
      <c r="A206" s="85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</row>
    <row r="207" spans="1:29">
      <c r="A207" s="85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</row>
    <row r="208" spans="1:29">
      <c r="A208" s="85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</row>
    <row r="209" spans="1:29">
      <c r="A209" s="85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</row>
    <row r="210" spans="1:29">
      <c r="A210" s="85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</row>
    <row r="211" spans="1:29">
      <c r="A211" s="85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</row>
    <row r="212" spans="1:29">
      <c r="A212" s="85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</row>
    <row r="213" spans="1:29">
      <c r="A213" s="85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</row>
    <row r="214" spans="1:29">
      <c r="A214" s="85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</row>
    <row r="215" spans="1:29">
      <c r="A215" s="85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</row>
    <row r="216" spans="1:29">
      <c r="A216" s="85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</row>
    <row r="217" spans="1:29">
      <c r="A217" s="85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</row>
    <row r="218" spans="1:29">
      <c r="A218" s="85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</row>
    <row r="219" spans="1:29">
      <c r="A219" s="85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</row>
    <row r="220" spans="1:29">
      <c r="A220" s="85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</row>
    <row r="221" spans="1:29">
      <c r="A221" s="85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</row>
    <row r="222" spans="1:29">
      <c r="A222" s="85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</row>
    <row r="223" spans="1:29">
      <c r="A223" s="85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</row>
    <row r="224" spans="1:29">
      <c r="A224" s="85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</row>
    <row r="225" spans="1:29">
      <c r="A225" s="85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</row>
    <row r="226" spans="1:29">
      <c r="A226" s="85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</row>
    <row r="227" spans="1:29">
      <c r="A227" s="85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</row>
    <row r="228" spans="1:29">
      <c r="A228" s="85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</row>
    <row r="229" spans="1:29">
      <c r="A229" s="85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</row>
    <row r="230" spans="1:29">
      <c r="A230" s="85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</row>
    <row r="231" spans="1:29">
      <c r="A231" s="85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</row>
    <row r="232" spans="1:29">
      <c r="A232" s="85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</row>
    <row r="233" spans="1:29">
      <c r="A233" s="85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</row>
    <row r="234" spans="1:29">
      <c r="A234" s="85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</row>
    <row r="235" spans="1:29">
      <c r="A235" s="85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</row>
    <row r="236" spans="1:29">
      <c r="A236" s="85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</row>
    <row r="237" spans="1:29">
      <c r="A237" s="85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</row>
    <row r="238" spans="1:29">
      <c r="A238" s="85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</row>
    <row r="239" spans="1:29">
      <c r="A239" s="85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</row>
    <row r="240" spans="1:29">
      <c r="A240" s="85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</row>
    <row r="241" spans="1:29">
      <c r="A241" s="85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</row>
    <row r="242" spans="1:29">
      <c r="A242" s="85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</row>
    <row r="243" spans="1:29">
      <c r="A243" s="85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</row>
    <row r="244" spans="1:29">
      <c r="A244" s="85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</row>
    <row r="245" spans="1:29">
      <c r="A245" s="85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</row>
    <row r="246" spans="1:29">
      <c r="A246" s="85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</row>
    <row r="247" spans="1:29">
      <c r="A247" s="85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</row>
    <row r="248" spans="1:29">
      <c r="A248" s="85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</row>
    <row r="249" spans="1:29">
      <c r="A249" s="85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</row>
    <row r="250" spans="1:29">
      <c r="A250" s="85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</row>
    <row r="251" spans="1:29">
      <c r="A251" s="85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</row>
    <row r="252" spans="1:29">
      <c r="A252" s="85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</row>
    <row r="253" spans="1:29">
      <c r="A253" s="85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</row>
    <row r="254" spans="1:29">
      <c r="A254" s="85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</row>
    <row r="255" spans="1:29">
      <c r="A255" s="85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</row>
    <row r="256" spans="1:29">
      <c r="A256" s="85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</row>
    <row r="257" spans="1:29">
      <c r="A257" s="85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</row>
    <row r="258" spans="1:29">
      <c r="A258" s="85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</row>
    <row r="259" spans="1:29">
      <c r="A259" s="85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</row>
    <row r="260" spans="1:29">
      <c r="A260" s="85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</row>
    <row r="261" spans="1:29">
      <c r="A261" s="85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</row>
    <row r="262" spans="1:29">
      <c r="A262" s="85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</row>
    <row r="263" spans="1:29">
      <c r="A263" s="85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</row>
    <row r="264" spans="1:29">
      <c r="A264" s="85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</row>
    <row r="265" spans="1:29">
      <c r="A265" s="85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</row>
    <row r="266" spans="1:29">
      <c r="A266" s="85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</row>
    <row r="267" spans="1:29">
      <c r="A267" s="85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</row>
    <row r="268" spans="1:29">
      <c r="A268" s="85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</row>
    <row r="269" spans="1:29">
      <c r="A269" s="85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</row>
    <row r="270" spans="1:29">
      <c r="A270" s="85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</row>
    <row r="271" spans="1:29">
      <c r="A271" s="85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</row>
    <row r="272" spans="1:29">
      <c r="A272" s="85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</row>
    <row r="273" spans="1:29">
      <c r="A273" s="85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</row>
    <row r="274" spans="1:29">
      <c r="A274" s="85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</row>
    <row r="275" spans="1:29">
      <c r="A275" s="85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</row>
    <row r="276" spans="1:29">
      <c r="A276" s="85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</row>
    <row r="277" spans="1:29">
      <c r="A277" s="85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</row>
    <row r="278" spans="1:29">
      <c r="A278" s="85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</row>
    <row r="279" spans="1:29">
      <c r="A279" s="85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</row>
    <row r="280" spans="1:29">
      <c r="A280" s="85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</row>
    <row r="281" spans="1:29">
      <c r="A281" s="85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</row>
    <row r="282" spans="1:29">
      <c r="A282" s="85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</row>
    <row r="283" spans="1:29">
      <c r="A283" s="85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</row>
    <row r="284" spans="1:29">
      <c r="A284" s="85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</row>
    <row r="285" spans="1:29">
      <c r="A285" s="85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</row>
    <row r="286" spans="1:29">
      <c r="A286" s="85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</row>
    <row r="287" spans="1:29">
      <c r="A287" s="85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</row>
    <row r="288" spans="1:29">
      <c r="A288" s="85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</row>
    <row r="289" spans="1:29">
      <c r="A289" s="85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</row>
    <row r="290" spans="1:29">
      <c r="A290" s="85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</row>
    <row r="291" spans="1:29">
      <c r="A291" s="85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</row>
    <row r="292" spans="1:29">
      <c r="A292" s="85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</row>
    <row r="293" spans="1:29">
      <c r="A293" s="85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</row>
    <row r="294" spans="1:29">
      <c r="A294" s="85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</row>
    <row r="295" spans="1:29">
      <c r="A295" s="85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</row>
    <row r="296" spans="1:29">
      <c r="A296" s="85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</row>
    <row r="297" spans="1:29">
      <c r="A297" s="85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</row>
    <row r="298" spans="1:29">
      <c r="A298" s="85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</row>
    <row r="299" spans="1:29">
      <c r="A299" s="85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</row>
    <row r="300" spans="1:29">
      <c r="A300" s="85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</row>
    <row r="301" spans="1:29">
      <c r="A301" s="85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</row>
    <row r="302" spans="1:29">
      <c r="A302" s="85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</row>
    <row r="303" spans="1:29">
      <c r="A303" s="85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</row>
    <row r="304" spans="1:29">
      <c r="A304" s="85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</row>
    <row r="305" spans="1:29">
      <c r="A305" s="85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</row>
    <row r="306" spans="1:29">
      <c r="A306" s="85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</row>
    <row r="307" spans="1:29">
      <c r="A307" s="85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</row>
    <row r="308" spans="1:29">
      <c r="A308" s="85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</row>
    <row r="309" spans="1:29">
      <c r="A309" s="85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</row>
    <row r="310" spans="1:29">
      <c r="A310" s="85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</row>
    <row r="311" spans="1:29">
      <c r="A311" s="85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</row>
    <row r="312" spans="1:29">
      <c r="A312" s="85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</row>
    <row r="313" spans="1:29">
      <c r="A313" s="85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</row>
    <row r="314" spans="1:29">
      <c r="A314" s="85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</row>
    <row r="315" spans="1:29">
      <c r="A315" s="85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</row>
    <row r="316" spans="1:29">
      <c r="A316" s="85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</row>
    <row r="317" spans="1:29">
      <c r="A317" s="85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</row>
    <row r="318" spans="1:29">
      <c r="A318" s="85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</row>
    <row r="319" spans="1:29">
      <c r="A319" s="85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</row>
    <row r="320" spans="1:29">
      <c r="A320" s="85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</row>
    <row r="321" spans="1:29">
      <c r="A321" s="85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</row>
    <row r="322" spans="1:29">
      <c r="A322" s="85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</row>
    <row r="323" spans="1:29">
      <c r="A323" s="85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</row>
    <row r="324" spans="1:29">
      <c r="A324" s="85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</row>
    <row r="325" spans="1:29">
      <c r="A325" s="85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</row>
    <row r="326" spans="1:29">
      <c r="A326" s="85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</row>
    <row r="327" spans="1:29">
      <c r="A327" s="85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</row>
    <row r="328" spans="1:29">
      <c r="A328" s="85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</row>
    <row r="329" spans="1:29">
      <c r="A329" s="85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</row>
    <row r="330" spans="1:29">
      <c r="A330" s="85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</row>
    <row r="331" spans="1:29">
      <c r="A331" s="85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</row>
    <row r="332" spans="1:29">
      <c r="A332" s="85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</row>
    <row r="333" spans="1:29">
      <c r="A333" s="85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</row>
    <row r="334" spans="1:29">
      <c r="A334" s="85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</row>
    <row r="335" spans="1:29">
      <c r="A335" s="85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</row>
    <row r="336" spans="1:29">
      <c r="A336" s="85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</row>
    <row r="337" spans="1:29">
      <c r="A337" s="85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</row>
    <row r="338" spans="1:29">
      <c r="A338" s="85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</row>
    <row r="339" spans="1:29">
      <c r="A339" s="85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</row>
    <row r="340" spans="1:29">
      <c r="A340" s="85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</row>
    <row r="341" spans="1:29">
      <c r="A341" s="85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</row>
    <row r="342" spans="1:29">
      <c r="A342" s="85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</row>
    <row r="343" spans="1:29">
      <c r="A343" s="85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</row>
    <row r="344" spans="1:29">
      <c r="A344" s="85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</row>
    <row r="345" spans="1:29">
      <c r="A345" s="85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</row>
    <row r="346" spans="1:29">
      <c r="A346" s="85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</row>
    <row r="347" spans="1:29">
      <c r="A347" s="85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</row>
    <row r="348" spans="1:29">
      <c r="A348" s="85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</row>
    <row r="349" spans="1:29">
      <c r="A349" s="85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</row>
    <row r="350" spans="1:29">
      <c r="A350" s="85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</row>
    <row r="351" spans="1:29">
      <c r="A351" s="85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</row>
    <row r="352" spans="1:29">
      <c r="A352" s="85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</row>
    <row r="353" spans="1:29">
      <c r="A353" s="85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</row>
    <row r="354" spans="1:29">
      <c r="A354" s="85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</row>
    <row r="355" spans="1:29">
      <c r="A355" s="85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</row>
    <row r="356" spans="1:29">
      <c r="A356" s="85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</row>
    <row r="357" spans="1:29">
      <c r="A357" s="85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</row>
    <row r="358" spans="1:29">
      <c r="A358" s="85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</row>
    <row r="359" spans="1:29">
      <c r="A359" s="85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</row>
    <row r="360" spans="1:29">
      <c r="A360" s="85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</row>
    <row r="361" spans="1:29">
      <c r="A361" s="85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</row>
    <row r="362" spans="1:29">
      <c r="A362" s="85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</row>
    <row r="363" spans="1:29">
      <c r="A363" s="85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</row>
    <row r="364" spans="1:29">
      <c r="A364" s="85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</row>
    <row r="365" spans="1:29">
      <c r="A365" s="85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</row>
    <row r="366" spans="1:29">
      <c r="A366" s="85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</row>
    <row r="367" spans="1:29">
      <c r="A367" s="85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</row>
    <row r="368" spans="1:29">
      <c r="A368" s="85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</row>
    <row r="369" spans="1:29">
      <c r="A369" s="85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</row>
    <row r="370" spans="1:29">
      <c r="A370" s="85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</row>
    <row r="371" spans="1:29">
      <c r="A371" s="85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</row>
    <row r="372" spans="1:29">
      <c r="A372" s="85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</row>
    <row r="373" spans="1:29">
      <c r="A373" s="85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</row>
    <row r="374" spans="1:29">
      <c r="A374" s="85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</row>
    <row r="375" spans="1:29">
      <c r="A375" s="85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</row>
    <row r="376" spans="1:29">
      <c r="A376" s="85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</row>
    <row r="377" spans="1:29">
      <c r="A377" s="85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</row>
    <row r="378" spans="1:29">
      <c r="A378" s="85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</row>
    <row r="379" spans="1:29">
      <c r="A379" s="85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</row>
    <row r="380" spans="1:29">
      <c r="A380" s="85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</row>
    <row r="381" spans="1:29">
      <c r="A381" s="85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</row>
    <row r="382" spans="1:29">
      <c r="A382" s="85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</row>
    <row r="383" spans="1:29">
      <c r="A383" s="85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</row>
    <row r="384" spans="1:29">
      <c r="A384" s="85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</row>
    <row r="385" spans="1:29">
      <c r="A385" s="85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</row>
    <row r="386" spans="1:29">
      <c r="A386" s="85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</row>
    <row r="387" spans="1:29">
      <c r="A387" s="85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</row>
    <row r="388" spans="1:29">
      <c r="A388" s="85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</row>
    <row r="389" spans="1:29">
      <c r="A389" s="85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</row>
    <row r="390" spans="1:29">
      <c r="A390" s="85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</row>
    <row r="391" spans="1:29">
      <c r="A391" s="85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</row>
    <row r="392" spans="1:29">
      <c r="A392" s="85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</row>
    <row r="393" spans="1:29">
      <c r="A393" s="85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</row>
    <row r="394" spans="1:29">
      <c r="A394" s="85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</row>
    <row r="395" spans="1:29">
      <c r="A395" s="85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</row>
    <row r="396" spans="1:29">
      <c r="A396" s="85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</row>
    <row r="397" spans="1:29">
      <c r="A397" s="85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</row>
    <row r="398" spans="1:29">
      <c r="A398" s="85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</row>
    <row r="399" spans="1:29">
      <c r="A399" s="85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</row>
    <row r="400" spans="1:29">
      <c r="A400" s="85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</row>
    <row r="401" spans="1:29">
      <c r="A401" s="85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</row>
    <row r="402" spans="1:29">
      <c r="A402" s="85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</row>
    <row r="403" spans="1:29">
      <c r="A403" s="85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</row>
    <row r="404" spans="1:29">
      <c r="A404" s="85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</row>
    <row r="405" spans="1:29">
      <c r="A405" s="85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</row>
    <row r="406" spans="1:29">
      <c r="A406" s="85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</row>
    <row r="407" spans="1:29">
      <c r="A407" s="85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</row>
    <row r="408" spans="1:29">
      <c r="A408" s="85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</row>
    <row r="409" spans="1:29">
      <c r="A409" s="85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</row>
    <row r="410" spans="1:29">
      <c r="A410" s="85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</row>
    <row r="411" spans="1:29">
      <c r="A411" s="85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</row>
    <row r="412" spans="1:29">
      <c r="A412" s="85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</row>
    <row r="413" spans="1:29">
      <c r="A413" s="85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</row>
    <row r="414" spans="1:29">
      <c r="A414" s="85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</row>
    <row r="415" spans="1:29">
      <c r="A415" s="85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</row>
    <row r="416" spans="1:29">
      <c r="A416" s="85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</row>
    <row r="417" spans="1:29">
      <c r="A417" s="85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</row>
    <row r="418" spans="1:29">
      <c r="A418" s="85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</row>
    <row r="419" spans="1:29">
      <c r="A419" s="85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</row>
    <row r="420" spans="1:29">
      <c r="A420" s="85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</row>
    <row r="421" spans="1:29">
      <c r="A421" s="85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</row>
    <row r="422" spans="1:29">
      <c r="A422" s="85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</row>
    <row r="423" spans="1:29">
      <c r="A423" s="85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</row>
    <row r="424" spans="1:29">
      <c r="A424" s="85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</row>
    <row r="425" spans="1:29">
      <c r="A425" s="85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</row>
    <row r="426" spans="1:29">
      <c r="A426" s="85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</row>
    <row r="427" spans="1:29">
      <c r="A427" s="85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</row>
    <row r="428" spans="1:29">
      <c r="A428" s="85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</row>
    <row r="429" spans="1:29">
      <c r="A429" s="85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</row>
    <row r="430" spans="1:29">
      <c r="A430" s="85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</row>
    <row r="431" spans="1:29">
      <c r="A431" s="85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</row>
    <row r="432" spans="1:29">
      <c r="A432" s="85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</row>
    <row r="433" spans="1:29">
      <c r="A433" s="85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</row>
    <row r="434" spans="1:29">
      <c r="A434" s="85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</row>
    <row r="435" spans="1:29">
      <c r="A435" s="85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</row>
    <row r="436" spans="1:29">
      <c r="A436" s="85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</row>
    <row r="437" spans="1:29">
      <c r="A437" s="85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</row>
    <row r="438" spans="1:29">
      <c r="A438" s="85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</row>
    <row r="439" spans="1:29">
      <c r="A439" s="85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</row>
    <row r="440" spans="1:29">
      <c r="A440" s="85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</row>
    <row r="441" spans="1:29">
      <c r="A441" s="85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</row>
    <row r="442" spans="1:29">
      <c r="A442" s="85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</row>
    <row r="443" spans="1:29">
      <c r="A443" s="85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</row>
    <row r="444" spans="1:29">
      <c r="A444" s="85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</row>
    <row r="445" spans="1:29">
      <c r="A445" s="85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</row>
    <row r="446" spans="1:29">
      <c r="A446" s="85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</row>
    <row r="447" spans="1:29">
      <c r="A447" s="85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</row>
    <row r="448" spans="1:29">
      <c r="A448" s="85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</row>
    <row r="449" spans="1:29">
      <c r="A449" s="85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</row>
    <row r="450" spans="1:29">
      <c r="A450" s="85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</row>
    <row r="451" spans="1:29">
      <c r="A451" s="85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</row>
    <row r="452" spans="1:29">
      <c r="A452" s="85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</row>
    <row r="453" spans="1:29">
      <c r="A453" s="85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</row>
    <row r="454" spans="1:29">
      <c r="A454" s="85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</row>
    <row r="455" spans="1:29">
      <c r="A455" s="85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</row>
    <row r="456" spans="1:29">
      <c r="A456" s="85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</row>
    <row r="457" spans="1:29">
      <c r="A457" s="85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</row>
    <row r="458" spans="1:29">
      <c r="A458" s="85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</row>
    <row r="459" spans="1:29">
      <c r="A459" s="85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</row>
    <row r="460" spans="1:29">
      <c r="A460" s="85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</row>
    <row r="461" spans="1:29">
      <c r="A461" s="85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</row>
    <row r="462" spans="1:29">
      <c r="A462" s="85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</row>
    <row r="463" spans="1:29">
      <c r="A463" s="85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</row>
    <row r="464" spans="1:29">
      <c r="A464" s="85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</row>
    <row r="465" spans="1:29">
      <c r="A465" s="85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</row>
    <row r="466" spans="1:29">
      <c r="A466" s="85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</row>
    <row r="467" spans="1:29">
      <c r="A467" s="85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</row>
    <row r="468" spans="1:29">
      <c r="A468" s="85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</row>
    <row r="469" spans="1:29">
      <c r="A469" s="85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</row>
    <row r="470" spans="1:29">
      <c r="A470" s="85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</row>
    <row r="471" spans="1:29">
      <c r="A471" s="85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</row>
    <row r="472" spans="1:29">
      <c r="A472" s="85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</row>
    <row r="473" spans="1:29">
      <c r="A473" s="85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</row>
    <row r="474" spans="1:29">
      <c r="A474" s="85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</row>
    <row r="475" spans="1:29">
      <c r="A475" s="85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</row>
    <row r="476" spans="1:29">
      <c r="A476" s="85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</row>
    <row r="477" spans="1:29">
      <c r="A477" s="85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</row>
    <row r="478" spans="1:29">
      <c r="A478" s="85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</row>
    <row r="479" spans="1:29">
      <c r="A479" s="85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</row>
    <row r="480" spans="1:29">
      <c r="A480" s="85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</row>
    <row r="481" spans="1:29">
      <c r="A481" s="85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</row>
    <row r="482" spans="1:29">
      <c r="A482" s="85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</row>
    <row r="483" spans="1:29">
      <c r="A483" s="85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</row>
    <row r="484" spans="1:29">
      <c r="A484" s="85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</row>
    <row r="485" spans="1:29">
      <c r="A485" s="85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</row>
    <row r="486" spans="1:29">
      <c r="A486" s="85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</row>
    <row r="487" spans="1:29">
      <c r="A487" s="85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</row>
    <row r="488" spans="1:29">
      <c r="A488" s="85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</row>
    <row r="489" spans="1:29">
      <c r="A489" s="85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</row>
    <row r="490" spans="1:29">
      <c r="A490" s="85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</row>
    <row r="491" spans="1:29">
      <c r="A491" s="85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</row>
    <row r="492" spans="1:29">
      <c r="A492" s="85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</row>
    <row r="493" spans="1:29">
      <c r="A493" s="85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</row>
    <row r="494" spans="1:29">
      <c r="A494" s="85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</row>
    <row r="495" spans="1:29">
      <c r="A495" s="85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</row>
    <row r="496" spans="1:29">
      <c r="A496" s="85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</row>
    <row r="497" spans="1:29">
      <c r="A497" s="85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</row>
    <row r="498" spans="1:29">
      <c r="A498" s="85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</row>
    <row r="499" spans="1:29">
      <c r="A499" s="85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</row>
    <row r="500" spans="1:29">
      <c r="A500" s="85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</row>
    <row r="501" spans="1:29">
      <c r="A501" s="85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</row>
    <row r="502" spans="1:29">
      <c r="A502" s="85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</row>
    <row r="503" spans="1:29">
      <c r="A503" s="85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</row>
    <row r="504" spans="1:29">
      <c r="A504" s="85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</row>
    <row r="505" spans="1:29">
      <c r="A505" s="85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</row>
    <row r="506" spans="1:29">
      <c r="A506" s="85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</row>
    <row r="507" spans="1:29">
      <c r="A507" s="85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</row>
    <row r="508" spans="1:29">
      <c r="A508" s="85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</row>
    <row r="509" spans="1:29">
      <c r="A509" s="85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</row>
    <row r="510" spans="1:29">
      <c r="A510" s="85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</row>
    <row r="511" spans="1:29">
      <c r="A511" s="85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</row>
    <row r="512" spans="1:29">
      <c r="A512" s="85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</row>
    <row r="513" spans="1:29">
      <c r="A513" s="85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</row>
    <row r="514" spans="1:29">
      <c r="A514" s="85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</row>
    <row r="515" spans="1:29">
      <c r="A515" s="85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</row>
    <row r="516" spans="1:29">
      <c r="A516" s="85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</row>
    <row r="517" spans="1:29">
      <c r="A517" s="85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</row>
    <row r="518" spans="1:29">
      <c r="A518" s="85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</row>
    <row r="519" spans="1:29">
      <c r="A519" s="85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</row>
    <row r="520" spans="1:29">
      <c r="A520" s="85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</row>
    <row r="521" spans="1:29">
      <c r="A521" s="85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</row>
    <row r="522" spans="1:29">
      <c r="A522" s="85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</row>
    <row r="523" spans="1:29">
      <c r="A523" s="85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</row>
    <row r="524" spans="1:29">
      <c r="A524" s="85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</row>
    <row r="525" spans="1:29">
      <c r="A525" s="85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</row>
    <row r="526" spans="1:29">
      <c r="A526" s="85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</row>
    <row r="527" spans="1:29">
      <c r="A527" s="85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</row>
    <row r="528" spans="1:29">
      <c r="A528" s="85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</row>
    <row r="529" spans="1:29">
      <c r="A529" s="85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</row>
    <row r="530" spans="1:29">
      <c r="A530" s="85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</row>
    <row r="531" spans="1:29">
      <c r="A531" s="85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</row>
    <row r="532" spans="1:29">
      <c r="A532" s="85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</row>
    <row r="533" spans="1:29">
      <c r="A533" s="85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</row>
    <row r="534" spans="1:29">
      <c r="A534" s="85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</row>
    <row r="535" spans="1:29">
      <c r="A535" s="85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</row>
    <row r="536" spans="1:29">
      <c r="A536" s="85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</row>
    <row r="537" spans="1:29">
      <c r="A537" s="85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</row>
    <row r="538" spans="1:29">
      <c r="A538" s="85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</row>
    <row r="539" spans="1:29">
      <c r="A539" s="85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</row>
    <row r="540" spans="1:29">
      <c r="A540" s="85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</row>
    <row r="541" spans="1:29">
      <c r="A541" s="85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</row>
    <row r="542" spans="1:29">
      <c r="A542" s="85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</row>
    <row r="543" spans="1:29">
      <c r="A543" s="85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</row>
    <row r="544" spans="1:29">
      <c r="A544" s="85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</row>
    <row r="545" spans="1:29">
      <c r="A545" s="85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</row>
    <row r="546" spans="1:29">
      <c r="A546" s="85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</row>
    <row r="547" spans="1:29">
      <c r="A547" s="85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</row>
    <row r="548" spans="1:29">
      <c r="A548" s="85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</row>
    <row r="549" spans="1:29">
      <c r="A549" s="85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</row>
    <row r="550" spans="1:29">
      <c r="A550" s="85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</row>
    <row r="551" spans="1:29">
      <c r="A551" s="85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</row>
    <row r="552" spans="1:29">
      <c r="A552" s="85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</row>
    <row r="553" spans="1:29">
      <c r="A553" s="85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</row>
    <row r="554" spans="1:29">
      <c r="A554" s="85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</row>
    <row r="555" spans="1:29">
      <c r="A555" s="85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</row>
    <row r="556" spans="1:29">
      <c r="A556" s="85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</row>
    <row r="557" spans="1:29">
      <c r="A557" s="85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</row>
    <row r="558" spans="1:29">
      <c r="A558" s="85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</row>
    <row r="559" spans="1:29">
      <c r="A559" s="85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</row>
    <row r="560" spans="1:29">
      <c r="A560" s="85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</row>
    <row r="561" spans="1:29">
      <c r="A561" s="85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</row>
    <row r="562" spans="1:29">
      <c r="A562" s="85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</row>
    <row r="563" spans="1:29">
      <c r="A563" s="85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</row>
    <row r="564" spans="1:29">
      <c r="A564" s="85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</row>
    <row r="565" spans="1:29">
      <c r="A565" s="85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</row>
    <row r="566" spans="1:29">
      <c r="A566" s="85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</row>
    <row r="567" spans="1:29">
      <c r="A567" s="85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</row>
    <row r="568" spans="1:29">
      <c r="A568" s="85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</row>
    <row r="569" spans="1:29">
      <c r="A569" s="85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</row>
    <row r="570" spans="1:29">
      <c r="A570" s="85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</row>
    <row r="571" spans="1:29">
      <c r="A571" s="85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</row>
    <row r="572" spans="1:29">
      <c r="A572" s="85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</row>
    <row r="573" spans="1:29">
      <c r="A573" s="85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</row>
    <row r="574" spans="1:29">
      <c r="A574" s="85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</row>
    <row r="575" spans="1:29">
      <c r="A575" s="85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</row>
    <row r="576" spans="1:29">
      <c r="A576" s="85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</row>
    <row r="577" spans="1:29">
      <c r="A577" s="85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</row>
    <row r="578" spans="1:29">
      <c r="A578" s="85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</row>
    <row r="579" spans="1:29">
      <c r="A579" s="85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</row>
    <row r="580" spans="1:29">
      <c r="A580" s="85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</row>
    <row r="581" spans="1:29">
      <c r="A581" s="85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</row>
    <row r="582" spans="1:29">
      <c r="A582" s="85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</row>
    <row r="583" spans="1:29">
      <c r="A583" s="85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</row>
    <row r="584" spans="1:29">
      <c r="A584" s="85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</row>
    <row r="585" spans="1:29">
      <c r="A585" s="85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</row>
    <row r="586" spans="1:29">
      <c r="A586" s="85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</row>
    <row r="587" spans="1:29">
      <c r="A587" s="85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</row>
    <row r="588" spans="1:29">
      <c r="A588" s="85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</row>
    <row r="589" spans="1:29">
      <c r="A589" s="85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</row>
    <row r="590" spans="1:29">
      <c r="A590" s="85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</row>
    <row r="591" spans="1:29">
      <c r="A591" s="85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</row>
    <row r="592" spans="1:29">
      <c r="A592" s="85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</row>
    <row r="593" spans="1:29">
      <c r="A593" s="85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</row>
    <row r="594" spans="1:29">
      <c r="A594" s="85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</row>
    <row r="595" spans="1:29">
      <c r="A595" s="85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</row>
    <row r="596" spans="1:29">
      <c r="A596" s="85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</row>
    <row r="597" spans="1:29">
      <c r="A597" s="85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</row>
    <row r="598" spans="1:29">
      <c r="A598" s="85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</row>
    <row r="599" spans="1:29">
      <c r="A599" s="85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</row>
    <row r="600" spans="1:29">
      <c r="A600" s="85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</row>
    <row r="601" spans="1:29">
      <c r="A601" s="85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</row>
    <row r="602" spans="1:29">
      <c r="A602" s="85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</row>
    <row r="603" spans="1:29">
      <c r="A603" s="85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</row>
    <row r="604" spans="1:29">
      <c r="A604" s="85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</row>
    <row r="605" spans="1:29">
      <c r="A605" s="85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</row>
    <row r="606" spans="1:29">
      <c r="A606" s="85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</row>
    <row r="607" spans="1:29">
      <c r="A607" s="85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</row>
    <row r="608" spans="1:29">
      <c r="A608" s="85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</row>
    <row r="609" spans="1:29">
      <c r="A609" s="85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</row>
    <row r="610" spans="1:29">
      <c r="A610" s="85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</row>
    <row r="611" spans="1:29">
      <c r="A611" s="85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</row>
    <row r="612" spans="1:29">
      <c r="A612" s="85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</row>
    <row r="613" spans="1:29">
      <c r="A613" s="85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</row>
    <row r="614" spans="1:29">
      <c r="A614" s="85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</row>
    <row r="615" spans="1:29">
      <c r="A615" s="85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</row>
    <row r="616" spans="1:29">
      <c r="A616" s="85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</row>
    <row r="617" spans="1:29">
      <c r="A617" s="85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</row>
    <row r="618" spans="1:29">
      <c r="A618" s="85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</row>
    <row r="619" spans="1:29">
      <c r="A619" s="85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</row>
    <row r="620" spans="1:29">
      <c r="A620" s="85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</row>
    <row r="621" spans="1:29">
      <c r="A621" s="85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</row>
    <row r="622" spans="1:29">
      <c r="A622" s="85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</row>
    <row r="623" spans="1:29">
      <c r="A623" s="85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</row>
    <row r="624" spans="1:29">
      <c r="A624" s="85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</row>
    <row r="625" spans="1:29">
      <c r="A625" s="85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</row>
    <row r="626" spans="1:29">
      <c r="A626" s="85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</row>
    <row r="627" spans="1:29">
      <c r="A627" s="85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</row>
    <row r="628" spans="1:29">
      <c r="A628" s="85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</row>
    <row r="629" spans="1:29">
      <c r="A629" s="85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</row>
    <row r="630" spans="1:29">
      <c r="A630" s="85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</row>
    <row r="631" spans="1:29">
      <c r="A631" s="85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</row>
    <row r="632" spans="1:29">
      <c r="A632" s="85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</row>
    <row r="633" spans="1:29">
      <c r="A633" s="85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</row>
    <row r="634" spans="1:29">
      <c r="A634" s="85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</row>
    <row r="635" spans="1:29">
      <c r="A635" s="85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</row>
    <row r="636" spans="1:29">
      <c r="A636" s="85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</row>
    <row r="637" spans="1:29">
      <c r="A637" s="85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</row>
    <row r="638" spans="1:29">
      <c r="A638" s="85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</row>
    <row r="639" spans="1:29">
      <c r="A639" s="85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</row>
    <row r="640" spans="1:29">
      <c r="A640" s="85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</row>
    <row r="641" spans="1:29">
      <c r="A641" s="85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</row>
    <row r="642" spans="1:29">
      <c r="A642" s="85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</row>
    <row r="643" spans="1:29">
      <c r="A643" s="85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</row>
    <row r="644" spans="1:29">
      <c r="A644" s="85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</row>
    <row r="645" spans="1:29">
      <c r="A645" s="85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</row>
    <row r="646" spans="1:29">
      <c r="A646" s="85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</row>
    <row r="647" spans="1:29">
      <c r="A647" s="85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</row>
    <row r="648" spans="1:29">
      <c r="A648" s="85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</row>
    <row r="649" spans="1:29">
      <c r="A649" s="85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</row>
    <row r="650" spans="1:29">
      <c r="A650" s="85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</row>
    <row r="651" spans="1:29">
      <c r="A651" s="85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</row>
    <row r="652" spans="1:29">
      <c r="A652" s="85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</row>
    <row r="653" spans="1:29">
      <c r="A653" s="85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</row>
    <row r="654" spans="1:29">
      <c r="A654" s="85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</row>
    <row r="655" spans="1:29">
      <c r="A655" s="85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</row>
    <row r="656" spans="1:29">
      <c r="A656" s="85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</row>
    <row r="657" spans="1:29">
      <c r="A657" s="85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</row>
    <row r="658" spans="1:29">
      <c r="A658" s="85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</row>
    <row r="659" spans="1:29">
      <c r="A659" s="85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</row>
    <row r="660" spans="1:29">
      <c r="A660" s="85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</row>
    <row r="661" spans="1:29">
      <c r="A661" s="85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</row>
    <row r="662" spans="1:29">
      <c r="A662" s="85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</row>
    <row r="663" spans="1:29">
      <c r="A663" s="85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</row>
    <row r="664" spans="1:29">
      <c r="A664" s="85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</row>
    <row r="665" spans="1:29">
      <c r="A665" s="85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</row>
    <row r="666" spans="1:29">
      <c r="A666" s="85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</row>
    <row r="667" spans="1:29">
      <c r="A667" s="85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</row>
    <row r="668" spans="1:29">
      <c r="A668" s="85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</row>
    <row r="669" spans="1:29">
      <c r="A669" s="85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</row>
    <row r="670" spans="1:29">
      <c r="A670" s="85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</row>
    <row r="671" spans="1:29">
      <c r="A671" s="85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</row>
    <row r="672" spans="1:29">
      <c r="A672" s="85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</row>
    <row r="673" spans="1:29">
      <c r="A673" s="85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</row>
    <row r="674" spans="1:29">
      <c r="A674" s="85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</row>
    <row r="675" spans="1:29">
      <c r="A675" s="85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</row>
    <row r="676" spans="1:29">
      <c r="A676" s="85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</row>
    <row r="677" spans="1:29">
      <c r="A677" s="85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</row>
    <row r="678" spans="1:29">
      <c r="A678" s="85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</row>
    <row r="679" spans="1:29">
      <c r="A679" s="85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</row>
    <row r="680" spans="1:29">
      <c r="A680" s="85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</row>
    <row r="681" spans="1:29">
      <c r="A681" s="85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</row>
    <row r="682" spans="1:29">
      <c r="A682" s="85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</row>
    <row r="683" spans="1:29">
      <c r="A683" s="85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</row>
    <row r="684" spans="1:29">
      <c r="A684" s="85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</row>
    <row r="685" spans="1:29">
      <c r="A685" s="85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</row>
    <row r="686" spans="1:29">
      <c r="A686" s="85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</row>
    <row r="687" spans="1:29">
      <c r="A687" s="85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</row>
    <row r="688" spans="1:29">
      <c r="A688" s="85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</row>
    <row r="689" spans="1:29">
      <c r="A689" s="85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</row>
    <row r="690" spans="1:29">
      <c r="A690" s="85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</row>
    <row r="691" spans="1:29">
      <c r="A691" s="85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</row>
    <row r="692" spans="1:29">
      <c r="A692" s="85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</row>
    <row r="693" spans="1:29">
      <c r="A693" s="85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</row>
    <row r="694" spans="1:29">
      <c r="A694" s="85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</row>
    <row r="695" spans="1:29">
      <c r="A695" s="85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</row>
    <row r="696" spans="1:29">
      <c r="A696" s="85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</row>
    <row r="697" spans="1:29">
      <c r="A697" s="85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</row>
    <row r="698" spans="1:29">
      <c r="A698" s="85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</row>
    <row r="699" spans="1:29">
      <c r="A699" s="85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</row>
    <row r="700" spans="1:29">
      <c r="A700" s="85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</row>
    <row r="701" spans="1:29">
      <c r="A701" s="85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</row>
    <row r="702" spans="1:29">
      <c r="A702" s="85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</row>
    <row r="703" spans="1:29">
      <c r="A703" s="85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</row>
    <row r="704" spans="1:29">
      <c r="A704" s="85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</row>
    <row r="705" spans="1:29">
      <c r="A705" s="85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</row>
    <row r="706" spans="1:29">
      <c r="A706" s="85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</row>
    <row r="707" spans="1:29">
      <c r="A707" s="85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</row>
    <row r="708" spans="1:29">
      <c r="A708" s="85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</row>
    <row r="709" spans="1:29">
      <c r="A709" s="85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</row>
    <row r="710" spans="1:29">
      <c r="A710" s="85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</row>
    <row r="711" spans="1:29">
      <c r="A711" s="85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</row>
    <row r="712" spans="1:29">
      <c r="A712" s="85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</row>
    <row r="713" spans="1:29">
      <c r="A713" s="85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</row>
    <row r="714" spans="1:29">
      <c r="A714" s="85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</row>
    <row r="715" spans="1:29">
      <c r="A715" s="85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</row>
    <row r="716" spans="1:29">
      <c r="A716" s="85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</row>
    <row r="717" spans="1:29">
      <c r="A717" s="85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</row>
    <row r="718" spans="1:29">
      <c r="A718" s="85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</row>
    <row r="719" spans="1:29">
      <c r="A719" s="85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</row>
    <row r="720" spans="1:29">
      <c r="A720" s="85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</row>
    <row r="721" spans="1:29">
      <c r="A721" s="85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</row>
    <row r="722" spans="1:29">
      <c r="A722" s="85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</row>
    <row r="723" spans="1:29">
      <c r="A723" s="85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</row>
    <row r="724" spans="1:29">
      <c r="A724" s="85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</row>
    <row r="725" spans="1:29">
      <c r="A725" s="85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</row>
    <row r="726" spans="1:29">
      <c r="A726" s="85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</row>
    <row r="727" spans="1:29">
      <c r="A727" s="85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</row>
    <row r="728" spans="1:29">
      <c r="A728" s="85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</row>
    <row r="729" spans="1:29">
      <c r="A729" s="85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</row>
    <row r="730" spans="1:29">
      <c r="A730" s="85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</row>
    <row r="731" spans="1:29">
      <c r="A731" s="85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</row>
    <row r="732" spans="1:29">
      <c r="A732" s="85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</row>
    <row r="733" spans="1:29">
      <c r="A733" s="85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</row>
    <row r="734" spans="1:29">
      <c r="A734" s="85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</row>
    <row r="735" spans="1:29">
      <c r="A735" s="85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</row>
    <row r="736" spans="1:29">
      <c r="A736" s="85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</row>
    <row r="737" spans="1:29">
      <c r="A737" s="85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</row>
    <row r="738" spans="1:29">
      <c r="A738" s="85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</row>
    <row r="739" spans="1:29">
      <c r="A739" s="85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</row>
    <row r="740" spans="1:29">
      <c r="A740" s="85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</row>
    <row r="741" spans="1:29">
      <c r="A741" s="85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</row>
    <row r="742" spans="1:29">
      <c r="A742" s="85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</row>
    <row r="743" spans="1:29">
      <c r="A743" s="85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</row>
    <row r="744" spans="1:29">
      <c r="A744" s="85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</row>
    <row r="745" spans="1:29">
      <c r="A745" s="85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</row>
    <row r="746" spans="1:29">
      <c r="A746" s="85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</row>
    <row r="747" spans="1:29">
      <c r="A747" s="85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</row>
    <row r="748" spans="1:29">
      <c r="A748" s="85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</row>
    <row r="749" spans="1:29">
      <c r="A749" s="85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</row>
    <row r="750" spans="1:29">
      <c r="A750" s="85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</row>
    <row r="751" spans="1:29">
      <c r="A751" s="85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</row>
    <row r="752" spans="1:29">
      <c r="A752" s="85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</row>
    <row r="753" spans="1:29">
      <c r="A753" s="85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</row>
    <row r="754" spans="1:29">
      <c r="A754" s="85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</row>
    <row r="755" spans="1:29">
      <c r="A755" s="85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</row>
    <row r="756" spans="1:29">
      <c r="A756" s="85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</row>
    <row r="757" spans="1:29">
      <c r="A757" s="85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</row>
    <row r="758" spans="1:29">
      <c r="A758" s="85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</row>
    <row r="759" spans="1:29">
      <c r="A759" s="85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</row>
    <row r="760" spans="1:29">
      <c r="A760" s="85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</row>
    <row r="761" spans="1:29">
      <c r="A761" s="85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</row>
    <row r="762" spans="1:29">
      <c r="A762" s="85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</row>
    <row r="763" spans="1:29">
      <c r="A763" s="85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</row>
    <row r="764" spans="1:29">
      <c r="A764" s="85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</row>
    <row r="765" spans="1:29">
      <c r="A765" s="85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</row>
    <row r="766" spans="1:29">
      <c r="A766" s="85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</row>
    <row r="767" spans="1:29">
      <c r="A767" s="85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</row>
    <row r="768" spans="1:29">
      <c r="A768" s="85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</row>
    <row r="769" spans="1:29">
      <c r="A769" s="85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</row>
    <row r="770" spans="1:29">
      <c r="A770" s="85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</row>
    <row r="771" spans="1:29">
      <c r="A771" s="85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</row>
    <row r="772" spans="1:29">
      <c r="A772" s="85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</row>
    <row r="773" spans="1:29">
      <c r="A773" s="85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</row>
    <row r="774" spans="1:29">
      <c r="A774" s="85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</row>
    <row r="775" spans="1:29">
      <c r="A775" s="85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</row>
    <row r="776" spans="1:29">
      <c r="A776" s="85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</row>
    <row r="777" spans="1:29">
      <c r="A777" s="85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</row>
    <row r="778" spans="1:29">
      <c r="A778" s="85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</row>
    <row r="779" spans="1:29">
      <c r="A779" s="85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</row>
    <row r="780" spans="1:29">
      <c r="A780" s="85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</row>
    <row r="781" spans="1:29">
      <c r="A781" s="85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</row>
    <row r="782" spans="1:29">
      <c r="A782" s="85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</row>
    <row r="783" spans="1:29">
      <c r="A783" s="85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</row>
    <row r="784" spans="1:29">
      <c r="A784" s="85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</row>
    <row r="785" spans="1:29">
      <c r="A785" s="85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</row>
    <row r="786" spans="1:29">
      <c r="A786" s="85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</row>
    <row r="787" spans="1:29">
      <c r="A787" s="85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</row>
    <row r="788" spans="1:29">
      <c r="A788" s="85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</row>
    <row r="789" spans="1:29">
      <c r="A789" s="85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</row>
    <row r="790" spans="1:29">
      <c r="A790" s="85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</row>
    <row r="791" spans="1:29">
      <c r="A791" s="85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</row>
    <row r="792" spans="1:29">
      <c r="A792" s="85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</row>
    <row r="793" spans="1:29">
      <c r="A793" s="85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</row>
    <row r="794" spans="1:29">
      <c r="A794" s="85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</row>
    <row r="795" spans="1:29">
      <c r="A795" s="85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</row>
    <row r="796" spans="1:29">
      <c r="A796" s="85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</row>
    <row r="797" spans="1:29">
      <c r="A797" s="85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</row>
    <row r="798" spans="1:29">
      <c r="A798" s="85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</row>
    <row r="799" spans="1:29">
      <c r="A799" s="85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</row>
    <row r="800" spans="1:29">
      <c r="A800" s="85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</row>
    <row r="801" spans="1:29">
      <c r="A801" s="85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</row>
    <row r="802" spans="1:29">
      <c r="A802" s="85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</row>
    <row r="803" spans="1:29">
      <c r="A803" s="85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</row>
    <row r="804" spans="1:29">
      <c r="A804" s="85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</row>
    <row r="805" spans="1:29">
      <c r="A805" s="85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</row>
    <row r="806" spans="1:29">
      <c r="A806" s="85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</row>
    <row r="807" spans="1:29">
      <c r="A807" s="85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</row>
    <row r="808" spans="1:29">
      <c r="A808" s="85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</row>
    <row r="809" spans="1:29">
      <c r="A809" s="85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</row>
    <row r="810" spans="1:29">
      <c r="A810" s="85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</row>
    <row r="811" spans="1:29">
      <c r="A811" s="85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</row>
    <row r="812" spans="1:29">
      <c r="A812" s="85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</row>
    <row r="813" spans="1:29">
      <c r="A813" s="85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</row>
    <row r="814" spans="1:29">
      <c r="A814" s="85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</row>
    <row r="815" spans="1:29">
      <c r="A815" s="85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</row>
    <row r="816" spans="1:29">
      <c r="A816" s="85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</row>
    <row r="817" spans="1:29">
      <c r="A817" s="85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</row>
    <row r="818" spans="1:29">
      <c r="A818" s="85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</row>
    <row r="819" spans="1:29">
      <c r="A819" s="85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</row>
    <row r="820" spans="1:29">
      <c r="A820" s="85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</row>
    <row r="821" spans="1:29">
      <c r="A821" s="85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</row>
    <row r="822" spans="1:29">
      <c r="A822" s="85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</row>
    <row r="823" spans="1:29">
      <c r="A823" s="85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</row>
    <row r="824" spans="1:29">
      <c r="A824" s="85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</row>
    <row r="825" spans="1:29">
      <c r="A825" s="85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</row>
    <row r="826" spans="1:29">
      <c r="A826" s="85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</row>
    <row r="827" spans="1:29">
      <c r="A827" s="85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</row>
    <row r="828" spans="1:29">
      <c r="A828" s="85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</row>
    <row r="829" spans="1:29">
      <c r="A829" s="85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</row>
    <row r="830" spans="1:29">
      <c r="A830" s="85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</row>
    <row r="831" spans="1:29">
      <c r="A831" s="85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</row>
    <row r="832" spans="1:29">
      <c r="A832" s="85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</row>
    <row r="833" spans="1:29">
      <c r="A833" s="85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</row>
    <row r="834" spans="1:29">
      <c r="A834" s="85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</row>
    <row r="835" spans="1:29">
      <c r="A835" s="85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</row>
    <row r="836" spans="1:29">
      <c r="A836" s="85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</row>
    <row r="837" spans="1:29">
      <c r="A837" s="85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</row>
    <row r="838" spans="1:29">
      <c r="A838" s="85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</row>
    <row r="839" spans="1:29">
      <c r="A839" s="85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</row>
    <row r="840" spans="1:29">
      <c r="A840" s="85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</row>
    <row r="841" spans="1:29">
      <c r="A841" s="85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</row>
    <row r="842" spans="1:29">
      <c r="A842" s="85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</row>
    <row r="843" spans="1:29">
      <c r="A843" s="85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</row>
    <row r="844" spans="1:29">
      <c r="A844" s="85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</row>
    <row r="845" spans="1:29">
      <c r="A845" s="85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</row>
    <row r="846" spans="1:29">
      <c r="A846" s="85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</row>
    <row r="847" spans="1:29">
      <c r="A847" s="85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</row>
    <row r="848" spans="1:29">
      <c r="A848" s="85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</row>
    <row r="849" spans="1:29">
      <c r="A849" s="85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</row>
    <row r="850" spans="1:29">
      <c r="A850" s="85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</row>
    <row r="851" spans="1:29">
      <c r="A851" s="85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</row>
    <row r="852" spans="1:29">
      <c r="A852" s="85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</row>
    <row r="853" spans="1:29">
      <c r="A853" s="85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</row>
    <row r="854" spans="1:29">
      <c r="A854" s="85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</row>
    <row r="855" spans="1:29">
      <c r="A855" s="85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</row>
    <row r="856" spans="1:29">
      <c r="A856" s="85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</row>
    <row r="857" spans="1:29">
      <c r="A857" s="85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</row>
    <row r="858" spans="1:29">
      <c r="A858" s="85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</row>
    <row r="859" spans="1:29">
      <c r="A859" s="85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</row>
    <row r="860" spans="1:29">
      <c r="A860" s="85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</row>
    <row r="861" spans="1:29">
      <c r="A861" s="85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</row>
    <row r="862" spans="1:29">
      <c r="A862" s="85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</row>
    <row r="863" spans="1:29">
      <c r="A863" s="85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</row>
    <row r="864" spans="1:29">
      <c r="A864" s="85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</row>
    <row r="865" spans="1:29">
      <c r="A865" s="85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</row>
    <row r="866" spans="1:29">
      <c r="A866" s="85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</row>
    <row r="867" spans="1:29">
      <c r="A867" s="85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</row>
    <row r="868" spans="1:29">
      <c r="A868" s="85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</row>
    <row r="869" spans="1:29">
      <c r="A869" s="85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</row>
    <row r="870" spans="1:29">
      <c r="A870" s="85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</row>
    <row r="871" spans="1:29">
      <c r="A871" s="85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</row>
    <row r="872" spans="1:29">
      <c r="A872" s="85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</row>
    <row r="873" spans="1:29">
      <c r="A873" s="85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</row>
    <row r="874" spans="1:29">
      <c r="A874" s="85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</row>
    <row r="875" spans="1:29">
      <c r="A875" s="85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</row>
    <row r="876" spans="1:29">
      <c r="A876" s="85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</row>
    <row r="877" spans="1:29">
      <c r="A877" s="85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</row>
    <row r="878" spans="1:29">
      <c r="A878" s="85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</row>
    <row r="879" spans="1:29">
      <c r="A879" s="85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</row>
    <row r="880" spans="1:29">
      <c r="A880" s="85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</row>
    <row r="881" spans="1:29">
      <c r="A881" s="85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</row>
    <row r="882" spans="1:29">
      <c r="A882" s="85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</row>
    <row r="883" spans="1:29">
      <c r="A883" s="85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</row>
    <row r="884" spans="1:29">
      <c r="A884" s="85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</row>
    <row r="885" spans="1:29">
      <c r="A885" s="85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</row>
    <row r="886" spans="1:29">
      <c r="A886" s="85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</row>
    <row r="887" spans="1:29">
      <c r="A887" s="85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</row>
    <row r="888" spans="1:29">
      <c r="A888" s="85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</row>
    <row r="889" spans="1:29">
      <c r="A889" s="85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</row>
    <row r="890" spans="1:29">
      <c r="A890" s="85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</row>
    <row r="891" spans="1:29">
      <c r="A891" s="85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</row>
    <row r="892" spans="1:29">
      <c r="A892" s="85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</row>
    <row r="893" spans="1:29">
      <c r="A893" s="85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</row>
    <row r="894" spans="1:29">
      <c r="A894" s="85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</row>
    <row r="895" spans="1:29">
      <c r="A895" s="85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</row>
    <row r="896" spans="1:29">
      <c r="A896" s="85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</row>
    <row r="897" spans="1:29">
      <c r="A897" s="85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</row>
    <row r="898" spans="1:29">
      <c r="A898" s="85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</row>
    <row r="899" spans="1:29">
      <c r="A899" s="85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</row>
    <row r="900" spans="1:29">
      <c r="A900" s="85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</row>
    <row r="901" spans="1:29">
      <c r="A901" s="85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</row>
    <row r="902" spans="1:29">
      <c r="A902" s="85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</row>
    <row r="903" spans="1:29">
      <c r="A903" s="85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</row>
    <row r="904" spans="1:29">
      <c r="A904" s="85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</row>
    <row r="905" spans="1:29">
      <c r="A905" s="85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</row>
    <row r="906" spans="1:29">
      <c r="A906" s="85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</row>
    <row r="907" spans="1:29">
      <c r="A907" s="85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</row>
    <row r="908" spans="1:29">
      <c r="A908" s="85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</row>
    <row r="909" spans="1:29">
      <c r="A909" s="85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</row>
    <row r="910" spans="1:29">
      <c r="A910" s="85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</row>
    <row r="911" spans="1:29">
      <c r="A911" s="85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</row>
    <row r="912" spans="1:29">
      <c r="A912" s="85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</row>
    <row r="913" spans="1:29">
      <c r="A913" s="85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</row>
    <row r="914" spans="1:29">
      <c r="A914" s="85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</row>
    <row r="915" spans="1:29">
      <c r="A915" s="85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</row>
    <row r="916" spans="1:29">
      <c r="A916" s="85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</row>
    <row r="917" spans="1:29">
      <c r="A917" s="85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</row>
    <row r="918" spans="1:29">
      <c r="A918" s="85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</row>
    <row r="919" spans="1:29">
      <c r="A919" s="85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</row>
    <row r="920" spans="1:29">
      <c r="A920" s="85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</row>
    <row r="921" spans="1:29">
      <c r="A921" s="85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</row>
    <row r="922" spans="1:29">
      <c r="A922" s="85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</row>
    <row r="923" spans="1:29">
      <c r="A923" s="85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</row>
    <row r="924" spans="1:29">
      <c r="A924" s="85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</row>
    <row r="925" spans="1:29">
      <c r="A925" s="85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</row>
    <row r="926" spans="1:29">
      <c r="A926" s="85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</row>
    <row r="927" spans="1:29">
      <c r="A927" s="85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</row>
    <row r="928" spans="1:29">
      <c r="A928" s="85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</row>
    <row r="929" spans="1:29">
      <c r="A929" s="85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</row>
    <row r="930" spans="1:29">
      <c r="A930" s="85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</row>
    <row r="931" spans="1:29">
      <c r="A931" s="85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</row>
    <row r="932" spans="1:29">
      <c r="A932" s="85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</row>
    <row r="933" spans="1:29">
      <c r="A933" s="85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</row>
    <row r="934" spans="1:29">
      <c r="A934" s="85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</row>
    <row r="935" spans="1:29">
      <c r="A935" s="85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</row>
    <row r="936" spans="1:29">
      <c r="A936" s="85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</row>
    <row r="937" spans="1:29">
      <c r="A937" s="85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</row>
    <row r="938" spans="1:29">
      <c r="A938" s="85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</row>
    <row r="939" spans="1:29">
      <c r="A939" s="85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</row>
    <row r="940" spans="1:29">
      <c r="A940" s="85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</row>
    <row r="941" spans="1:29">
      <c r="A941" s="85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</row>
    <row r="942" spans="1:29">
      <c r="A942" s="85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</row>
    <row r="943" spans="1:29">
      <c r="A943" s="85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</row>
    <row r="944" spans="1:29">
      <c r="A944" s="85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</row>
    <row r="945" spans="1:29">
      <c r="A945" s="85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</row>
    <row r="946" spans="1:29">
      <c r="A946" s="85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</row>
    <row r="947" spans="1:29">
      <c r="A947" s="85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</row>
    <row r="948" spans="1:29">
      <c r="A948" s="85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</row>
    <row r="949" spans="1:29">
      <c r="A949" s="85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</row>
    <row r="950" spans="1:29">
      <c r="A950" s="85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</row>
    <row r="951" spans="1:29">
      <c r="A951" s="85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</row>
    <row r="952" spans="1:29">
      <c r="A952" s="85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</row>
    <row r="953" spans="1:29">
      <c r="A953" s="85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</row>
    <row r="954" spans="1:29">
      <c r="A954" s="85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</row>
    <row r="955" spans="1:29">
      <c r="A955" s="85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</row>
    <row r="956" spans="1:29">
      <c r="A956" s="85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</row>
    <row r="957" spans="1:29">
      <c r="A957" s="85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</row>
    <row r="958" spans="1:29">
      <c r="A958" s="85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</row>
    <row r="959" spans="1:29">
      <c r="A959" s="85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</row>
    <row r="960" spans="1:29">
      <c r="A960" s="85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</row>
    <row r="961" spans="1:29">
      <c r="A961" s="85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</row>
    <row r="962" spans="1:29">
      <c r="A962" s="85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</row>
    <row r="963" spans="1:29">
      <c r="A963" s="85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</row>
    <row r="964" spans="1:29">
      <c r="A964" s="85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</row>
    <row r="965" spans="1:29">
      <c r="A965" s="85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</row>
    <row r="966" spans="1:29">
      <c r="A966" s="85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</row>
    <row r="967" spans="1:29">
      <c r="A967" s="85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</row>
    <row r="968" spans="1:29">
      <c r="A968" s="85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</row>
    <row r="969" spans="1:29">
      <c r="A969" s="85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</row>
    <row r="970" spans="1:29">
      <c r="A970" s="85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</row>
    <row r="971" spans="1:29">
      <c r="A971" s="85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</row>
    <row r="972" spans="1:29">
      <c r="A972" s="85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</row>
    <row r="973" spans="1:29">
      <c r="A973" s="85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</row>
    <row r="974" spans="1:29">
      <c r="A974" s="85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</row>
    <row r="975" spans="1:29">
      <c r="A975" s="85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</row>
    <row r="976" spans="1:29">
      <c r="A976" s="85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</row>
    <row r="977" spans="1:29">
      <c r="A977" s="85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</row>
    <row r="978" spans="1:29">
      <c r="A978" s="85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</row>
    <row r="979" spans="1:29">
      <c r="A979" s="85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</row>
    <row r="980" spans="1:29">
      <c r="A980" s="85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</row>
    <row r="981" spans="1:29">
      <c r="A981" s="85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</row>
    <row r="982" spans="1:29">
      <c r="A982" s="85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spans="1:29">
      <c r="A983" s="85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</row>
    <row r="984" spans="1:29">
      <c r="A984" s="85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</row>
    <row r="985" spans="1:29">
      <c r="A985" s="85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</row>
    <row r="986" spans="1:29">
      <c r="A986" s="85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</row>
    <row r="987" spans="1:29">
      <c r="A987" s="85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</row>
    <row r="988" spans="1:29">
      <c r="A988" s="85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</row>
    <row r="989" spans="1:29">
      <c r="A989" s="85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</row>
    <row r="990" spans="1:29">
      <c r="A990" s="85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</row>
    <row r="991" spans="1:29">
      <c r="A991" s="85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</row>
    <row r="992" spans="1:29">
      <c r="A992" s="85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</row>
    <row r="993" spans="1:29">
      <c r="A993" s="85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</row>
    <row r="994" spans="1:29">
      <c r="A994" s="85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</row>
    <row r="995" spans="1:29">
      <c r="A995" s="85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</row>
    <row r="996" spans="1:29">
      <c r="A996" s="85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</row>
    <row r="997" spans="1:29">
      <c r="A997" s="85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</row>
    <row r="998" spans="1:29">
      <c r="A998" s="85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</row>
    <row r="999" spans="1:29">
      <c r="A999" s="85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</row>
    <row r="1000" spans="1:29">
      <c r="A1000" s="85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</row>
    <row r="1001" spans="1:29">
      <c r="A1001" s="85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</row>
    <row r="1002" spans="1:29">
      <c r="A1002" s="85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  <c r="Q1002" s="86"/>
      <c r="R1002" s="86"/>
      <c r="S1002" s="86"/>
      <c r="T1002" s="86"/>
      <c r="U1002" s="86"/>
      <c r="V1002" s="86"/>
      <c r="W1002" s="86"/>
      <c r="X1002" s="86"/>
      <c r="Y1002" s="86"/>
      <c r="Z1002" s="86"/>
      <c r="AA1002" s="86"/>
      <c r="AB1002" s="86"/>
      <c r="AC1002" s="86"/>
    </row>
    <row r="1003" spans="1:29">
      <c r="A1003" s="85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  <c r="P1003" s="86"/>
      <c r="Q1003" s="86"/>
      <c r="R1003" s="86"/>
      <c r="S1003" s="86"/>
      <c r="T1003" s="86"/>
      <c r="U1003" s="86"/>
      <c r="V1003" s="86"/>
      <c r="W1003" s="86"/>
      <c r="X1003" s="86"/>
      <c r="Y1003" s="86"/>
      <c r="Z1003" s="86"/>
      <c r="AA1003" s="86"/>
      <c r="AB1003" s="86"/>
      <c r="AC1003" s="86"/>
    </row>
    <row r="1004" spans="1:29">
      <c r="A1004" s="85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  <c r="P1004" s="86"/>
      <c r="Q1004" s="86"/>
      <c r="R1004" s="86"/>
      <c r="S1004" s="86"/>
      <c r="T1004" s="86"/>
      <c r="U1004" s="86"/>
      <c r="V1004" s="86"/>
      <c r="W1004" s="86"/>
      <c r="X1004" s="86"/>
      <c r="Y1004" s="86"/>
      <c r="Z1004" s="86"/>
      <c r="AA1004" s="86"/>
      <c r="AB1004" s="86"/>
      <c r="AC1004" s="86"/>
    </row>
    <row r="1005" spans="1:29">
      <c r="A1005" s="85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  <c r="P1005" s="86"/>
      <c r="Q1005" s="86"/>
      <c r="R1005" s="86"/>
      <c r="S1005" s="86"/>
      <c r="T1005" s="86"/>
      <c r="U1005" s="86"/>
      <c r="V1005" s="86"/>
      <c r="W1005" s="86"/>
      <c r="X1005" s="86"/>
      <c r="Y1005" s="86"/>
      <c r="Z1005" s="86"/>
      <c r="AA1005" s="86"/>
      <c r="AB1005" s="86"/>
      <c r="AC1005" s="86"/>
    </row>
    <row r="1006" spans="1:29">
      <c r="A1006" s="85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  <c r="P1006" s="86"/>
      <c r="Q1006" s="86"/>
      <c r="R1006" s="86"/>
      <c r="S1006" s="86"/>
      <c r="T1006" s="86"/>
      <c r="U1006" s="86"/>
      <c r="V1006" s="86"/>
      <c r="W1006" s="86"/>
      <c r="X1006" s="86"/>
      <c r="Y1006" s="86"/>
      <c r="Z1006" s="86"/>
      <c r="AA1006" s="86"/>
      <c r="AB1006" s="86"/>
      <c r="AC1006" s="86"/>
    </row>
    <row r="1007" spans="1:29">
      <c r="A1007" s="85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  <c r="P1007" s="86"/>
      <c r="Q1007" s="86"/>
      <c r="R1007" s="86"/>
      <c r="S1007" s="86"/>
      <c r="T1007" s="86"/>
      <c r="U1007" s="86"/>
      <c r="V1007" s="86"/>
      <c r="W1007" s="86"/>
      <c r="X1007" s="86"/>
      <c r="Y1007" s="86"/>
      <c r="Z1007" s="86"/>
      <c r="AA1007" s="86"/>
      <c r="AB1007" s="86"/>
      <c r="AC1007" s="86"/>
    </row>
    <row r="1008" spans="1:29">
      <c r="A1008" s="85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  <c r="P1008" s="86"/>
      <c r="Q1008" s="86"/>
      <c r="R1008" s="86"/>
      <c r="S1008" s="86"/>
      <c r="T1008" s="86"/>
      <c r="U1008" s="86"/>
      <c r="V1008" s="86"/>
      <c r="W1008" s="86"/>
      <c r="X1008" s="86"/>
      <c r="Y1008" s="86"/>
      <c r="Z1008" s="86"/>
      <c r="AA1008" s="86"/>
      <c r="AB1008" s="86"/>
      <c r="AC1008" s="86"/>
    </row>
    <row r="1009" spans="1:29">
      <c r="A1009" s="85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  <c r="P1009" s="86"/>
      <c r="Q1009" s="86"/>
      <c r="R1009" s="86"/>
      <c r="S1009" s="86"/>
      <c r="T1009" s="86"/>
      <c r="U1009" s="86"/>
      <c r="V1009" s="86"/>
      <c r="W1009" s="86"/>
      <c r="X1009" s="86"/>
      <c r="Y1009" s="86"/>
      <c r="Z1009" s="86"/>
      <c r="AA1009" s="86"/>
      <c r="AB1009" s="86"/>
      <c r="AC1009" s="86"/>
    </row>
    <row r="1010" spans="1:29">
      <c r="A1010" s="85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  <c r="P1010" s="86"/>
      <c r="Q1010" s="86"/>
      <c r="R1010" s="86"/>
      <c r="S1010" s="86"/>
      <c r="T1010" s="86"/>
      <c r="U1010" s="86"/>
      <c r="V1010" s="86"/>
      <c r="W1010" s="86"/>
      <c r="X1010" s="86"/>
      <c r="Y1010" s="86"/>
      <c r="Z1010" s="86"/>
      <c r="AA1010" s="86"/>
      <c r="AB1010" s="86"/>
      <c r="AC1010" s="86"/>
    </row>
    <row r="1011" spans="1:29">
      <c r="A1011" s="85"/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  <c r="P1011" s="86"/>
      <c r="Q1011" s="86"/>
      <c r="R1011" s="86"/>
      <c r="S1011" s="86"/>
      <c r="T1011" s="86"/>
      <c r="U1011" s="86"/>
      <c r="V1011" s="86"/>
      <c r="W1011" s="86"/>
      <c r="X1011" s="86"/>
      <c r="Y1011" s="86"/>
      <c r="Z1011" s="86"/>
      <c r="AA1011" s="86"/>
      <c r="AB1011" s="86"/>
      <c r="AC1011" s="86"/>
    </row>
    <row r="1012" spans="1:29">
      <c r="A1012" s="85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  <c r="P1012" s="86"/>
      <c r="Q1012" s="86"/>
      <c r="R1012" s="86"/>
      <c r="S1012" s="86"/>
      <c r="T1012" s="86"/>
      <c r="U1012" s="86"/>
      <c r="V1012" s="86"/>
      <c r="W1012" s="86"/>
      <c r="X1012" s="86"/>
      <c r="Y1012" s="86"/>
      <c r="Z1012" s="86"/>
      <c r="AA1012" s="86"/>
      <c r="AB1012" s="86"/>
      <c r="AC1012" s="86"/>
    </row>
    <row r="1013" spans="1:29">
      <c r="A1013" s="85"/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  <c r="P1013" s="86"/>
      <c r="Q1013" s="86"/>
      <c r="R1013" s="86"/>
      <c r="S1013" s="86"/>
      <c r="T1013" s="86"/>
      <c r="U1013" s="86"/>
      <c r="V1013" s="86"/>
      <c r="W1013" s="86"/>
      <c r="X1013" s="86"/>
      <c r="Y1013" s="86"/>
      <c r="Z1013" s="86"/>
      <c r="AA1013" s="86"/>
      <c r="AB1013" s="86"/>
      <c r="AC1013" s="86"/>
    </row>
    <row r="1014" spans="1:29">
      <c r="A1014" s="85"/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  <c r="P1014" s="86"/>
      <c r="Q1014" s="86"/>
      <c r="R1014" s="86"/>
      <c r="S1014" s="86"/>
      <c r="T1014" s="86"/>
      <c r="U1014" s="86"/>
      <c r="V1014" s="86"/>
      <c r="W1014" s="86"/>
      <c r="X1014" s="86"/>
      <c r="Y1014" s="86"/>
      <c r="Z1014" s="86"/>
      <c r="AA1014" s="86"/>
      <c r="AB1014" s="86"/>
      <c r="AC1014" s="86"/>
    </row>
    <row r="1015" spans="1:29">
      <c r="A1015" s="85"/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  <c r="P1015" s="86"/>
      <c r="Q1015" s="86"/>
      <c r="R1015" s="86"/>
      <c r="S1015" s="86"/>
      <c r="T1015" s="86"/>
      <c r="U1015" s="86"/>
      <c r="V1015" s="86"/>
      <c r="W1015" s="86"/>
      <c r="X1015" s="86"/>
      <c r="Y1015" s="86"/>
      <c r="Z1015" s="86"/>
      <c r="AA1015" s="86"/>
      <c r="AB1015" s="86"/>
      <c r="AC1015" s="86"/>
    </row>
    <row r="1016" spans="1:29">
      <c r="A1016" s="85"/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  <c r="P1016" s="86"/>
      <c r="Q1016" s="86"/>
      <c r="R1016" s="86"/>
      <c r="S1016" s="86"/>
      <c r="T1016" s="86"/>
      <c r="U1016" s="86"/>
      <c r="V1016" s="86"/>
      <c r="W1016" s="86"/>
      <c r="X1016" s="86"/>
      <c r="Y1016" s="86"/>
      <c r="Z1016" s="86"/>
      <c r="AA1016" s="86"/>
      <c r="AB1016" s="86"/>
      <c r="AC1016" s="86"/>
    </row>
    <row r="1017" spans="1:29">
      <c r="A1017" s="85"/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  <c r="P1017" s="86"/>
      <c r="Q1017" s="86"/>
      <c r="R1017" s="86"/>
      <c r="S1017" s="86"/>
      <c r="T1017" s="86"/>
      <c r="U1017" s="86"/>
      <c r="V1017" s="86"/>
      <c r="W1017" s="86"/>
      <c r="X1017" s="86"/>
      <c r="Y1017" s="86"/>
      <c r="Z1017" s="86"/>
      <c r="AA1017" s="86"/>
      <c r="AB1017" s="86"/>
      <c r="AC1017" s="86"/>
    </row>
    <row r="1018" spans="1:29">
      <c r="A1018" s="85"/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  <c r="P1018" s="86"/>
      <c r="Q1018" s="86"/>
      <c r="R1018" s="86"/>
      <c r="S1018" s="86"/>
      <c r="T1018" s="86"/>
      <c r="U1018" s="86"/>
      <c r="V1018" s="86"/>
      <c r="W1018" s="86"/>
      <c r="X1018" s="86"/>
      <c r="Y1018" s="86"/>
      <c r="Z1018" s="86"/>
      <c r="AA1018" s="86"/>
      <c r="AB1018" s="86"/>
      <c r="AC1018" s="86"/>
    </row>
    <row r="1019" spans="1:29">
      <c r="A1019" s="85"/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  <c r="P1019" s="86"/>
      <c r="Q1019" s="86"/>
      <c r="R1019" s="86"/>
      <c r="S1019" s="86"/>
      <c r="T1019" s="86"/>
      <c r="U1019" s="86"/>
      <c r="V1019" s="86"/>
      <c r="W1019" s="86"/>
      <c r="X1019" s="86"/>
      <c r="Y1019" s="86"/>
      <c r="Z1019" s="86"/>
      <c r="AA1019" s="86"/>
      <c r="AB1019" s="86"/>
      <c r="AC1019" s="86"/>
    </row>
    <row r="1020" spans="1:29">
      <c r="A1020" s="85"/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  <c r="P1020" s="86"/>
      <c r="Q1020" s="86"/>
      <c r="R1020" s="86"/>
      <c r="S1020" s="86"/>
      <c r="T1020" s="86"/>
      <c r="U1020" s="86"/>
      <c r="V1020" s="86"/>
      <c r="W1020" s="86"/>
      <c r="X1020" s="86"/>
      <c r="Y1020" s="86"/>
      <c r="Z1020" s="86"/>
      <c r="AA1020" s="86"/>
      <c r="AB1020" s="86"/>
      <c r="AC1020" s="86"/>
    </row>
    <row r="1021" spans="1:29">
      <c r="A1021" s="85"/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  <c r="P1021" s="86"/>
      <c r="Q1021" s="86"/>
      <c r="R1021" s="86"/>
      <c r="S1021" s="86"/>
      <c r="T1021" s="86"/>
      <c r="U1021" s="86"/>
      <c r="V1021" s="86"/>
      <c r="W1021" s="86"/>
      <c r="X1021" s="86"/>
      <c r="Y1021" s="86"/>
      <c r="Z1021" s="86"/>
      <c r="AA1021" s="86"/>
      <c r="AB1021" s="86"/>
      <c r="AC1021" s="86"/>
    </row>
    <row r="1022" spans="1:29">
      <c r="A1022" s="85"/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  <c r="P1022" s="86"/>
      <c r="Q1022" s="86"/>
      <c r="R1022" s="86"/>
      <c r="S1022" s="86"/>
      <c r="T1022" s="86"/>
      <c r="U1022" s="86"/>
      <c r="V1022" s="86"/>
      <c r="W1022" s="86"/>
      <c r="X1022" s="86"/>
      <c r="Y1022" s="86"/>
      <c r="Z1022" s="86"/>
      <c r="AA1022" s="86"/>
      <c r="AB1022" s="86"/>
      <c r="AC1022" s="86"/>
    </row>
    <row r="1023" spans="1:29">
      <c r="A1023" s="85"/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  <c r="P1023" s="86"/>
      <c r="Q1023" s="86"/>
      <c r="R1023" s="86"/>
      <c r="S1023" s="86"/>
      <c r="T1023" s="86"/>
      <c r="U1023" s="86"/>
      <c r="V1023" s="86"/>
      <c r="W1023" s="86"/>
      <c r="X1023" s="86"/>
      <c r="Y1023" s="86"/>
      <c r="Z1023" s="86"/>
      <c r="AA1023" s="86"/>
      <c r="AB1023" s="86"/>
      <c r="AC1023" s="86"/>
    </row>
    <row r="1024" spans="1:29">
      <c r="A1024" s="85"/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  <c r="P1024" s="86"/>
      <c r="Q1024" s="86"/>
      <c r="R1024" s="86"/>
      <c r="S1024" s="86"/>
      <c r="T1024" s="86"/>
      <c r="U1024" s="86"/>
      <c r="V1024" s="86"/>
      <c r="W1024" s="86"/>
      <c r="X1024" s="86"/>
      <c r="Y1024" s="86"/>
      <c r="Z1024" s="86"/>
      <c r="AA1024" s="86"/>
      <c r="AB1024" s="86"/>
      <c r="AC1024" s="86"/>
    </row>
    <row r="1025" spans="1:29">
      <c r="A1025" s="85"/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  <c r="P1025" s="86"/>
      <c r="Q1025" s="86"/>
      <c r="R1025" s="86"/>
      <c r="S1025" s="86"/>
      <c r="T1025" s="86"/>
      <c r="U1025" s="86"/>
      <c r="V1025" s="86"/>
      <c r="W1025" s="86"/>
      <c r="X1025" s="86"/>
      <c r="Y1025" s="86"/>
      <c r="Z1025" s="86"/>
      <c r="AA1025" s="86"/>
      <c r="AB1025" s="86"/>
      <c r="AC1025" s="86"/>
    </row>
    <row r="1026" spans="1:29">
      <c r="A1026" s="85"/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  <c r="P1026" s="86"/>
      <c r="Q1026" s="86"/>
      <c r="R1026" s="86"/>
      <c r="S1026" s="86"/>
      <c r="T1026" s="86"/>
      <c r="U1026" s="86"/>
      <c r="V1026" s="86"/>
      <c r="W1026" s="86"/>
      <c r="X1026" s="86"/>
      <c r="Y1026" s="86"/>
      <c r="Z1026" s="86"/>
      <c r="AA1026" s="86"/>
      <c r="AB1026" s="86"/>
      <c r="AC1026" s="86"/>
    </row>
    <row r="1027" spans="1:29">
      <c r="A1027" s="85"/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  <c r="P1027" s="86"/>
      <c r="Q1027" s="86"/>
      <c r="R1027" s="86"/>
      <c r="S1027" s="86"/>
      <c r="T1027" s="86"/>
      <c r="U1027" s="86"/>
      <c r="V1027" s="86"/>
      <c r="W1027" s="86"/>
      <c r="X1027" s="86"/>
      <c r="Y1027" s="86"/>
      <c r="Z1027" s="86"/>
      <c r="AA1027" s="86"/>
      <c r="AB1027" s="86"/>
      <c r="AC1027" s="86"/>
    </row>
    <row r="1028" spans="1:29">
      <c r="A1028" s="85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  <c r="P1028" s="86"/>
      <c r="Q1028" s="86"/>
      <c r="R1028" s="86"/>
      <c r="S1028" s="86"/>
      <c r="T1028" s="86"/>
      <c r="U1028" s="86"/>
      <c r="V1028" s="86"/>
      <c r="W1028" s="86"/>
      <c r="X1028" s="86"/>
      <c r="Y1028" s="86"/>
      <c r="Z1028" s="86"/>
      <c r="AA1028" s="86"/>
      <c r="AB1028" s="86"/>
      <c r="AC1028" s="86"/>
    </row>
    <row r="1029" spans="1:29">
      <c r="A1029" s="85"/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  <c r="P1029" s="86"/>
      <c r="Q1029" s="86"/>
      <c r="R1029" s="86"/>
      <c r="S1029" s="86"/>
      <c r="T1029" s="86"/>
      <c r="U1029" s="86"/>
      <c r="V1029" s="86"/>
      <c r="W1029" s="86"/>
      <c r="X1029" s="86"/>
      <c r="Y1029" s="86"/>
      <c r="Z1029" s="86"/>
      <c r="AA1029" s="86"/>
      <c r="AB1029" s="86"/>
      <c r="AC1029" s="86"/>
    </row>
    <row r="1030" spans="1:29">
      <c r="A1030" s="85"/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  <c r="P1030" s="86"/>
      <c r="Q1030" s="86"/>
      <c r="R1030" s="86"/>
      <c r="S1030" s="86"/>
      <c r="T1030" s="86"/>
      <c r="U1030" s="86"/>
      <c r="V1030" s="86"/>
      <c r="W1030" s="86"/>
      <c r="X1030" s="86"/>
      <c r="Y1030" s="86"/>
      <c r="Z1030" s="86"/>
      <c r="AA1030" s="86"/>
      <c r="AB1030" s="86"/>
      <c r="AC1030" s="86"/>
    </row>
    <row r="1031" spans="1:29">
      <c r="A1031" s="85"/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  <c r="P1031" s="86"/>
      <c r="Q1031" s="86"/>
      <c r="R1031" s="86"/>
      <c r="S1031" s="86"/>
      <c r="T1031" s="86"/>
      <c r="U1031" s="86"/>
      <c r="V1031" s="86"/>
      <c r="W1031" s="86"/>
      <c r="X1031" s="86"/>
      <c r="Y1031" s="86"/>
      <c r="Z1031" s="86"/>
      <c r="AA1031" s="86"/>
      <c r="AB1031" s="86"/>
      <c r="AC1031" s="86"/>
    </row>
    <row r="1032" spans="1:29">
      <c r="A1032" s="85"/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  <c r="P1032" s="86"/>
      <c r="Q1032" s="86"/>
      <c r="R1032" s="86"/>
      <c r="S1032" s="86"/>
      <c r="T1032" s="86"/>
      <c r="U1032" s="86"/>
      <c r="V1032" s="86"/>
      <c r="W1032" s="86"/>
      <c r="X1032" s="86"/>
      <c r="Y1032" s="86"/>
      <c r="Z1032" s="86"/>
      <c r="AA1032" s="86"/>
      <c r="AB1032" s="86"/>
      <c r="AC1032" s="86"/>
    </row>
    <row r="1033" spans="1:29">
      <c r="A1033" s="85"/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  <c r="P1033" s="86"/>
      <c r="Q1033" s="86"/>
      <c r="R1033" s="86"/>
      <c r="S1033" s="86"/>
      <c r="T1033" s="86"/>
      <c r="U1033" s="86"/>
      <c r="V1033" s="86"/>
      <c r="W1033" s="86"/>
      <c r="X1033" s="86"/>
      <c r="Y1033" s="86"/>
      <c r="Z1033" s="86"/>
      <c r="AA1033" s="86"/>
      <c r="AB1033" s="86"/>
      <c r="AC1033" s="86"/>
    </row>
    <row r="1034" spans="1:29">
      <c r="A1034" s="85"/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  <c r="P1034" s="86"/>
      <c r="Q1034" s="86"/>
      <c r="R1034" s="86"/>
      <c r="S1034" s="86"/>
      <c r="T1034" s="86"/>
      <c r="U1034" s="86"/>
      <c r="V1034" s="86"/>
      <c r="W1034" s="86"/>
      <c r="X1034" s="86"/>
      <c r="Y1034" s="86"/>
      <c r="Z1034" s="86"/>
      <c r="AA1034" s="86"/>
      <c r="AB1034" s="86"/>
      <c r="AC1034" s="86"/>
    </row>
    <row r="1035" spans="1:29">
      <c r="A1035" s="85"/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  <c r="P1035" s="86"/>
      <c r="Q1035" s="86"/>
      <c r="R1035" s="86"/>
      <c r="S1035" s="86"/>
      <c r="T1035" s="86"/>
      <c r="U1035" s="86"/>
      <c r="V1035" s="86"/>
      <c r="W1035" s="86"/>
      <c r="X1035" s="86"/>
      <c r="Y1035" s="86"/>
      <c r="Z1035" s="86"/>
      <c r="AA1035" s="86"/>
      <c r="AB1035" s="86"/>
      <c r="AC1035" s="86"/>
    </row>
    <row r="1036" spans="1:29">
      <c r="A1036" s="85"/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  <c r="P1036" s="86"/>
      <c r="Q1036" s="86"/>
      <c r="R1036" s="86"/>
      <c r="S1036" s="86"/>
      <c r="T1036" s="86"/>
      <c r="U1036" s="86"/>
      <c r="V1036" s="86"/>
      <c r="W1036" s="86"/>
      <c r="X1036" s="86"/>
      <c r="Y1036" s="86"/>
      <c r="Z1036" s="86"/>
      <c r="AA1036" s="86"/>
      <c r="AB1036" s="86"/>
      <c r="AC1036" s="86"/>
    </row>
    <row r="1037" spans="1:29">
      <c r="A1037" s="85"/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  <c r="P1037" s="86"/>
      <c r="Q1037" s="86"/>
      <c r="R1037" s="86"/>
      <c r="S1037" s="86"/>
      <c r="T1037" s="86"/>
      <c r="U1037" s="86"/>
      <c r="V1037" s="86"/>
      <c r="W1037" s="86"/>
      <c r="X1037" s="86"/>
      <c r="Y1037" s="86"/>
      <c r="Z1037" s="86"/>
      <c r="AA1037" s="86"/>
      <c r="AB1037" s="86"/>
      <c r="AC1037" s="86"/>
    </row>
    <row r="1038" spans="1:29">
      <c r="A1038" s="85"/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  <c r="P1038" s="86"/>
      <c r="Q1038" s="86"/>
      <c r="R1038" s="86"/>
      <c r="S1038" s="86"/>
      <c r="T1038" s="86"/>
      <c r="U1038" s="86"/>
      <c r="V1038" s="86"/>
      <c r="W1038" s="86"/>
      <c r="X1038" s="86"/>
      <c r="Y1038" s="86"/>
      <c r="Z1038" s="86"/>
      <c r="AA1038" s="86"/>
      <c r="AB1038" s="86"/>
      <c r="AC1038" s="86"/>
    </row>
    <row r="1039" spans="1:29">
      <c r="A1039" s="85"/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  <c r="P1039" s="86"/>
      <c r="Q1039" s="86"/>
      <c r="R1039" s="86"/>
      <c r="S1039" s="86"/>
      <c r="T1039" s="86"/>
      <c r="U1039" s="86"/>
      <c r="V1039" s="86"/>
      <c r="W1039" s="86"/>
      <c r="X1039" s="86"/>
      <c r="Y1039" s="86"/>
      <c r="Z1039" s="86"/>
      <c r="AA1039" s="86"/>
      <c r="AB1039" s="86"/>
      <c r="AC1039" s="86"/>
    </row>
    <row r="1040" spans="1:29">
      <c r="A1040" s="85"/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  <c r="P1040" s="86"/>
      <c r="Q1040" s="86"/>
      <c r="R1040" s="86"/>
      <c r="S1040" s="86"/>
      <c r="T1040" s="86"/>
      <c r="U1040" s="86"/>
      <c r="V1040" s="86"/>
      <c r="W1040" s="86"/>
      <c r="X1040" s="86"/>
      <c r="Y1040" s="86"/>
      <c r="Z1040" s="86"/>
      <c r="AA1040" s="86"/>
      <c r="AB1040" s="86"/>
      <c r="AC1040" s="86"/>
    </row>
    <row r="1041" spans="1:29">
      <c r="A1041" s="85"/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  <c r="P1041" s="86"/>
      <c r="Q1041" s="86"/>
      <c r="R1041" s="86"/>
      <c r="S1041" s="86"/>
      <c r="T1041" s="86"/>
      <c r="U1041" s="86"/>
      <c r="V1041" s="86"/>
      <c r="W1041" s="86"/>
      <c r="X1041" s="86"/>
      <c r="Y1041" s="86"/>
      <c r="Z1041" s="86"/>
      <c r="AA1041" s="86"/>
      <c r="AB1041" s="86"/>
      <c r="AC1041" s="86"/>
    </row>
    <row r="1042" spans="1:29">
      <c r="A1042" s="85"/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  <c r="P1042" s="86"/>
      <c r="Q1042" s="86"/>
      <c r="R1042" s="86"/>
      <c r="S1042" s="86"/>
      <c r="T1042" s="86"/>
      <c r="U1042" s="86"/>
      <c r="V1042" s="86"/>
      <c r="W1042" s="86"/>
      <c r="X1042" s="86"/>
      <c r="Y1042" s="86"/>
      <c r="Z1042" s="86"/>
      <c r="AA1042" s="86"/>
      <c r="AB1042" s="86"/>
      <c r="AC1042" s="86"/>
    </row>
    <row r="1043" spans="1:29">
      <c r="A1043" s="85"/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</row>
    <row r="1044" spans="1:29">
      <c r="A1044" s="85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  <c r="P1044" s="86"/>
      <c r="Q1044" s="86"/>
      <c r="R1044" s="86"/>
      <c r="S1044" s="86"/>
      <c r="T1044" s="86"/>
      <c r="U1044" s="86"/>
      <c r="V1044" s="86"/>
      <c r="W1044" s="86"/>
      <c r="X1044" s="86"/>
      <c r="Y1044" s="86"/>
      <c r="Z1044" s="86"/>
      <c r="AA1044" s="86"/>
      <c r="AB1044" s="86"/>
      <c r="AC1044" s="86"/>
    </row>
    <row r="1045" spans="1:29">
      <c r="A1045" s="85"/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  <c r="P1045" s="86"/>
      <c r="Q1045" s="86"/>
      <c r="R1045" s="86"/>
      <c r="S1045" s="86"/>
      <c r="T1045" s="86"/>
      <c r="U1045" s="86"/>
      <c r="V1045" s="86"/>
      <c r="W1045" s="86"/>
      <c r="X1045" s="86"/>
      <c r="Y1045" s="86"/>
      <c r="Z1045" s="86"/>
      <c r="AA1045" s="86"/>
      <c r="AB1045" s="86"/>
      <c r="AC1045" s="86"/>
    </row>
    <row r="1046" spans="1:29">
      <c r="A1046" s="85"/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  <c r="P1046" s="86"/>
      <c r="Q1046" s="86"/>
      <c r="R1046" s="86"/>
      <c r="S1046" s="86"/>
      <c r="T1046" s="86"/>
      <c r="U1046" s="86"/>
      <c r="V1046" s="86"/>
      <c r="W1046" s="86"/>
      <c r="X1046" s="86"/>
      <c r="Y1046" s="86"/>
      <c r="Z1046" s="86"/>
      <c r="AA1046" s="86"/>
      <c r="AB1046" s="86"/>
      <c r="AC1046" s="86"/>
    </row>
    <row r="1047" spans="1:29">
      <c r="A1047" s="85"/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  <c r="P1047" s="86"/>
      <c r="Q1047" s="86"/>
      <c r="R1047" s="86"/>
      <c r="S1047" s="86"/>
      <c r="T1047" s="86"/>
      <c r="U1047" s="86"/>
      <c r="V1047" s="86"/>
      <c r="W1047" s="86"/>
      <c r="X1047" s="86"/>
      <c r="Y1047" s="86"/>
      <c r="Z1047" s="86"/>
      <c r="AA1047" s="86"/>
      <c r="AB1047" s="86"/>
      <c r="AC1047" s="86"/>
    </row>
    <row r="1048" spans="1:29">
      <c r="A1048" s="85"/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  <c r="P1048" s="86"/>
      <c r="Q1048" s="86"/>
      <c r="R1048" s="86"/>
      <c r="S1048" s="86"/>
      <c r="T1048" s="86"/>
      <c r="U1048" s="86"/>
      <c r="V1048" s="86"/>
      <c r="W1048" s="86"/>
      <c r="X1048" s="86"/>
      <c r="Y1048" s="86"/>
      <c r="Z1048" s="86"/>
      <c r="AA1048" s="86"/>
      <c r="AB1048" s="86"/>
      <c r="AC1048" s="86"/>
    </row>
    <row r="1049" spans="1:29">
      <c r="A1049" s="85"/>
      <c r="B1049" s="86"/>
      <c r="C1049" s="86"/>
      <c r="D1049" s="86"/>
      <c r="E1049" s="86"/>
      <c r="F1049" s="86"/>
      <c r="G1049" s="86"/>
      <c r="H1049" s="86"/>
      <c r="I1049" s="86"/>
      <c r="J1049" s="86"/>
      <c r="K1049" s="86"/>
      <c r="L1049" s="86"/>
      <c r="M1049" s="86"/>
      <c r="N1049" s="86"/>
      <c r="O1049" s="86"/>
      <c r="P1049" s="86"/>
      <c r="Q1049" s="86"/>
      <c r="R1049" s="86"/>
      <c r="S1049" s="86"/>
      <c r="T1049" s="86"/>
      <c r="U1049" s="86"/>
      <c r="V1049" s="86"/>
      <c r="W1049" s="86"/>
      <c r="X1049" s="86"/>
      <c r="Y1049" s="86"/>
      <c r="Z1049" s="86"/>
      <c r="AA1049" s="86"/>
      <c r="AB1049" s="86"/>
      <c r="AC1049" s="86"/>
    </row>
    <row r="1050" spans="1:29">
      <c r="A1050" s="85"/>
      <c r="B1050" s="86"/>
      <c r="C1050" s="86"/>
      <c r="D1050" s="86"/>
      <c r="E1050" s="86"/>
      <c r="F1050" s="86"/>
      <c r="G1050" s="86"/>
      <c r="H1050" s="86"/>
      <c r="I1050" s="86"/>
      <c r="J1050" s="86"/>
      <c r="K1050" s="86"/>
      <c r="L1050" s="86"/>
      <c r="M1050" s="86"/>
      <c r="N1050" s="86"/>
      <c r="O1050" s="86"/>
      <c r="P1050" s="86"/>
      <c r="Q1050" s="86"/>
      <c r="R1050" s="86"/>
      <c r="S1050" s="86"/>
      <c r="T1050" s="86"/>
      <c r="U1050" s="86"/>
      <c r="V1050" s="86"/>
      <c r="W1050" s="86"/>
      <c r="X1050" s="86"/>
      <c r="Y1050" s="86"/>
      <c r="Z1050" s="86"/>
      <c r="AA1050" s="86"/>
      <c r="AB1050" s="86"/>
      <c r="AC1050" s="86"/>
    </row>
    <row r="1051" spans="1:29">
      <c r="A1051" s="85"/>
      <c r="B1051" s="86"/>
      <c r="C1051" s="86"/>
      <c r="D1051" s="86"/>
      <c r="E1051" s="86"/>
      <c r="F1051" s="86"/>
      <c r="G1051" s="86"/>
      <c r="H1051" s="86"/>
      <c r="I1051" s="86"/>
      <c r="J1051" s="86"/>
      <c r="K1051" s="86"/>
      <c r="L1051" s="86"/>
      <c r="M1051" s="86"/>
      <c r="N1051" s="86"/>
      <c r="O1051" s="86"/>
      <c r="P1051" s="86"/>
      <c r="Q1051" s="86"/>
      <c r="R1051" s="86"/>
      <c r="S1051" s="86"/>
      <c r="T1051" s="86"/>
      <c r="U1051" s="86"/>
      <c r="V1051" s="86"/>
      <c r="W1051" s="86"/>
      <c r="X1051" s="86"/>
      <c r="Y1051" s="86"/>
      <c r="Z1051" s="86"/>
      <c r="AA1051" s="86"/>
      <c r="AB1051" s="86"/>
      <c r="AC1051" s="86"/>
    </row>
  </sheetData>
  <hyperlinks>
    <hyperlink ref="H3" r:id="rId1" xr:uid="{00000000-0004-0000-0700-000000000000}"/>
    <hyperlink ref="H4" r:id="rId2" location="Intro" xr:uid="{00000000-0004-0000-0700-000001000000}"/>
    <hyperlink ref="H5" r:id="rId3" location="Intro" xr:uid="{00000000-0004-0000-0700-000002000000}"/>
    <hyperlink ref="H9" r:id="rId4" xr:uid="{00000000-0004-0000-0700-000003000000}"/>
    <hyperlink ref="H10" r:id="rId5" xr:uid="{00000000-0004-0000-0700-000004000000}"/>
    <hyperlink ref="H11" r:id="rId6" xr:uid="{00000000-0004-0000-0700-000005000000}"/>
    <hyperlink ref="H12" r:id="rId7" location="Intro" xr:uid="{00000000-0004-0000-0700-000006000000}"/>
    <hyperlink ref="H16" r:id="rId8" xr:uid="{00000000-0004-0000-0700-000007000000}"/>
    <hyperlink ref="H17" r:id="rId9" xr:uid="{00000000-0004-0000-0700-000008000000}"/>
    <hyperlink ref="H18" r:id="rId10" xr:uid="{00000000-0004-0000-0700-000009000000}"/>
    <hyperlink ref="H19" r:id="rId11" xr:uid="{00000000-0004-0000-0700-00000A000000}"/>
    <hyperlink ref="H20" r:id="rId12" xr:uid="{00000000-0004-0000-0700-00000B000000}"/>
    <hyperlink ref="H24" r:id="rId13" xr:uid="{00000000-0004-0000-0700-00000C000000}"/>
    <hyperlink ref="H31" r:id="rId14" xr:uid="{00000000-0004-0000-0700-00000D000000}"/>
    <hyperlink ref="H32" r:id="rId15" xr:uid="{00000000-0004-0000-0700-00000E000000}"/>
    <hyperlink ref="H33" r:id="rId16" xr:uid="{00000000-0004-0000-0700-00000F000000}"/>
    <hyperlink ref="H34" r:id="rId17" xr:uid="{00000000-0004-0000-0700-000010000000}"/>
    <hyperlink ref="H35" r:id="rId18" xr:uid="{00000000-0004-0000-0700-000011000000}"/>
    <hyperlink ref="H36" r:id="rId19" xr:uid="{00000000-0004-0000-0700-000012000000}"/>
    <hyperlink ref="H37" r:id="rId20" xr:uid="{00000000-0004-0000-0700-000013000000}"/>
    <hyperlink ref="H38" r:id="rId21" xr:uid="{00000000-0004-0000-0700-000014000000}"/>
    <hyperlink ref="H41" r:id="rId22" xr:uid="{00000000-0004-0000-0700-000015000000}"/>
    <hyperlink ref="H42" r:id="rId23" xr:uid="{00000000-0004-0000-0700-000016000000}"/>
    <hyperlink ref="H61" r:id="rId24" xr:uid="{00000000-0004-0000-0700-000017000000}"/>
    <hyperlink ref="H63" r:id="rId25" xr:uid="{00000000-0004-0000-0700-000018000000}"/>
    <hyperlink ref="H64" r:id="rId26" xr:uid="{00000000-0004-0000-0700-000019000000}"/>
    <hyperlink ref="H65" r:id="rId27" xr:uid="{00000000-0004-0000-0700-00001A000000}"/>
    <hyperlink ref="H66" r:id="rId28" xr:uid="{00000000-0004-0000-0700-00001B000000}"/>
    <hyperlink ref="H68" r:id="rId29" xr:uid="{00000000-0004-0000-0700-00001C000000}"/>
    <hyperlink ref="H69" r:id="rId30" xr:uid="{00000000-0004-0000-0700-00001D000000}"/>
    <hyperlink ref="H72" r:id="rId31" xr:uid="{00000000-0004-0000-0700-00001E000000}"/>
    <hyperlink ref="H76" r:id="rId32" xr:uid="{00000000-0004-0000-0700-00001F000000}"/>
    <hyperlink ref="H77" r:id="rId33" xr:uid="{00000000-0004-0000-0700-000020000000}"/>
    <hyperlink ref="H78" r:id="rId34" xr:uid="{00000000-0004-0000-0700-000021000000}"/>
    <hyperlink ref="H79" r:id="rId35" xr:uid="{00000000-0004-0000-0700-00002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Changes</vt:lpstr>
      <vt:lpstr>metadata</vt:lpstr>
      <vt:lpstr>all</vt:lpstr>
      <vt:lpstr>Cell Data</vt:lpstr>
      <vt:lpstr>upload</vt:lpstr>
      <vt:lpstr>Virgin</vt:lpstr>
      <vt:lpstr>Emissions</vt:lpstr>
      <vt:lpstr>Help</vt:lpstr>
      <vt:lpstr>YouTubeStats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2020-04-13T11:46:33Z</dcterms:modified>
</cp:coreProperties>
</file>