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e2aa8129197c703/Documents/Ian_OneDrive/Research/Paper/New Paper/Master documents/Master files final paper/Paper 2 Master data files/Paper Part 2/Final version for publication/Extension to climb/Final version/Roger Teoh/"/>
    </mc:Choice>
  </mc:AlternateContent>
  <xr:revisionPtr revIDLastSave="34" documentId="8_{EBB52514-5B8C-6C41-9195-705E16518649}" xr6:coauthVersionLast="47" xr6:coauthVersionMax="47" xr10:uidLastSave="{804D987C-62BF-A642-A915-C6F1830743C3}"/>
  <bookViews>
    <workbookView xWindow="10100" yWindow="500" windowWidth="51200" windowHeight="26460" xr2:uid="{8FC210AC-918A-EB41-8790-F9016734CB4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" i="1" l="1"/>
  <c r="CL8" i="1"/>
  <c r="CK17" i="1" l="1"/>
  <c r="CL17" i="1" s="1"/>
  <c r="CM17" i="1" s="1"/>
  <c r="CT17" i="1"/>
  <c r="CT18" i="1"/>
  <c r="CT19" i="1"/>
  <c r="CT20" i="1"/>
  <c r="CT21" i="1"/>
  <c r="CT22" i="1"/>
  <c r="CT23" i="1"/>
  <c r="CT24" i="1"/>
  <c r="CT25" i="1"/>
  <c r="CT26" i="1"/>
  <c r="CT27" i="1"/>
  <c r="CT28" i="1"/>
  <c r="CT29" i="1"/>
  <c r="CT30" i="1"/>
  <c r="CT31" i="1"/>
  <c r="CT32" i="1"/>
  <c r="CT33" i="1"/>
  <c r="CT34" i="1"/>
  <c r="CT35" i="1"/>
  <c r="CT36" i="1"/>
  <c r="CT37" i="1"/>
  <c r="CT38" i="1"/>
  <c r="CT39" i="1"/>
  <c r="CT40" i="1"/>
  <c r="CT41" i="1"/>
  <c r="CT42" i="1"/>
  <c r="CT43" i="1"/>
  <c r="CT44" i="1"/>
  <c r="CT45" i="1"/>
  <c r="CT46" i="1"/>
  <c r="CT47" i="1"/>
  <c r="CT48" i="1"/>
  <c r="CT49" i="1"/>
  <c r="CT50" i="1"/>
  <c r="CT51" i="1"/>
  <c r="CT52" i="1"/>
  <c r="CT53" i="1"/>
  <c r="CT54" i="1"/>
  <c r="CT55" i="1"/>
  <c r="CT56" i="1"/>
  <c r="CT57" i="1"/>
  <c r="CT58" i="1"/>
  <c r="CT59" i="1"/>
  <c r="CT60" i="1"/>
  <c r="CT61" i="1"/>
  <c r="CT62" i="1"/>
  <c r="CT63" i="1"/>
  <c r="CT64" i="1"/>
  <c r="CT65" i="1"/>
  <c r="CT66" i="1"/>
  <c r="CT67" i="1"/>
  <c r="CT68" i="1"/>
  <c r="CT69" i="1"/>
  <c r="CT70" i="1"/>
  <c r="CT71" i="1"/>
  <c r="CT72" i="1"/>
  <c r="CT73" i="1"/>
  <c r="CT74" i="1"/>
  <c r="CT75" i="1"/>
  <c r="CT76" i="1"/>
  <c r="CT77" i="1"/>
  <c r="CT78" i="1"/>
  <c r="CT79" i="1"/>
  <c r="CT80" i="1"/>
  <c r="CT81" i="1"/>
  <c r="CT82" i="1"/>
  <c r="CT83" i="1"/>
  <c r="CT84" i="1"/>
  <c r="CT85" i="1"/>
  <c r="CT86" i="1"/>
  <c r="CT87" i="1"/>
  <c r="CT88" i="1"/>
  <c r="CT89" i="1"/>
  <c r="CT90" i="1"/>
  <c r="CT91" i="1"/>
  <c r="CT92" i="1"/>
  <c r="CT93" i="1"/>
  <c r="CT94" i="1"/>
  <c r="CT95" i="1"/>
  <c r="CT96" i="1"/>
  <c r="CT97" i="1"/>
  <c r="CT98" i="1"/>
  <c r="CT99" i="1"/>
  <c r="CT100" i="1"/>
  <c r="CT101" i="1"/>
  <c r="CT102" i="1"/>
  <c r="CT103" i="1"/>
  <c r="CT104" i="1"/>
  <c r="CT105" i="1"/>
  <c r="CT106" i="1"/>
  <c r="CT107" i="1"/>
  <c r="CT108" i="1"/>
  <c r="CT109" i="1"/>
  <c r="CT110" i="1"/>
  <c r="CT111" i="1"/>
  <c r="CT112" i="1"/>
  <c r="CT113" i="1"/>
  <c r="CT114" i="1"/>
  <c r="CT115" i="1"/>
  <c r="CT116" i="1"/>
  <c r="CT117" i="1"/>
  <c r="CT118" i="1"/>
  <c r="CT119" i="1"/>
  <c r="CT120" i="1"/>
  <c r="CT121" i="1"/>
  <c r="CT122" i="1"/>
  <c r="CT123" i="1"/>
  <c r="CT124" i="1"/>
  <c r="CT125" i="1"/>
  <c r="CT126" i="1"/>
  <c r="CT127" i="1"/>
  <c r="CT128" i="1"/>
  <c r="CT129" i="1"/>
  <c r="CT130" i="1"/>
  <c r="CT131" i="1"/>
  <c r="CT132" i="1"/>
  <c r="CT133" i="1"/>
  <c r="CT134" i="1"/>
  <c r="CT135" i="1"/>
  <c r="CT136" i="1"/>
  <c r="CT137" i="1"/>
  <c r="CT138" i="1"/>
  <c r="CT139" i="1"/>
  <c r="CT140" i="1"/>
  <c r="CT141" i="1"/>
  <c r="CT142" i="1"/>
  <c r="CT143" i="1"/>
  <c r="CT144" i="1"/>
  <c r="CT145" i="1"/>
  <c r="CT146" i="1"/>
  <c r="CT147" i="1"/>
  <c r="CT148" i="1"/>
  <c r="CT149" i="1"/>
  <c r="CT150" i="1"/>
  <c r="CT151" i="1"/>
  <c r="CT152" i="1"/>
  <c r="CT153" i="1"/>
  <c r="CT154" i="1"/>
  <c r="CT155" i="1"/>
  <c r="CT156" i="1"/>
  <c r="CT157" i="1"/>
  <c r="CT158" i="1"/>
  <c r="CT159" i="1"/>
  <c r="CT160" i="1"/>
  <c r="CT161" i="1"/>
  <c r="CT162" i="1"/>
  <c r="CT163" i="1"/>
  <c r="CT164" i="1"/>
  <c r="CT165" i="1"/>
  <c r="CT166" i="1"/>
  <c r="Q18" i="1" l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7" i="1"/>
  <c r="BX9" i="1"/>
  <c r="BX12" i="1" s="1"/>
  <c r="BX14" i="1"/>
  <c r="BX13" i="1"/>
  <c r="AO17" i="1" l="1"/>
  <c r="AQ17" i="1" s="1"/>
  <c r="AN17" i="1"/>
  <c r="AT17" i="1" s="1"/>
  <c r="AU17" i="1" s="1"/>
  <c r="AR17" i="1" l="1"/>
  <c r="AS17" i="1" s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31" i="1"/>
  <c r="CU32" i="1"/>
  <c r="CU33" i="1"/>
  <c r="CU34" i="1"/>
  <c r="CU35" i="1"/>
  <c r="CU36" i="1"/>
  <c r="CU37" i="1"/>
  <c r="CU38" i="1"/>
  <c r="CU39" i="1"/>
  <c r="CU40" i="1"/>
  <c r="CU41" i="1"/>
  <c r="CU42" i="1"/>
  <c r="CU43" i="1"/>
  <c r="CU44" i="1"/>
  <c r="CU45" i="1"/>
  <c r="CU46" i="1"/>
  <c r="CU47" i="1"/>
  <c r="CU48" i="1"/>
  <c r="CU49" i="1"/>
  <c r="CU50" i="1"/>
  <c r="CU51" i="1"/>
  <c r="CU52" i="1"/>
  <c r="CU53" i="1"/>
  <c r="CU54" i="1"/>
  <c r="CU55" i="1"/>
  <c r="CU56" i="1"/>
  <c r="CU57" i="1"/>
  <c r="CU58" i="1"/>
  <c r="CU59" i="1"/>
  <c r="CU60" i="1"/>
  <c r="CU61" i="1"/>
  <c r="CU62" i="1"/>
  <c r="CU63" i="1"/>
  <c r="CU64" i="1"/>
  <c r="CU65" i="1"/>
  <c r="CU66" i="1"/>
  <c r="CU67" i="1"/>
  <c r="CU68" i="1"/>
  <c r="CU69" i="1"/>
  <c r="CU70" i="1"/>
  <c r="CU71" i="1"/>
  <c r="CU72" i="1"/>
  <c r="CU73" i="1"/>
  <c r="CU74" i="1"/>
  <c r="CU75" i="1"/>
  <c r="CU76" i="1"/>
  <c r="CU77" i="1"/>
  <c r="CU78" i="1"/>
  <c r="CU79" i="1"/>
  <c r="CU80" i="1"/>
  <c r="CU81" i="1"/>
  <c r="CU82" i="1"/>
  <c r="CU83" i="1"/>
  <c r="CU84" i="1"/>
  <c r="CU85" i="1"/>
  <c r="CU86" i="1"/>
  <c r="CU87" i="1"/>
  <c r="CU88" i="1"/>
  <c r="CU89" i="1"/>
  <c r="CU90" i="1"/>
  <c r="CU91" i="1"/>
  <c r="CU92" i="1"/>
  <c r="CU93" i="1"/>
  <c r="CU94" i="1"/>
  <c r="CU95" i="1"/>
  <c r="CU96" i="1"/>
  <c r="CU97" i="1"/>
  <c r="CU98" i="1"/>
  <c r="CU99" i="1"/>
  <c r="CU100" i="1"/>
  <c r="CU101" i="1"/>
  <c r="CU102" i="1"/>
  <c r="CU103" i="1"/>
  <c r="CU104" i="1"/>
  <c r="CU105" i="1"/>
  <c r="CU106" i="1"/>
  <c r="CU107" i="1"/>
  <c r="CU108" i="1"/>
  <c r="CU109" i="1"/>
  <c r="CU110" i="1"/>
  <c r="CU111" i="1"/>
  <c r="CU112" i="1"/>
  <c r="CU113" i="1"/>
  <c r="CU114" i="1"/>
  <c r="CU115" i="1"/>
  <c r="CU116" i="1"/>
  <c r="CU117" i="1"/>
  <c r="CU118" i="1"/>
  <c r="CU119" i="1"/>
  <c r="CU120" i="1"/>
  <c r="CU121" i="1"/>
  <c r="CU122" i="1"/>
  <c r="CU123" i="1"/>
  <c r="CU124" i="1"/>
  <c r="CU125" i="1"/>
  <c r="CU126" i="1"/>
  <c r="CU127" i="1"/>
  <c r="CU128" i="1"/>
  <c r="CU129" i="1"/>
  <c r="CU130" i="1"/>
  <c r="CU131" i="1"/>
  <c r="CU132" i="1"/>
  <c r="CU133" i="1"/>
  <c r="CU134" i="1"/>
  <c r="CU135" i="1"/>
  <c r="CU136" i="1"/>
  <c r="CU137" i="1"/>
  <c r="CU138" i="1"/>
  <c r="CU139" i="1"/>
  <c r="CU140" i="1"/>
  <c r="CU141" i="1"/>
  <c r="CU142" i="1"/>
  <c r="CU143" i="1"/>
  <c r="CU144" i="1"/>
  <c r="CU145" i="1"/>
  <c r="CU146" i="1"/>
  <c r="CU147" i="1"/>
  <c r="CU148" i="1"/>
  <c r="CU149" i="1"/>
  <c r="CU150" i="1"/>
  <c r="CU151" i="1"/>
  <c r="CU152" i="1"/>
  <c r="CU153" i="1"/>
  <c r="CU154" i="1"/>
  <c r="CU155" i="1"/>
  <c r="CU156" i="1"/>
  <c r="CU157" i="1"/>
  <c r="CU158" i="1"/>
  <c r="CU159" i="1"/>
  <c r="CU160" i="1"/>
  <c r="CU161" i="1"/>
  <c r="CU162" i="1"/>
  <c r="CU163" i="1"/>
  <c r="CU164" i="1"/>
  <c r="CU165" i="1"/>
  <c r="CU166" i="1"/>
  <c r="CU17" i="1"/>
  <c r="CK72" i="1"/>
  <c r="CL72" i="1" s="1"/>
  <c r="CK73" i="1"/>
  <c r="CL73" i="1" s="1"/>
  <c r="CK74" i="1"/>
  <c r="CL74" i="1" s="1"/>
  <c r="CK75" i="1"/>
  <c r="CL75" i="1" s="1"/>
  <c r="CK76" i="1"/>
  <c r="CL76" i="1" s="1"/>
  <c r="CK77" i="1"/>
  <c r="CL77" i="1" s="1"/>
  <c r="CK78" i="1"/>
  <c r="CL78" i="1" s="1"/>
  <c r="CK79" i="1"/>
  <c r="CL79" i="1" s="1"/>
  <c r="CK80" i="1"/>
  <c r="CL80" i="1" s="1"/>
  <c r="CK81" i="1"/>
  <c r="CL81" i="1" s="1"/>
  <c r="CK82" i="1"/>
  <c r="CL82" i="1" s="1"/>
  <c r="CK83" i="1"/>
  <c r="CL83" i="1" s="1"/>
  <c r="CK84" i="1"/>
  <c r="CL84" i="1" s="1"/>
  <c r="CK85" i="1"/>
  <c r="CL85" i="1" s="1"/>
  <c r="CK86" i="1"/>
  <c r="CL86" i="1" s="1"/>
  <c r="CK87" i="1"/>
  <c r="CL87" i="1" s="1"/>
  <c r="CK88" i="1"/>
  <c r="CL88" i="1" s="1"/>
  <c r="CK89" i="1"/>
  <c r="CL89" i="1" s="1"/>
  <c r="CK90" i="1"/>
  <c r="CL90" i="1" s="1"/>
  <c r="CK91" i="1"/>
  <c r="CL91" i="1" s="1"/>
  <c r="CK92" i="1"/>
  <c r="CL92" i="1" s="1"/>
  <c r="CK93" i="1"/>
  <c r="CL93" i="1" s="1"/>
  <c r="CK94" i="1"/>
  <c r="CL94" i="1" s="1"/>
  <c r="CK95" i="1"/>
  <c r="CL95" i="1" s="1"/>
  <c r="CK96" i="1"/>
  <c r="CL96" i="1" s="1"/>
  <c r="CK97" i="1"/>
  <c r="CL97" i="1" s="1"/>
  <c r="CK98" i="1"/>
  <c r="CL98" i="1" s="1"/>
  <c r="CK99" i="1"/>
  <c r="CL99" i="1" s="1"/>
  <c r="CK100" i="1"/>
  <c r="CL100" i="1" s="1"/>
  <c r="CK101" i="1"/>
  <c r="CL101" i="1" s="1"/>
  <c r="CK102" i="1"/>
  <c r="CL102" i="1" s="1"/>
  <c r="CK103" i="1"/>
  <c r="CL103" i="1" s="1"/>
  <c r="CK104" i="1"/>
  <c r="CL104" i="1" s="1"/>
  <c r="CK105" i="1"/>
  <c r="CL105" i="1" s="1"/>
  <c r="CK106" i="1"/>
  <c r="CL106" i="1" s="1"/>
  <c r="CK107" i="1"/>
  <c r="CL107" i="1" s="1"/>
  <c r="CK108" i="1"/>
  <c r="CL108" i="1" s="1"/>
  <c r="CK109" i="1"/>
  <c r="CL109" i="1" s="1"/>
  <c r="CK110" i="1"/>
  <c r="CL110" i="1" s="1"/>
  <c r="CK111" i="1"/>
  <c r="CL111" i="1" s="1"/>
  <c r="CK112" i="1"/>
  <c r="CL112" i="1" s="1"/>
  <c r="CK113" i="1"/>
  <c r="CL113" i="1" s="1"/>
  <c r="CK114" i="1"/>
  <c r="CL114" i="1" s="1"/>
  <c r="CK115" i="1"/>
  <c r="CL115" i="1" s="1"/>
  <c r="CK116" i="1"/>
  <c r="CL116" i="1" s="1"/>
  <c r="CK117" i="1"/>
  <c r="CL117" i="1" s="1"/>
  <c r="CK118" i="1"/>
  <c r="CL118" i="1" s="1"/>
  <c r="CK119" i="1"/>
  <c r="CL119" i="1" s="1"/>
  <c r="CK120" i="1"/>
  <c r="CL120" i="1" s="1"/>
  <c r="CK121" i="1"/>
  <c r="CL121" i="1" s="1"/>
  <c r="CK122" i="1"/>
  <c r="CL122" i="1" s="1"/>
  <c r="CK123" i="1"/>
  <c r="CL123" i="1" s="1"/>
  <c r="CK124" i="1"/>
  <c r="CL124" i="1" s="1"/>
  <c r="CK125" i="1"/>
  <c r="CL125" i="1" s="1"/>
  <c r="CK126" i="1"/>
  <c r="CL126" i="1" s="1"/>
  <c r="CK127" i="1"/>
  <c r="CL127" i="1" s="1"/>
  <c r="CK128" i="1"/>
  <c r="CL128" i="1" s="1"/>
  <c r="CK129" i="1"/>
  <c r="CL129" i="1" s="1"/>
  <c r="CK130" i="1"/>
  <c r="CL130" i="1" s="1"/>
  <c r="CK131" i="1"/>
  <c r="CL131" i="1" s="1"/>
  <c r="CK132" i="1"/>
  <c r="CL132" i="1" s="1"/>
  <c r="CK133" i="1"/>
  <c r="CL133" i="1" s="1"/>
  <c r="CK134" i="1"/>
  <c r="CL134" i="1" s="1"/>
  <c r="CK135" i="1"/>
  <c r="CL135" i="1" s="1"/>
  <c r="CK136" i="1"/>
  <c r="CL136" i="1" s="1"/>
  <c r="CK137" i="1"/>
  <c r="CL137" i="1" s="1"/>
  <c r="CK138" i="1"/>
  <c r="CL138" i="1" s="1"/>
  <c r="CK139" i="1"/>
  <c r="CL139" i="1" s="1"/>
  <c r="CK140" i="1"/>
  <c r="CL140" i="1" s="1"/>
  <c r="CK141" i="1"/>
  <c r="CL141" i="1" s="1"/>
  <c r="CK142" i="1"/>
  <c r="CL142" i="1" s="1"/>
  <c r="CK143" i="1"/>
  <c r="CL143" i="1" s="1"/>
  <c r="CK144" i="1"/>
  <c r="CL144" i="1" s="1"/>
  <c r="CK145" i="1"/>
  <c r="CL145" i="1" s="1"/>
  <c r="CK146" i="1"/>
  <c r="CL146" i="1" s="1"/>
  <c r="CK147" i="1"/>
  <c r="CL147" i="1" s="1"/>
  <c r="CK148" i="1"/>
  <c r="CL148" i="1" s="1"/>
  <c r="CK149" i="1"/>
  <c r="CL149" i="1" s="1"/>
  <c r="CK150" i="1"/>
  <c r="CL150" i="1" s="1"/>
  <c r="CK151" i="1"/>
  <c r="CL151" i="1" s="1"/>
  <c r="CK152" i="1"/>
  <c r="CL152" i="1" s="1"/>
  <c r="CK153" i="1"/>
  <c r="CL153" i="1" s="1"/>
  <c r="CK154" i="1"/>
  <c r="CL154" i="1" s="1"/>
  <c r="CK155" i="1"/>
  <c r="CL155" i="1" s="1"/>
  <c r="CK156" i="1"/>
  <c r="CL156" i="1" s="1"/>
  <c r="CK157" i="1"/>
  <c r="CL157" i="1" s="1"/>
  <c r="CK158" i="1"/>
  <c r="CL158" i="1" s="1"/>
  <c r="CK159" i="1"/>
  <c r="CL159" i="1" s="1"/>
  <c r="CK160" i="1"/>
  <c r="CL160" i="1" s="1"/>
  <c r="CK161" i="1"/>
  <c r="CL161" i="1" s="1"/>
  <c r="CK162" i="1"/>
  <c r="CL162" i="1" s="1"/>
  <c r="CK163" i="1"/>
  <c r="CL163" i="1" s="1"/>
  <c r="CK164" i="1"/>
  <c r="CL164" i="1" s="1"/>
  <c r="CK165" i="1"/>
  <c r="CL165" i="1" s="1"/>
  <c r="CK166" i="1"/>
  <c r="CL166" i="1" s="1"/>
  <c r="CK18" i="1"/>
  <c r="CL18" i="1" s="1"/>
  <c r="CK19" i="1"/>
  <c r="CL19" i="1" s="1"/>
  <c r="CK20" i="1"/>
  <c r="CL20" i="1" s="1"/>
  <c r="CK21" i="1"/>
  <c r="CL21" i="1" s="1"/>
  <c r="CK22" i="1"/>
  <c r="CL22" i="1" s="1"/>
  <c r="CK23" i="1"/>
  <c r="CL23" i="1" s="1"/>
  <c r="CK24" i="1"/>
  <c r="CL24" i="1" s="1"/>
  <c r="CK25" i="1"/>
  <c r="CL25" i="1" s="1"/>
  <c r="CK26" i="1"/>
  <c r="CL26" i="1" s="1"/>
  <c r="CK27" i="1"/>
  <c r="CL27" i="1" s="1"/>
  <c r="CK28" i="1"/>
  <c r="CL28" i="1" s="1"/>
  <c r="CK29" i="1"/>
  <c r="CL29" i="1" s="1"/>
  <c r="CK30" i="1"/>
  <c r="CL30" i="1" s="1"/>
  <c r="CK31" i="1"/>
  <c r="CL31" i="1" s="1"/>
  <c r="CK32" i="1"/>
  <c r="CL32" i="1" s="1"/>
  <c r="CK33" i="1"/>
  <c r="CL33" i="1" s="1"/>
  <c r="CK34" i="1"/>
  <c r="CL34" i="1" s="1"/>
  <c r="CK35" i="1"/>
  <c r="CL35" i="1" s="1"/>
  <c r="CK36" i="1"/>
  <c r="CL36" i="1" s="1"/>
  <c r="CK37" i="1"/>
  <c r="CL37" i="1" s="1"/>
  <c r="CK38" i="1"/>
  <c r="CL38" i="1" s="1"/>
  <c r="CK39" i="1"/>
  <c r="CL39" i="1" s="1"/>
  <c r="CK40" i="1"/>
  <c r="CL40" i="1" s="1"/>
  <c r="CK41" i="1"/>
  <c r="CL41" i="1" s="1"/>
  <c r="CK42" i="1"/>
  <c r="CL42" i="1" s="1"/>
  <c r="CK43" i="1"/>
  <c r="CL43" i="1" s="1"/>
  <c r="CK44" i="1"/>
  <c r="CL44" i="1" s="1"/>
  <c r="CK45" i="1"/>
  <c r="CL45" i="1" s="1"/>
  <c r="CK46" i="1"/>
  <c r="CL46" i="1" s="1"/>
  <c r="CK47" i="1"/>
  <c r="CL47" i="1" s="1"/>
  <c r="CK48" i="1"/>
  <c r="CL48" i="1" s="1"/>
  <c r="CK49" i="1"/>
  <c r="CL49" i="1" s="1"/>
  <c r="CK50" i="1"/>
  <c r="CL50" i="1" s="1"/>
  <c r="CK51" i="1"/>
  <c r="CL51" i="1" s="1"/>
  <c r="CK52" i="1"/>
  <c r="CL52" i="1" s="1"/>
  <c r="CK53" i="1"/>
  <c r="CL53" i="1" s="1"/>
  <c r="CK54" i="1"/>
  <c r="CL54" i="1" s="1"/>
  <c r="CK55" i="1"/>
  <c r="CL55" i="1" s="1"/>
  <c r="CK56" i="1"/>
  <c r="CL56" i="1" s="1"/>
  <c r="CK57" i="1"/>
  <c r="CL57" i="1" s="1"/>
  <c r="CK58" i="1"/>
  <c r="CL58" i="1" s="1"/>
  <c r="CK59" i="1"/>
  <c r="CL59" i="1" s="1"/>
  <c r="CK60" i="1"/>
  <c r="CL60" i="1" s="1"/>
  <c r="CK61" i="1"/>
  <c r="CL61" i="1" s="1"/>
  <c r="CK62" i="1"/>
  <c r="CL62" i="1" s="1"/>
  <c r="CK63" i="1"/>
  <c r="CL63" i="1" s="1"/>
  <c r="CK64" i="1"/>
  <c r="CL64" i="1" s="1"/>
  <c r="CK65" i="1"/>
  <c r="CL65" i="1" s="1"/>
  <c r="CK66" i="1"/>
  <c r="CL66" i="1" s="1"/>
  <c r="CK67" i="1"/>
  <c r="CL67" i="1" s="1"/>
  <c r="CK68" i="1"/>
  <c r="CL68" i="1" s="1"/>
  <c r="CK69" i="1"/>
  <c r="CL69" i="1" s="1"/>
  <c r="CK70" i="1"/>
  <c r="CL70" i="1" s="1"/>
  <c r="CK71" i="1"/>
  <c r="CL71" i="1" s="1"/>
  <c r="CM69" i="1" l="1"/>
  <c r="CM45" i="1"/>
  <c r="CM21" i="1"/>
  <c r="CM140" i="1"/>
  <c r="CM110" i="1"/>
  <c r="CM98" i="1"/>
  <c r="CN98" i="1" s="1"/>
  <c r="CM80" i="1"/>
  <c r="CM68" i="1"/>
  <c r="CM32" i="1"/>
  <c r="CM151" i="1"/>
  <c r="CM127" i="1"/>
  <c r="CM103" i="1"/>
  <c r="CM85" i="1"/>
  <c r="CM73" i="1"/>
  <c r="CM61" i="1"/>
  <c r="CM43" i="1"/>
  <c r="CM25" i="1"/>
  <c r="CM60" i="1"/>
  <c r="CN60" i="1" s="1"/>
  <c r="CM48" i="1"/>
  <c r="CM36" i="1"/>
  <c r="CM24" i="1"/>
  <c r="CM161" i="1"/>
  <c r="CM149" i="1"/>
  <c r="CM137" i="1"/>
  <c r="CM131" i="1"/>
  <c r="CM119" i="1"/>
  <c r="CM101" i="1"/>
  <c r="CM71" i="1"/>
  <c r="CM65" i="1"/>
  <c r="CM59" i="1"/>
  <c r="CN59" i="1" s="1"/>
  <c r="CM53" i="1"/>
  <c r="CM47" i="1"/>
  <c r="CM41" i="1"/>
  <c r="CM35" i="1"/>
  <c r="CM29" i="1"/>
  <c r="CM166" i="1"/>
  <c r="CM160" i="1"/>
  <c r="CM154" i="1"/>
  <c r="CM148" i="1"/>
  <c r="CM142" i="1"/>
  <c r="CM136" i="1"/>
  <c r="CM130" i="1"/>
  <c r="CN130" i="1" s="1"/>
  <c r="CM118" i="1"/>
  <c r="CM112" i="1"/>
  <c r="CM106" i="1"/>
  <c r="CM100" i="1"/>
  <c r="CM88" i="1"/>
  <c r="CM70" i="1"/>
  <c r="CN70" i="1" s="1"/>
  <c r="CM64" i="1"/>
  <c r="CM58" i="1"/>
  <c r="CM52" i="1"/>
  <c r="CM46" i="1"/>
  <c r="CM40" i="1"/>
  <c r="CM34" i="1"/>
  <c r="CN34" i="1" s="1"/>
  <c r="CM28" i="1"/>
  <c r="CM22" i="1"/>
  <c r="CM165" i="1"/>
  <c r="CM159" i="1"/>
  <c r="CN159" i="1" s="1"/>
  <c r="CM153" i="1"/>
  <c r="CM147" i="1"/>
  <c r="CM141" i="1"/>
  <c r="CM135" i="1"/>
  <c r="CM129" i="1"/>
  <c r="CM123" i="1"/>
  <c r="CM117" i="1"/>
  <c r="CM111" i="1"/>
  <c r="CN111" i="1" s="1"/>
  <c r="CM105" i="1"/>
  <c r="CM99" i="1"/>
  <c r="CM93" i="1"/>
  <c r="CM87" i="1"/>
  <c r="CM81" i="1"/>
  <c r="CM75" i="1"/>
  <c r="CN75" i="1" s="1"/>
  <c r="CM146" i="1"/>
  <c r="CM63" i="1"/>
  <c r="CM39" i="1"/>
  <c r="CM158" i="1"/>
  <c r="CM122" i="1"/>
  <c r="CM86" i="1"/>
  <c r="CN86" i="1" s="1"/>
  <c r="CM62" i="1"/>
  <c r="CM121" i="1"/>
  <c r="CM33" i="1"/>
  <c r="CM134" i="1"/>
  <c r="CM56" i="1"/>
  <c r="CM44" i="1"/>
  <c r="CN44" i="1" s="1"/>
  <c r="CM26" i="1"/>
  <c r="CM157" i="1"/>
  <c r="CM145" i="1"/>
  <c r="CM115" i="1"/>
  <c r="CM91" i="1"/>
  <c r="CM79" i="1"/>
  <c r="CN79" i="1" s="1"/>
  <c r="CM37" i="1"/>
  <c r="CM19" i="1"/>
  <c r="CM162" i="1"/>
  <c r="CM156" i="1"/>
  <c r="CN156" i="1" s="1"/>
  <c r="CM150" i="1"/>
  <c r="CM144" i="1"/>
  <c r="CN144" i="1" s="1"/>
  <c r="CM138" i="1"/>
  <c r="CM132" i="1"/>
  <c r="CM126" i="1"/>
  <c r="CM120" i="1"/>
  <c r="CM114" i="1"/>
  <c r="CM108" i="1"/>
  <c r="CN108" i="1" s="1"/>
  <c r="CM102" i="1"/>
  <c r="CM96" i="1"/>
  <c r="CM90" i="1"/>
  <c r="CM84" i="1"/>
  <c r="CM78" i="1"/>
  <c r="CM72" i="1"/>
  <c r="CN72" i="1" s="1"/>
  <c r="CM57" i="1"/>
  <c r="CM27" i="1"/>
  <c r="CM152" i="1"/>
  <c r="CM128" i="1"/>
  <c r="CM104" i="1"/>
  <c r="CM92" i="1"/>
  <c r="CM74" i="1"/>
  <c r="CM38" i="1"/>
  <c r="CM163" i="1"/>
  <c r="CM133" i="1"/>
  <c r="CM97" i="1"/>
  <c r="CM55" i="1"/>
  <c r="CN55" i="1" s="1"/>
  <c r="CM54" i="1"/>
  <c r="CM18" i="1"/>
  <c r="CM143" i="1"/>
  <c r="CM125" i="1"/>
  <c r="CM113" i="1"/>
  <c r="CM107" i="1"/>
  <c r="CM95" i="1"/>
  <c r="CM89" i="1"/>
  <c r="CM83" i="1"/>
  <c r="CM77" i="1"/>
  <c r="CM51" i="1"/>
  <c r="CM164" i="1"/>
  <c r="CM116" i="1"/>
  <c r="CM50" i="1"/>
  <c r="CM20" i="1"/>
  <c r="CM139" i="1"/>
  <c r="CM109" i="1"/>
  <c r="CM67" i="1"/>
  <c r="CN67" i="1" s="1"/>
  <c r="CM49" i="1"/>
  <c r="CM31" i="1"/>
  <c r="CM66" i="1"/>
  <c r="CM42" i="1"/>
  <c r="CM30" i="1"/>
  <c r="CM155" i="1"/>
  <c r="CM23" i="1"/>
  <c r="CM124" i="1"/>
  <c r="CM94" i="1"/>
  <c r="CM82" i="1"/>
  <c r="CM76" i="1"/>
  <c r="AO166" i="1"/>
  <c r="AQ166" i="1" s="1"/>
  <c r="AN166" i="1"/>
  <c r="AT166" i="1" s="1"/>
  <c r="P166" i="1"/>
  <c r="G166" i="1"/>
  <c r="H166" i="1" s="1"/>
  <c r="AO165" i="1"/>
  <c r="AN165" i="1"/>
  <c r="AR165" i="1" s="1"/>
  <c r="AS165" i="1" s="1"/>
  <c r="P165" i="1"/>
  <c r="G165" i="1"/>
  <c r="H165" i="1" s="1"/>
  <c r="I165" i="1" s="1"/>
  <c r="AO164" i="1"/>
  <c r="AN164" i="1"/>
  <c r="AR164" i="1" s="1"/>
  <c r="AS164" i="1" s="1"/>
  <c r="P164" i="1"/>
  <c r="G164" i="1"/>
  <c r="H164" i="1" s="1"/>
  <c r="AO163" i="1"/>
  <c r="AN163" i="1"/>
  <c r="AR163" i="1" s="1"/>
  <c r="AS163" i="1" s="1"/>
  <c r="P163" i="1"/>
  <c r="G163" i="1"/>
  <c r="H163" i="1" s="1"/>
  <c r="I163" i="1" s="1"/>
  <c r="AO162" i="1"/>
  <c r="AN162" i="1"/>
  <c r="AR162" i="1" s="1"/>
  <c r="AS162" i="1" s="1"/>
  <c r="P162" i="1"/>
  <c r="G162" i="1"/>
  <c r="H162" i="1" s="1"/>
  <c r="I162" i="1" s="1"/>
  <c r="AO161" i="1"/>
  <c r="AN161" i="1"/>
  <c r="AR161" i="1" s="1"/>
  <c r="AS161" i="1" s="1"/>
  <c r="P161" i="1"/>
  <c r="G161" i="1"/>
  <c r="H161" i="1" s="1"/>
  <c r="I161" i="1" s="1"/>
  <c r="AO160" i="1"/>
  <c r="AQ160" i="1" s="1"/>
  <c r="AN160" i="1"/>
  <c r="AR160" i="1" s="1"/>
  <c r="AS160" i="1" s="1"/>
  <c r="P160" i="1"/>
  <c r="G160" i="1"/>
  <c r="H160" i="1" s="1"/>
  <c r="I160" i="1" s="1"/>
  <c r="AO159" i="1"/>
  <c r="AQ159" i="1" s="1"/>
  <c r="AN159" i="1"/>
  <c r="AR159" i="1" s="1"/>
  <c r="AS159" i="1" s="1"/>
  <c r="P159" i="1"/>
  <c r="G159" i="1"/>
  <c r="H159" i="1" s="1"/>
  <c r="I159" i="1" s="1"/>
  <c r="AO158" i="1"/>
  <c r="AQ158" i="1" s="1"/>
  <c r="AN158" i="1"/>
  <c r="AR158" i="1" s="1"/>
  <c r="AS158" i="1" s="1"/>
  <c r="P158" i="1"/>
  <c r="G158" i="1"/>
  <c r="H158" i="1" s="1"/>
  <c r="I158" i="1" s="1"/>
  <c r="AO157" i="1"/>
  <c r="AN157" i="1"/>
  <c r="AR157" i="1" s="1"/>
  <c r="AS157" i="1" s="1"/>
  <c r="P157" i="1"/>
  <c r="G157" i="1"/>
  <c r="H157" i="1" s="1"/>
  <c r="AO156" i="1"/>
  <c r="AQ156" i="1" s="1"/>
  <c r="AN156" i="1"/>
  <c r="AR156" i="1" s="1"/>
  <c r="AS156" i="1" s="1"/>
  <c r="P156" i="1"/>
  <c r="G156" i="1"/>
  <c r="H156" i="1" s="1"/>
  <c r="I156" i="1" s="1"/>
  <c r="AO155" i="1"/>
  <c r="AQ155" i="1" s="1"/>
  <c r="AN155" i="1"/>
  <c r="AR155" i="1" s="1"/>
  <c r="AS155" i="1" s="1"/>
  <c r="P155" i="1"/>
  <c r="G155" i="1"/>
  <c r="H155" i="1" s="1"/>
  <c r="AO154" i="1"/>
  <c r="AQ154" i="1" s="1"/>
  <c r="AN154" i="1"/>
  <c r="AR154" i="1" s="1"/>
  <c r="AS154" i="1" s="1"/>
  <c r="P154" i="1"/>
  <c r="G154" i="1"/>
  <c r="H154" i="1" s="1"/>
  <c r="I154" i="1" s="1"/>
  <c r="AO153" i="1"/>
  <c r="AQ153" i="1" s="1"/>
  <c r="AN153" i="1"/>
  <c r="AR153" i="1" s="1"/>
  <c r="AS153" i="1" s="1"/>
  <c r="P153" i="1"/>
  <c r="G153" i="1"/>
  <c r="H153" i="1" s="1"/>
  <c r="AO152" i="1"/>
  <c r="AQ152" i="1" s="1"/>
  <c r="AN152" i="1"/>
  <c r="AR152" i="1" s="1"/>
  <c r="AS152" i="1" s="1"/>
  <c r="P152" i="1"/>
  <c r="G152" i="1"/>
  <c r="H152" i="1" s="1"/>
  <c r="I152" i="1" s="1"/>
  <c r="AO151" i="1"/>
  <c r="AQ151" i="1" s="1"/>
  <c r="AN151" i="1"/>
  <c r="AT151" i="1" s="1"/>
  <c r="P151" i="1"/>
  <c r="G151" i="1"/>
  <c r="H151" i="1" s="1"/>
  <c r="AO150" i="1"/>
  <c r="AQ150" i="1" s="1"/>
  <c r="AN150" i="1"/>
  <c r="AR150" i="1" s="1"/>
  <c r="AS150" i="1" s="1"/>
  <c r="P150" i="1"/>
  <c r="G150" i="1"/>
  <c r="H150" i="1" s="1"/>
  <c r="AO149" i="1"/>
  <c r="AQ149" i="1" s="1"/>
  <c r="AN149" i="1"/>
  <c r="AT149" i="1" s="1"/>
  <c r="P149" i="1"/>
  <c r="G149" i="1"/>
  <c r="H149" i="1" s="1"/>
  <c r="I149" i="1" s="1"/>
  <c r="AO148" i="1"/>
  <c r="AQ148" i="1" s="1"/>
  <c r="AN148" i="1"/>
  <c r="AT148" i="1" s="1"/>
  <c r="P148" i="1"/>
  <c r="G148" i="1"/>
  <c r="H148" i="1" s="1"/>
  <c r="I148" i="1" s="1"/>
  <c r="AO147" i="1"/>
  <c r="AQ147" i="1" s="1"/>
  <c r="AN147" i="1"/>
  <c r="AT147" i="1" s="1"/>
  <c r="P147" i="1"/>
  <c r="G147" i="1"/>
  <c r="H147" i="1" s="1"/>
  <c r="AO146" i="1"/>
  <c r="AQ146" i="1" s="1"/>
  <c r="AN146" i="1"/>
  <c r="AT146" i="1" s="1"/>
  <c r="P146" i="1"/>
  <c r="G146" i="1"/>
  <c r="H146" i="1" s="1"/>
  <c r="AO145" i="1"/>
  <c r="AP145" i="1" s="1"/>
  <c r="AN145" i="1"/>
  <c r="P145" i="1"/>
  <c r="G145" i="1"/>
  <c r="H145" i="1" s="1"/>
  <c r="AO144" i="1"/>
  <c r="AQ144" i="1" s="1"/>
  <c r="AN144" i="1"/>
  <c r="P144" i="1"/>
  <c r="G144" i="1"/>
  <c r="H144" i="1" s="1"/>
  <c r="I144" i="1" s="1"/>
  <c r="AO143" i="1"/>
  <c r="AQ143" i="1" s="1"/>
  <c r="AN143" i="1"/>
  <c r="AT143" i="1" s="1"/>
  <c r="P143" i="1"/>
  <c r="G143" i="1"/>
  <c r="H143" i="1" s="1"/>
  <c r="I143" i="1" s="1"/>
  <c r="AO142" i="1"/>
  <c r="AQ142" i="1" s="1"/>
  <c r="AN142" i="1"/>
  <c r="AT142" i="1" s="1"/>
  <c r="P142" i="1"/>
  <c r="G142" i="1"/>
  <c r="H142" i="1" s="1"/>
  <c r="AO141" i="1"/>
  <c r="AP141" i="1" s="1"/>
  <c r="AN141" i="1"/>
  <c r="AT141" i="1" s="1"/>
  <c r="P141" i="1"/>
  <c r="G141" i="1"/>
  <c r="H141" i="1" s="1"/>
  <c r="I141" i="1" s="1"/>
  <c r="AO140" i="1"/>
  <c r="AN140" i="1"/>
  <c r="AT140" i="1" s="1"/>
  <c r="P140" i="1"/>
  <c r="G140" i="1"/>
  <c r="H140" i="1" s="1"/>
  <c r="I140" i="1" s="1"/>
  <c r="AO139" i="1"/>
  <c r="AQ139" i="1" s="1"/>
  <c r="AN139" i="1"/>
  <c r="P139" i="1"/>
  <c r="G139" i="1"/>
  <c r="H139" i="1" s="1"/>
  <c r="I139" i="1" s="1"/>
  <c r="AO138" i="1"/>
  <c r="AQ138" i="1" s="1"/>
  <c r="AN138" i="1"/>
  <c r="P138" i="1"/>
  <c r="G138" i="1"/>
  <c r="H138" i="1" s="1"/>
  <c r="I138" i="1" s="1"/>
  <c r="AO137" i="1"/>
  <c r="AP137" i="1" s="1"/>
  <c r="AN137" i="1"/>
  <c r="P137" i="1"/>
  <c r="G137" i="1"/>
  <c r="H137" i="1" s="1"/>
  <c r="AO136" i="1"/>
  <c r="AQ136" i="1" s="1"/>
  <c r="AN136" i="1"/>
  <c r="AT136" i="1" s="1"/>
  <c r="P136" i="1"/>
  <c r="G136" i="1"/>
  <c r="H136" i="1" s="1"/>
  <c r="I136" i="1" s="1"/>
  <c r="AO135" i="1"/>
  <c r="AQ135" i="1" s="1"/>
  <c r="AN135" i="1"/>
  <c r="AT135" i="1" s="1"/>
  <c r="P135" i="1"/>
  <c r="G135" i="1"/>
  <c r="H135" i="1" s="1"/>
  <c r="I135" i="1" s="1"/>
  <c r="AO134" i="1"/>
  <c r="AQ134" i="1" s="1"/>
  <c r="AN134" i="1"/>
  <c r="AT134" i="1" s="1"/>
  <c r="P134" i="1"/>
  <c r="G134" i="1"/>
  <c r="H134" i="1" s="1"/>
  <c r="I134" i="1" s="1"/>
  <c r="AO133" i="1"/>
  <c r="AQ133" i="1" s="1"/>
  <c r="AN133" i="1"/>
  <c r="P133" i="1"/>
  <c r="G133" i="1"/>
  <c r="H133" i="1" s="1"/>
  <c r="I133" i="1" s="1"/>
  <c r="AO132" i="1"/>
  <c r="AQ132" i="1" s="1"/>
  <c r="AN132" i="1"/>
  <c r="P132" i="1"/>
  <c r="G132" i="1"/>
  <c r="H132" i="1" s="1"/>
  <c r="I132" i="1" s="1"/>
  <c r="AO131" i="1"/>
  <c r="AP131" i="1" s="1"/>
  <c r="AN131" i="1"/>
  <c r="AT131" i="1" s="1"/>
  <c r="AU131" i="1" s="1"/>
  <c r="P131" i="1"/>
  <c r="G131" i="1"/>
  <c r="H131" i="1" s="1"/>
  <c r="I131" i="1" s="1"/>
  <c r="AO130" i="1"/>
  <c r="AQ130" i="1" s="1"/>
  <c r="AN130" i="1"/>
  <c r="AT130" i="1" s="1"/>
  <c r="P130" i="1"/>
  <c r="G130" i="1"/>
  <c r="H130" i="1" s="1"/>
  <c r="I130" i="1" s="1"/>
  <c r="AO129" i="1"/>
  <c r="AQ129" i="1" s="1"/>
  <c r="AN129" i="1"/>
  <c r="P129" i="1"/>
  <c r="G129" i="1"/>
  <c r="H129" i="1" s="1"/>
  <c r="I129" i="1" s="1"/>
  <c r="AO128" i="1"/>
  <c r="AQ128" i="1" s="1"/>
  <c r="AN128" i="1"/>
  <c r="P128" i="1"/>
  <c r="G128" i="1"/>
  <c r="H128" i="1" s="1"/>
  <c r="AO127" i="1"/>
  <c r="AQ127" i="1" s="1"/>
  <c r="AN127" i="1"/>
  <c r="AT127" i="1" s="1"/>
  <c r="P127" i="1"/>
  <c r="G127" i="1"/>
  <c r="H127" i="1" s="1"/>
  <c r="I127" i="1" s="1"/>
  <c r="AO126" i="1"/>
  <c r="AQ126" i="1" s="1"/>
  <c r="AN126" i="1"/>
  <c r="AT126" i="1" s="1"/>
  <c r="P126" i="1"/>
  <c r="G126" i="1"/>
  <c r="H126" i="1" s="1"/>
  <c r="I126" i="1" s="1"/>
  <c r="AO125" i="1"/>
  <c r="AQ125" i="1" s="1"/>
  <c r="AN125" i="1"/>
  <c r="AT125" i="1" s="1"/>
  <c r="P125" i="1"/>
  <c r="G125" i="1"/>
  <c r="H125" i="1" s="1"/>
  <c r="I125" i="1" s="1"/>
  <c r="AO124" i="1"/>
  <c r="AP124" i="1" s="1"/>
  <c r="AN124" i="1"/>
  <c r="AT124" i="1" s="1"/>
  <c r="P124" i="1"/>
  <c r="G124" i="1"/>
  <c r="H124" i="1" s="1"/>
  <c r="AO123" i="1"/>
  <c r="AQ123" i="1" s="1"/>
  <c r="AN123" i="1"/>
  <c r="AT123" i="1" s="1"/>
  <c r="P123" i="1"/>
  <c r="G123" i="1"/>
  <c r="H123" i="1" s="1"/>
  <c r="I123" i="1" s="1"/>
  <c r="AO122" i="1"/>
  <c r="AQ122" i="1" s="1"/>
  <c r="AN122" i="1"/>
  <c r="AT122" i="1" s="1"/>
  <c r="P122" i="1"/>
  <c r="G122" i="1"/>
  <c r="H122" i="1" s="1"/>
  <c r="I122" i="1" s="1"/>
  <c r="AO121" i="1"/>
  <c r="AQ121" i="1" s="1"/>
  <c r="AN121" i="1"/>
  <c r="AT121" i="1" s="1"/>
  <c r="P121" i="1"/>
  <c r="G121" i="1"/>
  <c r="H121" i="1" s="1"/>
  <c r="AO120" i="1"/>
  <c r="AQ120" i="1" s="1"/>
  <c r="AN120" i="1"/>
  <c r="AT120" i="1" s="1"/>
  <c r="P120" i="1"/>
  <c r="G120" i="1"/>
  <c r="H120" i="1" s="1"/>
  <c r="I120" i="1" s="1"/>
  <c r="AO119" i="1"/>
  <c r="AN119" i="1"/>
  <c r="AT119" i="1" s="1"/>
  <c r="P119" i="1"/>
  <c r="G119" i="1"/>
  <c r="H119" i="1" s="1"/>
  <c r="I119" i="1" s="1"/>
  <c r="AO118" i="1"/>
  <c r="AQ118" i="1" s="1"/>
  <c r="AN118" i="1"/>
  <c r="AT118" i="1" s="1"/>
  <c r="P118" i="1"/>
  <c r="G118" i="1"/>
  <c r="H118" i="1" s="1"/>
  <c r="I118" i="1" s="1"/>
  <c r="AO117" i="1"/>
  <c r="AN117" i="1"/>
  <c r="AT117" i="1" s="1"/>
  <c r="P117" i="1"/>
  <c r="G117" i="1"/>
  <c r="H117" i="1" s="1"/>
  <c r="AO116" i="1"/>
  <c r="AP116" i="1" s="1"/>
  <c r="AN116" i="1"/>
  <c r="AT116" i="1" s="1"/>
  <c r="P116" i="1"/>
  <c r="G116" i="1"/>
  <c r="H116" i="1" s="1"/>
  <c r="I116" i="1" s="1"/>
  <c r="AO115" i="1"/>
  <c r="AP115" i="1" s="1"/>
  <c r="AN115" i="1"/>
  <c r="AT115" i="1" s="1"/>
  <c r="P115" i="1"/>
  <c r="G115" i="1"/>
  <c r="H115" i="1" s="1"/>
  <c r="I115" i="1" s="1"/>
  <c r="AO114" i="1"/>
  <c r="AP114" i="1" s="1"/>
  <c r="AN114" i="1"/>
  <c r="AT114" i="1" s="1"/>
  <c r="P114" i="1"/>
  <c r="G114" i="1"/>
  <c r="H114" i="1" s="1"/>
  <c r="AO113" i="1"/>
  <c r="AP113" i="1" s="1"/>
  <c r="AN113" i="1"/>
  <c r="AR113" i="1" s="1"/>
  <c r="AS113" i="1" s="1"/>
  <c r="P113" i="1"/>
  <c r="G113" i="1"/>
  <c r="H113" i="1" s="1"/>
  <c r="AO112" i="1"/>
  <c r="AP112" i="1" s="1"/>
  <c r="AN112" i="1"/>
  <c r="AR112" i="1" s="1"/>
  <c r="AS112" i="1" s="1"/>
  <c r="P112" i="1"/>
  <c r="G112" i="1"/>
  <c r="H112" i="1" s="1"/>
  <c r="AO111" i="1"/>
  <c r="AP111" i="1" s="1"/>
  <c r="AN111" i="1"/>
  <c r="AR111" i="1" s="1"/>
  <c r="AS111" i="1" s="1"/>
  <c r="P111" i="1"/>
  <c r="G111" i="1"/>
  <c r="H111" i="1" s="1"/>
  <c r="I111" i="1" s="1"/>
  <c r="AO110" i="1"/>
  <c r="AP110" i="1" s="1"/>
  <c r="AN110" i="1"/>
  <c r="AT110" i="1" s="1"/>
  <c r="P110" i="1"/>
  <c r="G110" i="1"/>
  <c r="H110" i="1" s="1"/>
  <c r="I110" i="1" s="1"/>
  <c r="AO109" i="1"/>
  <c r="AP109" i="1" s="1"/>
  <c r="AN109" i="1"/>
  <c r="P109" i="1"/>
  <c r="G109" i="1"/>
  <c r="H109" i="1" s="1"/>
  <c r="I109" i="1" s="1"/>
  <c r="AO108" i="1"/>
  <c r="AQ108" i="1" s="1"/>
  <c r="AN108" i="1"/>
  <c r="P108" i="1"/>
  <c r="G108" i="1"/>
  <c r="H108" i="1" s="1"/>
  <c r="I108" i="1" s="1"/>
  <c r="AO107" i="1"/>
  <c r="AQ107" i="1" s="1"/>
  <c r="AN107" i="1"/>
  <c r="P107" i="1"/>
  <c r="G107" i="1"/>
  <c r="H107" i="1" s="1"/>
  <c r="AO106" i="1"/>
  <c r="AQ106" i="1" s="1"/>
  <c r="AN106" i="1"/>
  <c r="AT106" i="1" s="1"/>
  <c r="P106" i="1"/>
  <c r="G106" i="1"/>
  <c r="H106" i="1" s="1"/>
  <c r="AO105" i="1"/>
  <c r="AQ105" i="1" s="1"/>
  <c r="AN105" i="1"/>
  <c r="AT105" i="1" s="1"/>
  <c r="P105" i="1"/>
  <c r="G105" i="1"/>
  <c r="H105" i="1" s="1"/>
  <c r="AO104" i="1"/>
  <c r="AQ104" i="1" s="1"/>
  <c r="AN104" i="1"/>
  <c r="P104" i="1"/>
  <c r="G104" i="1"/>
  <c r="H104" i="1" s="1"/>
  <c r="AO103" i="1"/>
  <c r="AQ103" i="1" s="1"/>
  <c r="AN103" i="1"/>
  <c r="P103" i="1"/>
  <c r="G103" i="1"/>
  <c r="H103" i="1" s="1"/>
  <c r="AO102" i="1"/>
  <c r="AQ102" i="1" s="1"/>
  <c r="AN102" i="1"/>
  <c r="P102" i="1"/>
  <c r="G102" i="1"/>
  <c r="H102" i="1" s="1"/>
  <c r="AO101" i="1"/>
  <c r="AQ101" i="1" s="1"/>
  <c r="AN101" i="1"/>
  <c r="P101" i="1"/>
  <c r="G101" i="1"/>
  <c r="H101" i="1" s="1"/>
  <c r="AO100" i="1"/>
  <c r="AQ100" i="1" s="1"/>
  <c r="AN100" i="1"/>
  <c r="AT100" i="1" s="1"/>
  <c r="P100" i="1"/>
  <c r="G100" i="1"/>
  <c r="H100" i="1" s="1"/>
  <c r="AO99" i="1"/>
  <c r="AQ99" i="1" s="1"/>
  <c r="AN99" i="1"/>
  <c r="AT99" i="1" s="1"/>
  <c r="P99" i="1"/>
  <c r="G99" i="1"/>
  <c r="H99" i="1" s="1"/>
  <c r="I99" i="1" s="1"/>
  <c r="AO98" i="1"/>
  <c r="AQ98" i="1" s="1"/>
  <c r="AN98" i="1"/>
  <c r="AT98" i="1" s="1"/>
  <c r="P98" i="1"/>
  <c r="G98" i="1"/>
  <c r="H98" i="1" s="1"/>
  <c r="I98" i="1" s="1"/>
  <c r="AO97" i="1"/>
  <c r="AQ97" i="1" s="1"/>
  <c r="AN97" i="1"/>
  <c r="AT97" i="1" s="1"/>
  <c r="P97" i="1"/>
  <c r="G97" i="1"/>
  <c r="H97" i="1" s="1"/>
  <c r="I97" i="1" s="1"/>
  <c r="AO96" i="1"/>
  <c r="AQ96" i="1" s="1"/>
  <c r="AN96" i="1"/>
  <c r="P96" i="1"/>
  <c r="G96" i="1"/>
  <c r="H96" i="1" s="1"/>
  <c r="I96" i="1" s="1"/>
  <c r="AO95" i="1"/>
  <c r="AQ95" i="1" s="1"/>
  <c r="AN95" i="1"/>
  <c r="P95" i="1"/>
  <c r="G95" i="1"/>
  <c r="H95" i="1" s="1"/>
  <c r="I95" i="1" s="1"/>
  <c r="AO94" i="1"/>
  <c r="AQ94" i="1" s="1"/>
  <c r="AN94" i="1"/>
  <c r="AT94" i="1" s="1"/>
  <c r="P94" i="1"/>
  <c r="G94" i="1"/>
  <c r="H94" i="1" s="1"/>
  <c r="I94" i="1" s="1"/>
  <c r="AO93" i="1"/>
  <c r="AQ93" i="1" s="1"/>
  <c r="AN93" i="1"/>
  <c r="P93" i="1"/>
  <c r="G93" i="1"/>
  <c r="H93" i="1" s="1"/>
  <c r="I93" i="1" s="1"/>
  <c r="AO92" i="1"/>
  <c r="AQ92" i="1" s="1"/>
  <c r="AN92" i="1"/>
  <c r="P92" i="1"/>
  <c r="G92" i="1"/>
  <c r="H92" i="1" s="1"/>
  <c r="AO91" i="1"/>
  <c r="AQ91" i="1" s="1"/>
  <c r="AN91" i="1"/>
  <c r="AT91" i="1" s="1"/>
  <c r="P91" i="1"/>
  <c r="G91" i="1"/>
  <c r="H91" i="1" s="1"/>
  <c r="I91" i="1" s="1"/>
  <c r="AO90" i="1"/>
  <c r="AQ90" i="1" s="1"/>
  <c r="AN90" i="1"/>
  <c r="AT90" i="1" s="1"/>
  <c r="P90" i="1"/>
  <c r="G90" i="1"/>
  <c r="H90" i="1" s="1"/>
  <c r="I90" i="1" s="1"/>
  <c r="AO89" i="1"/>
  <c r="AQ89" i="1" s="1"/>
  <c r="AN89" i="1"/>
  <c r="AT89" i="1" s="1"/>
  <c r="P89" i="1"/>
  <c r="G89" i="1"/>
  <c r="H89" i="1" s="1"/>
  <c r="I89" i="1" s="1"/>
  <c r="AO88" i="1"/>
  <c r="AQ88" i="1" s="1"/>
  <c r="AN88" i="1"/>
  <c r="AT88" i="1" s="1"/>
  <c r="P88" i="1"/>
  <c r="G88" i="1"/>
  <c r="H88" i="1" s="1"/>
  <c r="AO87" i="1"/>
  <c r="AQ87" i="1" s="1"/>
  <c r="AN87" i="1"/>
  <c r="AR87" i="1" s="1"/>
  <c r="AS87" i="1" s="1"/>
  <c r="P87" i="1"/>
  <c r="G87" i="1"/>
  <c r="H87" i="1" s="1"/>
  <c r="AO86" i="1"/>
  <c r="AQ86" i="1" s="1"/>
  <c r="AN86" i="1"/>
  <c r="AR86" i="1" s="1"/>
  <c r="AS86" i="1" s="1"/>
  <c r="P86" i="1"/>
  <c r="G86" i="1"/>
  <c r="H86" i="1" s="1"/>
  <c r="I86" i="1" s="1"/>
  <c r="AO85" i="1"/>
  <c r="AP85" i="1" s="1"/>
  <c r="AN85" i="1"/>
  <c r="AR85" i="1" s="1"/>
  <c r="AS85" i="1" s="1"/>
  <c r="P85" i="1"/>
  <c r="G85" i="1"/>
  <c r="H85" i="1" s="1"/>
  <c r="I85" i="1" s="1"/>
  <c r="AO84" i="1"/>
  <c r="AQ84" i="1" s="1"/>
  <c r="AN84" i="1"/>
  <c r="AR84" i="1" s="1"/>
  <c r="AS84" i="1" s="1"/>
  <c r="P84" i="1"/>
  <c r="G84" i="1"/>
  <c r="H84" i="1" s="1"/>
  <c r="I84" i="1" s="1"/>
  <c r="AO83" i="1"/>
  <c r="AQ83" i="1" s="1"/>
  <c r="AN83" i="1"/>
  <c r="AR83" i="1" s="1"/>
  <c r="AS83" i="1" s="1"/>
  <c r="P83" i="1"/>
  <c r="G83" i="1"/>
  <c r="H83" i="1" s="1"/>
  <c r="I83" i="1" s="1"/>
  <c r="AO82" i="1"/>
  <c r="AQ82" i="1" s="1"/>
  <c r="AN82" i="1"/>
  <c r="AR82" i="1" s="1"/>
  <c r="AS82" i="1" s="1"/>
  <c r="P82" i="1"/>
  <c r="G82" i="1"/>
  <c r="H82" i="1" s="1"/>
  <c r="I82" i="1" s="1"/>
  <c r="AO81" i="1"/>
  <c r="AQ81" i="1" s="1"/>
  <c r="AN81" i="1"/>
  <c r="AR81" i="1" s="1"/>
  <c r="AS81" i="1" s="1"/>
  <c r="P81" i="1"/>
  <c r="G81" i="1"/>
  <c r="H81" i="1" s="1"/>
  <c r="I81" i="1" s="1"/>
  <c r="AO80" i="1"/>
  <c r="AP80" i="1" s="1"/>
  <c r="AN80" i="1"/>
  <c r="P80" i="1"/>
  <c r="G80" i="1"/>
  <c r="H80" i="1" s="1"/>
  <c r="I80" i="1" s="1"/>
  <c r="AO79" i="1"/>
  <c r="AQ79" i="1" s="1"/>
  <c r="AN79" i="1"/>
  <c r="AR79" i="1" s="1"/>
  <c r="AS79" i="1" s="1"/>
  <c r="P79" i="1"/>
  <c r="G79" i="1"/>
  <c r="H79" i="1" s="1"/>
  <c r="I79" i="1" s="1"/>
  <c r="AO78" i="1"/>
  <c r="AQ78" i="1" s="1"/>
  <c r="AN78" i="1"/>
  <c r="AT78" i="1" s="1"/>
  <c r="P78" i="1"/>
  <c r="G78" i="1"/>
  <c r="H78" i="1" s="1"/>
  <c r="I78" i="1" s="1"/>
  <c r="AO77" i="1"/>
  <c r="AQ77" i="1" s="1"/>
  <c r="AN77" i="1"/>
  <c r="P77" i="1"/>
  <c r="G77" i="1"/>
  <c r="H77" i="1" s="1"/>
  <c r="I77" i="1" s="1"/>
  <c r="AO76" i="1"/>
  <c r="AQ76" i="1" s="1"/>
  <c r="AN76" i="1"/>
  <c r="AR76" i="1" s="1"/>
  <c r="AS76" i="1" s="1"/>
  <c r="P76" i="1"/>
  <c r="G76" i="1"/>
  <c r="H76" i="1" s="1"/>
  <c r="I76" i="1" s="1"/>
  <c r="AO75" i="1"/>
  <c r="AQ75" i="1" s="1"/>
  <c r="AN75" i="1"/>
  <c r="AT75" i="1" s="1"/>
  <c r="P75" i="1"/>
  <c r="G75" i="1"/>
  <c r="H75" i="1" s="1"/>
  <c r="I75" i="1" s="1"/>
  <c r="AO74" i="1"/>
  <c r="AQ74" i="1" s="1"/>
  <c r="AN74" i="1"/>
  <c r="AR74" i="1" s="1"/>
  <c r="AS74" i="1" s="1"/>
  <c r="P74" i="1"/>
  <c r="G74" i="1"/>
  <c r="H74" i="1" s="1"/>
  <c r="I74" i="1" s="1"/>
  <c r="AO73" i="1"/>
  <c r="AQ73" i="1" s="1"/>
  <c r="AN73" i="1"/>
  <c r="AR73" i="1" s="1"/>
  <c r="AS73" i="1" s="1"/>
  <c r="P73" i="1"/>
  <c r="G73" i="1"/>
  <c r="H73" i="1" s="1"/>
  <c r="I73" i="1" s="1"/>
  <c r="AO72" i="1"/>
  <c r="AQ72" i="1" s="1"/>
  <c r="AN72" i="1"/>
  <c r="AT72" i="1" s="1"/>
  <c r="P72" i="1"/>
  <c r="G72" i="1"/>
  <c r="H72" i="1" s="1"/>
  <c r="I72" i="1" s="1"/>
  <c r="AO71" i="1"/>
  <c r="AQ71" i="1" s="1"/>
  <c r="AN71" i="1"/>
  <c r="P71" i="1"/>
  <c r="G71" i="1"/>
  <c r="H71" i="1" s="1"/>
  <c r="I71" i="1" s="1"/>
  <c r="AO70" i="1"/>
  <c r="AQ70" i="1" s="1"/>
  <c r="AN70" i="1"/>
  <c r="AT70" i="1" s="1"/>
  <c r="P70" i="1"/>
  <c r="G70" i="1"/>
  <c r="H70" i="1" s="1"/>
  <c r="I70" i="1" s="1"/>
  <c r="AO69" i="1"/>
  <c r="AQ69" i="1" s="1"/>
  <c r="AN69" i="1"/>
  <c r="AT69" i="1" s="1"/>
  <c r="P69" i="1"/>
  <c r="G69" i="1"/>
  <c r="H69" i="1" s="1"/>
  <c r="I69" i="1" s="1"/>
  <c r="AO68" i="1"/>
  <c r="AQ68" i="1" s="1"/>
  <c r="AN68" i="1"/>
  <c r="P68" i="1"/>
  <c r="G68" i="1"/>
  <c r="H68" i="1" s="1"/>
  <c r="I68" i="1" s="1"/>
  <c r="AO67" i="1"/>
  <c r="AN67" i="1"/>
  <c r="P67" i="1"/>
  <c r="G67" i="1"/>
  <c r="H67" i="1" s="1"/>
  <c r="I67" i="1" s="1"/>
  <c r="AO66" i="1"/>
  <c r="AN66" i="1"/>
  <c r="P66" i="1"/>
  <c r="G66" i="1"/>
  <c r="H66" i="1" s="1"/>
  <c r="I66" i="1" s="1"/>
  <c r="AO65" i="1"/>
  <c r="AN65" i="1"/>
  <c r="P65" i="1"/>
  <c r="G65" i="1"/>
  <c r="H65" i="1" s="1"/>
  <c r="I65" i="1" s="1"/>
  <c r="AO64" i="1"/>
  <c r="AN64" i="1"/>
  <c r="AT64" i="1" s="1"/>
  <c r="P64" i="1"/>
  <c r="G64" i="1"/>
  <c r="H64" i="1" s="1"/>
  <c r="I64" i="1" s="1"/>
  <c r="AO63" i="1"/>
  <c r="AN63" i="1"/>
  <c r="AT63" i="1" s="1"/>
  <c r="P63" i="1"/>
  <c r="G63" i="1"/>
  <c r="H63" i="1" s="1"/>
  <c r="I63" i="1" s="1"/>
  <c r="AO62" i="1"/>
  <c r="AN62" i="1"/>
  <c r="AT62" i="1" s="1"/>
  <c r="P62" i="1"/>
  <c r="G62" i="1"/>
  <c r="H62" i="1" s="1"/>
  <c r="I62" i="1" s="1"/>
  <c r="AO61" i="1"/>
  <c r="AQ61" i="1" s="1"/>
  <c r="AN61" i="1"/>
  <c r="P61" i="1"/>
  <c r="G61" i="1"/>
  <c r="H61" i="1" s="1"/>
  <c r="I61" i="1" s="1"/>
  <c r="AO60" i="1"/>
  <c r="AQ60" i="1" s="1"/>
  <c r="AN60" i="1"/>
  <c r="AT60" i="1" s="1"/>
  <c r="P60" i="1"/>
  <c r="G60" i="1"/>
  <c r="H60" i="1" s="1"/>
  <c r="I60" i="1" s="1"/>
  <c r="AO59" i="1"/>
  <c r="AQ59" i="1" s="1"/>
  <c r="AN59" i="1"/>
  <c r="P59" i="1"/>
  <c r="G59" i="1"/>
  <c r="H59" i="1" s="1"/>
  <c r="I59" i="1" s="1"/>
  <c r="AO58" i="1"/>
  <c r="AQ58" i="1" s="1"/>
  <c r="AN58" i="1"/>
  <c r="P58" i="1"/>
  <c r="G58" i="1"/>
  <c r="H58" i="1" s="1"/>
  <c r="I58" i="1" s="1"/>
  <c r="AO57" i="1"/>
  <c r="AQ57" i="1" s="1"/>
  <c r="AN57" i="1"/>
  <c r="AT57" i="1" s="1"/>
  <c r="P57" i="1"/>
  <c r="G57" i="1"/>
  <c r="H57" i="1" s="1"/>
  <c r="I57" i="1" s="1"/>
  <c r="AO56" i="1"/>
  <c r="AQ56" i="1" s="1"/>
  <c r="AN56" i="1"/>
  <c r="AT56" i="1" s="1"/>
  <c r="P56" i="1"/>
  <c r="G56" i="1"/>
  <c r="H56" i="1" s="1"/>
  <c r="I56" i="1" s="1"/>
  <c r="AO55" i="1"/>
  <c r="AQ55" i="1" s="1"/>
  <c r="AN55" i="1"/>
  <c r="AT55" i="1" s="1"/>
  <c r="P55" i="1"/>
  <c r="G55" i="1"/>
  <c r="H55" i="1" s="1"/>
  <c r="I55" i="1" s="1"/>
  <c r="AO54" i="1"/>
  <c r="AQ54" i="1" s="1"/>
  <c r="AN54" i="1"/>
  <c r="AT54" i="1" s="1"/>
  <c r="P54" i="1"/>
  <c r="G54" i="1"/>
  <c r="H54" i="1" s="1"/>
  <c r="I54" i="1" s="1"/>
  <c r="AO53" i="1"/>
  <c r="AQ53" i="1" s="1"/>
  <c r="AN53" i="1"/>
  <c r="AT53" i="1" s="1"/>
  <c r="AU53" i="1" s="1"/>
  <c r="P53" i="1"/>
  <c r="G53" i="1"/>
  <c r="H53" i="1" s="1"/>
  <c r="I53" i="1" s="1"/>
  <c r="AO52" i="1"/>
  <c r="AQ52" i="1" s="1"/>
  <c r="AN52" i="1"/>
  <c r="AT52" i="1" s="1"/>
  <c r="P52" i="1"/>
  <c r="G52" i="1"/>
  <c r="H52" i="1" s="1"/>
  <c r="I52" i="1" s="1"/>
  <c r="AO51" i="1"/>
  <c r="AQ51" i="1" s="1"/>
  <c r="AN51" i="1"/>
  <c r="AT51" i="1" s="1"/>
  <c r="P51" i="1"/>
  <c r="G51" i="1"/>
  <c r="H51" i="1" s="1"/>
  <c r="I51" i="1" s="1"/>
  <c r="AO50" i="1"/>
  <c r="AQ50" i="1" s="1"/>
  <c r="AN50" i="1"/>
  <c r="AT50" i="1" s="1"/>
  <c r="P50" i="1"/>
  <c r="G50" i="1"/>
  <c r="H50" i="1" s="1"/>
  <c r="I50" i="1" s="1"/>
  <c r="AO49" i="1"/>
  <c r="AQ49" i="1" s="1"/>
  <c r="AN49" i="1"/>
  <c r="P49" i="1"/>
  <c r="G49" i="1"/>
  <c r="H49" i="1" s="1"/>
  <c r="I49" i="1" s="1"/>
  <c r="AO48" i="1"/>
  <c r="AQ48" i="1" s="1"/>
  <c r="AN48" i="1"/>
  <c r="P48" i="1"/>
  <c r="G48" i="1"/>
  <c r="H48" i="1" s="1"/>
  <c r="I48" i="1" s="1"/>
  <c r="AO47" i="1"/>
  <c r="AQ47" i="1" s="1"/>
  <c r="AN47" i="1"/>
  <c r="AT47" i="1" s="1"/>
  <c r="P47" i="1"/>
  <c r="G47" i="1"/>
  <c r="H47" i="1" s="1"/>
  <c r="I47" i="1" s="1"/>
  <c r="AO46" i="1"/>
  <c r="AQ46" i="1" s="1"/>
  <c r="AN46" i="1"/>
  <c r="AT46" i="1" s="1"/>
  <c r="P46" i="1"/>
  <c r="G46" i="1"/>
  <c r="H46" i="1" s="1"/>
  <c r="I46" i="1" s="1"/>
  <c r="AO45" i="1"/>
  <c r="AQ45" i="1" s="1"/>
  <c r="AN45" i="1"/>
  <c r="AT45" i="1" s="1"/>
  <c r="P45" i="1"/>
  <c r="G45" i="1"/>
  <c r="H45" i="1" s="1"/>
  <c r="I45" i="1" s="1"/>
  <c r="AO44" i="1"/>
  <c r="AQ44" i="1" s="1"/>
  <c r="AN44" i="1"/>
  <c r="AT44" i="1" s="1"/>
  <c r="P44" i="1"/>
  <c r="G44" i="1"/>
  <c r="H44" i="1" s="1"/>
  <c r="I44" i="1" s="1"/>
  <c r="AO43" i="1"/>
  <c r="AN43" i="1"/>
  <c r="P43" i="1"/>
  <c r="G43" i="1"/>
  <c r="H43" i="1" s="1"/>
  <c r="I43" i="1" s="1"/>
  <c r="AO42" i="1"/>
  <c r="AN42" i="1"/>
  <c r="AT42" i="1" s="1"/>
  <c r="P42" i="1"/>
  <c r="G42" i="1"/>
  <c r="H42" i="1" s="1"/>
  <c r="I42" i="1" s="1"/>
  <c r="AO41" i="1"/>
  <c r="AN41" i="1"/>
  <c r="AT41" i="1" s="1"/>
  <c r="P41" i="1"/>
  <c r="G41" i="1"/>
  <c r="H41" i="1" s="1"/>
  <c r="I41" i="1" s="1"/>
  <c r="AO40" i="1"/>
  <c r="AN40" i="1"/>
  <c r="AT40" i="1" s="1"/>
  <c r="P40" i="1"/>
  <c r="G40" i="1"/>
  <c r="H40" i="1" s="1"/>
  <c r="AO39" i="1"/>
  <c r="AN39" i="1"/>
  <c r="AT39" i="1" s="1"/>
  <c r="P39" i="1"/>
  <c r="G39" i="1"/>
  <c r="H39" i="1" s="1"/>
  <c r="AO38" i="1"/>
  <c r="AN38" i="1"/>
  <c r="AT38" i="1" s="1"/>
  <c r="P38" i="1"/>
  <c r="G38" i="1"/>
  <c r="H38" i="1" s="1"/>
  <c r="I38" i="1" s="1"/>
  <c r="AO37" i="1"/>
  <c r="AN37" i="1"/>
  <c r="AT37" i="1" s="1"/>
  <c r="P37" i="1"/>
  <c r="G37" i="1"/>
  <c r="H37" i="1" s="1"/>
  <c r="I37" i="1" s="1"/>
  <c r="AO36" i="1"/>
  <c r="AP36" i="1" s="1"/>
  <c r="AN36" i="1"/>
  <c r="P36" i="1"/>
  <c r="G36" i="1"/>
  <c r="H36" i="1" s="1"/>
  <c r="AO35" i="1"/>
  <c r="AP35" i="1" s="1"/>
  <c r="AN35" i="1"/>
  <c r="P35" i="1"/>
  <c r="G35" i="1"/>
  <c r="H35" i="1" s="1"/>
  <c r="AO34" i="1"/>
  <c r="AP34" i="1" s="1"/>
  <c r="AN34" i="1"/>
  <c r="AT34" i="1" s="1"/>
  <c r="P34" i="1"/>
  <c r="G34" i="1"/>
  <c r="H34" i="1" s="1"/>
  <c r="I34" i="1" s="1"/>
  <c r="AO33" i="1"/>
  <c r="AN33" i="1"/>
  <c r="AT33" i="1" s="1"/>
  <c r="P33" i="1"/>
  <c r="G33" i="1"/>
  <c r="H33" i="1" s="1"/>
  <c r="I33" i="1" s="1"/>
  <c r="AO32" i="1"/>
  <c r="AP32" i="1" s="1"/>
  <c r="AN32" i="1"/>
  <c r="AT32" i="1" s="1"/>
  <c r="P32" i="1"/>
  <c r="G32" i="1"/>
  <c r="H32" i="1" s="1"/>
  <c r="I32" i="1" s="1"/>
  <c r="AO31" i="1"/>
  <c r="AP31" i="1" s="1"/>
  <c r="AN31" i="1"/>
  <c r="AT31" i="1" s="1"/>
  <c r="P31" i="1"/>
  <c r="G31" i="1"/>
  <c r="H31" i="1" s="1"/>
  <c r="I31" i="1" s="1"/>
  <c r="AO30" i="1"/>
  <c r="AP30" i="1" s="1"/>
  <c r="AN30" i="1"/>
  <c r="P30" i="1"/>
  <c r="G30" i="1"/>
  <c r="H30" i="1" s="1"/>
  <c r="I30" i="1" s="1"/>
  <c r="AO29" i="1"/>
  <c r="AP29" i="1" s="1"/>
  <c r="AN29" i="1"/>
  <c r="P29" i="1"/>
  <c r="G29" i="1"/>
  <c r="H29" i="1" s="1"/>
  <c r="I29" i="1" s="1"/>
  <c r="AO28" i="1"/>
  <c r="AP28" i="1" s="1"/>
  <c r="AN28" i="1"/>
  <c r="P28" i="1"/>
  <c r="G28" i="1"/>
  <c r="H28" i="1" s="1"/>
  <c r="I28" i="1" s="1"/>
  <c r="AO27" i="1"/>
  <c r="AP27" i="1" s="1"/>
  <c r="AN27" i="1"/>
  <c r="AT27" i="1" s="1"/>
  <c r="P27" i="1"/>
  <c r="G27" i="1"/>
  <c r="H27" i="1" s="1"/>
  <c r="I27" i="1" s="1"/>
  <c r="AO26" i="1"/>
  <c r="AP26" i="1" s="1"/>
  <c r="AN26" i="1"/>
  <c r="AR26" i="1" s="1"/>
  <c r="AS26" i="1" s="1"/>
  <c r="P26" i="1"/>
  <c r="G26" i="1"/>
  <c r="H26" i="1" s="1"/>
  <c r="I26" i="1" s="1"/>
  <c r="AO25" i="1"/>
  <c r="AP25" i="1" s="1"/>
  <c r="AN25" i="1"/>
  <c r="AT25" i="1" s="1"/>
  <c r="P25" i="1"/>
  <c r="G25" i="1"/>
  <c r="H25" i="1" s="1"/>
  <c r="I25" i="1" s="1"/>
  <c r="AO24" i="1"/>
  <c r="AP24" i="1" s="1"/>
  <c r="AN24" i="1"/>
  <c r="AR24" i="1" s="1"/>
  <c r="AS24" i="1" s="1"/>
  <c r="P24" i="1"/>
  <c r="G24" i="1"/>
  <c r="H24" i="1" s="1"/>
  <c r="I24" i="1" s="1"/>
  <c r="AO23" i="1"/>
  <c r="AP23" i="1" s="1"/>
  <c r="AN23" i="1"/>
  <c r="P23" i="1"/>
  <c r="G23" i="1"/>
  <c r="H23" i="1" s="1"/>
  <c r="I23" i="1" s="1"/>
  <c r="AO22" i="1"/>
  <c r="AP22" i="1" s="1"/>
  <c r="AN22" i="1"/>
  <c r="P22" i="1"/>
  <c r="G22" i="1"/>
  <c r="H22" i="1" s="1"/>
  <c r="I22" i="1" s="1"/>
  <c r="AO21" i="1"/>
  <c r="AP21" i="1" s="1"/>
  <c r="AN21" i="1"/>
  <c r="P21" i="1"/>
  <c r="G21" i="1"/>
  <c r="H21" i="1" s="1"/>
  <c r="I21" i="1" s="1"/>
  <c r="AO20" i="1"/>
  <c r="AP20" i="1" s="1"/>
  <c r="AN20" i="1"/>
  <c r="AT20" i="1" s="1"/>
  <c r="P20" i="1"/>
  <c r="G20" i="1"/>
  <c r="H20" i="1" s="1"/>
  <c r="I20" i="1" s="1"/>
  <c r="AO19" i="1"/>
  <c r="AP19" i="1" s="1"/>
  <c r="AN19" i="1"/>
  <c r="AT19" i="1" s="1"/>
  <c r="P19" i="1"/>
  <c r="G19" i="1"/>
  <c r="H19" i="1" s="1"/>
  <c r="I19" i="1" s="1"/>
  <c r="AO18" i="1"/>
  <c r="AP18" i="1" s="1"/>
  <c r="AN18" i="1"/>
  <c r="AT18" i="1" s="1"/>
  <c r="P18" i="1"/>
  <c r="G18" i="1"/>
  <c r="H18" i="1" s="1"/>
  <c r="I18" i="1" s="1"/>
  <c r="AP17" i="1"/>
  <c r="T17" i="1"/>
  <c r="P17" i="1"/>
  <c r="G17" i="1"/>
  <c r="H17" i="1" s="1"/>
  <c r="I17" i="1" s="1"/>
  <c r="CN17" i="1" s="1"/>
  <c r="CN139" i="1" l="1"/>
  <c r="CN133" i="1"/>
  <c r="CN76" i="1"/>
  <c r="CN30" i="1"/>
  <c r="CN109" i="1"/>
  <c r="CN51" i="1"/>
  <c r="CN97" i="1"/>
  <c r="CN78" i="1"/>
  <c r="CN91" i="1"/>
  <c r="CN56" i="1"/>
  <c r="CN122" i="1"/>
  <c r="CN81" i="1"/>
  <c r="CN136" i="1"/>
  <c r="CN29" i="1"/>
  <c r="CN65" i="1"/>
  <c r="CN149" i="1"/>
  <c r="CN25" i="1"/>
  <c r="CN127" i="1"/>
  <c r="CN110" i="1"/>
  <c r="CN82" i="1"/>
  <c r="CN42" i="1"/>
  <c r="CN77" i="1"/>
  <c r="CN125" i="1"/>
  <c r="CN84" i="1"/>
  <c r="CN120" i="1"/>
  <c r="CN115" i="1"/>
  <c r="CN134" i="1"/>
  <c r="CN158" i="1"/>
  <c r="CN123" i="1"/>
  <c r="CN46" i="1"/>
  <c r="CN71" i="1"/>
  <c r="CN161" i="1"/>
  <c r="CN43" i="1"/>
  <c r="CN140" i="1"/>
  <c r="CN94" i="1"/>
  <c r="CN66" i="1"/>
  <c r="CN20" i="1"/>
  <c r="CN83" i="1"/>
  <c r="CN143" i="1"/>
  <c r="CN163" i="1"/>
  <c r="CN152" i="1"/>
  <c r="CN90" i="1"/>
  <c r="CN126" i="1"/>
  <c r="CN162" i="1"/>
  <c r="CN33" i="1"/>
  <c r="CN93" i="1"/>
  <c r="CN129" i="1"/>
  <c r="CN165" i="1"/>
  <c r="CN52" i="1"/>
  <c r="CN148" i="1"/>
  <c r="CN41" i="1"/>
  <c r="CN24" i="1"/>
  <c r="CN61" i="1"/>
  <c r="CN32" i="1"/>
  <c r="CN21" i="1"/>
  <c r="CN31" i="1"/>
  <c r="CN50" i="1"/>
  <c r="CN89" i="1"/>
  <c r="CN18" i="1"/>
  <c r="CN38" i="1"/>
  <c r="CN27" i="1"/>
  <c r="CN96" i="1"/>
  <c r="CN132" i="1"/>
  <c r="CN19" i="1"/>
  <c r="CN63" i="1"/>
  <c r="CN99" i="1"/>
  <c r="CN135" i="1"/>
  <c r="CN22" i="1"/>
  <c r="CN58" i="1"/>
  <c r="CN154" i="1"/>
  <c r="CN47" i="1"/>
  <c r="CN119" i="1"/>
  <c r="CN73" i="1"/>
  <c r="CN68" i="1"/>
  <c r="CN45" i="1"/>
  <c r="CN23" i="1"/>
  <c r="CN49" i="1"/>
  <c r="CN116" i="1"/>
  <c r="CN95" i="1"/>
  <c r="CN54" i="1"/>
  <c r="CN74" i="1"/>
  <c r="CN57" i="1"/>
  <c r="CN138" i="1"/>
  <c r="CN37" i="1"/>
  <c r="CN26" i="1"/>
  <c r="CN62" i="1"/>
  <c r="CN141" i="1"/>
  <c r="CN28" i="1"/>
  <c r="CN64" i="1"/>
  <c r="CN118" i="1"/>
  <c r="CN160" i="1"/>
  <c r="CN53" i="1"/>
  <c r="CN131" i="1"/>
  <c r="CN48" i="1"/>
  <c r="CN85" i="1"/>
  <c r="CN80" i="1"/>
  <c r="CN69" i="1"/>
  <c r="CW74" i="1"/>
  <c r="CW80" i="1"/>
  <c r="CX80" i="1" s="1"/>
  <c r="CW86" i="1"/>
  <c r="CW98" i="1"/>
  <c r="CW110" i="1"/>
  <c r="CW116" i="1"/>
  <c r="CW119" i="1"/>
  <c r="CW122" i="1"/>
  <c r="CW125" i="1"/>
  <c r="CW131" i="1"/>
  <c r="CW134" i="1"/>
  <c r="CW140" i="1"/>
  <c r="CW143" i="1"/>
  <c r="CW149" i="1"/>
  <c r="CW152" i="1"/>
  <c r="CW158" i="1"/>
  <c r="CW161" i="1"/>
  <c r="CW20" i="1"/>
  <c r="CW29" i="1"/>
  <c r="CW53" i="1"/>
  <c r="CW95" i="1"/>
  <c r="CW23" i="1"/>
  <c r="CW32" i="1"/>
  <c r="CW47" i="1"/>
  <c r="CW59" i="1"/>
  <c r="CW65" i="1"/>
  <c r="CW77" i="1"/>
  <c r="CX77" i="1" s="1"/>
  <c r="CW89" i="1"/>
  <c r="CW22" i="1"/>
  <c r="CW34" i="1"/>
  <c r="CW46" i="1"/>
  <c r="CW49" i="1"/>
  <c r="CW52" i="1"/>
  <c r="CW55" i="1"/>
  <c r="CW58" i="1"/>
  <c r="CW64" i="1"/>
  <c r="CX64" i="1" s="1"/>
  <c r="CW67" i="1"/>
  <c r="CW70" i="1"/>
  <c r="CW73" i="1"/>
  <c r="CW76" i="1"/>
  <c r="CX76" i="1" s="1"/>
  <c r="CW79" i="1"/>
  <c r="CX79" i="1" s="1"/>
  <c r="CW82" i="1"/>
  <c r="CX82" i="1" s="1"/>
  <c r="CW85" i="1"/>
  <c r="CW91" i="1"/>
  <c r="CW94" i="1"/>
  <c r="CW97" i="1"/>
  <c r="CW109" i="1"/>
  <c r="CW115" i="1"/>
  <c r="CW118" i="1"/>
  <c r="CW127" i="1"/>
  <c r="CW130" i="1"/>
  <c r="CW133" i="1"/>
  <c r="CW136" i="1"/>
  <c r="CW139" i="1"/>
  <c r="CW148" i="1"/>
  <c r="CW154" i="1"/>
  <c r="CW160" i="1"/>
  <c r="CW163" i="1"/>
  <c r="CW38" i="1"/>
  <c r="CX38" i="1" s="1"/>
  <c r="CW44" i="1"/>
  <c r="CW56" i="1"/>
  <c r="CW62" i="1"/>
  <c r="CX62" i="1" s="1"/>
  <c r="CW71" i="1"/>
  <c r="CX71" i="1" s="1"/>
  <c r="CW83" i="1"/>
  <c r="CW19" i="1"/>
  <c r="CW25" i="1"/>
  <c r="CW28" i="1"/>
  <c r="CW31" i="1"/>
  <c r="CW37" i="1"/>
  <c r="CW43" i="1"/>
  <c r="CW61" i="1"/>
  <c r="CW17" i="1"/>
  <c r="CW26" i="1"/>
  <c r="CW41" i="1"/>
  <c r="CW50" i="1"/>
  <c r="CW68" i="1"/>
  <c r="CW18" i="1"/>
  <c r="CW21" i="1"/>
  <c r="CW24" i="1"/>
  <c r="CW27" i="1"/>
  <c r="CW30" i="1"/>
  <c r="CW33" i="1"/>
  <c r="CW42" i="1"/>
  <c r="CW45" i="1"/>
  <c r="CW48" i="1"/>
  <c r="CW51" i="1"/>
  <c r="CW54" i="1"/>
  <c r="CW57" i="1"/>
  <c r="CW60" i="1"/>
  <c r="CW63" i="1"/>
  <c r="CW66" i="1"/>
  <c r="CW69" i="1"/>
  <c r="CW72" i="1"/>
  <c r="CX72" i="1" s="1"/>
  <c r="CW75" i="1"/>
  <c r="CX75" i="1" s="1"/>
  <c r="CW78" i="1"/>
  <c r="CX78" i="1" s="1"/>
  <c r="CW81" i="1"/>
  <c r="CX81" i="1" s="1"/>
  <c r="CW84" i="1"/>
  <c r="CW90" i="1"/>
  <c r="CW93" i="1"/>
  <c r="CW96" i="1"/>
  <c r="CW99" i="1"/>
  <c r="CW108" i="1"/>
  <c r="CW111" i="1"/>
  <c r="CW120" i="1"/>
  <c r="CW123" i="1"/>
  <c r="CW126" i="1"/>
  <c r="CW129" i="1"/>
  <c r="CW132" i="1"/>
  <c r="CW135" i="1"/>
  <c r="CX135" i="1" s="1"/>
  <c r="CW138" i="1"/>
  <c r="CW141" i="1"/>
  <c r="CW144" i="1"/>
  <c r="CW156" i="1"/>
  <c r="CX156" i="1" s="1"/>
  <c r="CW159" i="1"/>
  <c r="CW162" i="1"/>
  <c r="CW165" i="1"/>
  <c r="K107" i="1"/>
  <c r="I107" i="1"/>
  <c r="CN107" i="1" s="1"/>
  <c r="K113" i="1"/>
  <c r="L113" i="1" s="1"/>
  <c r="O113" i="1" s="1"/>
  <c r="I113" i="1"/>
  <c r="CN113" i="1" s="1"/>
  <c r="K137" i="1"/>
  <c r="I137" i="1"/>
  <c r="CN137" i="1" s="1"/>
  <c r="K155" i="1"/>
  <c r="I155" i="1"/>
  <c r="CN155" i="1" s="1"/>
  <c r="K101" i="1"/>
  <c r="M101" i="1" s="1"/>
  <c r="I101" i="1"/>
  <c r="CN101" i="1" s="1"/>
  <c r="K88" i="1"/>
  <c r="L88" i="1" s="1"/>
  <c r="O88" i="1" s="1"/>
  <c r="I88" i="1"/>
  <c r="CN88" i="1" s="1"/>
  <c r="K100" i="1"/>
  <c r="I100" i="1"/>
  <c r="CN100" i="1" s="1"/>
  <c r="K106" i="1"/>
  <c r="M106" i="1" s="1"/>
  <c r="I106" i="1"/>
  <c r="CN106" i="1" s="1"/>
  <c r="K112" i="1"/>
  <c r="I112" i="1"/>
  <c r="CN112" i="1" s="1"/>
  <c r="K124" i="1"/>
  <c r="I124" i="1"/>
  <c r="CN124" i="1" s="1"/>
  <c r="K142" i="1"/>
  <c r="M142" i="1" s="1"/>
  <c r="I142" i="1"/>
  <c r="CN142" i="1" s="1"/>
  <c r="K166" i="1"/>
  <c r="CB166" i="1" s="1"/>
  <c r="I166" i="1"/>
  <c r="CN166" i="1" s="1"/>
  <c r="K87" i="1"/>
  <c r="I87" i="1"/>
  <c r="CN87" i="1" s="1"/>
  <c r="K105" i="1"/>
  <c r="L105" i="1" s="1"/>
  <c r="O105" i="1" s="1"/>
  <c r="I105" i="1"/>
  <c r="CN105" i="1" s="1"/>
  <c r="K117" i="1"/>
  <c r="I117" i="1"/>
  <c r="CN117" i="1" s="1"/>
  <c r="K147" i="1"/>
  <c r="I147" i="1"/>
  <c r="CN147" i="1" s="1"/>
  <c r="K153" i="1"/>
  <c r="M153" i="1" s="1"/>
  <c r="I153" i="1"/>
  <c r="CN153" i="1" s="1"/>
  <c r="K92" i="1"/>
  <c r="I92" i="1"/>
  <c r="CN92" i="1" s="1"/>
  <c r="K104" i="1"/>
  <c r="I104" i="1"/>
  <c r="CN104" i="1" s="1"/>
  <c r="K128" i="1"/>
  <c r="I128" i="1"/>
  <c r="CN128" i="1" s="1"/>
  <c r="K146" i="1"/>
  <c r="I146" i="1"/>
  <c r="CN146" i="1" s="1"/>
  <c r="K164" i="1"/>
  <c r="I164" i="1"/>
  <c r="CN164" i="1" s="1"/>
  <c r="K40" i="1"/>
  <c r="M40" i="1" s="1"/>
  <c r="I40" i="1"/>
  <c r="CN40" i="1" s="1"/>
  <c r="K39" i="1"/>
  <c r="L39" i="1" s="1"/>
  <c r="O39" i="1" s="1"/>
  <c r="I39" i="1"/>
  <c r="CN39" i="1" s="1"/>
  <c r="K103" i="1"/>
  <c r="I103" i="1"/>
  <c r="CN103" i="1" s="1"/>
  <c r="K121" i="1"/>
  <c r="M121" i="1" s="1"/>
  <c r="I121" i="1"/>
  <c r="CN121" i="1" s="1"/>
  <c r="K145" i="1"/>
  <c r="I145" i="1"/>
  <c r="CN145" i="1" s="1"/>
  <c r="K151" i="1"/>
  <c r="I151" i="1"/>
  <c r="CN151" i="1" s="1"/>
  <c r="K157" i="1"/>
  <c r="L157" i="1" s="1"/>
  <c r="O157" i="1" s="1"/>
  <c r="I157" i="1"/>
  <c r="CN157" i="1" s="1"/>
  <c r="K35" i="1"/>
  <c r="I35" i="1"/>
  <c r="CN35" i="1" s="1"/>
  <c r="K36" i="1"/>
  <c r="I36" i="1"/>
  <c r="CN36" i="1" s="1"/>
  <c r="K102" i="1"/>
  <c r="M102" i="1" s="1"/>
  <c r="I102" i="1"/>
  <c r="CN102" i="1" s="1"/>
  <c r="K114" i="1"/>
  <c r="I114" i="1"/>
  <c r="CN114" i="1" s="1"/>
  <c r="K150" i="1"/>
  <c r="I150" i="1"/>
  <c r="CN150" i="1" s="1"/>
  <c r="BU71" i="1"/>
  <c r="BU77" i="1"/>
  <c r="CX143" i="1"/>
  <c r="BU143" i="1"/>
  <c r="BU64" i="1"/>
  <c r="CX70" i="1"/>
  <c r="BU70" i="1"/>
  <c r="BU76" i="1"/>
  <c r="BU82" i="1"/>
  <c r="CX63" i="1"/>
  <c r="BU63" i="1"/>
  <c r="BU75" i="1"/>
  <c r="BU81" i="1"/>
  <c r="BU135" i="1"/>
  <c r="CX74" i="1"/>
  <c r="BU74" i="1"/>
  <c r="BU80" i="1"/>
  <c r="CX152" i="1"/>
  <c r="BU152" i="1"/>
  <c r="BU38" i="1"/>
  <c r="CX73" i="1"/>
  <c r="BU73" i="1"/>
  <c r="BU79" i="1"/>
  <c r="CX44" i="1"/>
  <c r="BU44" i="1"/>
  <c r="BU62" i="1"/>
  <c r="BU72" i="1"/>
  <c r="BU78" i="1"/>
  <c r="BU156" i="1"/>
  <c r="CR76" i="1"/>
  <c r="CR44" i="1"/>
  <c r="CR62" i="1"/>
  <c r="CR74" i="1"/>
  <c r="CR80" i="1"/>
  <c r="CR152" i="1"/>
  <c r="CR82" i="1"/>
  <c r="CR75" i="1"/>
  <c r="CR81" i="1"/>
  <c r="CR135" i="1"/>
  <c r="CR73" i="1"/>
  <c r="CR79" i="1"/>
  <c r="CR64" i="1"/>
  <c r="CR63" i="1"/>
  <c r="CR72" i="1"/>
  <c r="CR78" i="1"/>
  <c r="CR156" i="1"/>
  <c r="CR70" i="1"/>
  <c r="CR71" i="1"/>
  <c r="CR77" i="1"/>
  <c r="CR143" i="1"/>
  <c r="R35" i="1"/>
  <c r="S35" i="1" s="1"/>
  <c r="T69" i="1"/>
  <c r="T105" i="1"/>
  <c r="T32" i="1"/>
  <c r="T18" i="1"/>
  <c r="T24" i="1"/>
  <c r="T30" i="1"/>
  <c r="R36" i="1"/>
  <c r="S36" i="1" s="1"/>
  <c r="R54" i="1"/>
  <c r="S54" i="1" s="1"/>
  <c r="R60" i="1"/>
  <c r="S60" i="1" s="1"/>
  <c r="T72" i="1"/>
  <c r="R84" i="1"/>
  <c r="S84" i="1" s="1"/>
  <c r="T90" i="1"/>
  <c r="T96" i="1"/>
  <c r="T102" i="1"/>
  <c r="T108" i="1"/>
  <c r="T114" i="1"/>
  <c r="T120" i="1"/>
  <c r="R132" i="1"/>
  <c r="S132" i="1" s="1"/>
  <c r="T138" i="1"/>
  <c r="T150" i="1"/>
  <c r="T156" i="1"/>
  <c r="T162" i="1"/>
  <c r="T29" i="1"/>
  <c r="T77" i="1"/>
  <c r="T89" i="1"/>
  <c r="T95" i="1"/>
  <c r="T101" i="1"/>
  <c r="T107" i="1"/>
  <c r="T113" i="1"/>
  <c r="T119" i="1"/>
  <c r="R125" i="1"/>
  <c r="S125" i="1" s="1"/>
  <c r="T137" i="1"/>
  <c r="T143" i="1"/>
  <c r="T149" i="1"/>
  <c r="T155" i="1"/>
  <c r="T161" i="1"/>
  <c r="T82" i="1"/>
  <c r="T88" i="1"/>
  <c r="T100" i="1"/>
  <c r="T106" i="1"/>
  <c r="T112" i="1"/>
  <c r="T124" i="1"/>
  <c r="R130" i="1"/>
  <c r="S130" i="1" s="1"/>
  <c r="R136" i="1"/>
  <c r="S136" i="1" s="1"/>
  <c r="T142" i="1"/>
  <c r="T148" i="1"/>
  <c r="T154" i="1"/>
  <c r="T160" i="1"/>
  <c r="T166" i="1"/>
  <c r="T41" i="1"/>
  <c r="T34" i="1"/>
  <c r="R58" i="1"/>
  <c r="S58" i="1" s="1"/>
  <c r="T76" i="1"/>
  <c r="T21" i="1"/>
  <c r="R81" i="1"/>
  <c r="S81" i="1" s="1"/>
  <c r="T99" i="1"/>
  <c r="R111" i="1"/>
  <c r="S111" i="1" s="1"/>
  <c r="T117" i="1"/>
  <c r="T123" i="1"/>
  <c r="R129" i="1"/>
  <c r="S129" i="1" s="1"/>
  <c r="T135" i="1"/>
  <c r="R141" i="1"/>
  <c r="S141" i="1" s="1"/>
  <c r="T147" i="1"/>
  <c r="R153" i="1"/>
  <c r="S153" i="1" s="1"/>
  <c r="T159" i="1"/>
  <c r="T23" i="1"/>
  <c r="T28" i="1"/>
  <c r="T40" i="1"/>
  <c r="T27" i="1"/>
  <c r="R39" i="1"/>
  <c r="S39" i="1" s="1"/>
  <c r="T87" i="1"/>
  <c r="T26" i="1"/>
  <c r="R56" i="1"/>
  <c r="S56" i="1" s="1"/>
  <c r="T74" i="1"/>
  <c r="T80" i="1"/>
  <c r="T86" i="1"/>
  <c r="T92" i="1"/>
  <c r="T98" i="1"/>
  <c r="T104" i="1"/>
  <c r="T110" i="1"/>
  <c r="R116" i="1"/>
  <c r="S116" i="1" s="1"/>
  <c r="T122" i="1"/>
  <c r="R140" i="1"/>
  <c r="S140" i="1" s="1"/>
  <c r="T146" i="1"/>
  <c r="T152" i="1"/>
  <c r="T158" i="1"/>
  <c r="T164" i="1"/>
  <c r="T22" i="1"/>
  <c r="T70" i="1"/>
  <c r="T33" i="1"/>
  <c r="R93" i="1"/>
  <c r="S93" i="1" s="1"/>
  <c r="T20" i="1"/>
  <c r="T19" i="1"/>
  <c r="T25" i="1"/>
  <c r="T31" i="1"/>
  <c r="T37" i="1"/>
  <c r="R61" i="1"/>
  <c r="S61" i="1" s="1"/>
  <c r="R79" i="1"/>
  <c r="S79" i="1" s="1"/>
  <c r="T85" i="1"/>
  <c r="T91" i="1"/>
  <c r="T97" i="1"/>
  <c r="T103" i="1"/>
  <c r="T109" i="1"/>
  <c r="T115" i="1"/>
  <c r="T121" i="1"/>
  <c r="T127" i="1"/>
  <c r="T139" i="1"/>
  <c r="T145" i="1"/>
  <c r="T151" i="1"/>
  <c r="T157" i="1"/>
  <c r="T163" i="1"/>
  <c r="CR38" i="1"/>
  <c r="AR60" i="1"/>
  <c r="AS60" i="1" s="1"/>
  <c r="AT164" i="1"/>
  <c r="AU164" i="1" s="1"/>
  <c r="AT158" i="1"/>
  <c r="AU158" i="1" s="1"/>
  <c r="T136" i="1"/>
  <c r="AT87" i="1"/>
  <c r="AU87" i="1" s="1"/>
  <c r="AT163" i="1"/>
  <c r="AU163" i="1" s="1"/>
  <c r="AT86" i="1"/>
  <c r="AU86" i="1" s="1"/>
  <c r="AQ32" i="1"/>
  <c r="AP123" i="1"/>
  <c r="AT76" i="1"/>
  <c r="AU76" i="1" s="1"/>
  <c r="R113" i="1"/>
  <c r="S113" i="1" s="1"/>
  <c r="AT157" i="1"/>
  <c r="AU157" i="1" s="1"/>
  <c r="R103" i="1"/>
  <c r="S103" i="1" s="1"/>
  <c r="AP106" i="1"/>
  <c r="T111" i="1"/>
  <c r="T140" i="1"/>
  <c r="AT156" i="1"/>
  <c r="AU156" i="1" s="1"/>
  <c r="AR53" i="1"/>
  <c r="AS53" i="1" s="1"/>
  <c r="AP97" i="1"/>
  <c r="R138" i="1"/>
  <c r="S138" i="1" s="1"/>
  <c r="K43" i="1"/>
  <c r="AT30" i="1"/>
  <c r="AU30" i="1" s="1"/>
  <c r="T42" i="1"/>
  <c r="R42" i="1"/>
  <c r="S42" i="1" s="1"/>
  <c r="AR61" i="1"/>
  <c r="AS61" i="1" s="1"/>
  <c r="AT61" i="1"/>
  <c r="AU61" i="1" s="1"/>
  <c r="AR23" i="1"/>
  <c r="AS23" i="1" s="1"/>
  <c r="AT23" i="1"/>
  <c r="AU23" i="1" s="1"/>
  <c r="AT43" i="1"/>
  <c r="AU43" i="1" s="1"/>
  <c r="AT67" i="1"/>
  <c r="AU67" i="1" s="1"/>
  <c r="AT21" i="1"/>
  <c r="AU21" i="1" s="1"/>
  <c r="AT68" i="1"/>
  <c r="AU68" i="1" s="1"/>
  <c r="AR59" i="1"/>
  <c r="AS59" i="1" s="1"/>
  <c r="AT59" i="1"/>
  <c r="AU59" i="1" s="1"/>
  <c r="AT22" i="1"/>
  <c r="AU22" i="1" s="1"/>
  <c r="AR43" i="1"/>
  <c r="AS43" i="1" s="1"/>
  <c r="AP76" i="1"/>
  <c r="AT29" i="1"/>
  <c r="AU29" i="1" s="1"/>
  <c r="AT36" i="1"/>
  <c r="AU36" i="1" s="1"/>
  <c r="AT28" i="1"/>
  <c r="AU28" i="1" s="1"/>
  <c r="AR35" i="1"/>
  <c r="AS35" i="1" s="1"/>
  <c r="AT35" i="1"/>
  <c r="AU35" i="1" s="1"/>
  <c r="AR58" i="1"/>
  <c r="AS58" i="1" s="1"/>
  <c r="AT58" i="1"/>
  <c r="AU58" i="1" s="1"/>
  <c r="AR44" i="1"/>
  <c r="AS44" i="1" s="1"/>
  <c r="AT49" i="1"/>
  <c r="AU49" i="1" s="1"/>
  <c r="AT160" i="1"/>
  <c r="AU160" i="1" s="1"/>
  <c r="AT154" i="1"/>
  <c r="AU154" i="1" s="1"/>
  <c r="AT112" i="1"/>
  <c r="AT82" i="1"/>
  <c r="AU82" i="1" s="1"/>
  <c r="R110" i="1"/>
  <c r="S110" i="1" s="1"/>
  <c r="AP120" i="1"/>
  <c r="AU136" i="1"/>
  <c r="AT165" i="1"/>
  <c r="AU165" i="1" s="1"/>
  <c r="AT159" i="1"/>
  <c r="AT153" i="1"/>
  <c r="AU153" i="1" s="1"/>
  <c r="AT129" i="1"/>
  <c r="AU129" i="1" s="1"/>
  <c r="AT111" i="1"/>
  <c r="AU111" i="1" s="1"/>
  <c r="AT93" i="1"/>
  <c r="AU93" i="1" s="1"/>
  <c r="AT81" i="1"/>
  <c r="AU81" i="1" s="1"/>
  <c r="AP92" i="1"/>
  <c r="AQ116" i="1"/>
  <c r="AP128" i="1"/>
  <c r="AU166" i="1"/>
  <c r="AT152" i="1"/>
  <c r="AU152" i="1" s="1"/>
  <c r="AT128" i="1"/>
  <c r="AU128" i="1" s="1"/>
  <c r="AT104" i="1"/>
  <c r="AU104" i="1" s="1"/>
  <c r="AT92" i="1"/>
  <c r="AU92" i="1" s="1"/>
  <c r="AT80" i="1"/>
  <c r="AU80" i="1" s="1"/>
  <c r="AT74" i="1"/>
  <c r="AU74" i="1" s="1"/>
  <c r="AT26" i="1"/>
  <c r="AU26" i="1" s="1"/>
  <c r="AU27" i="1"/>
  <c r="AU34" i="1"/>
  <c r="AP146" i="1"/>
  <c r="AT145" i="1"/>
  <c r="AU145" i="1" s="1"/>
  <c r="AT139" i="1"/>
  <c r="AU139" i="1" s="1"/>
  <c r="AT133" i="1"/>
  <c r="AU133" i="1" s="1"/>
  <c r="AT109" i="1"/>
  <c r="AU109" i="1" s="1"/>
  <c r="AT103" i="1"/>
  <c r="AU103" i="1" s="1"/>
  <c r="AT85" i="1"/>
  <c r="AU85" i="1" s="1"/>
  <c r="AT79" i="1"/>
  <c r="AU79" i="1" s="1"/>
  <c r="AT73" i="1"/>
  <c r="AU73" i="1" s="1"/>
  <c r="AU56" i="1"/>
  <c r="AU64" i="1"/>
  <c r="AU75" i="1"/>
  <c r="AU63" i="1"/>
  <c r="AU70" i="1"/>
  <c r="AP77" i="1"/>
  <c r="AU97" i="1"/>
  <c r="AU99" i="1"/>
  <c r="AU106" i="1"/>
  <c r="AT162" i="1"/>
  <c r="AU162" i="1" s="1"/>
  <c r="AT150" i="1"/>
  <c r="AU150" i="1" s="1"/>
  <c r="AT144" i="1"/>
  <c r="AU144" i="1" s="1"/>
  <c r="AT138" i="1"/>
  <c r="AU138" i="1" s="1"/>
  <c r="AT132" i="1"/>
  <c r="AU132" i="1" s="1"/>
  <c r="AT108" i="1"/>
  <c r="AU108" i="1" s="1"/>
  <c r="AT102" i="1"/>
  <c r="AU102" i="1" s="1"/>
  <c r="AT96" i="1"/>
  <c r="AU96" i="1" s="1"/>
  <c r="AT84" i="1"/>
  <c r="AU84" i="1" s="1"/>
  <c r="AT66" i="1"/>
  <c r="AU66" i="1" s="1"/>
  <c r="AT48" i="1"/>
  <c r="AU48" i="1" s="1"/>
  <c r="AT24" i="1"/>
  <c r="AU24" i="1" s="1"/>
  <c r="AU57" i="1"/>
  <c r="AU20" i="1"/>
  <c r="AU72" i="1"/>
  <c r="AU78" i="1"/>
  <c r="R97" i="1"/>
  <c r="S97" i="1" s="1"/>
  <c r="AU100" i="1"/>
  <c r="R123" i="1"/>
  <c r="S123" i="1" s="1"/>
  <c r="AU19" i="1"/>
  <c r="AU25" i="1"/>
  <c r="AU55" i="1"/>
  <c r="AU18" i="1"/>
  <c r="AU31" i="1"/>
  <c r="T39" i="1"/>
  <c r="AU54" i="1"/>
  <c r="AU60" i="1"/>
  <c r="AU62" i="1"/>
  <c r="AU69" i="1"/>
  <c r="AP75" i="1"/>
  <c r="AU94" i="1"/>
  <c r="AU98" i="1"/>
  <c r="AU105" i="1"/>
  <c r="T116" i="1"/>
  <c r="R119" i="1"/>
  <c r="S119" i="1" s="1"/>
  <c r="AU120" i="1"/>
  <c r="AU130" i="1"/>
  <c r="AT161" i="1"/>
  <c r="AU161" i="1" s="1"/>
  <c r="AT155" i="1"/>
  <c r="AU155" i="1" s="1"/>
  <c r="AT137" i="1"/>
  <c r="AU137" i="1" s="1"/>
  <c r="AT113" i="1"/>
  <c r="AU113" i="1" s="1"/>
  <c r="AT107" i="1"/>
  <c r="AU107" i="1" s="1"/>
  <c r="AT101" i="1"/>
  <c r="AU101" i="1" s="1"/>
  <c r="AT95" i="1"/>
  <c r="AU95" i="1" s="1"/>
  <c r="AT83" i="1"/>
  <c r="AU83" i="1" s="1"/>
  <c r="AT77" i="1"/>
  <c r="AU77" i="1" s="1"/>
  <c r="AT71" i="1"/>
  <c r="AU71" i="1" s="1"/>
  <c r="AT65" i="1"/>
  <c r="AU65" i="1" s="1"/>
  <c r="AU110" i="1"/>
  <c r="AU117" i="1"/>
  <c r="AU118" i="1"/>
  <c r="AU134" i="1"/>
  <c r="AU135" i="1"/>
  <c r="AU141" i="1"/>
  <c r="AU142" i="1"/>
  <c r="AU143" i="1"/>
  <c r="AU146" i="1"/>
  <c r="AU119" i="1"/>
  <c r="AU147" i="1"/>
  <c r="AU148" i="1"/>
  <c r="AU149" i="1"/>
  <c r="AU38" i="1"/>
  <c r="AU44" i="1"/>
  <c r="AU39" i="1"/>
  <c r="AU40" i="1"/>
  <c r="AU45" i="1"/>
  <c r="AU46" i="1"/>
  <c r="AU47" i="1"/>
  <c r="AU50" i="1"/>
  <c r="AU51" i="1"/>
  <c r="AU52" i="1"/>
  <c r="K110" i="1"/>
  <c r="K38" i="1"/>
  <c r="R95" i="1"/>
  <c r="S95" i="1" s="1"/>
  <c r="AP102" i="1"/>
  <c r="AP108" i="1"/>
  <c r="R115" i="1"/>
  <c r="S115" i="1" s="1"/>
  <c r="AP125" i="1"/>
  <c r="AQ131" i="1"/>
  <c r="AP135" i="1"/>
  <c r="AP138" i="1"/>
  <c r="R144" i="1"/>
  <c r="S144" i="1" s="1"/>
  <c r="R147" i="1"/>
  <c r="S147" i="1" s="1"/>
  <c r="AP150" i="1"/>
  <c r="AP154" i="1"/>
  <c r="R162" i="1"/>
  <c r="S162" i="1" s="1"/>
  <c r="AQ22" i="1"/>
  <c r="AQ31" i="1"/>
  <c r="R40" i="1"/>
  <c r="S40" i="1" s="1"/>
  <c r="AR50" i="1"/>
  <c r="AS50" i="1" s="1"/>
  <c r="AR54" i="1"/>
  <c r="AS54" i="1" s="1"/>
  <c r="R77" i="1"/>
  <c r="X77" i="1" s="1"/>
  <c r="CO77" i="1" s="1"/>
  <c r="CP77" i="1" s="1"/>
  <c r="AR78" i="1"/>
  <c r="AS78" i="1" s="1"/>
  <c r="AQ80" i="1"/>
  <c r="AP84" i="1"/>
  <c r="AP94" i="1"/>
  <c r="AP98" i="1"/>
  <c r="R100" i="1"/>
  <c r="S100" i="1" s="1"/>
  <c r="R105" i="1"/>
  <c r="S105" i="1" s="1"/>
  <c r="AQ109" i="1"/>
  <c r="AQ114" i="1"/>
  <c r="AP127" i="1"/>
  <c r="T141" i="1"/>
  <c r="AP143" i="1"/>
  <c r="T144" i="1"/>
  <c r="R148" i="1"/>
  <c r="S148" i="1" s="1"/>
  <c r="AP159" i="1"/>
  <c r="T36" i="1"/>
  <c r="AR51" i="1"/>
  <c r="AS51" i="1" s="1"/>
  <c r="R154" i="1"/>
  <c r="S154" i="1" s="1"/>
  <c r="R165" i="1"/>
  <c r="S165" i="1" s="1"/>
  <c r="AQ25" i="1"/>
  <c r="AQ34" i="1"/>
  <c r="T35" i="1"/>
  <c r="AR52" i="1"/>
  <c r="AS52" i="1" s="1"/>
  <c r="AR55" i="1"/>
  <c r="AS55" i="1" s="1"/>
  <c r="AP61" i="1"/>
  <c r="R80" i="1"/>
  <c r="X80" i="1" s="1"/>
  <c r="CO80" i="1" s="1"/>
  <c r="CP80" i="1" s="1"/>
  <c r="AP81" i="1"/>
  <c r="AP89" i="1"/>
  <c r="R101" i="1"/>
  <c r="S101" i="1" s="1"/>
  <c r="AQ112" i="1"/>
  <c r="AP122" i="1"/>
  <c r="AP129" i="1"/>
  <c r="AP132" i="1"/>
  <c r="R142" i="1"/>
  <c r="S142" i="1" s="1"/>
  <c r="R146" i="1"/>
  <c r="S146" i="1" s="1"/>
  <c r="R158" i="1"/>
  <c r="S158" i="1" s="1"/>
  <c r="T165" i="1"/>
  <c r="AQ18" i="1"/>
  <c r="AQ30" i="1"/>
  <c r="AQ23" i="1"/>
  <c r="AQ26" i="1"/>
  <c r="AR40" i="1"/>
  <c r="AS40" i="1" s="1"/>
  <c r="R41" i="1"/>
  <c r="S41" i="1" s="1"/>
  <c r="AP100" i="1"/>
  <c r="AP134" i="1"/>
  <c r="AQ141" i="1"/>
  <c r="K156" i="1"/>
  <c r="R166" i="1"/>
  <c r="S166" i="1" s="1"/>
  <c r="AR71" i="1"/>
  <c r="AS71" i="1" s="1"/>
  <c r="AR18" i="1"/>
  <c r="AS18" i="1" s="1"/>
  <c r="AR19" i="1"/>
  <c r="AS19" i="1" s="1"/>
  <c r="AR30" i="1"/>
  <c r="AS30" i="1" s="1"/>
  <c r="AR49" i="1"/>
  <c r="AS49" i="1" s="1"/>
  <c r="AR69" i="1"/>
  <c r="AS69" i="1" s="1"/>
  <c r="AR48" i="1"/>
  <c r="AS48" i="1" s="1"/>
  <c r="AR67" i="1"/>
  <c r="AS67" i="1" s="1"/>
  <c r="AR145" i="1"/>
  <c r="AS145" i="1" s="1"/>
  <c r="AR65" i="1"/>
  <c r="AS65" i="1" s="1"/>
  <c r="AR118" i="1"/>
  <c r="AS118" i="1" s="1"/>
  <c r="AR147" i="1"/>
  <c r="AS147" i="1" s="1"/>
  <c r="AR47" i="1"/>
  <c r="AS47" i="1" s="1"/>
  <c r="AR25" i="1"/>
  <c r="AS25" i="1" s="1"/>
  <c r="AR46" i="1"/>
  <c r="AS46" i="1" s="1"/>
  <c r="AR57" i="1"/>
  <c r="AS57" i="1" s="1"/>
  <c r="AR63" i="1"/>
  <c r="AS63" i="1" s="1"/>
  <c r="AR137" i="1"/>
  <c r="AS137" i="1" s="1"/>
  <c r="AR22" i="1"/>
  <c r="AS22" i="1" s="1"/>
  <c r="AR27" i="1"/>
  <c r="AS27" i="1" s="1"/>
  <c r="AR45" i="1"/>
  <c r="AS45" i="1" s="1"/>
  <c r="K42" i="1"/>
  <c r="AQ19" i="1"/>
  <c r="R48" i="1"/>
  <c r="S48" i="1" s="1"/>
  <c r="T48" i="1"/>
  <c r="K136" i="1"/>
  <c r="R47" i="1"/>
  <c r="S47" i="1" s="1"/>
  <c r="T47" i="1"/>
  <c r="T67" i="1"/>
  <c r="R67" i="1"/>
  <c r="S67" i="1" s="1"/>
  <c r="T68" i="1"/>
  <c r="R68" i="1"/>
  <c r="S68" i="1" s="1"/>
  <c r="K90" i="1"/>
  <c r="K115" i="1"/>
  <c r="K116" i="1"/>
  <c r="K125" i="1"/>
  <c r="K139" i="1"/>
  <c r="K165" i="1"/>
  <c r="R37" i="1"/>
  <c r="S37" i="1" s="1"/>
  <c r="R46" i="1"/>
  <c r="S46" i="1" s="1"/>
  <c r="T46" i="1"/>
  <c r="T65" i="1"/>
  <c r="R65" i="1"/>
  <c r="S65" i="1" s="1"/>
  <c r="T66" i="1"/>
  <c r="R66" i="1"/>
  <c r="K84" i="1"/>
  <c r="K111" i="1"/>
  <c r="AQ28" i="1"/>
  <c r="AU33" i="1"/>
  <c r="AR33" i="1"/>
  <c r="AS33" i="1" s="1"/>
  <c r="AU41" i="1"/>
  <c r="AR41" i="1"/>
  <c r="AS41" i="1" s="1"/>
  <c r="R45" i="1"/>
  <c r="S45" i="1" s="1"/>
  <c r="T45" i="1"/>
  <c r="T63" i="1"/>
  <c r="R63" i="1"/>
  <c r="S63" i="1" s="1"/>
  <c r="T64" i="1"/>
  <c r="R64" i="1"/>
  <c r="X64" i="1" s="1"/>
  <c r="CO64" i="1" s="1"/>
  <c r="CP64" i="1" s="1"/>
  <c r="AQ67" i="1"/>
  <c r="AP67" i="1"/>
  <c r="AQ20" i="1"/>
  <c r="T38" i="1"/>
  <c r="AR20" i="1"/>
  <c r="AS20" i="1" s="1"/>
  <c r="AQ21" i="1"/>
  <c r="AR28" i="1"/>
  <c r="AS28" i="1" s="1"/>
  <c r="AQ29" i="1"/>
  <c r="AU32" i="1"/>
  <c r="AR32" i="1"/>
  <c r="AS32" i="1" s="1"/>
  <c r="AP33" i="1"/>
  <c r="AQ33" i="1"/>
  <c r="AU37" i="1"/>
  <c r="AR37" i="1"/>
  <c r="AS37" i="1" s="1"/>
  <c r="R38" i="1"/>
  <c r="X38" i="1" s="1"/>
  <c r="CO38" i="1" s="1"/>
  <c r="CP38" i="1" s="1"/>
  <c r="T43" i="1"/>
  <c r="R43" i="1"/>
  <c r="S43" i="1" s="1"/>
  <c r="R44" i="1"/>
  <c r="S44" i="1" s="1"/>
  <c r="T44" i="1"/>
  <c r="R52" i="1"/>
  <c r="S52" i="1" s="1"/>
  <c r="T52" i="1"/>
  <c r="T62" i="1"/>
  <c r="R62" i="1"/>
  <c r="X62" i="1" s="1"/>
  <c r="CO62" i="1" s="1"/>
  <c r="CP62" i="1" s="1"/>
  <c r="AQ65" i="1"/>
  <c r="AP65" i="1"/>
  <c r="AQ66" i="1"/>
  <c r="AP66" i="1"/>
  <c r="K163" i="1"/>
  <c r="AR21" i="1"/>
  <c r="AS21" i="1" s="1"/>
  <c r="AR29" i="1"/>
  <c r="AS29" i="1" s="1"/>
  <c r="AU42" i="1"/>
  <c r="AR42" i="1"/>
  <c r="AS42" i="1" s="1"/>
  <c r="R51" i="1"/>
  <c r="S51" i="1" s="1"/>
  <c r="T51" i="1"/>
  <c r="AQ63" i="1"/>
  <c r="AP63" i="1"/>
  <c r="AQ64" i="1"/>
  <c r="AP64" i="1"/>
  <c r="AQ27" i="1"/>
  <c r="R50" i="1"/>
  <c r="S50" i="1" s="1"/>
  <c r="T50" i="1"/>
  <c r="AQ62" i="1"/>
  <c r="AP62" i="1"/>
  <c r="K127" i="1"/>
  <c r="K144" i="1"/>
  <c r="K41" i="1"/>
  <c r="AQ24" i="1"/>
  <c r="AR31" i="1"/>
  <c r="AS31" i="1" s="1"/>
  <c r="K37" i="1"/>
  <c r="R49" i="1"/>
  <c r="S49" i="1" s="1"/>
  <c r="T49" i="1"/>
  <c r="AR56" i="1"/>
  <c r="AS56" i="1" s="1"/>
  <c r="K61" i="1"/>
  <c r="K140" i="1"/>
  <c r="K141" i="1"/>
  <c r="K148" i="1"/>
  <c r="K149" i="1"/>
  <c r="AP69" i="1"/>
  <c r="R70" i="1"/>
  <c r="S70" i="1" s="1"/>
  <c r="AP71" i="1"/>
  <c r="R72" i="1"/>
  <c r="S72" i="1" s="1"/>
  <c r="AP73" i="1"/>
  <c r="R74" i="1"/>
  <c r="S74" i="1" s="1"/>
  <c r="AP78" i="1"/>
  <c r="R82" i="1"/>
  <c r="X82" i="1" s="1"/>
  <c r="CO82" i="1" s="1"/>
  <c r="CP82" i="1" s="1"/>
  <c r="T84" i="1"/>
  <c r="R87" i="1"/>
  <c r="S87" i="1" s="1"/>
  <c r="R92" i="1"/>
  <c r="S92" i="1" s="1"/>
  <c r="AP99" i="1"/>
  <c r="R102" i="1"/>
  <c r="S102" i="1" s="1"/>
  <c r="AP107" i="1"/>
  <c r="AP118" i="1"/>
  <c r="R121" i="1"/>
  <c r="S121" i="1" s="1"/>
  <c r="R124" i="1"/>
  <c r="S124" i="1" s="1"/>
  <c r="K135" i="1"/>
  <c r="AQ137" i="1"/>
  <c r="AQ145" i="1"/>
  <c r="AR117" i="1"/>
  <c r="AS117" i="1" s="1"/>
  <c r="AR139" i="1"/>
  <c r="AS139" i="1" s="1"/>
  <c r="R76" i="1"/>
  <c r="S76" i="1" s="1"/>
  <c r="T79" i="1"/>
  <c r="AP91" i="1"/>
  <c r="R96" i="1"/>
  <c r="AP101" i="1"/>
  <c r="R104" i="1"/>
  <c r="S104" i="1" s="1"/>
  <c r="R114" i="1"/>
  <c r="S114" i="1" s="1"/>
  <c r="AQ115" i="1"/>
  <c r="AR119" i="1"/>
  <c r="AS119" i="1" s="1"/>
  <c r="AP133" i="1"/>
  <c r="K143" i="1"/>
  <c r="R149" i="1"/>
  <c r="S149" i="1" s="1"/>
  <c r="R156" i="1"/>
  <c r="S156" i="1" s="1"/>
  <c r="AR75" i="1"/>
  <c r="AS75" i="1" s="1"/>
  <c r="T61" i="1"/>
  <c r="AP68" i="1"/>
  <c r="R69" i="1"/>
  <c r="S69" i="1" s="1"/>
  <c r="AP70" i="1"/>
  <c r="R71" i="1"/>
  <c r="S71" i="1" s="1"/>
  <c r="AP72" i="1"/>
  <c r="R73" i="1"/>
  <c r="S73" i="1" s="1"/>
  <c r="AP74" i="1"/>
  <c r="R78" i="1"/>
  <c r="S78" i="1" s="1"/>
  <c r="AR80" i="1"/>
  <c r="AS80" i="1" s="1"/>
  <c r="T81" i="1"/>
  <c r="AP82" i="1"/>
  <c r="R83" i="1"/>
  <c r="S83" i="1" s="1"/>
  <c r="AQ85" i="1"/>
  <c r="R89" i="1"/>
  <c r="S89" i="1" s="1"/>
  <c r="AP93" i="1"/>
  <c r="AP95" i="1"/>
  <c r="R98" i="1"/>
  <c r="AP103" i="1"/>
  <c r="R106" i="1"/>
  <c r="S106" i="1" s="1"/>
  <c r="R112" i="1"/>
  <c r="S112" i="1" s="1"/>
  <c r="AQ113" i="1"/>
  <c r="T125" i="1"/>
  <c r="R126" i="1"/>
  <c r="S126" i="1" s="1"/>
  <c r="R135" i="1"/>
  <c r="X135" i="1" s="1"/>
  <c r="R137" i="1"/>
  <c r="S137" i="1" s="1"/>
  <c r="R145" i="1"/>
  <c r="S145" i="1" s="1"/>
  <c r="R150" i="1"/>
  <c r="S150" i="1" s="1"/>
  <c r="AR62" i="1"/>
  <c r="AS62" i="1" s="1"/>
  <c r="AR64" i="1"/>
  <c r="AS64" i="1" s="1"/>
  <c r="AR66" i="1"/>
  <c r="AS66" i="1" s="1"/>
  <c r="AR68" i="1"/>
  <c r="AS68" i="1" s="1"/>
  <c r="AR70" i="1"/>
  <c r="AS70" i="1" s="1"/>
  <c r="T71" i="1"/>
  <c r="AR72" i="1"/>
  <c r="AS72" i="1" s="1"/>
  <c r="T73" i="1"/>
  <c r="R75" i="1"/>
  <c r="S75" i="1" s="1"/>
  <c r="AR77" i="1"/>
  <c r="AS77" i="1" s="1"/>
  <c r="T78" i="1"/>
  <c r="AP79" i="1"/>
  <c r="T83" i="1"/>
  <c r="AP87" i="1"/>
  <c r="AP96" i="1"/>
  <c r="R99" i="1"/>
  <c r="S99" i="1" s="1"/>
  <c r="AP104" i="1"/>
  <c r="R107" i="1"/>
  <c r="S107" i="1" s="1"/>
  <c r="R117" i="1"/>
  <c r="AQ124" i="1"/>
  <c r="T126" i="1"/>
  <c r="AP130" i="1"/>
  <c r="AR138" i="1"/>
  <c r="AS138" i="1" s="1"/>
  <c r="R139" i="1"/>
  <c r="S139" i="1" s="1"/>
  <c r="AP142" i="1"/>
  <c r="R143" i="1"/>
  <c r="X143" i="1" s="1"/>
  <c r="CO143" i="1" s="1"/>
  <c r="CP143" i="1" s="1"/>
  <c r="AR146" i="1"/>
  <c r="AS146" i="1" s="1"/>
  <c r="AP158" i="1"/>
  <c r="R164" i="1"/>
  <c r="S164" i="1" s="1"/>
  <c r="AQ35" i="1"/>
  <c r="T75" i="1"/>
  <c r="R91" i="1"/>
  <c r="S91" i="1" s="1"/>
  <c r="AP105" i="1"/>
  <c r="AR136" i="1"/>
  <c r="AS136" i="1" s="1"/>
  <c r="AR144" i="1"/>
  <c r="AS144" i="1" s="1"/>
  <c r="AP160" i="1"/>
  <c r="K26" i="1"/>
  <c r="K34" i="1"/>
  <c r="L35" i="1"/>
  <c r="O35" i="1" s="1"/>
  <c r="K19" i="1"/>
  <c r="K27" i="1"/>
  <c r="K17" i="1"/>
  <c r="CB17" i="1" s="1"/>
  <c r="K20" i="1"/>
  <c r="K28" i="1"/>
  <c r="K21" i="1"/>
  <c r="K29" i="1"/>
  <c r="L36" i="1"/>
  <c r="O36" i="1" s="1"/>
  <c r="M36" i="1"/>
  <c r="K18" i="1"/>
  <c r="K22" i="1"/>
  <c r="K30" i="1"/>
  <c r="K23" i="1"/>
  <c r="K31" i="1"/>
  <c r="K24" i="1"/>
  <c r="K32" i="1"/>
  <c r="K25" i="1"/>
  <c r="K33" i="1"/>
  <c r="AQ41" i="1"/>
  <c r="AP41" i="1"/>
  <c r="AQ39" i="1"/>
  <c r="AP39" i="1"/>
  <c r="K44" i="1"/>
  <c r="K45" i="1"/>
  <c r="K46" i="1"/>
  <c r="K47" i="1"/>
  <c r="K48" i="1"/>
  <c r="K49" i="1"/>
  <c r="K50" i="1"/>
  <c r="K51" i="1"/>
  <c r="K52" i="1"/>
  <c r="AR39" i="1"/>
  <c r="AS39" i="1" s="1"/>
  <c r="L40" i="1"/>
  <c r="O40" i="1" s="1"/>
  <c r="K53" i="1"/>
  <c r="K54" i="1"/>
  <c r="AQ42" i="1"/>
  <c r="AP42" i="1"/>
  <c r="K55" i="1"/>
  <c r="K56" i="1"/>
  <c r="R17" i="1"/>
  <c r="R18" i="1"/>
  <c r="R19" i="1"/>
  <c r="S19" i="1" s="1"/>
  <c r="R20" i="1"/>
  <c r="S20" i="1" s="1"/>
  <c r="R21" i="1"/>
  <c r="R22" i="1"/>
  <c r="S22" i="1" s="1"/>
  <c r="R23" i="1"/>
  <c r="R24" i="1"/>
  <c r="S24" i="1" s="1"/>
  <c r="R25" i="1"/>
  <c r="S25" i="1" s="1"/>
  <c r="R26" i="1"/>
  <c r="S26" i="1" s="1"/>
  <c r="R27" i="1"/>
  <c r="S27" i="1" s="1"/>
  <c r="R28" i="1"/>
  <c r="S28" i="1" s="1"/>
  <c r="R29" i="1"/>
  <c r="R30" i="1"/>
  <c r="S30" i="1" s="1"/>
  <c r="R31" i="1"/>
  <c r="R32" i="1"/>
  <c r="S32" i="1" s="1"/>
  <c r="R33" i="1"/>
  <c r="S33" i="1" s="1"/>
  <c r="R34" i="1"/>
  <c r="AQ38" i="1"/>
  <c r="AP38" i="1"/>
  <c r="AQ43" i="1"/>
  <c r="AP43" i="1"/>
  <c r="K57" i="1"/>
  <c r="K58" i="1"/>
  <c r="AR38" i="1"/>
  <c r="AS38" i="1" s="1"/>
  <c r="M39" i="1"/>
  <c r="AQ40" i="1"/>
  <c r="AP40" i="1"/>
  <c r="K59" i="1"/>
  <c r="K60" i="1"/>
  <c r="AR34" i="1"/>
  <c r="AS34" i="1" s="1"/>
  <c r="AQ36" i="1"/>
  <c r="AR36" i="1"/>
  <c r="AS36" i="1" s="1"/>
  <c r="AQ37" i="1"/>
  <c r="AP37" i="1"/>
  <c r="K66" i="1"/>
  <c r="K83" i="1"/>
  <c r="K89" i="1"/>
  <c r="AP44" i="1"/>
  <c r="AP45" i="1"/>
  <c r="AP46" i="1"/>
  <c r="AP47" i="1"/>
  <c r="AP48" i="1"/>
  <c r="AP49" i="1"/>
  <c r="AP50" i="1"/>
  <c r="AP51" i="1"/>
  <c r="AP52" i="1"/>
  <c r="T54" i="1"/>
  <c r="AP54" i="1"/>
  <c r="T56" i="1"/>
  <c r="AP56" i="1"/>
  <c r="T58" i="1"/>
  <c r="AP58" i="1"/>
  <c r="T60" i="1"/>
  <c r="K68" i="1"/>
  <c r="K65" i="1"/>
  <c r="M88" i="1"/>
  <c r="K91" i="1"/>
  <c r="R53" i="1"/>
  <c r="S53" i="1" s="1"/>
  <c r="R55" i="1"/>
  <c r="S55" i="1" s="1"/>
  <c r="R57" i="1"/>
  <c r="S57" i="1" s="1"/>
  <c r="R59" i="1"/>
  <c r="K62" i="1"/>
  <c r="K63" i="1"/>
  <c r="K64" i="1"/>
  <c r="K67" i="1"/>
  <c r="M87" i="1"/>
  <c r="L87" i="1"/>
  <c r="O87" i="1" s="1"/>
  <c r="T53" i="1"/>
  <c r="AP53" i="1"/>
  <c r="T55" i="1"/>
  <c r="AP55" i="1"/>
  <c r="T57" i="1"/>
  <c r="AP57" i="1"/>
  <c r="T59" i="1"/>
  <c r="AP59" i="1"/>
  <c r="AP60" i="1"/>
  <c r="K69" i="1"/>
  <c r="K86" i="1"/>
  <c r="K93" i="1"/>
  <c r="K94" i="1"/>
  <c r="K85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T93" i="1"/>
  <c r="K96" i="1"/>
  <c r="AU90" i="1"/>
  <c r="AR90" i="1"/>
  <c r="AS90" i="1" s="1"/>
  <c r="AU91" i="1"/>
  <c r="AR91" i="1"/>
  <c r="AS91" i="1" s="1"/>
  <c r="K95" i="1"/>
  <c r="K99" i="1"/>
  <c r="K109" i="1"/>
  <c r="L112" i="1"/>
  <c r="O112" i="1" s="1"/>
  <c r="M112" i="1"/>
  <c r="R85" i="1"/>
  <c r="R88" i="1"/>
  <c r="T94" i="1"/>
  <c r="M107" i="1"/>
  <c r="L107" i="1"/>
  <c r="O107" i="1" s="1"/>
  <c r="K108" i="1"/>
  <c r="AP90" i="1"/>
  <c r="L92" i="1"/>
  <c r="O92" i="1" s="1"/>
  <c r="R94" i="1"/>
  <c r="K97" i="1"/>
  <c r="M100" i="1"/>
  <c r="L100" i="1"/>
  <c r="O100" i="1" s="1"/>
  <c r="K119" i="1"/>
  <c r="AP83" i="1"/>
  <c r="R86" i="1"/>
  <c r="S86" i="1" s="1"/>
  <c r="AU88" i="1"/>
  <c r="AR88" i="1"/>
  <c r="AS88" i="1" s="1"/>
  <c r="AP86" i="1"/>
  <c r="R90" i="1"/>
  <c r="S90" i="1" s="1"/>
  <c r="K98" i="1"/>
  <c r="M103" i="1"/>
  <c r="L103" i="1"/>
  <c r="O103" i="1" s="1"/>
  <c r="AP88" i="1"/>
  <c r="AU89" i="1"/>
  <c r="AR89" i="1"/>
  <c r="AS89" i="1" s="1"/>
  <c r="M104" i="1"/>
  <c r="L104" i="1"/>
  <c r="O104" i="1" s="1"/>
  <c r="AU115" i="1"/>
  <c r="AR115" i="1"/>
  <c r="AS115" i="1" s="1"/>
  <c r="AQ117" i="1"/>
  <c r="AP117" i="1"/>
  <c r="AQ119" i="1"/>
  <c r="AP119" i="1"/>
  <c r="R108" i="1"/>
  <c r="R109" i="1"/>
  <c r="S109" i="1" s="1"/>
  <c r="AQ111" i="1"/>
  <c r="T118" i="1"/>
  <c r="R118" i="1"/>
  <c r="S118" i="1" s="1"/>
  <c r="K126" i="1"/>
  <c r="K123" i="1"/>
  <c r="AU114" i="1"/>
  <c r="AR114" i="1"/>
  <c r="AS114" i="1" s="1"/>
  <c r="AU116" i="1"/>
  <c r="AR116" i="1"/>
  <c r="AS116" i="1" s="1"/>
  <c r="K120" i="1"/>
  <c r="K122" i="1"/>
  <c r="AR109" i="1"/>
  <c r="AS109" i="1" s="1"/>
  <c r="AQ110" i="1"/>
  <c r="AU112" i="1"/>
  <c r="M117" i="1"/>
  <c r="K118" i="1"/>
  <c r="L121" i="1"/>
  <c r="O121" i="1" s="1"/>
  <c r="M124" i="1"/>
  <c r="L124" i="1"/>
  <c r="O124" i="1" s="1"/>
  <c r="AR92" i="1"/>
  <c r="AS92" i="1" s="1"/>
  <c r="AR93" i="1"/>
  <c r="AS93" i="1" s="1"/>
  <c r="AR94" i="1"/>
  <c r="AS94" i="1" s="1"/>
  <c r="AR95" i="1"/>
  <c r="AS95" i="1" s="1"/>
  <c r="AR96" i="1"/>
  <c r="AS96" i="1" s="1"/>
  <c r="AR97" i="1"/>
  <c r="AS97" i="1" s="1"/>
  <c r="AR98" i="1"/>
  <c r="AS98" i="1" s="1"/>
  <c r="AR99" i="1"/>
  <c r="AS99" i="1" s="1"/>
  <c r="AR100" i="1"/>
  <c r="AS100" i="1" s="1"/>
  <c r="AR101" i="1"/>
  <c r="AS101" i="1" s="1"/>
  <c r="AR102" i="1"/>
  <c r="AS102" i="1" s="1"/>
  <c r="AR103" i="1"/>
  <c r="AS103" i="1" s="1"/>
  <c r="AR104" i="1"/>
  <c r="AS104" i="1" s="1"/>
  <c r="AR105" i="1"/>
  <c r="AS105" i="1" s="1"/>
  <c r="AR106" i="1"/>
  <c r="AS106" i="1" s="1"/>
  <c r="AR107" i="1"/>
  <c r="AS107" i="1" s="1"/>
  <c r="AR108" i="1"/>
  <c r="AS108" i="1" s="1"/>
  <c r="AR110" i="1"/>
  <c r="AS110" i="1" s="1"/>
  <c r="K134" i="1"/>
  <c r="M114" i="1"/>
  <c r="K130" i="1"/>
  <c r="AR120" i="1"/>
  <c r="AS120" i="1" s="1"/>
  <c r="AU121" i="1"/>
  <c r="AR121" i="1"/>
  <c r="AS121" i="1" s="1"/>
  <c r="T129" i="1"/>
  <c r="K133" i="1"/>
  <c r="AU140" i="1"/>
  <c r="AR140" i="1"/>
  <c r="AS140" i="1" s="1"/>
  <c r="M147" i="1"/>
  <c r="L147" i="1"/>
  <c r="O147" i="1" s="1"/>
  <c r="T128" i="1"/>
  <c r="K131" i="1"/>
  <c r="K132" i="1"/>
  <c r="T134" i="1"/>
  <c r="AQ140" i="1"/>
  <c r="AP140" i="1"/>
  <c r="M145" i="1"/>
  <c r="L145" i="1"/>
  <c r="O145" i="1" s="1"/>
  <c r="M150" i="1"/>
  <c r="L150" i="1"/>
  <c r="O150" i="1" s="1"/>
  <c r="AP121" i="1"/>
  <c r="R122" i="1"/>
  <c r="S122" i="1" s="1"/>
  <c r="AU127" i="1"/>
  <c r="AR127" i="1"/>
  <c r="AS127" i="1" s="1"/>
  <c r="R128" i="1"/>
  <c r="S128" i="1" s="1"/>
  <c r="T133" i="1"/>
  <c r="R134" i="1"/>
  <c r="S134" i="1" s="1"/>
  <c r="AU126" i="1"/>
  <c r="AR126" i="1"/>
  <c r="AS126" i="1" s="1"/>
  <c r="T132" i="1"/>
  <c r="R133" i="1"/>
  <c r="S133" i="1" s="1"/>
  <c r="AU125" i="1"/>
  <c r="AR125" i="1"/>
  <c r="AS125" i="1" s="1"/>
  <c r="K129" i="1"/>
  <c r="T131" i="1"/>
  <c r="M146" i="1"/>
  <c r="L146" i="1"/>
  <c r="O146" i="1" s="1"/>
  <c r="M151" i="1"/>
  <c r="L151" i="1"/>
  <c r="O151" i="1" s="1"/>
  <c r="K154" i="1"/>
  <c r="R120" i="1"/>
  <c r="S120" i="1" s="1"/>
  <c r="AU124" i="1"/>
  <c r="AR124" i="1"/>
  <c r="AS124" i="1" s="1"/>
  <c r="AP126" i="1"/>
  <c r="R127" i="1"/>
  <c r="S127" i="1" s="1"/>
  <c r="R131" i="1"/>
  <c r="K138" i="1"/>
  <c r="AU123" i="1"/>
  <c r="AR123" i="1"/>
  <c r="AS123" i="1" s="1"/>
  <c r="L128" i="1"/>
  <c r="O128" i="1" s="1"/>
  <c r="M137" i="1"/>
  <c r="L137" i="1"/>
  <c r="O137" i="1" s="1"/>
  <c r="AU122" i="1"/>
  <c r="AR122" i="1"/>
  <c r="AS122" i="1" s="1"/>
  <c r="T130" i="1"/>
  <c r="AP139" i="1"/>
  <c r="M155" i="1"/>
  <c r="L155" i="1"/>
  <c r="O155" i="1" s="1"/>
  <c r="K161" i="1"/>
  <c r="M166" i="1"/>
  <c r="L166" i="1"/>
  <c r="AP147" i="1"/>
  <c r="AR151" i="1"/>
  <c r="AS151" i="1" s="1"/>
  <c r="AU151" i="1"/>
  <c r="AP152" i="1"/>
  <c r="AQ157" i="1"/>
  <c r="AP157" i="1"/>
  <c r="K159" i="1"/>
  <c r="K160" i="1"/>
  <c r="AP148" i="1"/>
  <c r="K152" i="1"/>
  <c r="M164" i="1"/>
  <c r="L164" i="1"/>
  <c r="O164" i="1" s="1"/>
  <c r="AP149" i="1"/>
  <c r="AP151" i="1"/>
  <c r="AR148" i="1"/>
  <c r="AS148" i="1" s="1"/>
  <c r="AR141" i="1"/>
  <c r="AS141" i="1" s="1"/>
  <c r="AR149" i="1"/>
  <c r="AS149" i="1" s="1"/>
  <c r="K158" i="1"/>
  <c r="AR128" i="1"/>
  <c r="AS128" i="1" s="1"/>
  <c r="AR129" i="1"/>
  <c r="AS129" i="1" s="1"/>
  <c r="AR130" i="1"/>
  <c r="AS130" i="1" s="1"/>
  <c r="AR131" i="1"/>
  <c r="AS131" i="1" s="1"/>
  <c r="AR132" i="1"/>
  <c r="AS132" i="1" s="1"/>
  <c r="AR133" i="1"/>
  <c r="AS133" i="1" s="1"/>
  <c r="AR134" i="1"/>
  <c r="AS134" i="1" s="1"/>
  <c r="AP136" i="1"/>
  <c r="AR142" i="1"/>
  <c r="AS142" i="1" s="1"/>
  <c r="AP144" i="1"/>
  <c r="R152" i="1"/>
  <c r="S152" i="1" s="1"/>
  <c r="T153" i="1"/>
  <c r="K162" i="1"/>
  <c r="AR135" i="1"/>
  <c r="AS135" i="1" s="1"/>
  <c r="AR143" i="1"/>
  <c r="AS143" i="1" s="1"/>
  <c r="R151" i="1"/>
  <c r="S151" i="1" s="1"/>
  <c r="AP153" i="1"/>
  <c r="AQ163" i="1"/>
  <c r="AP163" i="1"/>
  <c r="R157" i="1"/>
  <c r="R161" i="1"/>
  <c r="AP156" i="1"/>
  <c r="R160" i="1"/>
  <c r="S160" i="1" s="1"/>
  <c r="R163" i="1"/>
  <c r="S163" i="1" s="1"/>
  <c r="AP155" i="1"/>
  <c r="AQ165" i="1"/>
  <c r="AP165" i="1"/>
  <c r="R155" i="1"/>
  <c r="R159" i="1"/>
  <c r="S159" i="1" s="1"/>
  <c r="AU159" i="1"/>
  <c r="AQ161" i="1"/>
  <c r="AP161" i="1"/>
  <c r="AQ162" i="1"/>
  <c r="AP162" i="1"/>
  <c r="AQ164" i="1"/>
  <c r="AP164" i="1"/>
  <c r="AP166" i="1"/>
  <c r="AR166" i="1"/>
  <c r="AS166" i="1" s="1"/>
  <c r="L102" i="1" l="1"/>
  <c r="O102" i="1" s="1"/>
  <c r="L142" i="1"/>
  <c r="O142" i="1" s="1"/>
  <c r="M113" i="1"/>
  <c r="L106" i="1"/>
  <c r="O106" i="1" s="1"/>
  <c r="M157" i="1"/>
  <c r="L153" i="1"/>
  <c r="O153" i="1" s="1"/>
  <c r="L101" i="1"/>
  <c r="O101" i="1" s="1"/>
  <c r="M105" i="1"/>
  <c r="X17" i="1"/>
  <c r="CW36" i="1"/>
  <c r="CX36" i="1" s="1"/>
  <c r="CW104" i="1"/>
  <c r="CW100" i="1"/>
  <c r="CW114" i="1"/>
  <c r="CW35" i="1"/>
  <c r="CW145" i="1"/>
  <c r="CX145" i="1" s="1"/>
  <c r="CW39" i="1"/>
  <c r="CX39" i="1" s="1"/>
  <c r="CW146" i="1"/>
  <c r="CW92" i="1"/>
  <c r="CX92" i="1" s="1"/>
  <c r="CW117" i="1"/>
  <c r="CW166" i="1"/>
  <c r="CX166" i="1" s="1"/>
  <c r="CW112" i="1"/>
  <c r="CX112" i="1" s="1"/>
  <c r="CW88" i="1"/>
  <c r="CW137" i="1"/>
  <c r="CW150" i="1"/>
  <c r="CX150" i="1" s="1"/>
  <c r="CW147" i="1"/>
  <c r="CW107" i="1"/>
  <c r="CX107" i="1" s="1"/>
  <c r="CW103" i="1"/>
  <c r="CW87" i="1"/>
  <c r="CW155" i="1"/>
  <c r="CW102" i="1"/>
  <c r="CX102" i="1" s="1"/>
  <c r="CW157" i="1"/>
  <c r="CW121" i="1"/>
  <c r="CX121" i="1" s="1"/>
  <c r="CW40" i="1"/>
  <c r="CW128" i="1"/>
  <c r="CW153" i="1"/>
  <c r="CW105" i="1"/>
  <c r="CX105" i="1" s="1"/>
  <c r="CW142" i="1"/>
  <c r="CW106" i="1"/>
  <c r="CW101" i="1"/>
  <c r="CX101" i="1" s="1"/>
  <c r="CW113" i="1"/>
  <c r="CW151" i="1"/>
  <c r="CX151" i="1" s="1"/>
  <c r="CW164" i="1"/>
  <c r="CX164" i="1" s="1"/>
  <c r="CW124" i="1"/>
  <c r="BP81" i="1"/>
  <c r="CB81" i="1"/>
  <c r="CC81" i="1" s="1"/>
  <c r="CD81" i="1" s="1"/>
  <c r="BP91" i="1"/>
  <c r="CB91" i="1"/>
  <c r="CC91" i="1" s="1"/>
  <c r="CD91" i="1" s="1"/>
  <c r="BP25" i="1"/>
  <c r="CB25" i="1"/>
  <c r="CC25" i="1" s="1"/>
  <c r="CD25" i="1" s="1"/>
  <c r="BP28" i="1"/>
  <c r="CB28" i="1"/>
  <c r="BP135" i="1"/>
  <c r="CB135" i="1"/>
  <c r="CC135" i="1" s="1"/>
  <c r="CD135" i="1" s="1"/>
  <c r="BP131" i="1"/>
  <c r="CB131" i="1"/>
  <c r="BP133" i="1"/>
  <c r="CB133" i="1"/>
  <c r="BP122" i="1"/>
  <c r="CB122" i="1"/>
  <c r="BP119" i="1"/>
  <c r="CB119" i="1"/>
  <c r="BP96" i="1"/>
  <c r="CB96" i="1"/>
  <c r="BP73" i="1"/>
  <c r="CB73" i="1"/>
  <c r="CC73" i="1" s="1"/>
  <c r="CD73" i="1" s="1"/>
  <c r="BP37" i="1"/>
  <c r="CB37" i="1"/>
  <c r="CC37" i="1" s="1"/>
  <c r="CD37" i="1" s="1"/>
  <c r="BP111" i="1"/>
  <c r="CB111" i="1"/>
  <c r="BP116" i="1"/>
  <c r="CB116" i="1"/>
  <c r="CC116" i="1" s="1"/>
  <c r="CD116" i="1" s="1"/>
  <c r="BP138" i="1"/>
  <c r="CB138" i="1"/>
  <c r="BP118" i="1"/>
  <c r="CB118" i="1"/>
  <c r="BP120" i="1"/>
  <c r="CB120" i="1"/>
  <c r="CC120" i="1" s="1"/>
  <c r="CD120" i="1" s="1"/>
  <c r="BP123" i="1"/>
  <c r="CB123" i="1"/>
  <c r="BP97" i="1"/>
  <c r="CB97" i="1"/>
  <c r="BP109" i="1"/>
  <c r="CB109" i="1"/>
  <c r="CC109" i="1" s="1"/>
  <c r="CD109" i="1" s="1"/>
  <c r="BP78" i="1"/>
  <c r="CB78" i="1"/>
  <c r="CC78" i="1" s="1"/>
  <c r="CD78" i="1" s="1"/>
  <c r="BP72" i="1"/>
  <c r="CB72" i="1"/>
  <c r="CC72" i="1" s="1"/>
  <c r="CD72" i="1" s="1"/>
  <c r="BP86" i="1"/>
  <c r="CB86" i="1"/>
  <c r="CC86" i="1" s="1"/>
  <c r="CD86" i="1" s="1"/>
  <c r="BP65" i="1"/>
  <c r="CB65" i="1"/>
  <c r="CC65" i="1" s="1"/>
  <c r="CD65" i="1" s="1"/>
  <c r="BP89" i="1"/>
  <c r="CB89" i="1"/>
  <c r="BP47" i="1"/>
  <c r="CB47" i="1"/>
  <c r="CC47" i="1" s="1"/>
  <c r="CD47" i="1" s="1"/>
  <c r="BP31" i="1"/>
  <c r="CB31" i="1"/>
  <c r="CC31" i="1" s="1"/>
  <c r="CD31" i="1" s="1"/>
  <c r="BP27" i="1"/>
  <c r="CB27" i="1"/>
  <c r="BP143" i="1"/>
  <c r="CB143" i="1"/>
  <c r="BP140" i="1"/>
  <c r="CB140" i="1"/>
  <c r="CC140" i="1" s="1"/>
  <c r="CD140" i="1" s="1"/>
  <c r="BP84" i="1"/>
  <c r="CB84" i="1"/>
  <c r="BP115" i="1"/>
  <c r="CB115" i="1"/>
  <c r="BP42" i="1"/>
  <c r="CB42" i="1"/>
  <c r="CC42" i="1" s="1"/>
  <c r="CD42" i="1" s="1"/>
  <c r="BP110" i="1"/>
  <c r="CB110" i="1"/>
  <c r="BP154" i="1"/>
  <c r="CB154" i="1"/>
  <c r="BP134" i="1"/>
  <c r="CB134" i="1"/>
  <c r="CC134" i="1" s="1"/>
  <c r="CD134" i="1" s="1"/>
  <c r="BP71" i="1"/>
  <c r="CB71" i="1"/>
  <c r="BP67" i="1"/>
  <c r="CB67" i="1"/>
  <c r="CC67" i="1" s="1"/>
  <c r="CD67" i="1" s="1"/>
  <c r="BP68" i="1"/>
  <c r="CB68" i="1"/>
  <c r="BP54" i="1"/>
  <c r="CB54" i="1"/>
  <c r="BP23" i="1"/>
  <c r="CB23" i="1"/>
  <c r="CC23" i="1" s="1"/>
  <c r="CD23" i="1" s="1"/>
  <c r="BP90" i="1"/>
  <c r="CB90" i="1"/>
  <c r="BP114" i="1"/>
  <c r="CB114" i="1"/>
  <c r="CC114" i="1" s="1"/>
  <c r="CD114" i="1" s="1"/>
  <c r="BP35" i="1"/>
  <c r="CB35" i="1"/>
  <c r="CC35" i="1" s="1"/>
  <c r="CD35" i="1" s="1"/>
  <c r="BP145" i="1"/>
  <c r="CB145" i="1"/>
  <c r="CC145" i="1" s="1"/>
  <c r="CD145" i="1" s="1"/>
  <c r="BP39" i="1"/>
  <c r="CB39" i="1"/>
  <c r="BP146" i="1"/>
  <c r="CB146" i="1"/>
  <c r="CC146" i="1" s="1"/>
  <c r="CD146" i="1" s="1"/>
  <c r="BP92" i="1"/>
  <c r="CB92" i="1"/>
  <c r="CC92" i="1" s="1"/>
  <c r="CD92" i="1" s="1"/>
  <c r="BP117" i="1"/>
  <c r="CB117" i="1"/>
  <c r="CC117" i="1" s="1"/>
  <c r="CD117" i="1" s="1"/>
  <c r="BP166" i="1"/>
  <c r="BP112" i="1"/>
  <c r="CB112" i="1"/>
  <c r="CC112" i="1" s="1"/>
  <c r="CD112" i="1" s="1"/>
  <c r="BP88" i="1"/>
  <c r="CB88" i="1"/>
  <c r="BP137" i="1"/>
  <c r="CB137" i="1"/>
  <c r="BP129" i="1"/>
  <c r="CB129" i="1"/>
  <c r="BP126" i="1"/>
  <c r="CB126" i="1"/>
  <c r="BP77" i="1"/>
  <c r="CB77" i="1"/>
  <c r="BP69" i="1"/>
  <c r="CB69" i="1"/>
  <c r="CC69" i="1" s="1"/>
  <c r="CD69" i="1" s="1"/>
  <c r="BP83" i="1"/>
  <c r="CB83" i="1"/>
  <c r="BP52" i="1"/>
  <c r="CB52" i="1"/>
  <c r="CC52" i="1" s="1"/>
  <c r="CD52" i="1" s="1"/>
  <c r="BP46" i="1"/>
  <c r="CB46" i="1"/>
  <c r="CC46" i="1" s="1"/>
  <c r="CD46" i="1" s="1"/>
  <c r="BP29" i="1"/>
  <c r="CB29" i="1"/>
  <c r="BP19" i="1"/>
  <c r="CB19" i="1"/>
  <c r="CC19" i="1" s="1"/>
  <c r="CD19" i="1" s="1"/>
  <c r="BP61" i="1"/>
  <c r="CB61" i="1"/>
  <c r="BP158" i="1"/>
  <c r="CB158" i="1"/>
  <c r="BP98" i="1"/>
  <c r="CB98" i="1"/>
  <c r="CC98" i="1" s="1"/>
  <c r="CD98" i="1" s="1"/>
  <c r="BP82" i="1"/>
  <c r="CB82" i="1"/>
  <c r="CC82" i="1" s="1"/>
  <c r="CD82" i="1" s="1"/>
  <c r="BP76" i="1"/>
  <c r="CB76" i="1"/>
  <c r="CC76" i="1" s="1"/>
  <c r="CD76" i="1" s="1"/>
  <c r="BP70" i="1"/>
  <c r="CB70" i="1"/>
  <c r="CC70" i="1" s="1"/>
  <c r="CD70" i="1" s="1"/>
  <c r="BP64" i="1"/>
  <c r="CB64" i="1"/>
  <c r="BP66" i="1"/>
  <c r="CB66" i="1"/>
  <c r="BP60" i="1"/>
  <c r="CB60" i="1"/>
  <c r="CC60" i="1" s="1"/>
  <c r="CD60" i="1" s="1"/>
  <c r="BP53" i="1"/>
  <c r="CB53" i="1"/>
  <c r="BP51" i="1"/>
  <c r="CB51" i="1"/>
  <c r="BP45" i="1"/>
  <c r="CB45" i="1"/>
  <c r="CC45" i="1" s="1"/>
  <c r="CD45" i="1" s="1"/>
  <c r="BP33" i="1"/>
  <c r="CB33" i="1"/>
  <c r="BP30" i="1"/>
  <c r="CB30" i="1"/>
  <c r="BP21" i="1"/>
  <c r="CB21" i="1"/>
  <c r="CC21" i="1" s="1"/>
  <c r="CD21" i="1" s="1"/>
  <c r="BP41" i="1"/>
  <c r="CB41" i="1"/>
  <c r="BP163" i="1"/>
  <c r="CB163" i="1"/>
  <c r="BP165" i="1"/>
  <c r="CB165" i="1"/>
  <c r="CC165" i="1" s="1"/>
  <c r="CD165" i="1" s="1"/>
  <c r="BP136" i="1"/>
  <c r="CB136" i="1"/>
  <c r="CC136" i="1" s="1"/>
  <c r="CD136" i="1" s="1"/>
  <c r="BP44" i="1"/>
  <c r="CB44" i="1"/>
  <c r="BP149" i="1"/>
  <c r="CB149" i="1"/>
  <c r="CC149" i="1" s="1"/>
  <c r="CD149" i="1" s="1"/>
  <c r="BP102" i="1"/>
  <c r="CB102" i="1"/>
  <c r="CC102" i="1" s="1"/>
  <c r="CD102" i="1" s="1"/>
  <c r="BP157" i="1"/>
  <c r="CB157" i="1"/>
  <c r="CC157" i="1" s="1"/>
  <c r="CD157" i="1" s="1"/>
  <c r="BP121" i="1"/>
  <c r="CB121" i="1"/>
  <c r="CC121" i="1" s="1"/>
  <c r="CD121" i="1" s="1"/>
  <c r="BP40" i="1"/>
  <c r="CB40" i="1"/>
  <c r="CC40" i="1" s="1"/>
  <c r="CD40" i="1" s="1"/>
  <c r="BP128" i="1"/>
  <c r="CB128" i="1"/>
  <c r="CC128" i="1" s="1"/>
  <c r="BP153" i="1"/>
  <c r="CB153" i="1"/>
  <c r="CC153" i="1" s="1"/>
  <c r="CD153" i="1" s="1"/>
  <c r="BP105" i="1"/>
  <c r="CB105" i="1"/>
  <c r="CC105" i="1" s="1"/>
  <c r="CD105" i="1" s="1"/>
  <c r="BP142" i="1"/>
  <c r="CB142" i="1"/>
  <c r="CC142" i="1" s="1"/>
  <c r="BP106" i="1"/>
  <c r="CB106" i="1"/>
  <c r="CC106" i="1" s="1"/>
  <c r="BP101" i="1"/>
  <c r="CB101" i="1"/>
  <c r="CC101" i="1" s="1"/>
  <c r="CD101" i="1" s="1"/>
  <c r="BP113" i="1"/>
  <c r="CB113" i="1"/>
  <c r="CC113" i="1" s="1"/>
  <c r="CD113" i="1" s="1"/>
  <c r="BP162" i="1"/>
  <c r="CB162" i="1"/>
  <c r="CC162" i="1" s="1"/>
  <c r="CD162" i="1" s="1"/>
  <c r="BP85" i="1"/>
  <c r="CB85" i="1"/>
  <c r="BP58" i="1"/>
  <c r="CB58" i="1"/>
  <c r="BP144" i="1"/>
  <c r="CB144" i="1"/>
  <c r="BP139" i="1"/>
  <c r="CB139" i="1"/>
  <c r="CC139" i="1" s="1"/>
  <c r="CD139" i="1" s="1"/>
  <c r="BP159" i="1"/>
  <c r="CB159" i="1"/>
  <c r="CC159" i="1" s="1"/>
  <c r="CD159" i="1" s="1"/>
  <c r="BP132" i="1"/>
  <c r="CB132" i="1"/>
  <c r="CC132" i="1" s="1"/>
  <c r="CD132" i="1" s="1"/>
  <c r="BP108" i="1"/>
  <c r="CB108" i="1"/>
  <c r="CC108" i="1" s="1"/>
  <c r="CD108" i="1" s="1"/>
  <c r="BP95" i="1"/>
  <c r="CB95" i="1"/>
  <c r="BP80" i="1"/>
  <c r="CB80" i="1"/>
  <c r="CC80" i="1" s="1"/>
  <c r="CD80" i="1" s="1"/>
  <c r="BP74" i="1"/>
  <c r="CB74" i="1"/>
  <c r="CC74" i="1" s="1"/>
  <c r="CD74" i="1" s="1"/>
  <c r="BP94" i="1"/>
  <c r="CB94" i="1"/>
  <c r="BP62" i="1"/>
  <c r="CB62" i="1"/>
  <c r="BP57" i="1"/>
  <c r="CB57" i="1"/>
  <c r="CC57" i="1" s="1"/>
  <c r="CD57" i="1" s="1"/>
  <c r="BP55" i="1"/>
  <c r="CB55" i="1"/>
  <c r="BP49" i="1"/>
  <c r="CB49" i="1"/>
  <c r="CC49" i="1" s="1"/>
  <c r="CD49" i="1" s="1"/>
  <c r="BP32" i="1"/>
  <c r="CB32" i="1"/>
  <c r="CC32" i="1" s="1"/>
  <c r="CD32" i="1" s="1"/>
  <c r="BP18" i="1"/>
  <c r="CB18" i="1"/>
  <c r="BP20" i="1"/>
  <c r="CB20" i="1"/>
  <c r="CC20" i="1" s="1"/>
  <c r="CD20" i="1" s="1"/>
  <c r="BP26" i="1"/>
  <c r="CB26" i="1"/>
  <c r="CC26" i="1" s="1"/>
  <c r="CD26" i="1" s="1"/>
  <c r="BP148" i="1"/>
  <c r="CB148" i="1"/>
  <c r="BP127" i="1"/>
  <c r="CB127" i="1"/>
  <c r="CC127" i="1" s="1"/>
  <c r="CD127" i="1" s="1"/>
  <c r="BP125" i="1"/>
  <c r="CB125" i="1"/>
  <c r="BP43" i="1"/>
  <c r="CB43" i="1"/>
  <c r="BP152" i="1"/>
  <c r="CB152" i="1"/>
  <c r="CC152" i="1" s="1"/>
  <c r="CD152" i="1" s="1"/>
  <c r="BP160" i="1"/>
  <c r="CB160" i="1"/>
  <c r="CC160" i="1" s="1"/>
  <c r="CD160" i="1" s="1"/>
  <c r="BP161" i="1"/>
  <c r="CB161" i="1"/>
  <c r="BP99" i="1"/>
  <c r="CB99" i="1"/>
  <c r="CC99" i="1" s="1"/>
  <c r="CD99" i="1" s="1"/>
  <c r="BP75" i="1"/>
  <c r="CB75" i="1"/>
  <c r="CC75" i="1" s="1"/>
  <c r="CD75" i="1" s="1"/>
  <c r="BP63" i="1"/>
  <c r="CB63" i="1"/>
  <c r="CC63" i="1" s="1"/>
  <c r="CD63" i="1" s="1"/>
  <c r="BP59" i="1"/>
  <c r="CB59" i="1"/>
  <c r="CC59" i="1" s="1"/>
  <c r="CD59" i="1" s="1"/>
  <c r="BP56" i="1"/>
  <c r="CB56" i="1"/>
  <c r="CC56" i="1" s="1"/>
  <c r="CD56" i="1" s="1"/>
  <c r="BP50" i="1"/>
  <c r="CB50" i="1"/>
  <c r="BP22" i="1"/>
  <c r="CB22" i="1"/>
  <c r="CC22" i="1" s="1"/>
  <c r="CD22" i="1" s="1"/>
  <c r="BP34" i="1"/>
  <c r="CB34" i="1"/>
  <c r="CC34" i="1" s="1"/>
  <c r="CD34" i="1" s="1"/>
  <c r="BP130" i="1"/>
  <c r="CB130" i="1"/>
  <c r="BP79" i="1"/>
  <c r="CB79" i="1"/>
  <c r="CC79" i="1" s="1"/>
  <c r="CD79" i="1" s="1"/>
  <c r="BP93" i="1"/>
  <c r="CB93" i="1"/>
  <c r="CC93" i="1" s="1"/>
  <c r="CD93" i="1" s="1"/>
  <c r="BP48" i="1"/>
  <c r="CB48" i="1"/>
  <c r="BP24" i="1"/>
  <c r="CB24" i="1"/>
  <c r="CC24" i="1" s="1"/>
  <c r="CD24" i="1" s="1"/>
  <c r="BP17" i="1"/>
  <c r="CC17" i="1"/>
  <c r="CD17" i="1" s="1"/>
  <c r="BP141" i="1"/>
  <c r="CB141" i="1"/>
  <c r="CC141" i="1" s="1"/>
  <c r="CD141" i="1" s="1"/>
  <c r="BP156" i="1"/>
  <c r="CB156" i="1"/>
  <c r="CC156" i="1" s="1"/>
  <c r="CD156" i="1" s="1"/>
  <c r="BP38" i="1"/>
  <c r="CB38" i="1"/>
  <c r="CC38" i="1" s="1"/>
  <c r="CD38" i="1" s="1"/>
  <c r="BP150" i="1"/>
  <c r="CB150" i="1"/>
  <c r="CC150" i="1" s="1"/>
  <c r="BP36" i="1"/>
  <c r="CB36" i="1"/>
  <c r="CC36" i="1" s="1"/>
  <c r="CD36" i="1" s="1"/>
  <c r="BP151" i="1"/>
  <c r="CB151" i="1"/>
  <c r="CC151" i="1" s="1"/>
  <c r="CD151" i="1" s="1"/>
  <c r="BP103" i="1"/>
  <c r="CB103" i="1"/>
  <c r="CC103" i="1" s="1"/>
  <c r="CD103" i="1" s="1"/>
  <c r="BP164" i="1"/>
  <c r="CB164" i="1"/>
  <c r="CC164" i="1" s="1"/>
  <c r="CD164" i="1" s="1"/>
  <c r="BP104" i="1"/>
  <c r="CB104" i="1"/>
  <c r="CC104" i="1" s="1"/>
  <c r="BP147" i="1"/>
  <c r="CB147" i="1"/>
  <c r="CC147" i="1" s="1"/>
  <c r="BP87" i="1"/>
  <c r="CB87" i="1"/>
  <c r="CC87" i="1" s="1"/>
  <c r="CD87" i="1" s="1"/>
  <c r="BP124" i="1"/>
  <c r="CB124" i="1"/>
  <c r="CC124" i="1" s="1"/>
  <c r="CD124" i="1" s="1"/>
  <c r="BP100" i="1"/>
  <c r="CB100" i="1"/>
  <c r="CC100" i="1" s="1"/>
  <c r="BP155" i="1"/>
  <c r="CB155" i="1"/>
  <c r="CC155" i="1" s="1"/>
  <c r="CD155" i="1" s="1"/>
  <c r="BP107" i="1"/>
  <c r="CB107" i="1"/>
  <c r="CC107" i="1" s="1"/>
  <c r="CD107" i="1" s="1"/>
  <c r="M35" i="1"/>
  <c r="Y35" i="1" s="1"/>
  <c r="Z35" i="1" s="1"/>
  <c r="AA35" i="1" s="1"/>
  <c r="M92" i="1"/>
  <c r="CC39" i="1"/>
  <c r="L114" i="1"/>
  <c r="O114" i="1" s="1"/>
  <c r="CC88" i="1"/>
  <c r="CD88" i="1" s="1"/>
  <c r="CC166" i="1"/>
  <c r="CD166" i="1" s="1"/>
  <c r="L165" i="1"/>
  <c r="O165" i="1" s="1"/>
  <c r="M163" i="1"/>
  <c r="M128" i="1"/>
  <c r="CC137" i="1"/>
  <c r="CD137" i="1" s="1"/>
  <c r="L117" i="1"/>
  <c r="O117" i="1" s="1"/>
  <c r="X81" i="1"/>
  <c r="CO81" i="1" s="1"/>
  <c r="CP81" i="1" s="1"/>
  <c r="CX159" i="1"/>
  <c r="BU159" i="1"/>
  <c r="BU129" i="1"/>
  <c r="CX113" i="1"/>
  <c r="BU113" i="1"/>
  <c r="CX106" i="1"/>
  <c r="BU106" i="1"/>
  <c r="BU100" i="1"/>
  <c r="CX99" i="1"/>
  <c r="BU99" i="1"/>
  <c r="CX69" i="1"/>
  <c r="BU69" i="1"/>
  <c r="BU36" i="1"/>
  <c r="BU148" i="1"/>
  <c r="CX37" i="1"/>
  <c r="BU37" i="1"/>
  <c r="BU163" i="1"/>
  <c r="BU110" i="1"/>
  <c r="BU142" i="1"/>
  <c r="BU120" i="1"/>
  <c r="BU105" i="1"/>
  <c r="CX126" i="1"/>
  <c r="BU126" i="1"/>
  <c r="BU93" i="1"/>
  <c r="BU67" i="1"/>
  <c r="CX60" i="1"/>
  <c r="BU60" i="1"/>
  <c r="CX57" i="1"/>
  <c r="BU57" i="1"/>
  <c r="BU56" i="1"/>
  <c r="BU50" i="1"/>
  <c r="BU47" i="1"/>
  <c r="CX33" i="1"/>
  <c r="BU33" i="1"/>
  <c r="CX24" i="1"/>
  <c r="BU24" i="1"/>
  <c r="CX30" i="1"/>
  <c r="BU30" i="1"/>
  <c r="CX28" i="1"/>
  <c r="BU28" i="1"/>
  <c r="CX27" i="1"/>
  <c r="BU27" i="1"/>
  <c r="CX34" i="1"/>
  <c r="BU34" i="1"/>
  <c r="BU61" i="1"/>
  <c r="CX84" i="1"/>
  <c r="BU84" i="1"/>
  <c r="BU115" i="1"/>
  <c r="BU145" i="1"/>
  <c r="CX132" i="1"/>
  <c r="BU132" i="1"/>
  <c r="BU134" i="1"/>
  <c r="CX123" i="1"/>
  <c r="BU123" i="1"/>
  <c r="CX104" i="1"/>
  <c r="BU104" i="1"/>
  <c r="BU119" i="1"/>
  <c r="BU92" i="1"/>
  <c r="CX109" i="1"/>
  <c r="BU109" i="1"/>
  <c r="BU95" i="1"/>
  <c r="CX65" i="1"/>
  <c r="BU65" i="1"/>
  <c r="CX54" i="1"/>
  <c r="BU54" i="1"/>
  <c r="BU141" i="1"/>
  <c r="CX127" i="1"/>
  <c r="BU127" i="1"/>
  <c r="CX40" i="1"/>
  <c r="BU40" i="1"/>
  <c r="BU139" i="1"/>
  <c r="BU151" i="1"/>
  <c r="CX157" i="1"/>
  <c r="BU157" i="1"/>
  <c r="BU137" i="1"/>
  <c r="BU164" i="1"/>
  <c r="CX118" i="1"/>
  <c r="BU118" i="1"/>
  <c r="CX103" i="1"/>
  <c r="BU103" i="1"/>
  <c r="CX85" i="1"/>
  <c r="BU85" i="1"/>
  <c r="CX91" i="1"/>
  <c r="BU91" i="1"/>
  <c r="BU66" i="1"/>
  <c r="CX59" i="1"/>
  <c r="BU59" i="1"/>
  <c r="CX55" i="1"/>
  <c r="BU55" i="1"/>
  <c r="CX52" i="1"/>
  <c r="BU52" i="1"/>
  <c r="CX49" i="1"/>
  <c r="BU49" i="1"/>
  <c r="CX46" i="1"/>
  <c r="BU46" i="1"/>
  <c r="CX25" i="1"/>
  <c r="BU25" i="1"/>
  <c r="CX31" i="1"/>
  <c r="BU31" i="1"/>
  <c r="CX22" i="1"/>
  <c r="BU22" i="1"/>
  <c r="CX29" i="1"/>
  <c r="BU29" i="1"/>
  <c r="CX20" i="1"/>
  <c r="BU20" i="1"/>
  <c r="CX19" i="1"/>
  <c r="BU19" i="1"/>
  <c r="CX26" i="1"/>
  <c r="BU26" i="1"/>
  <c r="BU117" i="1"/>
  <c r="CX41" i="1"/>
  <c r="BU41" i="1"/>
  <c r="BU39" i="1"/>
  <c r="CX125" i="1"/>
  <c r="BU125" i="1"/>
  <c r="CX90" i="1"/>
  <c r="BU90" i="1"/>
  <c r="CX154" i="1"/>
  <c r="BU154" i="1"/>
  <c r="CX146" i="1"/>
  <c r="BU146" i="1"/>
  <c r="CX131" i="1"/>
  <c r="BU131" i="1"/>
  <c r="BU150" i="1"/>
  <c r="CX158" i="1"/>
  <c r="BU158" i="1"/>
  <c r="CX133" i="1"/>
  <c r="BU133" i="1"/>
  <c r="BU112" i="1"/>
  <c r="BU87" i="1"/>
  <c r="CX96" i="1"/>
  <c r="BU96" i="1"/>
  <c r="CX86" i="1"/>
  <c r="BU86" i="1"/>
  <c r="CX68" i="1"/>
  <c r="BU68" i="1"/>
  <c r="CX89" i="1"/>
  <c r="BU89" i="1"/>
  <c r="CX53" i="1"/>
  <c r="BU53" i="1"/>
  <c r="CX35" i="1"/>
  <c r="BU35" i="1"/>
  <c r="CX149" i="1"/>
  <c r="BU149" i="1"/>
  <c r="CX140" i="1"/>
  <c r="BU140" i="1"/>
  <c r="CX42" i="1"/>
  <c r="BU42" i="1"/>
  <c r="CX153" i="1"/>
  <c r="BU153" i="1"/>
  <c r="CX162" i="1"/>
  <c r="BU162" i="1"/>
  <c r="CX138" i="1"/>
  <c r="BU138" i="1"/>
  <c r="CX124" i="1"/>
  <c r="BU124" i="1"/>
  <c r="CX147" i="1"/>
  <c r="BU147" i="1"/>
  <c r="CX161" i="1"/>
  <c r="BU161" i="1"/>
  <c r="CX98" i="1"/>
  <c r="BU98" i="1"/>
  <c r="CX108" i="1"/>
  <c r="BU108" i="1"/>
  <c r="CX155" i="1"/>
  <c r="BU155" i="1"/>
  <c r="CX114" i="1"/>
  <c r="BU114" i="1"/>
  <c r="BU102" i="1"/>
  <c r="CX97" i="1"/>
  <c r="BU97" i="1"/>
  <c r="BU166" i="1"/>
  <c r="CX160" i="1"/>
  <c r="BU160" i="1"/>
  <c r="CX128" i="1"/>
  <c r="BU128" i="1"/>
  <c r="BU121" i="1"/>
  <c r="CX130" i="1"/>
  <c r="BU130" i="1"/>
  <c r="CX122" i="1"/>
  <c r="BU122" i="1"/>
  <c r="BU107" i="1"/>
  <c r="BU101" i="1"/>
  <c r="CX88" i="1"/>
  <c r="BU88" i="1"/>
  <c r="CX94" i="1"/>
  <c r="BU94" i="1"/>
  <c r="CX83" i="1"/>
  <c r="BU83" i="1"/>
  <c r="CX58" i="1"/>
  <c r="BU58" i="1"/>
  <c r="CX51" i="1"/>
  <c r="BU51" i="1"/>
  <c r="CX48" i="1"/>
  <c r="BU48" i="1"/>
  <c r="CX45" i="1"/>
  <c r="BU45" i="1"/>
  <c r="CX32" i="1"/>
  <c r="BU32" i="1"/>
  <c r="CX23" i="1"/>
  <c r="BU23" i="1"/>
  <c r="CX18" i="1"/>
  <c r="BU18" i="1"/>
  <c r="CX21" i="1"/>
  <c r="BU21" i="1"/>
  <c r="CX17" i="1"/>
  <c r="BU17" i="1"/>
  <c r="CX144" i="1"/>
  <c r="BU144" i="1"/>
  <c r="CX111" i="1"/>
  <c r="BU111" i="1"/>
  <c r="CX165" i="1"/>
  <c r="BU165" i="1"/>
  <c r="CX116" i="1"/>
  <c r="BU116" i="1"/>
  <c r="CX136" i="1"/>
  <c r="BU136" i="1"/>
  <c r="CX43" i="1"/>
  <c r="BU43" i="1"/>
  <c r="L144" i="1"/>
  <c r="O144" i="1" s="1"/>
  <c r="M43" i="1"/>
  <c r="Y43" i="1" s="1"/>
  <c r="Z43" i="1" s="1"/>
  <c r="AA43" i="1" s="1"/>
  <c r="AB43" i="1" s="1"/>
  <c r="AC43" i="1" s="1"/>
  <c r="AD43" i="1" s="1"/>
  <c r="M136" i="1"/>
  <c r="Y136" i="1" s="1"/>
  <c r="Z136" i="1" s="1"/>
  <c r="AA136" i="1" s="1"/>
  <c r="AB136" i="1" s="1"/>
  <c r="AC136" i="1" s="1"/>
  <c r="AD136" i="1" s="1"/>
  <c r="L156" i="1"/>
  <c r="O156" i="1" s="1"/>
  <c r="CC29" i="1"/>
  <c r="CD29" i="1" s="1"/>
  <c r="CC84" i="1"/>
  <c r="CD84" i="1" s="1"/>
  <c r="M115" i="1"/>
  <c r="Y115" i="1" s="1"/>
  <c r="Z115" i="1" s="1"/>
  <c r="AA115" i="1" s="1"/>
  <c r="AB115" i="1" s="1"/>
  <c r="AC115" i="1" s="1"/>
  <c r="AD115" i="1" s="1"/>
  <c r="CD39" i="1"/>
  <c r="CC94" i="1"/>
  <c r="CD94" i="1" s="1"/>
  <c r="CC138" i="1"/>
  <c r="CD138" i="1" s="1"/>
  <c r="CC126" i="1"/>
  <c r="CD126" i="1" s="1"/>
  <c r="CC77" i="1"/>
  <c r="CD77" i="1" s="1"/>
  <c r="CC71" i="1"/>
  <c r="CD71" i="1" s="1"/>
  <c r="CC83" i="1"/>
  <c r="CD83" i="1" s="1"/>
  <c r="CC123" i="1"/>
  <c r="CD123" i="1" s="1"/>
  <c r="CC51" i="1"/>
  <c r="CD51" i="1" s="1"/>
  <c r="CC48" i="1"/>
  <c r="CD48" i="1" s="1"/>
  <c r="CC18" i="1"/>
  <c r="CD18" i="1" s="1"/>
  <c r="M125" i="1"/>
  <c r="Y125" i="1" s="1"/>
  <c r="Z125" i="1" s="1"/>
  <c r="AA125" i="1" s="1"/>
  <c r="AB125" i="1" s="1"/>
  <c r="AC125" i="1" s="1"/>
  <c r="AD125" i="1" s="1"/>
  <c r="L90" i="1"/>
  <c r="O90" i="1" s="1"/>
  <c r="M38" i="1"/>
  <c r="Y38" i="1" s="1"/>
  <c r="Z38" i="1" s="1"/>
  <c r="AA38" i="1" s="1"/>
  <c r="CD150" i="1"/>
  <c r="CC43" i="1"/>
  <c r="CD43" i="1" s="1"/>
  <c r="CC118" i="1"/>
  <c r="CD118" i="1" s="1"/>
  <c r="CC119" i="1"/>
  <c r="CD119" i="1" s="1"/>
  <c r="CC95" i="1"/>
  <c r="CD95" i="1" s="1"/>
  <c r="CC64" i="1"/>
  <c r="CD64" i="1" s="1"/>
  <c r="CC66" i="1"/>
  <c r="CD66" i="1" s="1"/>
  <c r="CC55" i="1"/>
  <c r="CD55" i="1" s="1"/>
  <c r="CC54" i="1"/>
  <c r="CD54" i="1" s="1"/>
  <c r="CC44" i="1"/>
  <c r="CD44" i="1" s="1"/>
  <c r="L143" i="1"/>
  <c r="O143" i="1" s="1"/>
  <c r="L140" i="1"/>
  <c r="O140" i="1" s="1"/>
  <c r="L42" i="1"/>
  <c r="O42" i="1" s="1"/>
  <c r="M110" i="1"/>
  <c r="Y110" i="1" s="1"/>
  <c r="Z110" i="1" s="1"/>
  <c r="AA110" i="1" s="1"/>
  <c r="CC110" i="1"/>
  <c r="CD110" i="1" s="1"/>
  <c r="CD142" i="1"/>
  <c r="CC161" i="1"/>
  <c r="CD161" i="1" s="1"/>
  <c r="CC154" i="1"/>
  <c r="CD154" i="1" s="1"/>
  <c r="CC131" i="1"/>
  <c r="CD131" i="1" s="1"/>
  <c r="CC133" i="1"/>
  <c r="CD133" i="1" s="1"/>
  <c r="CC85" i="1"/>
  <c r="CD85" i="1" s="1"/>
  <c r="CC68" i="1"/>
  <c r="CD68" i="1" s="1"/>
  <c r="CC89" i="1"/>
  <c r="CD89" i="1" s="1"/>
  <c r="CC50" i="1"/>
  <c r="CD50" i="1" s="1"/>
  <c r="CC33" i="1"/>
  <c r="CD33" i="1" s="1"/>
  <c r="CC30" i="1"/>
  <c r="CD30" i="1" s="1"/>
  <c r="M111" i="1"/>
  <c r="Y111" i="1" s="1"/>
  <c r="Z111" i="1" s="1"/>
  <c r="AA111" i="1" s="1"/>
  <c r="AB111" i="1" s="1"/>
  <c r="AC111" i="1" s="1"/>
  <c r="AD111" i="1" s="1"/>
  <c r="CC111" i="1"/>
  <c r="CD111" i="1" s="1"/>
  <c r="CD100" i="1"/>
  <c r="CD106" i="1"/>
  <c r="CD104" i="1"/>
  <c r="CC158" i="1"/>
  <c r="CD158" i="1" s="1"/>
  <c r="CC129" i="1"/>
  <c r="CD129" i="1" s="1"/>
  <c r="CC130" i="1"/>
  <c r="CD130" i="1" s="1"/>
  <c r="CC122" i="1"/>
  <c r="CD122" i="1" s="1"/>
  <c r="CC97" i="1"/>
  <c r="CD97" i="1" s="1"/>
  <c r="CC96" i="1"/>
  <c r="CD96" i="1" s="1"/>
  <c r="X79" i="1"/>
  <c r="CO79" i="1" s="1"/>
  <c r="CP79" i="1" s="1"/>
  <c r="CC62" i="1"/>
  <c r="CD62" i="1" s="1"/>
  <c r="CC58" i="1"/>
  <c r="CD58" i="1" s="1"/>
  <c r="CC53" i="1"/>
  <c r="CD53" i="1" s="1"/>
  <c r="CC28" i="1"/>
  <c r="CD28" i="1" s="1"/>
  <c r="CC27" i="1"/>
  <c r="CD27" i="1" s="1"/>
  <c r="L148" i="1"/>
  <c r="O148" i="1" s="1"/>
  <c r="CC148" i="1"/>
  <c r="CD148" i="1" s="1"/>
  <c r="CC163" i="1"/>
  <c r="CD163" i="1" s="1"/>
  <c r="CD147" i="1"/>
  <c r="CX56" i="1"/>
  <c r="X165" i="1"/>
  <c r="CO165" i="1" s="1"/>
  <c r="CP165" i="1" s="1"/>
  <c r="X116" i="1"/>
  <c r="CO116" i="1" s="1"/>
  <c r="CP116" i="1" s="1"/>
  <c r="X136" i="1"/>
  <c r="CO136" i="1" s="1"/>
  <c r="CP136" i="1" s="1"/>
  <c r="CX129" i="1"/>
  <c r="CX61" i="1"/>
  <c r="CX93" i="1"/>
  <c r="CD128" i="1"/>
  <c r="M149" i="1"/>
  <c r="Y149" i="1" s="1"/>
  <c r="Z149" i="1" s="1"/>
  <c r="AA149" i="1" s="1"/>
  <c r="AB149" i="1" s="1"/>
  <c r="AC149" i="1" s="1"/>
  <c r="AD149" i="1" s="1"/>
  <c r="S17" i="1"/>
  <c r="CO17" i="1"/>
  <c r="CP17" i="1" s="1"/>
  <c r="L149" i="1"/>
  <c r="O149" i="1" s="1"/>
  <c r="X148" i="1"/>
  <c r="CO148" i="1" s="1"/>
  <c r="CP148" i="1" s="1"/>
  <c r="CR54" i="1"/>
  <c r="CR149" i="1"/>
  <c r="CR42" i="1"/>
  <c r="CR142" i="1"/>
  <c r="CX142" i="1"/>
  <c r="CR155" i="1"/>
  <c r="CR102" i="1"/>
  <c r="CR83" i="1"/>
  <c r="CR55" i="1"/>
  <c r="CR164" i="1"/>
  <c r="CR159" i="1"/>
  <c r="CR138" i="1"/>
  <c r="CR124" i="1"/>
  <c r="CR134" i="1"/>
  <c r="CX134" i="1"/>
  <c r="CR120" i="1"/>
  <c r="CX120" i="1"/>
  <c r="CR107" i="1"/>
  <c r="CR101" i="1"/>
  <c r="CR119" i="1"/>
  <c r="CX119" i="1"/>
  <c r="CR92" i="1"/>
  <c r="CR109" i="1"/>
  <c r="CR95" i="1"/>
  <c r="CX95" i="1"/>
  <c r="CR69" i="1"/>
  <c r="CR52" i="1"/>
  <c r="CR49" i="1"/>
  <c r="CR46" i="1"/>
  <c r="CR111" i="1"/>
  <c r="CR165" i="1"/>
  <c r="CR116" i="1"/>
  <c r="CR136" i="1"/>
  <c r="CR161" i="1"/>
  <c r="CR150" i="1"/>
  <c r="CR108" i="1"/>
  <c r="CR67" i="1"/>
  <c r="CX67" i="1"/>
  <c r="CR53" i="1"/>
  <c r="CR148" i="1"/>
  <c r="CX148" i="1"/>
  <c r="CR163" i="1"/>
  <c r="CX163" i="1"/>
  <c r="CR151" i="1"/>
  <c r="CR145" i="1"/>
  <c r="CR132" i="1"/>
  <c r="CR130" i="1"/>
  <c r="CR114" i="1"/>
  <c r="CR105" i="1"/>
  <c r="CR97" i="1"/>
  <c r="CR87" i="1"/>
  <c r="CX87" i="1"/>
  <c r="CR96" i="1"/>
  <c r="CR85" i="1"/>
  <c r="CR65" i="1"/>
  <c r="CR51" i="1"/>
  <c r="CR48" i="1"/>
  <c r="CR45" i="1"/>
  <c r="CR117" i="1"/>
  <c r="CX117" i="1"/>
  <c r="CR115" i="1"/>
  <c r="CX115" i="1"/>
  <c r="CR153" i="1"/>
  <c r="CR100" i="1"/>
  <c r="CX100" i="1"/>
  <c r="CR98" i="1"/>
  <c r="CR146" i="1"/>
  <c r="CR104" i="1"/>
  <c r="CR88" i="1"/>
  <c r="CR86" i="1"/>
  <c r="CR91" i="1"/>
  <c r="CR66" i="1"/>
  <c r="CX66" i="1"/>
  <c r="CR57" i="1"/>
  <c r="CR141" i="1"/>
  <c r="CX141" i="1"/>
  <c r="CR127" i="1"/>
  <c r="CR139" i="1"/>
  <c r="CX139" i="1"/>
  <c r="CR166" i="1"/>
  <c r="CR160" i="1"/>
  <c r="CR133" i="1"/>
  <c r="CR118" i="1"/>
  <c r="CR106" i="1"/>
  <c r="CR157" i="1"/>
  <c r="CR147" i="1"/>
  <c r="CR162" i="1"/>
  <c r="CR137" i="1"/>
  <c r="CX137" i="1"/>
  <c r="CR121" i="1"/>
  <c r="CR131" i="1"/>
  <c r="CR122" i="1"/>
  <c r="CR112" i="1"/>
  <c r="CR103" i="1"/>
  <c r="CR126" i="1"/>
  <c r="CR94" i="1"/>
  <c r="CR68" i="1"/>
  <c r="CR89" i="1"/>
  <c r="CR59" i="1"/>
  <c r="CR50" i="1"/>
  <c r="CX50" i="1"/>
  <c r="CR47" i="1"/>
  <c r="CX47" i="1"/>
  <c r="CR41" i="1"/>
  <c r="CR39" i="1"/>
  <c r="CR90" i="1"/>
  <c r="CR110" i="1"/>
  <c r="CX110" i="1"/>
  <c r="CR43" i="1"/>
  <c r="Y163" i="1"/>
  <c r="Z163" i="1" s="1"/>
  <c r="AA163" i="1" s="1"/>
  <c r="AB163" i="1" s="1"/>
  <c r="AC163" i="1" s="1"/>
  <c r="AD163" i="1" s="1"/>
  <c r="X111" i="1"/>
  <c r="CO111" i="1" s="1"/>
  <c r="CP111" i="1" s="1"/>
  <c r="X70" i="1"/>
  <c r="CO70" i="1" s="1"/>
  <c r="CP70" i="1" s="1"/>
  <c r="CR17" i="1"/>
  <c r="O166" i="1"/>
  <c r="X139" i="1"/>
  <c r="CO139" i="1" s="1"/>
  <c r="CP139" i="1" s="1"/>
  <c r="X115" i="1"/>
  <c r="CO115" i="1" s="1"/>
  <c r="CP115" i="1" s="1"/>
  <c r="M165" i="1"/>
  <c r="Y165" i="1" s="1"/>
  <c r="Z165" i="1" s="1"/>
  <c r="AA165" i="1" s="1"/>
  <c r="AB165" i="1" s="1"/>
  <c r="AC165" i="1" s="1"/>
  <c r="AD165" i="1" s="1"/>
  <c r="X141" i="1"/>
  <c r="CO141" i="1" s="1"/>
  <c r="CP141" i="1" s="1"/>
  <c r="L136" i="1"/>
  <c r="O136" i="1" s="1"/>
  <c r="S82" i="1"/>
  <c r="L163" i="1"/>
  <c r="O163" i="1" s="1"/>
  <c r="X54" i="1"/>
  <c r="CO54" i="1" s="1"/>
  <c r="CP54" i="1" s="1"/>
  <c r="L43" i="1"/>
  <c r="O43" i="1" s="1"/>
  <c r="X110" i="1"/>
  <c r="CO110" i="1" s="1"/>
  <c r="CP110" i="1" s="1"/>
  <c r="X72" i="1"/>
  <c r="CO72" i="1" s="1"/>
  <c r="CP72" i="1" s="1"/>
  <c r="S64" i="1"/>
  <c r="Y117" i="1"/>
  <c r="Z117" i="1" s="1"/>
  <c r="AA117" i="1" s="1"/>
  <c r="AB117" i="1" s="1"/>
  <c r="AC117" i="1" s="1"/>
  <c r="AD117" i="1" s="1"/>
  <c r="S62" i="1"/>
  <c r="X154" i="1"/>
  <c r="CO154" i="1" s="1"/>
  <c r="CP154" i="1" s="1"/>
  <c r="CR154" i="1"/>
  <c r="X113" i="1"/>
  <c r="CO113" i="1" s="1"/>
  <c r="CP113" i="1" s="1"/>
  <c r="CR113" i="1"/>
  <c r="CR36" i="1"/>
  <c r="CR32" i="1"/>
  <c r="CR23" i="1"/>
  <c r="CR18" i="1"/>
  <c r="CR21" i="1"/>
  <c r="X125" i="1"/>
  <c r="CO125" i="1" s="1"/>
  <c r="CP125" i="1" s="1"/>
  <c r="CR125" i="1"/>
  <c r="X93" i="1"/>
  <c r="CO93" i="1" s="1"/>
  <c r="CP93" i="1" s="1"/>
  <c r="CR93" i="1"/>
  <c r="X140" i="1"/>
  <c r="CO140" i="1" s="1"/>
  <c r="CP140" i="1" s="1"/>
  <c r="CR140" i="1"/>
  <c r="CR33" i="1"/>
  <c r="CR24" i="1"/>
  <c r="CR30" i="1"/>
  <c r="X144" i="1"/>
  <c r="CO144" i="1" s="1"/>
  <c r="CP144" i="1" s="1"/>
  <c r="CR144" i="1"/>
  <c r="X158" i="1"/>
  <c r="CO158" i="1" s="1"/>
  <c r="CP158" i="1" s="1"/>
  <c r="CR158" i="1"/>
  <c r="X58" i="1"/>
  <c r="CO58" i="1" s="1"/>
  <c r="CP58" i="1" s="1"/>
  <c r="CR58" i="1"/>
  <c r="CR28" i="1"/>
  <c r="CR27" i="1"/>
  <c r="CR34" i="1"/>
  <c r="CR37" i="1"/>
  <c r="X60" i="1"/>
  <c r="CO60" i="1" s="1"/>
  <c r="CP60" i="1" s="1"/>
  <c r="CR60" i="1"/>
  <c r="CR35" i="1"/>
  <c r="CR25" i="1"/>
  <c r="CR31" i="1"/>
  <c r="CR22" i="1"/>
  <c r="CR29" i="1"/>
  <c r="X61" i="1"/>
  <c r="AE61" i="1" s="1"/>
  <c r="AF61" i="1" s="1"/>
  <c r="AG61" i="1" s="1"/>
  <c r="CR61" i="1"/>
  <c r="X84" i="1"/>
  <c r="CO84" i="1" s="1"/>
  <c r="CP84" i="1" s="1"/>
  <c r="CR84" i="1"/>
  <c r="X129" i="1"/>
  <c r="CO129" i="1" s="1"/>
  <c r="CP129" i="1" s="1"/>
  <c r="CR129" i="1"/>
  <c r="X123" i="1"/>
  <c r="CO123" i="1" s="1"/>
  <c r="CP123" i="1" s="1"/>
  <c r="CR123" i="1"/>
  <c r="X99" i="1"/>
  <c r="CO99" i="1" s="1"/>
  <c r="CP99" i="1" s="1"/>
  <c r="CR99" i="1"/>
  <c r="Y128" i="1"/>
  <c r="Z128" i="1" s="1"/>
  <c r="AA128" i="1" s="1"/>
  <c r="AB128" i="1" s="1"/>
  <c r="AC128" i="1" s="1"/>
  <c r="AD128" i="1" s="1"/>
  <c r="CR128" i="1"/>
  <c r="X56" i="1"/>
  <c r="CO56" i="1" s="1"/>
  <c r="CP56" i="1" s="1"/>
  <c r="CR56" i="1"/>
  <c r="CR20" i="1"/>
  <c r="CR19" i="1"/>
  <c r="CR26" i="1"/>
  <c r="CR40" i="1"/>
  <c r="X41" i="1"/>
  <c r="CO41" i="1" s="1"/>
  <c r="CP41" i="1" s="1"/>
  <c r="X39" i="1"/>
  <c r="CO39" i="1" s="1"/>
  <c r="CP39" i="1" s="1"/>
  <c r="X44" i="1"/>
  <c r="CO44" i="1" s="1"/>
  <c r="CP44" i="1" s="1"/>
  <c r="Y102" i="1"/>
  <c r="Z102" i="1" s="1"/>
  <c r="AA102" i="1" s="1"/>
  <c r="AB102" i="1" s="1"/>
  <c r="AC102" i="1" s="1"/>
  <c r="AD102" i="1" s="1"/>
  <c r="X63" i="1"/>
  <c r="CO63" i="1" s="1"/>
  <c r="CP63" i="1" s="1"/>
  <c r="X71" i="1"/>
  <c r="CO71" i="1" s="1"/>
  <c r="CP71" i="1" s="1"/>
  <c r="X149" i="1"/>
  <c r="CO149" i="1" s="1"/>
  <c r="CP149" i="1" s="1"/>
  <c r="X74" i="1"/>
  <c r="CO74" i="1" s="1"/>
  <c r="CP74" i="1" s="1"/>
  <c r="S135" i="1"/>
  <c r="X73" i="1"/>
  <c r="CO73" i="1" s="1"/>
  <c r="CP73" i="1" s="1"/>
  <c r="S77" i="1"/>
  <c r="X162" i="1"/>
  <c r="CO162" i="1" s="1"/>
  <c r="CP162" i="1" s="1"/>
  <c r="X100" i="1"/>
  <c r="CO100" i="1" s="1"/>
  <c r="CP100" i="1" s="1"/>
  <c r="Y39" i="1"/>
  <c r="Z39" i="1" s="1"/>
  <c r="AA39" i="1" s="1"/>
  <c r="AE135" i="1"/>
  <c r="AF135" i="1" s="1"/>
  <c r="AG135" i="1" s="1"/>
  <c r="CO135" i="1"/>
  <c r="CP135" i="1" s="1"/>
  <c r="Y166" i="1"/>
  <c r="Z166" i="1" s="1"/>
  <c r="AA166" i="1" s="1"/>
  <c r="X117" i="1"/>
  <c r="CO117" i="1" s="1"/>
  <c r="CP117" i="1" s="1"/>
  <c r="M61" i="1"/>
  <c r="Y61" i="1" s="1"/>
  <c r="Z61" i="1" s="1"/>
  <c r="AA61" i="1" s="1"/>
  <c r="CC61" i="1"/>
  <c r="CD61" i="1" s="1"/>
  <c r="M144" i="1"/>
  <c r="Y144" i="1" s="1"/>
  <c r="Z144" i="1" s="1"/>
  <c r="AA144" i="1" s="1"/>
  <c r="AB144" i="1" s="1"/>
  <c r="AC144" i="1" s="1"/>
  <c r="AD144" i="1" s="1"/>
  <c r="CC144" i="1"/>
  <c r="CD144" i="1" s="1"/>
  <c r="M42" i="1"/>
  <c r="Y42" i="1" s="1"/>
  <c r="Z42" i="1" s="1"/>
  <c r="AA42" i="1" s="1"/>
  <c r="AB42" i="1" s="1"/>
  <c r="AC42" i="1" s="1"/>
  <c r="AD42" i="1" s="1"/>
  <c r="L38" i="1"/>
  <c r="O38" i="1" s="1"/>
  <c r="M148" i="1"/>
  <c r="Y148" i="1" s="1"/>
  <c r="Z148" i="1" s="1"/>
  <c r="AA148" i="1" s="1"/>
  <c r="AB148" i="1" s="1"/>
  <c r="AC148" i="1" s="1"/>
  <c r="AD148" i="1" s="1"/>
  <c r="L111" i="1"/>
  <c r="O111" i="1" s="1"/>
  <c r="M156" i="1"/>
  <c r="Y156" i="1" s="1"/>
  <c r="Z156" i="1" s="1"/>
  <c r="AA156" i="1" s="1"/>
  <c r="AB156" i="1" s="1"/>
  <c r="AC156" i="1" s="1"/>
  <c r="AD156" i="1" s="1"/>
  <c r="M143" i="1"/>
  <c r="Y143" i="1" s="1"/>
  <c r="Z143" i="1" s="1"/>
  <c r="AA143" i="1" s="1"/>
  <c r="AB143" i="1" s="1"/>
  <c r="AC143" i="1" s="1"/>
  <c r="AD143" i="1" s="1"/>
  <c r="CC143" i="1"/>
  <c r="CD143" i="1" s="1"/>
  <c r="S38" i="1"/>
  <c r="L110" i="1"/>
  <c r="O110" i="1" s="1"/>
  <c r="Y121" i="1"/>
  <c r="Z121" i="1" s="1"/>
  <c r="AA121" i="1" s="1"/>
  <c r="Y105" i="1"/>
  <c r="Z105" i="1" s="1"/>
  <c r="AA105" i="1" s="1"/>
  <c r="L115" i="1"/>
  <c r="O115" i="1" s="1"/>
  <c r="CC115" i="1"/>
  <c r="CD115" i="1" s="1"/>
  <c r="X96" i="1"/>
  <c r="CO96" i="1" s="1"/>
  <c r="CP96" i="1" s="1"/>
  <c r="L41" i="1"/>
  <c r="O41" i="1" s="1"/>
  <c r="CC41" i="1"/>
  <c r="CD41" i="1" s="1"/>
  <c r="M140" i="1"/>
  <c r="Y140" i="1" s="1"/>
  <c r="Z140" i="1" s="1"/>
  <c r="AA140" i="1" s="1"/>
  <c r="AB140" i="1" s="1"/>
  <c r="AC140" i="1" s="1"/>
  <c r="AD140" i="1" s="1"/>
  <c r="L37" i="1"/>
  <c r="O37" i="1" s="1"/>
  <c r="L125" i="1"/>
  <c r="O125" i="1" s="1"/>
  <c r="CC125" i="1"/>
  <c r="CD125" i="1" s="1"/>
  <c r="M90" i="1"/>
  <c r="Y90" i="1" s="1"/>
  <c r="Z90" i="1" s="1"/>
  <c r="AA90" i="1" s="1"/>
  <c r="AB90" i="1" s="1"/>
  <c r="AC90" i="1" s="1"/>
  <c r="AD90" i="1" s="1"/>
  <c r="CC90" i="1"/>
  <c r="CD90" i="1" s="1"/>
  <c r="X37" i="1"/>
  <c r="CO37" i="1" s="1"/>
  <c r="CP37" i="1" s="1"/>
  <c r="X75" i="1"/>
  <c r="CO75" i="1" s="1"/>
  <c r="CP75" i="1" s="1"/>
  <c r="X51" i="1"/>
  <c r="X45" i="1"/>
  <c r="CO45" i="1" s="1"/>
  <c r="CP45" i="1" s="1"/>
  <c r="X40" i="1"/>
  <c r="CO40" i="1" s="1"/>
  <c r="CP40" i="1" s="1"/>
  <c r="X156" i="1"/>
  <c r="CO156" i="1" s="1"/>
  <c r="CP156" i="1" s="1"/>
  <c r="S143" i="1"/>
  <c r="S96" i="1"/>
  <c r="S117" i="1"/>
  <c r="X43" i="1"/>
  <c r="CO43" i="1" s="1"/>
  <c r="CP43" i="1" s="1"/>
  <c r="S80" i="1"/>
  <c r="Y146" i="1"/>
  <c r="Z146" i="1" s="1"/>
  <c r="AA146" i="1" s="1"/>
  <c r="Y164" i="1"/>
  <c r="Z164" i="1" s="1"/>
  <c r="AA164" i="1" s="1"/>
  <c r="Y88" i="1"/>
  <c r="Z88" i="1" s="1"/>
  <c r="AA88" i="1" s="1"/>
  <c r="Y155" i="1"/>
  <c r="Z155" i="1" s="1"/>
  <c r="AA155" i="1" s="1"/>
  <c r="AB155" i="1" s="1"/>
  <c r="AC155" i="1" s="1"/>
  <c r="AD155" i="1" s="1"/>
  <c r="X76" i="1"/>
  <c r="CO76" i="1" s="1"/>
  <c r="CP76" i="1" s="1"/>
  <c r="X78" i="1"/>
  <c r="CO78" i="1" s="1"/>
  <c r="CP78" i="1" s="1"/>
  <c r="M41" i="1"/>
  <c r="Y41" i="1" s="1"/>
  <c r="Z41" i="1" s="1"/>
  <c r="AA41" i="1" s="1"/>
  <c r="AB41" i="1" s="1"/>
  <c r="AC41" i="1" s="1"/>
  <c r="AD41" i="1" s="1"/>
  <c r="X49" i="1"/>
  <c r="CO49" i="1" s="1"/>
  <c r="CP49" i="1" s="1"/>
  <c r="X52" i="1"/>
  <c r="X66" i="1"/>
  <c r="CO66" i="1" s="1"/>
  <c r="CP66" i="1" s="1"/>
  <c r="X46" i="1"/>
  <c r="X98" i="1"/>
  <c r="X89" i="1"/>
  <c r="Y145" i="1"/>
  <c r="Z145" i="1" s="1"/>
  <c r="AA145" i="1" s="1"/>
  <c r="Y103" i="1"/>
  <c r="Z103" i="1" s="1"/>
  <c r="AA103" i="1" s="1"/>
  <c r="S98" i="1"/>
  <c r="S66" i="1"/>
  <c r="L61" i="1"/>
  <c r="O61" i="1" s="1"/>
  <c r="X42" i="1"/>
  <c r="CO42" i="1" s="1"/>
  <c r="CP42" i="1" s="1"/>
  <c r="X83" i="1"/>
  <c r="CO83" i="1" s="1"/>
  <c r="CP83" i="1" s="1"/>
  <c r="Y36" i="1"/>
  <c r="Z36" i="1" s="1"/>
  <c r="AA36" i="1" s="1"/>
  <c r="Y40" i="1"/>
  <c r="Z40" i="1" s="1"/>
  <c r="AA40" i="1" s="1"/>
  <c r="Y101" i="1"/>
  <c r="Z101" i="1" s="1"/>
  <c r="AA101" i="1" s="1"/>
  <c r="X166" i="1"/>
  <c r="Y157" i="1"/>
  <c r="Z157" i="1" s="1"/>
  <c r="AA157" i="1" s="1"/>
  <c r="Y124" i="1"/>
  <c r="Z124" i="1" s="1"/>
  <c r="AA124" i="1" s="1"/>
  <c r="X145" i="1"/>
  <c r="CO145" i="1" s="1"/>
  <c r="CP145" i="1" s="1"/>
  <c r="Y112" i="1"/>
  <c r="Z112" i="1" s="1"/>
  <c r="AA112" i="1" s="1"/>
  <c r="AB112" i="1" s="1"/>
  <c r="AC112" i="1" s="1"/>
  <c r="AD112" i="1" s="1"/>
  <c r="M37" i="1"/>
  <c r="Y37" i="1" s="1"/>
  <c r="Z37" i="1" s="1"/>
  <c r="AA37" i="1" s="1"/>
  <c r="AB37" i="1" s="1"/>
  <c r="AC37" i="1" s="1"/>
  <c r="AD37" i="1" s="1"/>
  <c r="M139" i="1"/>
  <c r="Y139" i="1" s="1"/>
  <c r="Z139" i="1" s="1"/>
  <c r="AA139" i="1" s="1"/>
  <c r="AB139" i="1" s="1"/>
  <c r="AC139" i="1" s="1"/>
  <c r="AD139" i="1" s="1"/>
  <c r="L139" i="1"/>
  <c r="O139" i="1" s="1"/>
  <c r="Y114" i="1"/>
  <c r="Z114" i="1" s="1"/>
  <c r="AA114" i="1" s="1"/>
  <c r="AB114" i="1" s="1"/>
  <c r="AC114" i="1" s="1"/>
  <c r="AD114" i="1" s="1"/>
  <c r="L84" i="1"/>
  <c r="O84" i="1" s="1"/>
  <c r="M84" i="1"/>
  <c r="Y84" i="1" s="1"/>
  <c r="Z84" i="1" s="1"/>
  <c r="AA84" i="1" s="1"/>
  <c r="AB84" i="1" s="1"/>
  <c r="AC84" i="1" s="1"/>
  <c r="AD84" i="1" s="1"/>
  <c r="X101" i="1"/>
  <c r="M135" i="1"/>
  <c r="Y135" i="1" s="1"/>
  <c r="Z135" i="1" s="1"/>
  <c r="AA135" i="1" s="1"/>
  <c r="AB135" i="1" s="1"/>
  <c r="AC135" i="1" s="1"/>
  <c r="AD135" i="1" s="1"/>
  <c r="L135" i="1"/>
  <c r="O135" i="1" s="1"/>
  <c r="L116" i="1"/>
  <c r="O116" i="1" s="1"/>
  <c r="M116" i="1"/>
  <c r="Y116" i="1" s="1"/>
  <c r="Z116" i="1" s="1"/>
  <c r="AA116" i="1" s="1"/>
  <c r="AB116" i="1" s="1"/>
  <c r="AC116" i="1" s="1"/>
  <c r="AD116" i="1" s="1"/>
  <c r="Y137" i="1"/>
  <c r="Z137" i="1" s="1"/>
  <c r="AA137" i="1" s="1"/>
  <c r="X105" i="1"/>
  <c r="L141" i="1"/>
  <c r="O141" i="1" s="1"/>
  <c r="M141" i="1"/>
  <c r="Y141" i="1" s="1"/>
  <c r="Z141" i="1" s="1"/>
  <c r="AA141" i="1" s="1"/>
  <c r="AB141" i="1" s="1"/>
  <c r="AC141" i="1" s="1"/>
  <c r="AD141" i="1" s="1"/>
  <c r="M127" i="1"/>
  <c r="Y127" i="1" s="1"/>
  <c r="Z127" i="1" s="1"/>
  <c r="AA127" i="1" s="1"/>
  <c r="AB127" i="1" s="1"/>
  <c r="AC127" i="1" s="1"/>
  <c r="AD127" i="1" s="1"/>
  <c r="L127" i="1"/>
  <c r="O127" i="1" s="1"/>
  <c r="Y104" i="1"/>
  <c r="Z104" i="1" s="1"/>
  <c r="AA104" i="1" s="1"/>
  <c r="AB104" i="1" s="1"/>
  <c r="AC104" i="1" s="1"/>
  <c r="AD104" i="1" s="1"/>
  <c r="AB38" i="1"/>
  <c r="AC38" i="1" s="1"/>
  <c r="AD38" i="1" s="1"/>
  <c r="X18" i="1"/>
  <c r="CO18" i="1" s="1"/>
  <c r="CP18" i="1" s="1"/>
  <c r="X155" i="1"/>
  <c r="CO155" i="1" s="1"/>
  <c r="CP155" i="1" s="1"/>
  <c r="S155" i="1"/>
  <c r="S18" i="1"/>
  <c r="X159" i="1"/>
  <c r="CO159" i="1" s="1"/>
  <c r="CP159" i="1" s="1"/>
  <c r="Y147" i="1"/>
  <c r="Z147" i="1" s="1"/>
  <c r="AA147" i="1" s="1"/>
  <c r="X147" i="1"/>
  <c r="CO147" i="1" s="1"/>
  <c r="CP147" i="1" s="1"/>
  <c r="X131" i="1"/>
  <c r="CO131" i="1" s="1"/>
  <c r="CP131" i="1" s="1"/>
  <c r="S131" i="1"/>
  <c r="M118" i="1"/>
  <c r="Y118" i="1" s="1"/>
  <c r="Z118" i="1" s="1"/>
  <c r="AA118" i="1" s="1"/>
  <c r="L118" i="1"/>
  <c r="O118" i="1" s="1"/>
  <c r="X114" i="1"/>
  <c r="CO114" i="1" s="1"/>
  <c r="CP114" i="1" s="1"/>
  <c r="X118" i="1"/>
  <c r="CO118" i="1" s="1"/>
  <c r="CP118" i="1" s="1"/>
  <c r="X108" i="1"/>
  <c r="CO108" i="1" s="1"/>
  <c r="CP108" i="1" s="1"/>
  <c r="X95" i="1"/>
  <c r="CO95" i="1" s="1"/>
  <c r="CP95" i="1" s="1"/>
  <c r="X119" i="1"/>
  <c r="CO119" i="1" s="1"/>
  <c r="CP119" i="1" s="1"/>
  <c r="M77" i="1"/>
  <c r="Y77" i="1" s="1"/>
  <c r="Z77" i="1" s="1"/>
  <c r="AA77" i="1" s="1"/>
  <c r="L77" i="1"/>
  <c r="O77" i="1" s="1"/>
  <c r="X59" i="1"/>
  <c r="CO59" i="1" s="1"/>
  <c r="CP59" i="1" s="1"/>
  <c r="AE64" i="1"/>
  <c r="AF64" i="1" s="1"/>
  <c r="AG64" i="1" s="1"/>
  <c r="X27" i="1"/>
  <c r="CO27" i="1" s="1"/>
  <c r="CP27" i="1" s="1"/>
  <c r="X19" i="1"/>
  <c r="CO19" i="1" s="1"/>
  <c r="CP19" i="1" s="1"/>
  <c r="M44" i="1"/>
  <c r="Y44" i="1" s="1"/>
  <c r="Z44" i="1" s="1"/>
  <c r="AA44" i="1" s="1"/>
  <c r="L44" i="1"/>
  <c r="O44" i="1" s="1"/>
  <c r="L32" i="1"/>
  <c r="O32" i="1" s="1"/>
  <c r="M32" i="1"/>
  <c r="Y32" i="1" s="1"/>
  <c r="Z32" i="1" s="1"/>
  <c r="AA32" i="1" s="1"/>
  <c r="L28" i="1"/>
  <c r="O28" i="1" s="1"/>
  <c r="M28" i="1"/>
  <c r="Y28" i="1" s="1"/>
  <c r="Z28" i="1" s="1"/>
  <c r="AA28" i="1" s="1"/>
  <c r="L19" i="1"/>
  <c r="O19" i="1" s="1"/>
  <c r="M19" i="1"/>
  <c r="Y19" i="1" s="1"/>
  <c r="Z19" i="1" s="1"/>
  <c r="AA19" i="1" s="1"/>
  <c r="X160" i="1"/>
  <c r="CO160" i="1" s="1"/>
  <c r="CP160" i="1" s="1"/>
  <c r="Y107" i="1"/>
  <c r="Z107" i="1" s="1"/>
  <c r="AA107" i="1" s="1"/>
  <c r="X107" i="1"/>
  <c r="CO107" i="1" s="1"/>
  <c r="CP107" i="1" s="1"/>
  <c r="AB110" i="1"/>
  <c r="AC110" i="1" s="1"/>
  <c r="AD110" i="1" s="1"/>
  <c r="M94" i="1"/>
  <c r="Y94" i="1" s="1"/>
  <c r="Z94" i="1" s="1"/>
  <c r="AA94" i="1" s="1"/>
  <c r="L94" i="1"/>
  <c r="O94" i="1" s="1"/>
  <c r="Y92" i="1"/>
  <c r="Z92" i="1" s="1"/>
  <c r="AA92" i="1" s="1"/>
  <c r="X92" i="1"/>
  <c r="CO92" i="1" s="1"/>
  <c r="CP92" i="1" s="1"/>
  <c r="M75" i="1"/>
  <c r="Y75" i="1" s="1"/>
  <c r="Z75" i="1" s="1"/>
  <c r="AA75" i="1" s="1"/>
  <c r="L75" i="1"/>
  <c r="O75" i="1" s="1"/>
  <c r="X55" i="1"/>
  <c r="CO55" i="1" s="1"/>
  <c r="CP55" i="1" s="1"/>
  <c r="M68" i="1"/>
  <c r="Y68" i="1" s="1"/>
  <c r="Z68" i="1" s="1"/>
  <c r="AA68" i="1" s="1"/>
  <c r="L68" i="1"/>
  <c r="O68" i="1" s="1"/>
  <c r="L29" i="1"/>
  <c r="O29" i="1" s="1"/>
  <c r="M29" i="1"/>
  <c r="Y29" i="1" s="1"/>
  <c r="Z29" i="1" s="1"/>
  <c r="AA29" i="1" s="1"/>
  <c r="X157" i="1"/>
  <c r="CO157" i="1" s="1"/>
  <c r="CP157" i="1" s="1"/>
  <c r="M162" i="1"/>
  <c r="Y162" i="1" s="1"/>
  <c r="Z162" i="1" s="1"/>
  <c r="AA162" i="1" s="1"/>
  <c r="L162" i="1"/>
  <c r="O162" i="1" s="1"/>
  <c r="M158" i="1"/>
  <c r="Y158" i="1" s="1"/>
  <c r="Z158" i="1" s="1"/>
  <c r="AA158" i="1" s="1"/>
  <c r="L158" i="1"/>
  <c r="O158" i="1" s="1"/>
  <c r="Y151" i="1"/>
  <c r="Z151" i="1" s="1"/>
  <c r="AA151" i="1" s="1"/>
  <c r="M129" i="1"/>
  <c r="Y129" i="1" s="1"/>
  <c r="Z129" i="1" s="1"/>
  <c r="AA129" i="1" s="1"/>
  <c r="L129" i="1"/>
  <c r="O129" i="1" s="1"/>
  <c r="X134" i="1"/>
  <c r="CO134" i="1" s="1"/>
  <c r="CP134" i="1" s="1"/>
  <c r="X122" i="1"/>
  <c r="CO122" i="1" s="1"/>
  <c r="CP122" i="1" s="1"/>
  <c r="X130" i="1"/>
  <c r="CO130" i="1" s="1"/>
  <c r="CP130" i="1" s="1"/>
  <c r="Y106" i="1"/>
  <c r="Z106" i="1" s="1"/>
  <c r="AA106" i="1" s="1"/>
  <c r="X106" i="1"/>
  <c r="CO106" i="1" s="1"/>
  <c r="CP106" i="1" s="1"/>
  <c r="M108" i="1"/>
  <c r="Y108" i="1" s="1"/>
  <c r="Z108" i="1" s="1"/>
  <c r="AA108" i="1" s="1"/>
  <c r="L108" i="1"/>
  <c r="O108" i="1" s="1"/>
  <c r="M95" i="1"/>
  <c r="Y95" i="1" s="1"/>
  <c r="Z95" i="1" s="1"/>
  <c r="AA95" i="1" s="1"/>
  <c r="L95" i="1"/>
  <c r="O95" i="1" s="1"/>
  <c r="M82" i="1"/>
  <c r="Y82" i="1" s="1"/>
  <c r="Z82" i="1" s="1"/>
  <c r="AA82" i="1" s="1"/>
  <c r="L82" i="1"/>
  <c r="O82" i="1" s="1"/>
  <c r="M74" i="1"/>
  <c r="Y74" i="1" s="1"/>
  <c r="Z74" i="1" s="1"/>
  <c r="AA74" i="1" s="1"/>
  <c r="L74" i="1"/>
  <c r="O74" i="1" s="1"/>
  <c r="M93" i="1"/>
  <c r="Y93" i="1" s="1"/>
  <c r="Z93" i="1" s="1"/>
  <c r="AA93" i="1" s="1"/>
  <c r="L93" i="1"/>
  <c r="O93" i="1" s="1"/>
  <c r="M69" i="1"/>
  <c r="Y69" i="1" s="1"/>
  <c r="Z69" i="1" s="1"/>
  <c r="AA69" i="1" s="1"/>
  <c r="L69" i="1"/>
  <c r="O69" i="1" s="1"/>
  <c r="AE82" i="1"/>
  <c r="AF82" i="1" s="1"/>
  <c r="AG82" i="1" s="1"/>
  <c r="M67" i="1"/>
  <c r="Y67" i="1" s="1"/>
  <c r="Z67" i="1" s="1"/>
  <c r="AA67" i="1" s="1"/>
  <c r="L67" i="1"/>
  <c r="O67" i="1" s="1"/>
  <c r="X53" i="1"/>
  <c r="CO53" i="1" s="1"/>
  <c r="CP53" i="1" s="1"/>
  <c r="X91" i="1"/>
  <c r="CO91" i="1" s="1"/>
  <c r="CP91" i="1" s="1"/>
  <c r="X68" i="1"/>
  <c r="CO68" i="1" s="1"/>
  <c r="CP68" i="1" s="1"/>
  <c r="M89" i="1"/>
  <c r="Y89" i="1" s="1"/>
  <c r="Z89" i="1" s="1"/>
  <c r="AA89" i="1" s="1"/>
  <c r="L89" i="1"/>
  <c r="O89" i="1" s="1"/>
  <c r="X32" i="1"/>
  <c r="CO32" i="1" s="1"/>
  <c r="CP32" i="1" s="1"/>
  <c r="X24" i="1"/>
  <c r="CO24" i="1" s="1"/>
  <c r="CP24" i="1" s="1"/>
  <c r="M56" i="1"/>
  <c r="Y56" i="1" s="1"/>
  <c r="Z56" i="1" s="1"/>
  <c r="AA56" i="1" s="1"/>
  <c r="L56" i="1"/>
  <c r="O56" i="1" s="1"/>
  <c r="M51" i="1"/>
  <c r="Y51" i="1" s="1"/>
  <c r="Z51" i="1" s="1"/>
  <c r="AA51" i="1" s="1"/>
  <c r="L51" i="1"/>
  <c r="O51" i="1" s="1"/>
  <c r="M47" i="1"/>
  <c r="Y47" i="1" s="1"/>
  <c r="Z47" i="1" s="1"/>
  <c r="AA47" i="1" s="1"/>
  <c r="L47" i="1"/>
  <c r="O47" i="1" s="1"/>
  <c r="L24" i="1"/>
  <c r="O24" i="1" s="1"/>
  <c r="M24" i="1"/>
  <c r="Y24" i="1" s="1"/>
  <c r="Z24" i="1" s="1"/>
  <c r="AA24" i="1" s="1"/>
  <c r="L20" i="1"/>
  <c r="O20" i="1" s="1"/>
  <c r="M20" i="1"/>
  <c r="Y20" i="1" s="1"/>
  <c r="Z20" i="1" s="1"/>
  <c r="AA20" i="1" s="1"/>
  <c r="M123" i="1"/>
  <c r="Y123" i="1" s="1"/>
  <c r="Z123" i="1" s="1"/>
  <c r="AA123" i="1" s="1"/>
  <c r="L123" i="1"/>
  <c r="O123" i="1" s="1"/>
  <c r="M119" i="1"/>
  <c r="Y119" i="1" s="1"/>
  <c r="Z119" i="1" s="1"/>
  <c r="AA119" i="1" s="1"/>
  <c r="L119" i="1"/>
  <c r="O119" i="1" s="1"/>
  <c r="X34" i="1"/>
  <c r="CO34" i="1" s="1"/>
  <c r="CP34" i="1" s="1"/>
  <c r="M52" i="1"/>
  <c r="Y52" i="1" s="1"/>
  <c r="Z52" i="1" s="1"/>
  <c r="AA52" i="1" s="1"/>
  <c r="L52" i="1"/>
  <c r="O52" i="1" s="1"/>
  <c r="AE80" i="1"/>
  <c r="AF80" i="1" s="1"/>
  <c r="AG80" i="1" s="1"/>
  <c r="AE143" i="1"/>
  <c r="AF143" i="1" s="1"/>
  <c r="AG143" i="1" s="1"/>
  <c r="M133" i="1"/>
  <c r="Y133" i="1" s="1"/>
  <c r="Z133" i="1" s="1"/>
  <c r="AA133" i="1" s="1"/>
  <c r="L133" i="1"/>
  <c r="O133" i="1" s="1"/>
  <c r="M130" i="1"/>
  <c r="Y130" i="1" s="1"/>
  <c r="Z130" i="1" s="1"/>
  <c r="AA130" i="1" s="1"/>
  <c r="L130" i="1"/>
  <c r="O130" i="1" s="1"/>
  <c r="Y113" i="1"/>
  <c r="Z113" i="1" s="1"/>
  <c r="AA113" i="1" s="1"/>
  <c r="M120" i="1"/>
  <c r="Y120" i="1" s="1"/>
  <c r="Z120" i="1" s="1"/>
  <c r="AA120" i="1" s="1"/>
  <c r="L120" i="1"/>
  <c r="O120" i="1" s="1"/>
  <c r="X88" i="1"/>
  <c r="CO88" i="1" s="1"/>
  <c r="CP88" i="1" s="1"/>
  <c r="X102" i="1"/>
  <c r="CO102" i="1" s="1"/>
  <c r="CP102" i="1" s="1"/>
  <c r="M81" i="1"/>
  <c r="Y81" i="1" s="1"/>
  <c r="Z81" i="1" s="1"/>
  <c r="AA81" i="1" s="1"/>
  <c r="L81" i="1"/>
  <c r="O81" i="1" s="1"/>
  <c r="M73" i="1"/>
  <c r="Y73" i="1" s="1"/>
  <c r="Z73" i="1" s="1"/>
  <c r="AA73" i="1" s="1"/>
  <c r="L73" i="1"/>
  <c r="O73" i="1" s="1"/>
  <c r="M91" i="1"/>
  <c r="Y91" i="1" s="1"/>
  <c r="Z91" i="1" s="1"/>
  <c r="AA91" i="1" s="1"/>
  <c r="L91" i="1"/>
  <c r="O91" i="1" s="1"/>
  <c r="X67" i="1"/>
  <c r="CO67" i="1" s="1"/>
  <c r="CP67" i="1" s="1"/>
  <c r="M60" i="1"/>
  <c r="Y60" i="1" s="1"/>
  <c r="Z60" i="1" s="1"/>
  <c r="AA60" i="1" s="1"/>
  <c r="L60" i="1"/>
  <c r="O60" i="1" s="1"/>
  <c r="M58" i="1"/>
  <c r="Y58" i="1" s="1"/>
  <c r="Z58" i="1" s="1"/>
  <c r="AA58" i="1" s="1"/>
  <c r="L58" i="1"/>
  <c r="O58" i="1" s="1"/>
  <c r="X31" i="1"/>
  <c r="CO31" i="1" s="1"/>
  <c r="CP31" i="1" s="1"/>
  <c r="X23" i="1"/>
  <c r="CO23" i="1" s="1"/>
  <c r="CP23" i="1" s="1"/>
  <c r="X48" i="1"/>
  <c r="CO48" i="1" s="1"/>
  <c r="CP48" i="1" s="1"/>
  <c r="L22" i="1"/>
  <c r="O22" i="1" s="1"/>
  <c r="M22" i="1"/>
  <c r="Y22" i="1" s="1"/>
  <c r="Z22" i="1" s="1"/>
  <c r="AA22" i="1" s="1"/>
  <c r="L21" i="1"/>
  <c r="O21" i="1" s="1"/>
  <c r="M21" i="1"/>
  <c r="Y21" i="1" s="1"/>
  <c r="Z21" i="1" s="1"/>
  <c r="AA21" i="1" s="1"/>
  <c r="X137" i="1"/>
  <c r="CO137" i="1" s="1"/>
  <c r="CP137" i="1" s="1"/>
  <c r="X94" i="1"/>
  <c r="CO94" i="1" s="1"/>
  <c r="CP94" i="1" s="1"/>
  <c r="X57" i="1"/>
  <c r="CO57" i="1" s="1"/>
  <c r="CP57" i="1" s="1"/>
  <c r="M48" i="1"/>
  <c r="Y48" i="1" s="1"/>
  <c r="Z48" i="1" s="1"/>
  <c r="AA48" i="1" s="1"/>
  <c r="L48" i="1"/>
  <c r="O48" i="1" s="1"/>
  <c r="X127" i="1"/>
  <c r="CO127" i="1" s="1"/>
  <c r="CP127" i="1" s="1"/>
  <c r="M122" i="1"/>
  <c r="Y122" i="1" s="1"/>
  <c r="Z122" i="1" s="1"/>
  <c r="AA122" i="1" s="1"/>
  <c r="L122" i="1"/>
  <c r="O122" i="1" s="1"/>
  <c r="M109" i="1"/>
  <c r="Y109" i="1" s="1"/>
  <c r="Z109" i="1" s="1"/>
  <c r="AA109" i="1" s="1"/>
  <c r="L109" i="1"/>
  <c r="O109" i="1" s="1"/>
  <c r="AE62" i="1"/>
  <c r="AF62" i="1" s="1"/>
  <c r="AG62" i="1" s="1"/>
  <c r="X25" i="1"/>
  <c r="CO25" i="1" s="1"/>
  <c r="CP25" i="1" s="1"/>
  <c r="X163" i="1"/>
  <c r="CO163" i="1" s="1"/>
  <c r="CP163" i="1" s="1"/>
  <c r="M132" i="1"/>
  <c r="Y132" i="1" s="1"/>
  <c r="Z132" i="1" s="1"/>
  <c r="AA132" i="1" s="1"/>
  <c r="L132" i="1"/>
  <c r="O132" i="1" s="1"/>
  <c r="X126" i="1"/>
  <c r="CO126" i="1" s="1"/>
  <c r="CP126" i="1" s="1"/>
  <c r="M98" i="1"/>
  <c r="Y98" i="1" s="1"/>
  <c r="Z98" i="1" s="1"/>
  <c r="AA98" i="1" s="1"/>
  <c r="L98" i="1"/>
  <c r="O98" i="1" s="1"/>
  <c r="X86" i="1"/>
  <c r="CO86" i="1" s="1"/>
  <c r="CP86" i="1" s="1"/>
  <c r="S88" i="1"/>
  <c r="Y87" i="1"/>
  <c r="Z87" i="1" s="1"/>
  <c r="AA87" i="1" s="1"/>
  <c r="X103" i="1"/>
  <c r="CO103" i="1" s="1"/>
  <c r="CP103" i="1" s="1"/>
  <c r="M80" i="1"/>
  <c r="Y80" i="1" s="1"/>
  <c r="Z80" i="1" s="1"/>
  <c r="AA80" i="1" s="1"/>
  <c r="L80" i="1"/>
  <c r="O80" i="1" s="1"/>
  <c r="M72" i="1"/>
  <c r="Y72" i="1" s="1"/>
  <c r="Z72" i="1" s="1"/>
  <c r="AA72" i="1" s="1"/>
  <c r="L72" i="1"/>
  <c r="O72" i="1" s="1"/>
  <c r="M64" i="1"/>
  <c r="Y64" i="1" s="1"/>
  <c r="Z64" i="1" s="1"/>
  <c r="AA64" i="1" s="1"/>
  <c r="L64" i="1"/>
  <c r="O64" i="1" s="1"/>
  <c r="S31" i="1"/>
  <c r="S23" i="1"/>
  <c r="X30" i="1"/>
  <c r="CO30" i="1" s="1"/>
  <c r="CP30" i="1" s="1"/>
  <c r="X22" i="1"/>
  <c r="CO22" i="1" s="1"/>
  <c r="CP22" i="1" s="1"/>
  <c r="M55" i="1"/>
  <c r="Y55" i="1" s="1"/>
  <c r="Z55" i="1" s="1"/>
  <c r="AA55" i="1" s="1"/>
  <c r="L55" i="1"/>
  <c r="O55" i="1" s="1"/>
  <c r="M50" i="1"/>
  <c r="Y50" i="1" s="1"/>
  <c r="Z50" i="1" s="1"/>
  <c r="AA50" i="1" s="1"/>
  <c r="L50" i="1"/>
  <c r="O50" i="1" s="1"/>
  <c r="M46" i="1"/>
  <c r="Y46" i="1" s="1"/>
  <c r="Z46" i="1" s="1"/>
  <c r="AA46" i="1" s="1"/>
  <c r="L46" i="1"/>
  <c r="O46" i="1" s="1"/>
  <c r="L33" i="1"/>
  <c r="O33" i="1" s="1"/>
  <c r="M33" i="1"/>
  <c r="Y33" i="1" s="1"/>
  <c r="Z33" i="1" s="1"/>
  <c r="AA33" i="1" s="1"/>
  <c r="L31" i="1"/>
  <c r="O31" i="1" s="1"/>
  <c r="M31" i="1"/>
  <c r="Y31" i="1" s="1"/>
  <c r="Z31" i="1" s="1"/>
  <c r="AA31" i="1" s="1"/>
  <c r="L17" i="1"/>
  <c r="O17" i="1" s="1"/>
  <c r="M17" i="1"/>
  <c r="Y17" i="1" s="1"/>
  <c r="Z17" i="1" s="1"/>
  <c r="AA17" i="1" s="1"/>
  <c r="L34" i="1"/>
  <c r="O34" i="1" s="1"/>
  <c r="M34" i="1"/>
  <c r="Y34" i="1" s="1"/>
  <c r="Z34" i="1" s="1"/>
  <c r="AA34" i="1" s="1"/>
  <c r="M85" i="1"/>
  <c r="Y85" i="1" s="1"/>
  <c r="Z85" i="1" s="1"/>
  <c r="AA85" i="1" s="1"/>
  <c r="L85" i="1"/>
  <c r="O85" i="1" s="1"/>
  <c r="X161" i="1"/>
  <c r="CO161" i="1" s="1"/>
  <c r="CP161" i="1" s="1"/>
  <c r="X133" i="1"/>
  <c r="CO133" i="1" s="1"/>
  <c r="CP133" i="1" s="1"/>
  <c r="X33" i="1"/>
  <c r="CO33" i="1" s="1"/>
  <c r="CP33" i="1" s="1"/>
  <c r="L30" i="1"/>
  <c r="O30" i="1" s="1"/>
  <c r="M30" i="1"/>
  <c r="Y30" i="1" s="1"/>
  <c r="Z30" i="1" s="1"/>
  <c r="AA30" i="1" s="1"/>
  <c r="S161" i="1"/>
  <c r="X152" i="1"/>
  <c r="CO152" i="1" s="1"/>
  <c r="CP152" i="1" s="1"/>
  <c r="Y142" i="1"/>
  <c r="Z142" i="1" s="1"/>
  <c r="AA142" i="1" s="1"/>
  <c r="X142" i="1"/>
  <c r="CO142" i="1" s="1"/>
  <c r="CP142" i="1" s="1"/>
  <c r="Y153" i="1"/>
  <c r="Z153" i="1" s="1"/>
  <c r="AA153" i="1" s="1"/>
  <c r="M161" i="1"/>
  <c r="Y161" i="1" s="1"/>
  <c r="Z161" i="1" s="1"/>
  <c r="AA161" i="1" s="1"/>
  <c r="L161" i="1"/>
  <c r="O161" i="1" s="1"/>
  <c r="X120" i="1"/>
  <c r="CO120" i="1" s="1"/>
  <c r="CP120" i="1" s="1"/>
  <c r="X128" i="1"/>
  <c r="CO128" i="1" s="1"/>
  <c r="CP128" i="1" s="1"/>
  <c r="M126" i="1"/>
  <c r="Y126" i="1" s="1"/>
  <c r="Z126" i="1" s="1"/>
  <c r="AA126" i="1" s="1"/>
  <c r="L126" i="1"/>
  <c r="O126" i="1" s="1"/>
  <c r="M97" i="1"/>
  <c r="Y97" i="1" s="1"/>
  <c r="Z97" i="1" s="1"/>
  <c r="AA97" i="1" s="1"/>
  <c r="L97" i="1"/>
  <c r="O97" i="1" s="1"/>
  <c r="X87" i="1"/>
  <c r="CO87" i="1" s="1"/>
  <c r="CP87" i="1" s="1"/>
  <c r="X104" i="1"/>
  <c r="CO104" i="1" s="1"/>
  <c r="CP104" i="1" s="1"/>
  <c r="X85" i="1"/>
  <c r="CO85" i="1" s="1"/>
  <c r="CP85" i="1" s="1"/>
  <c r="M96" i="1"/>
  <c r="Y96" i="1" s="1"/>
  <c r="Z96" i="1" s="1"/>
  <c r="AA96" i="1" s="1"/>
  <c r="L96" i="1"/>
  <c r="O96" i="1" s="1"/>
  <c r="M79" i="1"/>
  <c r="Y79" i="1" s="1"/>
  <c r="Z79" i="1" s="1"/>
  <c r="AA79" i="1" s="1"/>
  <c r="L79" i="1"/>
  <c r="O79" i="1" s="1"/>
  <c r="M71" i="1"/>
  <c r="Y71" i="1" s="1"/>
  <c r="Z71" i="1" s="1"/>
  <c r="AA71" i="1" s="1"/>
  <c r="L71" i="1"/>
  <c r="O71" i="1" s="1"/>
  <c r="M86" i="1"/>
  <c r="Y86" i="1" s="1"/>
  <c r="Z86" i="1" s="1"/>
  <c r="AA86" i="1" s="1"/>
  <c r="L86" i="1"/>
  <c r="O86" i="1" s="1"/>
  <c r="M63" i="1"/>
  <c r="Y63" i="1" s="1"/>
  <c r="Z63" i="1" s="1"/>
  <c r="AA63" i="1" s="1"/>
  <c r="L63" i="1"/>
  <c r="O63" i="1" s="1"/>
  <c r="M65" i="1"/>
  <c r="Y65" i="1" s="1"/>
  <c r="Z65" i="1" s="1"/>
  <c r="AA65" i="1" s="1"/>
  <c r="L65" i="1"/>
  <c r="O65" i="1" s="1"/>
  <c r="M83" i="1"/>
  <c r="Y83" i="1" s="1"/>
  <c r="Z83" i="1" s="1"/>
  <c r="AA83" i="1" s="1"/>
  <c r="L83" i="1"/>
  <c r="O83" i="1" s="1"/>
  <c r="X69" i="1"/>
  <c r="CO69" i="1" s="1"/>
  <c r="CP69" i="1" s="1"/>
  <c r="M66" i="1"/>
  <c r="Y66" i="1" s="1"/>
  <c r="Z66" i="1" s="1"/>
  <c r="AA66" i="1" s="1"/>
  <c r="L66" i="1"/>
  <c r="O66" i="1" s="1"/>
  <c r="M59" i="1"/>
  <c r="Y59" i="1" s="1"/>
  <c r="Z59" i="1" s="1"/>
  <c r="AA59" i="1" s="1"/>
  <c r="L59" i="1"/>
  <c r="O59" i="1" s="1"/>
  <c r="M57" i="1"/>
  <c r="Y57" i="1" s="1"/>
  <c r="Z57" i="1" s="1"/>
  <c r="AA57" i="1" s="1"/>
  <c r="L57" i="1"/>
  <c r="O57" i="1" s="1"/>
  <c r="X29" i="1"/>
  <c r="CO29" i="1" s="1"/>
  <c r="CP29" i="1" s="1"/>
  <c r="X21" i="1"/>
  <c r="CO21" i="1" s="1"/>
  <c r="CP21" i="1" s="1"/>
  <c r="X50" i="1"/>
  <c r="CO50" i="1" s="1"/>
  <c r="CP50" i="1" s="1"/>
  <c r="L18" i="1"/>
  <c r="O18" i="1" s="1"/>
  <c r="M18" i="1"/>
  <c r="Y18" i="1" s="1"/>
  <c r="Z18" i="1" s="1"/>
  <c r="AA18" i="1" s="1"/>
  <c r="X151" i="1"/>
  <c r="CO151" i="1" s="1"/>
  <c r="CP151" i="1" s="1"/>
  <c r="X90" i="1"/>
  <c r="CO90" i="1" s="1"/>
  <c r="CP90" i="1" s="1"/>
  <c r="M76" i="1"/>
  <c r="Y76" i="1" s="1"/>
  <c r="Z76" i="1" s="1"/>
  <c r="AA76" i="1" s="1"/>
  <c r="L76" i="1"/>
  <c r="O76" i="1" s="1"/>
  <c r="X26" i="1"/>
  <c r="CO26" i="1" s="1"/>
  <c r="CP26" i="1" s="1"/>
  <c r="M53" i="1"/>
  <c r="Y53" i="1" s="1"/>
  <c r="Z53" i="1" s="1"/>
  <c r="AA53" i="1" s="1"/>
  <c r="L53" i="1"/>
  <c r="O53" i="1" s="1"/>
  <c r="M159" i="1"/>
  <c r="Y159" i="1" s="1"/>
  <c r="Z159" i="1" s="1"/>
  <c r="AA159" i="1" s="1"/>
  <c r="L159" i="1"/>
  <c r="O159" i="1" s="1"/>
  <c r="M134" i="1"/>
  <c r="Y134" i="1" s="1"/>
  <c r="Z134" i="1" s="1"/>
  <c r="AA134" i="1" s="1"/>
  <c r="L134" i="1"/>
  <c r="O134" i="1" s="1"/>
  <c r="S34" i="1"/>
  <c r="X164" i="1"/>
  <c r="CO164" i="1" s="1"/>
  <c r="CP164" i="1" s="1"/>
  <c r="S157" i="1"/>
  <c r="X150" i="1"/>
  <c r="CO150" i="1" s="1"/>
  <c r="CP150" i="1" s="1"/>
  <c r="Y150" i="1"/>
  <c r="Z150" i="1" s="1"/>
  <c r="AA150" i="1" s="1"/>
  <c r="X146" i="1"/>
  <c r="CO146" i="1" s="1"/>
  <c r="CP146" i="1" s="1"/>
  <c r="M152" i="1"/>
  <c r="Y152" i="1" s="1"/>
  <c r="Z152" i="1" s="1"/>
  <c r="AA152" i="1" s="1"/>
  <c r="L152" i="1"/>
  <c r="O152" i="1" s="1"/>
  <c r="M160" i="1"/>
  <c r="Y160" i="1" s="1"/>
  <c r="Z160" i="1" s="1"/>
  <c r="AA160" i="1" s="1"/>
  <c r="L160" i="1"/>
  <c r="O160" i="1" s="1"/>
  <c r="X153" i="1"/>
  <c r="CO153" i="1" s="1"/>
  <c r="CP153" i="1" s="1"/>
  <c r="M138" i="1"/>
  <c r="Y138" i="1" s="1"/>
  <c r="Z138" i="1" s="1"/>
  <c r="AA138" i="1" s="1"/>
  <c r="L138" i="1"/>
  <c r="O138" i="1" s="1"/>
  <c r="M154" i="1"/>
  <c r="Y154" i="1" s="1"/>
  <c r="Z154" i="1" s="1"/>
  <c r="AA154" i="1" s="1"/>
  <c r="L154" i="1"/>
  <c r="O154" i="1" s="1"/>
  <c r="X132" i="1"/>
  <c r="CO132" i="1" s="1"/>
  <c r="CP132" i="1" s="1"/>
  <c r="X121" i="1"/>
  <c r="CO121" i="1" s="1"/>
  <c r="CP121" i="1" s="1"/>
  <c r="X124" i="1"/>
  <c r="CO124" i="1" s="1"/>
  <c r="CP124" i="1" s="1"/>
  <c r="M131" i="1"/>
  <c r="Y131" i="1" s="1"/>
  <c r="Z131" i="1" s="1"/>
  <c r="AA131" i="1" s="1"/>
  <c r="L131" i="1"/>
  <c r="O131" i="1" s="1"/>
  <c r="X138" i="1"/>
  <c r="CO138" i="1" s="1"/>
  <c r="CP138" i="1" s="1"/>
  <c r="X112" i="1"/>
  <c r="CO112" i="1" s="1"/>
  <c r="CP112" i="1" s="1"/>
  <c r="S108" i="1"/>
  <c r="Y100" i="1"/>
  <c r="Z100" i="1" s="1"/>
  <c r="AA100" i="1" s="1"/>
  <c r="X109" i="1"/>
  <c r="CO109" i="1" s="1"/>
  <c r="CP109" i="1" s="1"/>
  <c r="X97" i="1"/>
  <c r="CO97" i="1" s="1"/>
  <c r="CP97" i="1" s="1"/>
  <c r="S85" i="1"/>
  <c r="S94" i="1"/>
  <c r="M99" i="1"/>
  <c r="Y99" i="1" s="1"/>
  <c r="Z99" i="1" s="1"/>
  <c r="AA99" i="1" s="1"/>
  <c r="L99" i="1"/>
  <c r="O99" i="1" s="1"/>
  <c r="M78" i="1"/>
  <c r="Y78" i="1" s="1"/>
  <c r="Z78" i="1" s="1"/>
  <c r="AA78" i="1" s="1"/>
  <c r="L78" i="1"/>
  <c r="O78" i="1" s="1"/>
  <c r="M70" i="1"/>
  <c r="Y70" i="1" s="1"/>
  <c r="Z70" i="1" s="1"/>
  <c r="AA70" i="1" s="1"/>
  <c r="L70" i="1"/>
  <c r="O70" i="1" s="1"/>
  <c r="M62" i="1"/>
  <c r="Y62" i="1" s="1"/>
  <c r="Z62" i="1" s="1"/>
  <c r="AA62" i="1" s="1"/>
  <c r="L62" i="1"/>
  <c r="O62" i="1" s="1"/>
  <c r="AE77" i="1"/>
  <c r="AF77" i="1" s="1"/>
  <c r="AG77" i="1" s="1"/>
  <c r="S59" i="1"/>
  <c r="X65" i="1"/>
  <c r="CO65" i="1" s="1"/>
  <c r="CP65" i="1" s="1"/>
  <c r="AE81" i="1"/>
  <c r="AF81" i="1" s="1"/>
  <c r="AG81" i="1" s="1"/>
  <c r="S29" i="1"/>
  <c r="S21" i="1"/>
  <c r="AE38" i="1"/>
  <c r="AF38" i="1" s="1"/>
  <c r="AG38" i="1" s="1"/>
  <c r="X28" i="1"/>
  <c r="CO28" i="1" s="1"/>
  <c r="CP28" i="1" s="1"/>
  <c r="X20" i="1"/>
  <c r="CO20" i="1" s="1"/>
  <c r="CP20" i="1" s="1"/>
  <c r="X47" i="1"/>
  <c r="CO47" i="1" s="1"/>
  <c r="CP47" i="1" s="1"/>
  <c r="M54" i="1"/>
  <c r="Y54" i="1" s="1"/>
  <c r="Z54" i="1" s="1"/>
  <c r="AA54" i="1" s="1"/>
  <c r="L54" i="1"/>
  <c r="O54" i="1" s="1"/>
  <c r="M49" i="1"/>
  <c r="Y49" i="1" s="1"/>
  <c r="Z49" i="1" s="1"/>
  <c r="AA49" i="1" s="1"/>
  <c r="L49" i="1"/>
  <c r="O49" i="1" s="1"/>
  <c r="M45" i="1"/>
  <c r="Y45" i="1" s="1"/>
  <c r="Z45" i="1" s="1"/>
  <c r="AA45" i="1" s="1"/>
  <c r="L45" i="1"/>
  <c r="O45" i="1" s="1"/>
  <c r="X36" i="1"/>
  <c r="CO36" i="1" s="1"/>
  <c r="CP36" i="1" s="1"/>
  <c r="L25" i="1"/>
  <c r="O25" i="1" s="1"/>
  <c r="M25" i="1"/>
  <c r="Y25" i="1" s="1"/>
  <c r="Z25" i="1" s="1"/>
  <c r="AA25" i="1" s="1"/>
  <c r="L23" i="1"/>
  <c r="O23" i="1" s="1"/>
  <c r="M23" i="1"/>
  <c r="Y23" i="1" s="1"/>
  <c r="Z23" i="1" s="1"/>
  <c r="AA23" i="1" s="1"/>
  <c r="X35" i="1"/>
  <c r="CO35" i="1" s="1"/>
  <c r="CP35" i="1" s="1"/>
  <c r="L27" i="1"/>
  <c r="O27" i="1" s="1"/>
  <c r="M27" i="1"/>
  <c r="Y27" i="1" s="1"/>
  <c r="Z27" i="1" s="1"/>
  <c r="AA27" i="1" s="1"/>
  <c r="L26" i="1"/>
  <c r="O26" i="1" s="1"/>
  <c r="M26" i="1"/>
  <c r="Y26" i="1" s="1"/>
  <c r="Z26" i="1" s="1"/>
  <c r="AA26" i="1" s="1"/>
  <c r="AE17" i="1" l="1"/>
  <c r="AF17" i="1" s="1"/>
  <c r="AG17" i="1" s="1"/>
  <c r="AI17" i="1"/>
  <c r="AJ17" i="1" s="1"/>
  <c r="AL17" i="1" s="1"/>
  <c r="AM17" i="1" s="1"/>
  <c r="AE116" i="1"/>
  <c r="AF116" i="1" s="1"/>
  <c r="AG116" i="1" s="1"/>
  <c r="AI116" i="1" s="1"/>
  <c r="AE79" i="1"/>
  <c r="AF79" i="1" s="1"/>
  <c r="AG79" i="1" s="1"/>
  <c r="AE41" i="1"/>
  <c r="AF41" i="1" s="1"/>
  <c r="AG41" i="1" s="1"/>
  <c r="AI41" i="1" s="1"/>
  <c r="AE139" i="1"/>
  <c r="AF139" i="1" s="1"/>
  <c r="AE154" i="1"/>
  <c r="AF154" i="1" s="1"/>
  <c r="AG154" i="1" s="1"/>
  <c r="AE165" i="1"/>
  <c r="AF165" i="1" s="1"/>
  <c r="AE110" i="1"/>
  <c r="AF110" i="1" s="1"/>
  <c r="AE70" i="1"/>
  <c r="AF70" i="1" s="1"/>
  <c r="AG70" i="1" s="1"/>
  <c r="AE54" i="1"/>
  <c r="AF54" i="1" s="1"/>
  <c r="AG54" i="1" s="1"/>
  <c r="AE115" i="1"/>
  <c r="AF115" i="1" s="1"/>
  <c r="AE93" i="1"/>
  <c r="AF93" i="1" s="1"/>
  <c r="AG93" i="1" s="1"/>
  <c r="AE136" i="1"/>
  <c r="AF136" i="1" s="1"/>
  <c r="AG136" i="1" s="1"/>
  <c r="AE60" i="1"/>
  <c r="AF60" i="1" s="1"/>
  <c r="AG60" i="1" s="1"/>
  <c r="AE148" i="1"/>
  <c r="AF148" i="1" s="1"/>
  <c r="AE141" i="1"/>
  <c r="AF141" i="1" s="1"/>
  <c r="AG141" i="1" s="1"/>
  <c r="AE129" i="1"/>
  <c r="AF129" i="1" s="1"/>
  <c r="AG129" i="1" s="1"/>
  <c r="AB17" i="1"/>
  <c r="AC17" i="1" s="1"/>
  <c r="AD17" i="1" s="1"/>
  <c r="AE145" i="1"/>
  <c r="AF145" i="1" s="1"/>
  <c r="AG145" i="1" s="1"/>
  <c r="AE162" i="1"/>
  <c r="AF162" i="1" s="1"/>
  <c r="AG162" i="1" s="1"/>
  <c r="AE71" i="1"/>
  <c r="AF71" i="1" s="1"/>
  <c r="AG71" i="1" s="1"/>
  <c r="AE40" i="1"/>
  <c r="AF40" i="1" s="1"/>
  <c r="AG40" i="1" s="1"/>
  <c r="AE76" i="1"/>
  <c r="AF76" i="1" s="1"/>
  <c r="AG76" i="1" s="1"/>
  <c r="AE111" i="1"/>
  <c r="AF111" i="1" s="1"/>
  <c r="AB105" i="1"/>
  <c r="AC105" i="1" s="1"/>
  <c r="AD105" i="1" s="1"/>
  <c r="AB101" i="1"/>
  <c r="AC101" i="1" s="1"/>
  <c r="AD101" i="1" s="1"/>
  <c r="AB121" i="1"/>
  <c r="AC121" i="1" s="1"/>
  <c r="AD121" i="1" s="1"/>
  <c r="AB137" i="1"/>
  <c r="AC137" i="1" s="1"/>
  <c r="AD137" i="1" s="1"/>
  <c r="AB40" i="1"/>
  <c r="AC40" i="1" s="1"/>
  <c r="AD40" i="1" s="1"/>
  <c r="AB35" i="1"/>
  <c r="AC35" i="1" s="1"/>
  <c r="AD35" i="1" s="1"/>
  <c r="CH135" i="1"/>
  <c r="CI135" i="1" s="1"/>
  <c r="CH116" i="1"/>
  <c r="CI116" i="1" s="1"/>
  <c r="AB36" i="1"/>
  <c r="AC36" i="1" s="1"/>
  <c r="AD36" i="1" s="1"/>
  <c r="AB103" i="1"/>
  <c r="AC103" i="1" s="1"/>
  <c r="AD103" i="1" s="1"/>
  <c r="AB88" i="1"/>
  <c r="AC88" i="1" s="1"/>
  <c r="AD88" i="1" s="1"/>
  <c r="AB124" i="1"/>
  <c r="AC124" i="1" s="1"/>
  <c r="AD124" i="1" s="1"/>
  <c r="AB145" i="1"/>
  <c r="AC145" i="1" s="1"/>
  <c r="AD145" i="1" s="1"/>
  <c r="AB164" i="1"/>
  <c r="AC164" i="1" s="1"/>
  <c r="AD164" i="1" s="1"/>
  <c r="AE66" i="1"/>
  <c r="AF66" i="1" s="1"/>
  <c r="AG66" i="1" s="1"/>
  <c r="AB39" i="1"/>
  <c r="AC39" i="1" s="1"/>
  <c r="AD39" i="1" s="1"/>
  <c r="AE144" i="1"/>
  <c r="AF144" i="1" s="1"/>
  <c r="AB157" i="1"/>
  <c r="AC157" i="1" s="1"/>
  <c r="AD157" i="1" s="1"/>
  <c r="AB146" i="1"/>
  <c r="AC146" i="1" s="1"/>
  <c r="AD146" i="1" s="1"/>
  <c r="CH143" i="1"/>
  <c r="CI143" i="1" s="1"/>
  <c r="AB166" i="1"/>
  <c r="AC166" i="1" s="1"/>
  <c r="AD166" i="1" s="1"/>
  <c r="AE44" i="1"/>
  <c r="AF44" i="1" s="1"/>
  <c r="AG44" i="1" s="1"/>
  <c r="AE72" i="1"/>
  <c r="AF72" i="1" s="1"/>
  <c r="AG72" i="1" s="1"/>
  <c r="AE73" i="1"/>
  <c r="AF73" i="1" s="1"/>
  <c r="AG73" i="1" s="1"/>
  <c r="AI135" i="1"/>
  <c r="AJ135" i="1" s="1"/>
  <c r="AL135" i="1" s="1"/>
  <c r="AM135" i="1" s="1"/>
  <c r="AE149" i="1"/>
  <c r="AF149" i="1" s="1"/>
  <c r="AE158" i="1"/>
  <c r="AF158" i="1" s="1"/>
  <c r="AG158" i="1" s="1"/>
  <c r="AE56" i="1"/>
  <c r="AF56" i="1" s="1"/>
  <c r="AG56" i="1" s="1"/>
  <c r="AE123" i="1"/>
  <c r="AF123" i="1" s="1"/>
  <c r="AG123" i="1" s="1"/>
  <c r="AE39" i="1"/>
  <c r="AF39" i="1" s="1"/>
  <c r="AG39" i="1" s="1"/>
  <c r="AE63" i="1"/>
  <c r="AF63" i="1" s="1"/>
  <c r="AG63" i="1" s="1"/>
  <c r="AE58" i="1"/>
  <c r="AF58" i="1" s="1"/>
  <c r="AG58" i="1" s="1"/>
  <c r="AE113" i="1"/>
  <c r="AF113" i="1" s="1"/>
  <c r="AG113" i="1" s="1"/>
  <c r="AE125" i="1"/>
  <c r="AF125" i="1" s="1"/>
  <c r="AE84" i="1"/>
  <c r="AF84" i="1" s="1"/>
  <c r="AE75" i="1"/>
  <c r="AF75" i="1" s="1"/>
  <c r="AG75" i="1" s="1"/>
  <c r="AE96" i="1"/>
  <c r="AF96" i="1" s="1"/>
  <c r="AG96" i="1" s="1"/>
  <c r="CO61" i="1"/>
  <c r="CP61" i="1" s="1"/>
  <c r="AE117" i="1"/>
  <c r="AF117" i="1" s="1"/>
  <c r="AE140" i="1"/>
  <c r="AF140" i="1" s="1"/>
  <c r="AE43" i="1"/>
  <c r="AF43" i="1" s="1"/>
  <c r="AG43" i="1" s="1"/>
  <c r="AE99" i="1"/>
  <c r="AF99" i="1" s="1"/>
  <c r="AG99" i="1" s="1"/>
  <c r="AE156" i="1"/>
  <c r="AF156" i="1" s="1"/>
  <c r="AE42" i="1"/>
  <c r="AF42" i="1" s="1"/>
  <c r="AE74" i="1"/>
  <c r="AF74" i="1" s="1"/>
  <c r="AG74" i="1" s="1"/>
  <c r="AE45" i="1"/>
  <c r="AF45" i="1" s="1"/>
  <c r="AG45" i="1" s="1"/>
  <c r="AE78" i="1"/>
  <c r="AF78" i="1" s="1"/>
  <c r="AG78" i="1" s="1"/>
  <c r="AE49" i="1"/>
  <c r="AF49" i="1" s="1"/>
  <c r="AG49" i="1" s="1"/>
  <c r="AE100" i="1"/>
  <c r="AF100" i="1" s="1"/>
  <c r="AG100" i="1" s="1"/>
  <c r="AE37" i="1"/>
  <c r="AF37" i="1" s="1"/>
  <c r="AE83" i="1"/>
  <c r="AF83" i="1" s="1"/>
  <c r="AG83" i="1" s="1"/>
  <c r="AE52" i="1"/>
  <c r="AF52" i="1" s="1"/>
  <c r="AG52" i="1" s="1"/>
  <c r="CO52" i="1"/>
  <c r="CP52" i="1" s="1"/>
  <c r="AE105" i="1"/>
  <c r="AF105" i="1" s="1"/>
  <c r="AG105" i="1" s="1"/>
  <c r="CO105" i="1"/>
  <c r="CP105" i="1" s="1"/>
  <c r="AE101" i="1"/>
  <c r="AF101" i="1" s="1"/>
  <c r="AG101" i="1" s="1"/>
  <c r="CO101" i="1"/>
  <c r="CP101" i="1" s="1"/>
  <c r="AE89" i="1"/>
  <c r="AF89" i="1" s="1"/>
  <c r="AG89" i="1" s="1"/>
  <c r="CO89" i="1"/>
  <c r="CP89" i="1" s="1"/>
  <c r="AE166" i="1"/>
  <c r="AF166" i="1" s="1"/>
  <c r="AG166" i="1" s="1"/>
  <c r="CO166" i="1"/>
  <c r="CP166" i="1" s="1"/>
  <c r="AE98" i="1"/>
  <c r="AF98" i="1" s="1"/>
  <c r="AG98" i="1" s="1"/>
  <c r="CO98" i="1"/>
  <c r="CP98" i="1" s="1"/>
  <c r="AE46" i="1"/>
  <c r="AF46" i="1" s="1"/>
  <c r="AG46" i="1" s="1"/>
  <c r="CO46" i="1"/>
  <c r="CP46" i="1" s="1"/>
  <c r="AE51" i="1"/>
  <c r="AF51" i="1" s="1"/>
  <c r="AG51" i="1" s="1"/>
  <c r="CO51" i="1"/>
  <c r="CP51" i="1" s="1"/>
  <c r="AB61" i="1"/>
  <c r="AC61" i="1" s="1"/>
  <c r="AD61" i="1" s="1"/>
  <c r="CH61" i="1" s="1"/>
  <c r="AI38" i="1"/>
  <c r="AI143" i="1"/>
  <c r="AB25" i="1"/>
  <c r="AC25" i="1" s="1"/>
  <c r="AD25" i="1" s="1"/>
  <c r="AB54" i="1"/>
  <c r="AC54" i="1" s="1"/>
  <c r="AD54" i="1" s="1"/>
  <c r="AB154" i="1"/>
  <c r="AC154" i="1" s="1"/>
  <c r="AD154" i="1" s="1"/>
  <c r="AB65" i="1"/>
  <c r="AC65" i="1" s="1"/>
  <c r="AD65" i="1" s="1"/>
  <c r="AB33" i="1"/>
  <c r="AC33" i="1" s="1"/>
  <c r="AD33" i="1" s="1"/>
  <c r="AB55" i="1"/>
  <c r="AC55" i="1" s="1"/>
  <c r="AD55" i="1" s="1"/>
  <c r="AB22" i="1"/>
  <c r="AC22" i="1" s="1"/>
  <c r="AD22" i="1" s="1"/>
  <c r="AB91" i="1"/>
  <c r="AC91" i="1" s="1"/>
  <c r="AD91" i="1" s="1"/>
  <c r="AB119" i="1"/>
  <c r="AC119" i="1" s="1"/>
  <c r="AD119" i="1" s="1"/>
  <c r="AB19" i="1"/>
  <c r="AC19" i="1" s="1"/>
  <c r="AD19" i="1" s="1"/>
  <c r="AB26" i="1"/>
  <c r="AC26" i="1" s="1"/>
  <c r="AD26" i="1" s="1"/>
  <c r="AB53" i="1"/>
  <c r="AC53" i="1" s="1"/>
  <c r="AD53" i="1" s="1"/>
  <c r="AB34" i="1"/>
  <c r="AC34" i="1" s="1"/>
  <c r="AD34" i="1" s="1"/>
  <c r="AB67" i="1"/>
  <c r="AC67" i="1" s="1"/>
  <c r="AD67" i="1" s="1"/>
  <c r="AB129" i="1"/>
  <c r="AC129" i="1" s="1"/>
  <c r="AD129" i="1" s="1"/>
  <c r="AB123" i="1"/>
  <c r="AC123" i="1" s="1"/>
  <c r="AD123" i="1" s="1"/>
  <c r="AB28" i="1"/>
  <c r="AC28" i="1" s="1"/>
  <c r="AD28" i="1" s="1"/>
  <c r="AB131" i="1"/>
  <c r="AC131" i="1" s="1"/>
  <c r="AD131" i="1" s="1"/>
  <c r="AB46" i="1"/>
  <c r="AC46" i="1" s="1"/>
  <c r="AD46" i="1" s="1"/>
  <c r="AB120" i="1"/>
  <c r="AC120" i="1" s="1"/>
  <c r="AD120" i="1" s="1"/>
  <c r="AB51" i="1"/>
  <c r="AC51" i="1" s="1"/>
  <c r="AD51" i="1" s="1"/>
  <c r="AB29" i="1"/>
  <c r="AC29" i="1" s="1"/>
  <c r="AD29" i="1" s="1"/>
  <c r="AB134" i="1"/>
  <c r="AC134" i="1" s="1"/>
  <c r="AD134" i="1" s="1"/>
  <c r="AB83" i="1"/>
  <c r="AC83" i="1" s="1"/>
  <c r="AD83" i="1" s="1"/>
  <c r="AB96" i="1"/>
  <c r="AC96" i="1" s="1"/>
  <c r="AD96" i="1" s="1"/>
  <c r="AB126" i="1"/>
  <c r="AC126" i="1" s="1"/>
  <c r="AD126" i="1" s="1"/>
  <c r="AB85" i="1"/>
  <c r="AC85" i="1" s="1"/>
  <c r="AD85" i="1" s="1"/>
  <c r="AB52" i="1"/>
  <c r="AC52" i="1" s="1"/>
  <c r="AD52" i="1" s="1"/>
  <c r="AB69" i="1"/>
  <c r="AC69" i="1" s="1"/>
  <c r="AD69" i="1" s="1"/>
  <c r="AB95" i="1"/>
  <c r="AC95" i="1" s="1"/>
  <c r="AD95" i="1" s="1"/>
  <c r="AB32" i="1"/>
  <c r="AC32" i="1" s="1"/>
  <c r="AD32" i="1" s="1"/>
  <c r="AB160" i="1"/>
  <c r="AC160" i="1" s="1"/>
  <c r="AD160" i="1" s="1"/>
  <c r="AB50" i="1"/>
  <c r="AC50" i="1" s="1"/>
  <c r="AD50" i="1" s="1"/>
  <c r="AB23" i="1"/>
  <c r="AC23" i="1" s="1"/>
  <c r="AD23" i="1" s="1"/>
  <c r="AB49" i="1"/>
  <c r="AC49" i="1" s="1"/>
  <c r="AD49" i="1" s="1"/>
  <c r="AB99" i="1"/>
  <c r="AC99" i="1" s="1"/>
  <c r="AD99" i="1" s="1"/>
  <c r="AB159" i="1"/>
  <c r="AC159" i="1" s="1"/>
  <c r="AD159" i="1" s="1"/>
  <c r="AB86" i="1"/>
  <c r="AC86" i="1" s="1"/>
  <c r="AD86" i="1" s="1"/>
  <c r="AB161" i="1"/>
  <c r="AC161" i="1" s="1"/>
  <c r="AD161" i="1" s="1"/>
  <c r="AB31" i="1"/>
  <c r="AC31" i="1" s="1"/>
  <c r="AD31" i="1" s="1"/>
  <c r="AB132" i="1"/>
  <c r="AC132" i="1" s="1"/>
  <c r="AD132" i="1" s="1"/>
  <c r="AB21" i="1"/>
  <c r="AC21" i="1" s="1"/>
  <c r="AD21" i="1" s="1"/>
  <c r="AB30" i="1"/>
  <c r="AC30" i="1" s="1"/>
  <c r="AD30" i="1" s="1"/>
  <c r="AB98" i="1"/>
  <c r="AC98" i="1" s="1"/>
  <c r="AD98" i="1" s="1"/>
  <c r="AB48" i="1"/>
  <c r="AC48" i="1" s="1"/>
  <c r="AD48" i="1" s="1"/>
  <c r="AB130" i="1"/>
  <c r="AC130" i="1" s="1"/>
  <c r="AD130" i="1" s="1"/>
  <c r="AE69" i="1"/>
  <c r="AF69" i="1" s="1"/>
  <c r="AB142" i="1"/>
  <c r="AC142" i="1" s="1"/>
  <c r="AD142" i="1" s="1"/>
  <c r="AE30" i="1"/>
  <c r="AF30" i="1" s="1"/>
  <c r="AG30" i="1" s="1"/>
  <c r="AB68" i="1"/>
  <c r="AC68" i="1" s="1"/>
  <c r="AD68" i="1" s="1"/>
  <c r="AB74" i="1"/>
  <c r="AC74" i="1" s="1"/>
  <c r="AD74" i="1" s="1"/>
  <c r="AE130" i="1"/>
  <c r="AF130" i="1" s="1"/>
  <c r="AE92" i="1"/>
  <c r="AF92" i="1" s="1"/>
  <c r="AG92" i="1" s="1"/>
  <c r="AE119" i="1"/>
  <c r="AF119" i="1" s="1"/>
  <c r="AG119" i="1" s="1"/>
  <c r="AE108" i="1"/>
  <c r="AF108" i="1" s="1"/>
  <c r="AG108" i="1" s="1"/>
  <c r="AE147" i="1"/>
  <c r="AF147" i="1" s="1"/>
  <c r="AG147" i="1" s="1"/>
  <c r="AB62" i="1"/>
  <c r="AC62" i="1" s="1"/>
  <c r="AD62" i="1" s="1"/>
  <c r="CH62" i="1" s="1"/>
  <c r="AE124" i="1"/>
  <c r="AF124" i="1" s="1"/>
  <c r="AG124" i="1" s="1"/>
  <c r="AE150" i="1"/>
  <c r="AF150" i="1" s="1"/>
  <c r="AG150" i="1" s="1"/>
  <c r="AB158" i="1"/>
  <c r="AC158" i="1" s="1"/>
  <c r="AD158" i="1" s="1"/>
  <c r="AE90" i="1"/>
  <c r="AF90" i="1" s="1"/>
  <c r="AG90" i="1" s="1"/>
  <c r="AE29" i="1"/>
  <c r="AF29" i="1" s="1"/>
  <c r="AG29" i="1" s="1"/>
  <c r="AB138" i="1"/>
  <c r="AC138" i="1" s="1"/>
  <c r="AD138" i="1" s="1"/>
  <c r="AE152" i="1"/>
  <c r="AF152" i="1" s="1"/>
  <c r="AG152" i="1" s="1"/>
  <c r="AB108" i="1"/>
  <c r="AC108" i="1" s="1"/>
  <c r="AD108" i="1" s="1"/>
  <c r="AB58" i="1"/>
  <c r="AC58" i="1" s="1"/>
  <c r="AD58" i="1" s="1"/>
  <c r="AB72" i="1"/>
  <c r="AC72" i="1" s="1"/>
  <c r="AD72" i="1" s="1"/>
  <c r="AE86" i="1"/>
  <c r="AF86" i="1" s="1"/>
  <c r="AE163" i="1"/>
  <c r="AF163" i="1" s="1"/>
  <c r="AG163" i="1" s="1"/>
  <c r="AE94" i="1"/>
  <c r="AF94" i="1" s="1"/>
  <c r="AG94" i="1" s="1"/>
  <c r="AB56" i="1"/>
  <c r="AC56" i="1" s="1"/>
  <c r="AD56" i="1" s="1"/>
  <c r="AE67" i="1"/>
  <c r="AF67" i="1" s="1"/>
  <c r="AG67" i="1" s="1"/>
  <c r="AB73" i="1"/>
  <c r="AC73" i="1" s="1"/>
  <c r="AD73" i="1" s="1"/>
  <c r="AB92" i="1"/>
  <c r="AC92" i="1" s="1"/>
  <c r="AD92" i="1" s="1"/>
  <c r="AE27" i="1"/>
  <c r="AF27" i="1" s="1"/>
  <c r="AG27" i="1" s="1"/>
  <c r="AE118" i="1"/>
  <c r="AF118" i="1" s="1"/>
  <c r="AG118" i="1" s="1"/>
  <c r="AB147" i="1"/>
  <c r="AC147" i="1" s="1"/>
  <c r="AD147" i="1" s="1"/>
  <c r="AE153" i="1"/>
  <c r="AF153" i="1" s="1"/>
  <c r="AG153" i="1" s="1"/>
  <c r="AB97" i="1"/>
  <c r="AC97" i="1" s="1"/>
  <c r="AD97" i="1" s="1"/>
  <c r="AE24" i="1"/>
  <c r="AF24" i="1" s="1"/>
  <c r="AG24" i="1" s="1"/>
  <c r="AB57" i="1"/>
  <c r="AC57" i="1" s="1"/>
  <c r="AD57" i="1" s="1"/>
  <c r="AE121" i="1"/>
  <c r="AF121" i="1" s="1"/>
  <c r="AG121" i="1" s="1"/>
  <c r="AB63" i="1"/>
  <c r="AC63" i="1" s="1"/>
  <c r="AD63" i="1" s="1"/>
  <c r="AB71" i="1"/>
  <c r="AC71" i="1" s="1"/>
  <c r="AD71" i="1" s="1"/>
  <c r="AE104" i="1"/>
  <c r="AF104" i="1" s="1"/>
  <c r="AG104" i="1" s="1"/>
  <c r="AE128" i="1"/>
  <c r="AF128" i="1" s="1"/>
  <c r="AG128" i="1" s="1"/>
  <c r="AB47" i="1"/>
  <c r="AC47" i="1" s="1"/>
  <c r="AD47" i="1" s="1"/>
  <c r="AB24" i="1"/>
  <c r="AC24" i="1" s="1"/>
  <c r="AD24" i="1" s="1"/>
  <c r="AB162" i="1"/>
  <c r="AC162" i="1" s="1"/>
  <c r="AD162" i="1" s="1"/>
  <c r="AB93" i="1"/>
  <c r="AC93" i="1" s="1"/>
  <c r="AD93" i="1" s="1"/>
  <c r="AE34" i="1"/>
  <c r="AF34" i="1" s="1"/>
  <c r="AG34" i="1" s="1"/>
  <c r="AE32" i="1"/>
  <c r="AF32" i="1" s="1"/>
  <c r="AG32" i="1" s="1"/>
  <c r="AB82" i="1"/>
  <c r="AC82" i="1" s="1"/>
  <c r="AD82" i="1" s="1"/>
  <c r="CH82" i="1" s="1"/>
  <c r="AB133" i="1"/>
  <c r="AC133" i="1" s="1"/>
  <c r="AD133" i="1" s="1"/>
  <c r="AE157" i="1"/>
  <c r="AF157" i="1" s="1"/>
  <c r="AG157" i="1" s="1"/>
  <c r="AE107" i="1"/>
  <c r="AF107" i="1" s="1"/>
  <c r="AG107" i="1" s="1"/>
  <c r="AE95" i="1"/>
  <c r="AF95" i="1" s="1"/>
  <c r="AG95" i="1" s="1"/>
  <c r="AB150" i="1"/>
  <c r="AC150" i="1" s="1"/>
  <c r="AD150" i="1" s="1"/>
  <c r="AE47" i="1"/>
  <c r="AF47" i="1" s="1"/>
  <c r="AE65" i="1"/>
  <c r="AF65" i="1" s="1"/>
  <c r="AG65" i="1" s="1"/>
  <c r="AE97" i="1"/>
  <c r="AF97" i="1" s="1"/>
  <c r="AG97" i="1" s="1"/>
  <c r="AE132" i="1"/>
  <c r="AF132" i="1" s="1"/>
  <c r="AG132" i="1" s="1"/>
  <c r="AB27" i="1"/>
  <c r="AC27" i="1" s="1"/>
  <c r="AD27" i="1" s="1"/>
  <c r="AE87" i="1"/>
  <c r="AF87" i="1" s="1"/>
  <c r="AG87" i="1" s="1"/>
  <c r="AE133" i="1"/>
  <c r="AF133" i="1" s="1"/>
  <c r="AG133" i="1" s="1"/>
  <c r="AB80" i="1"/>
  <c r="AC80" i="1" s="1"/>
  <c r="AD80" i="1" s="1"/>
  <c r="CH80" i="1" s="1"/>
  <c r="AE23" i="1"/>
  <c r="AF23" i="1" s="1"/>
  <c r="AG23" i="1" s="1"/>
  <c r="AB81" i="1"/>
  <c r="AC81" i="1" s="1"/>
  <c r="AD81" i="1" s="1"/>
  <c r="CH81" i="1" s="1"/>
  <c r="AE91" i="1"/>
  <c r="AF91" i="1" s="1"/>
  <c r="AG91" i="1" s="1"/>
  <c r="AE106" i="1"/>
  <c r="AF106" i="1" s="1"/>
  <c r="AG106" i="1" s="1"/>
  <c r="AE122" i="1"/>
  <c r="AF122" i="1" s="1"/>
  <c r="AG122" i="1" s="1"/>
  <c r="AB151" i="1"/>
  <c r="AC151" i="1" s="1"/>
  <c r="AD151" i="1" s="1"/>
  <c r="AB107" i="1"/>
  <c r="AC107" i="1" s="1"/>
  <c r="AD107" i="1" s="1"/>
  <c r="AB77" i="1"/>
  <c r="AC77" i="1" s="1"/>
  <c r="AD77" i="1" s="1"/>
  <c r="CH77" i="1" s="1"/>
  <c r="AE114" i="1"/>
  <c r="AF114" i="1" s="1"/>
  <c r="AG114" i="1" s="1"/>
  <c r="AE151" i="1"/>
  <c r="AF151" i="1" s="1"/>
  <c r="AG151" i="1" s="1"/>
  <c r="AE85" i="1"/>
  <c r="AF85" i="1" s="1"/>
  <c r="AG85" i="1" s="1"/>
  <c r="AE36" i="1"/>
  <c r="AF36" i="1" s="1"/>
  <c r="AG36" i="1" s="1"/>
  <c r="AB70" i="1"/>
  <c r="AC70" i="1" s="1"/>
  <c r="AD70" i="1" s="1"/>
  <c r="AE109" i="1"/>
  <c r="AF109" i="1" s="1"/>
  <c r="AG109" i="1" s="1"/>
  <c r="AB118" i="1"/>
  <c r="AC118" i="1" s="1"/>
  <c r="AD118" i="1" s="1"/>
  <c r="AB152" i="1"/>
  <c r="AC152" i="1" s="1"/>
  <c r="AD152" i="1" s="1"/>
  <c r="AE50" i="1"/>
  <c r="AF50" i="1" s="1"/>
  <c r="AG50" i="1" s="1"/>
  <c r="AB79" i="1"/>
  <c r="AC79" i="1" s="1"/>
  <c r="AD79" i="1" s="1"/>
  <c r="CH79" i="1" s="1"/>
  <c r="AE33" i="1"/>
  <c r="AF33" i="1" s="1"/>
  <c r="AG33" i="1" s="1"/>
  <c r="AB60" i="1"/>
  <c r="AC60" i="1" s="1"/>
  <c r="AD60" i="1" s="1"/>
  <c r="AE127" i="1"/>
  <c r="AF127" i="1" s="1"/>
  <c r="AG127" i="1" s="1"/>
  <c r="AE137" i="1"/>
  <c r="AF137" i="1" s="1"/>
  <c r="AG137" i="1" s="1"/>
  <c r="AE102" i="1"/>
  <c r="AF102" i="1" s="1"/>
  <c r="AG102" i="1" s="1"/>
  <c r="AB106" i="1"/>
  <c r="AC106" i="1" s="1"/>
  <c r="AD106" i="1" s="1"/>
  <c r="AE131" i="1"/>
  <c r="AF131" i="1" s="1"/>
  <c r="AG131" i="1" s="1"/>
  <c r="AE159" i="1"/>
  <c r="AF159" i="1" s="1"/>
  <c r="AG159" i="1" s="1"/>
  <c r="AE155" i="1"/>
  <c r="AF155" i="1" s="1"/>
  <c r="AG155" i="1" s="1"/>
  <c r="AB18" i="1"/>
  <c r="AC18" i="1" s="1"/>
  <c r="AD18" i="1" s="1"/>
  <c r="AE20" i="1"/>
  <c r="AF20" i="1" s="1"/>
  <c r="AG20" i="1" s="1"/>
  <c r="AB59" i="1"/>
  <c r="AC59" i="1" s="1"/>
  <c r="AD59" i="1" s="1"/>
  <c r="AE112" i="1"/>
  <c r="AF112" i="1" s="1"/>
  <c r="AG112" i="1" s="1"/>
  <c r="AE146" i="1"/>
  <c r="AF146" i="1" s="1"/>
  <c r="AG146" i="1" s="1"/>
  <c r="AE164" i="1"/>
  <c r="AF164" i="1" s="1"/>
  <c r="AG164" i="1" s="1"/>
  <c r="AE26" i="1"/>
  <c r="AF26" i="1" s="1"/>
  <c r="AG26" i="1" s="1"/>
  <c r="AB122" i="1"/>
  <c r="AC122" i="1" s="1"/>
  <c r="AD122" i="1" s="1"/>
  <c r="AB64" i="1"/>
  <c r="AC64" i="1" s="1"/>
  <c r="AD64" i="1" s="1"/>
  <c r="CH64" i="1" s="1"/>
  <c r="AE103" i="1"/>
  <c r="AF103" i="1" s="1"/>
  <c r="AG103" i="1" s="1"/>
  <c r="AE126" i="1"/>
  <c r="AF126" i="1" s="1"/>
  <c r="AG126" i="1" s="1"/>
  <c r="AE25" i="1"/>
  <c r="AF25" i="1" s="1"/>
  <c r="AG25" i="1" s="1"/>
  <c r="AE31" i="1"/>
  <c r="AF31" i="1" s="1"/>
  <c r="AG31" i="1" s="1"/>
  <c r="AE55" i="1"/>
  <c r="AF55" i="1" s="1"/>
  <c r="AG55" i="1" s="1"/>
  <c r="AE59" i="1"/>
  <c r="AF59" i="1" s="1"/>
  <c r="AB109" i="1"/>
  <c r="AC109" i="1" s="1"/>
  <c r="AD109" i="1" s="1"/>
  <c r="AE48" i="1"/>
  <c r="AF48" i="1" s="1"/>
  <c r="AG48" i="1" s="1"/>
  <c r="AB66" i="1"/>
  <c r="AC66" i="1" s="1"/>
  <c r="AD66" i="1" s="1"/>
  <c r="AB78" i="1"/>
  <c r="AC78" i="1" s="1"/>
  <c r="AD78" i="1" s="1"/>
  <c r="AB100" i="1"/>
  <c r="AC100" i="1" s="1"/>
  <c r="AD100" i="1" s="1"/>
  <c r="AE138" i="1"/>
  <c r="AF138" i="1" s="1"/>
  <c r="AG138" i="1" s="1"/>
  <c r="AB20" i="1"/>
  <c r="AC20" i="1" s="1"/>
  <c r="AD20" i="1" s="1"/>
  <c r="AB153" i="1"/>
  <c r="AC153" i="1" s="1"/>
  <c r="AD153" i="1" s="1"/>
  <c r="AE22" i="1"/>
  <c r="AF22" i="1" s="1"/>
  <c r="AG22" i="1" s="1"/>
  <c r="AB87" i="1"/>
  <c r="AC87" i="1" s="1"/>
  <c r="AD87" i="1" s="1"/>
  <c r="AB89" i="1"/>
  <c r="AC89" i="1" s="1"/>
  <c r="AD89" i="1" s="1"/>
  <c r="AE88" i="1"/>
  <c r="AF88" i="1" s="1"/>
  <c r="AG88" i="1" s="1"/>
  <c r="AB113" i="1"/>
  <c r="AC113" i="1" s="1"/>
  <c r="AD113" i="1" s="1"/>
  <c r="AE53" i="1"/>
  <c r="AF53" i="1" s="1"/>
  <c r="AG53" i="1" s="1"/>
  <c r="AE134" i="1"/>
  <c r="AF134" i="1" s="1"/>
  <c r="AG134" i="1" s="1"/>
  <c r="AE160" i="1"/>
  <c r="AF160" i="1" s="1"/>
  <c r="AG160" i="1" s="1"/>
  <c r="AB44" i="1"/>
  <c r="AC44" i="1" s="1"/>
  <c r="AD44" i="1" s="1"/>
  <c r="AE18" i="1"/>
  <c r="AF18" i="1" s="1"/>
  <c r="AB45" i="1"/>
  <c r="AC45" i="1" s="1"/>
  <c r="AD45" i="1" s="1"/>
  <c r="AB94" i="1"/>
  <c r="AC94" i="1" s="1"/>
  <c r="AD94" i="1" s="1"/>
  <c r="AE35" i="1"/>
  <c r="AF35" i="1" s="1"/>
  <c r="AG35" i="1" s="1"/>
  <c r="AE28" i="1"/>
  <c r="AF28" i="1" s="1"/>
  <c r="AG28" i="1" s="1"/>
  <c r="AB76" i="1"/>
  <c r="AC76" i="1" s="1"/>
  <c r="AD76" i="1" s="1"/>
  <c r="AE21" i="1"/>
  <c r="AF21" i="1" s="1"/>
  <c r="AG21" i="1" s="1"/>
  <c r="AE120" i="1"/>
  <c r="AF120" i="1" s="1"/>
  <c r="AG120" i="1" s="1"/>
  <c r="AE142" i="1"/>
  <c r="AF142" i="1" s="1"/>
  <c r="AG142" i="1" s="1"/>
  <c r="AE161" i="1"/>
  <c r="AF161" i="1" s="1"/>
  <c r="AG161" i="1" s="1"/>
  <c r="AE57" i="1"/>
  <c r="AF57" i="1" s="1"/>
  <c r="AG57" i="1" s="1"/>
  <c r="AE68" i="1"/>
  <c r="AF68" i="1" s="1"/>
  <c r="AG68" i="1" s="1"/>
  <c r="AB75" i="1"/>
  <c r="AC75" i="1" s="1"/>
  <c r="AD75" i="1" s="1"/>
  <c r="AE19" i="1"/>
  <c r="AF19" i="1" s="1"/>
  <c r="AG19" i="1" s="1"/>
  <c r="BZ135" i="1" l="1"/>
  <c r="CH154" i="1"/>
  <c r="AG110" i="1"/>
  <c r="AI110" i="1" s="1"/>
  <c r="AJ110" i="1" s="1"/>
  <c r="AL110" i="1" s="1"/>
  <c r="AM110" i="1" s="1"/>
  <c r="AG69" i="1"/>
  <c r="CH69" i="1" s="1"/>
  <c r="CI69" i="1" s="1"/>
  <c r="AG84" i="1"/>
  <c r="CH84" i="1" s="1"/>
  <c r="CI84" i="1" s="1"/>
  <c r="AG144" i="1"/>
  <c r="AI144" i="1" s="1"/>
  <c r="AJ144" i="1" s="1"/>
  <c r="AL144" i="1" s="1"/>
  <c r="AM144" i="1" s="1"/>
  <c r="AG111" i="1"/>
  <c r="AI111" i="1" s="1"/>
  <c r="AJ111" i="1" s="1"/>
  <c r="AL111" i="1" s="1"/>
  <c r="AM111" i="1" s="1"/>
  <c r="AG165" i="1"/>
  <c r="AI165" i="1" s="1"/>
  <c r="AJ165" i="1" s="1"/>
  <c r="AL165" i="1" s="1"/>
  <c r="AM165" i="1" s="1"/>
  <c r="AG130" i="1"/>
  <c r="CH130" i="1" s="1"/>
  <c r="CI130" i="1" s="1"/>
  <c r="AG140" i="1"/>
  <c r="CH140" i="1" s="1"/>
  <c r="CI140" i="1" s="1"/>
  <c r="AG125" i="1"/>
  <c r="CH125" i="1" s="1"/>
  <c r="CI125" i="1" s="1"/>
  <c r="AG59" i="1"/>
  <c r="CH59" i="1" s="1"/>
  <c r="CI59" i="1" s="1"/>
  <c r="AG47" i="1"/>
  <c r="CH47" i="1" s="1"/>
  <c r="CI47" i="1" s="1"/>
  <c r="AG117" i="1"/>
  <c r="AI117" i="1" s="1"/>
  <c r="AJ117" i="1" s="1"/>
  <c r="AL117" i="1" s="1"/>
  <c r="AM117" i="1" s="1"/>
  <c r="AG115" i="1"/>
  <c r="AI115" i="1" s="1"/>
  <c r="AJ115" i="1" s="1"/>
  <c r="AL115" i="1" s="1"/>
  <c r="AM115" i="1" s="1"/>
  <c r="AG139" i="1"/>
  <c r="CH139" i="1" s="1"/>
  <c r="CI139" i="1" s="1"/>
  <c r="AG18" i="1"/>
  <c r="AI18" i="1" s="1"/>
  <c r="AG86" i="1"/>
  <c r="CH86" i="1" s="1"/>
  <c r="CI86" i="1" s="1"/>
  <c r="AG37" i="1"/>
  <c r="CH37" i="1" s="1"/>
  <c r="CI37" i="1" s="1"/>
  <c r="AG42" i="1"/>
  <c r="CH42" i="1" s="1"/>
  <c r="CI42" i="1" s="1"/>
  <c r="AG149" i="1"/>
  <c r="AI149" i="1" s="1"/>
  <c r="AJ149" i="1" s="1"/>
  <c r="AL149" i="1" s="1"/>
  <c r="AM149" i="1" s="1"/>
  <c r="AG156" i="1"/>
  <c r="AI156" i="1" s="1"/>
  <c r="AJ156" i="1" s="1"/>
  <c r="AL156" i="1" s="1"/>
  <c r="AM156" i="1" s="1"/>
  <c r="AG148" i="1"/>
  <c r="CH148" i="1" s="1"/>
  <c r="CI148" i="1" s="1"/>
  <c r="CH70" i="1"/>
  <c r="CI70" i="1" s="1"/>
  <c r="CH30" i="1"/>
  <c r="CI30" i="1" s="1"/>
  <c r="CH60" i="1"/>
  <c r="CI60" i="1" s="1"/>
  <c r="CH110" i="1"/>
  <c r="CI110" i="1" s="1"/>
  <c r="CH54" i="1"/>
  <c r="CI54" i="1" s="1"/>
  <c r="CH93" i="1"/>
  <c r="CI93" i="1" s="1"/>
  <c r="AI40" i="1"/>
  <c r="AJ40" i="1" s="1"/>
  <c r="AL40" i="1" s="1"/>
  <c r="AM40" i="1" s="1"/>
  <c r="CH17" i="1"/>
  <c r="CE135" i="1"/>
  <c r="CF135" i="1" s="1"/>
  <c r="CH76" i="1"/>
  <c r="CI76" i="1" s="1"/>
  <c r="CH129" i="1"/>
  <c r="CI129" i="1" s="1"/>
  <c r="CH131" i="1"/>
  <c r="CI131" i="1" s="1"/>
  <c r="AI166" i="1"/>
  <c r="AJ166" i="1" s="1"/>
  <c r="AL166" i="1" s="1"/>
  <c r="AM166" i="1" s="1"/>
  <c r="AI105" i="1"/>
  <c r="AJ105" i="1" s="1"/>
  <c r="AL105" i="1" s="1"/>
  <c r="AM105" i="1" s="1"/>
  <c r="CH162" i="1"/>
  <c r="CI162" i="1" s="1"/>
  <c r="CH145" i="1"/>
  <c r="CI145" i="1" s="1"/>
  <c r="CH73" i="1"/>
  <c r="CI73" i="1" s="1"/>
  <c r="CH71" i="1"/>
  <c r="CI71" i="1" s="1"/>
  <c r="CH33" i="1"/>
  <c r="CI33" i="1" s="1"/>
  <c r="CH23" i="1"/>
  <c r="CI23" i="1" s="1"/>
  <c r="CH26" i="1"/>
  <c r="CI26" i="1" s="1"/>
  <c r="CH31" i="1"/>
  <c r="CI31" i="1" s="1"/>
  <c r="CH49" i="1"/>
  <c r="CI49" i="1" s="1"/>
  <c r="CH151" i="1"/>
  <c r="CI151" i="1" s="1"/>
  <c r="CH29" i="1"/>
  <c r="CI29" i="1" s="1"/>
  <c r="CH106" i="1"/>
  <c r="CI106" i="1" s="1"/>
  <c r="CH24" i="1"/>
  <c r="CI24" i="1" s="1"/>
  <c r="CH147" i="1"/>
  <c r="CI147" i="1" s="1"/>
  <c r="CH109" i="1"/>
  <c r="CI109" i="1" s="1"/>
  <c r="CH132" i="1"/>
  <c r="CI132" i="1" s="1"/>
  <c r="CH107" i="1"/>
  <c r="CI107" i="1" s="1"/>
  <c r="CH67" i="1"/>
  <c r="CI67" i="1" s="1"/>
  <c r="CH58" i="1"/>
  <c r="CI58" i="1" s="1"/>
  <c r="CH32" i="1"/>
  <c r="CI32" i="1" s="1"/>
  <c r="CH51" i="1"/>
  <c r="CI51" i="1" s="1"/>
  <c r="CH44" i="1"/>
  <c r="CI44" i="1" s="1"/>
  <c r="CH74" i="1"/>
  <c r="CI74" i="1" s="1"/>
  <c r="CH113" i="1"/>
  <c r="CI113" i="1" s="1"/>
  <c r="CH57" i="1"/>
  <c r="CI57" i="1" s="1"/>
  <c r="CH138" i="1"/>
  <c r="CI138" i="1" s="1"/>
  <c r="CH65" i="1"/>
  <c r="CI65" i="1" s="1"/>
  <c r="CH40" i="1"/>
  <c r="CI40" i="1" s="1"/>
  <c r="CH119" i="1"/>
  <c r="CI119" i="1" s="1"/>
  <c r="CH96" i="1"/>
  <c r="CI96" i="1" s="1"/>
  <c r="CH63" i="1"/>
  <c r="CI63" i="1" s="1"/>
  <c r="CH98" i="1"/>
  <c r="CI98" i="1" s="1"/>
  <c r="CH150" i="1"/>
  <c r="CI150" i="1" s="1"/>
  <c r="CH99" i="1"/>
  <c r="CI99" i="1" s="1"/>
  <c r="CH66" i="1"/>
  <c r="CI66" i="1" s="1"/>
  <c r="CH153" i="1"/>
  <c r="CI153" i="1" s="1"/>
  <c r="CH158" i="1"/>
  <c r="CI158" i="1" s="1"/>
  <c r="CH97" i="1"/>
  <c r="CI97" i="1" s="1"/>
  <c r="AI145" i="1"/>
  <c r="AJ145" i="1" s="1"/>
  <c r="AL145" i="1" s="1"/>
  <c r="AM145" i="1" s="1"/>
  <c r="CH75" i="1"/>
  <c r="CI75" i="1" s="1"/>
  <c r="CH118" i="1"/>
  <c r="CI118" i="1" s="1"/>
  <c r="CH94" i="1"/>
  <c r="CI94" i="1" s="1"/>
  <c r="CH152" i="1"/>
  <c r="CI152" i="1" s="1"/>
  <c r="CH46" i="1"/>
  <c r="CI46" i="1" s="1"/>
  <c r="CH89" i="1"/>
  <c r="CI89" i="1" s="1"/>
  <c r="CH52" i="1"/>
  <c r="CI52" i="1" s="1"/>
  <c r="CH78" i="1"/>
  <c r="CI78" i="1" s="1"/>
  <c r="CH123" i="1"/>
  <c r="CI123" i="1" s="1"/>
  <c r="CH87" i="1"/>
  <c r="CI87" i="1" s="1"/>
  <c r="CH126" i="1"/>
  <c r="CI126" i="1" s="1"/>
  <c r="CH95" i="1"/>
  <c r="CI95" i="1" s="1"/>
  <c r="CH92" i="1"/>
  <c r="CI92" i="1" s="1"/>
  <c r="CH39" i="1"/>
  <c r="CI39" i="1" s="1"/>
  <c r="CH100" i="1"/>
  <c r="CI100" i="1" s="1"/>
  <c r="CH55" i="1"/>
  <c r="CI55" i="1" s="1"/>
  <c r="CH20" i="1"/>
  <c r="CI20" i="1" s="1"/>
  <c r="CH122" i="1"/>
  <c r="CI122" i="1" s="1"/>
  <c r="CH133" i="1"/>
  <c r="CI133" i="1" s="1"/>
  <c r="CH27" i="1"/>
  <c r="CI27" i="1" s="1"/>
  <c r="CH161" i="1"/>
  <c r="CI161" i="1" s="1"/>
  <c r="CH83" i="1"/>
  <c r="CI83" i="1" s="1"/>
  <c r="CH45" i="1"/>
  <c r="CI45" i="1" s="1"/>
  <c r="CH56" i="1"/>
  <c r="CI56" i="1" s="1"/>
  <c r="CH72" i="1"/>
  <c r="CI72" i="1" s="1"/>
  <c r="AI136" i="1"/>
  <c r="AJ136" i="1" s="1"/>
  <c r="AL136" i="1" s="1"/>
  <c r="AM136" i="1" s="1"/>
  <c r="CH136" i="1"/>
  <c r="CI136" i="1" s="1"/>
  <c r="AI43" i="1"/>
  <c r="AJ43" i="1" s="1"/>
  <c r="AL43" i="1" s="1"/>
  <c r="AM43" i="1" s="1"/>
  <c r="CH43" i="1"/>
  <c r="CI43" i="1" s="1"/>
  <c r="CH41" i="1"/>
  <c r="CI41" i="1" s="1"/>
  <c r="CH105" i="1"/>
  <c r="CI105" i="1" s="1"/>
  <c r="AI101" i="1"/>
  <c r="AJ101" i="1" s="1"/>
  <c r="AL101" i="1" s="1"/>
  <c r="AM101" i="1" s="1"/>
  <c r="AI141" i="1"/>
  <c r="AJ141" i="1" s="1"/>
  <c r="AL141" i="1" s="1"/>
  <c r="AM141" i="1" s="1"/>
  <c r="CH141" i="1"/>
  <c r="CI141" i="1" s="1"/>
  <c r="CH38" i="1"/>
  <c r="CI38" i="1" s="1"/>
  <c r="CH101" i="1"/>
  <c r="CI101" i="1" s="1"/>
  <c r="CH166" i="1"/>
  <c r="CI166" i="1" s="1"/>
  <c r="AI39" i="1"/>
  <c r="AJ39" i="1" s="1"/>
  <c r="AL39" i="1" s="1"/>
  <c r="AM39" i="1" s="1"/>
  <c r="AI76" i="1"/>
  <c r="AJ76" i="1" s="1"/>
  <c r="AL76" i="1" s="1"/>
  <c r="AM76" i="1" s="1"/>
  <c r="AI44" i="1"/>
  <c r="AJ44" i="1" s="1"/>
  <c r="AL44" i="1" s="1"/>
  <c r="AM44" i="1" s="1"/>
  <c r="AI61" i="1"/>
  <c r="AJ61" i="1" s="1"/>
  <c r="AL61" i="1" s="1"/>
  <c r="AM61" i="1" s="1"/>
  <c r="CI61" i="1"/>
  <c r="AI70" i="1"/>
  <c r="AJ70" i="1" s="1"/>
  <c r="AL70" i="1" s="1"/>
  <c r="AM70" i="1" s="1"/>
  <c r="AI82" i="1"/>
  <c r="AJ82" i="1" s="1"/>
  <c r="AL82" i="1" s="1"/>
  <c r="AM82" i="1" s="1"/>
  <c r="CI82" i="1"/>
  <c r="AI75" i="1"/>
  <c r="AJ75" i="1" s="1"/>
  <c r="AL75" i="1" s="1"/>
  <c r="AM75" i="1" s="1"/>
  <c r="AI45" i="1"/>
  <c r="AJ45" i="1" s="1"/>
  <c r="AL45" i="1" s="1"/>
  <c r="AM45" i="1" s="1"/>
  <c r="AI113" i="1"/>
  <c r="AJ113" i="1" s="1"/>
  <c r="AL113" i="1" s="1"/>
  <c r="AM113" i="1" s="1"/>
  <c r="AI162" i="1"/>
  <c r="AJ162" i="1" s="1"/>
  <c r="AL162" i="1" s="1"/>
  <c r="AM162" i="1" s="1"/>
  <c r="AI56" i="1"/>
  <c r="AJ56" i="1" s="1"/>
  <c r="AL56" i="1" s="1"/>
  <c r="AM56" i="1" s="1"/>
  <c r="AI64" i="1"/>
  <c r="AJ64" i="1" s="1"/>
  <c r="AL64" i="1" s="1"/>
  <c r="AM64" i="1" s="1"/>
  <c r="CI64" i="1"/>
  <c r="AI79" i="1"/>
  <c r="AJ79" i="1" s="1"/>
  <c r="AL79" i="1" s="1"/>
  <c r="AM79" i="1" s="1"/>
  <c r="CI79" i="1"/>
  <c r="AI80" i="1"/>
  <c r="AJ80" i="1" s="1"/>
  <c r="AL80" i="1" s="1"/>
  <c r="AM80" i="1" s="1"/>
  <c r="CI80" i="1"/>
  <c r="AI62" i="1"/>
  <c r="AJ62" i="1" s="1"/>
  <c r="AL62" i="1" s="1"/>
  <c r="AM62" i="1" s="1"/>
  <c r="CI62" i="1"/>
  <c r="AI72" i="1"/>
  <c r="AJ72" i="1" s="1"/>
  <c r="AL72" i="1" s="1"/>
  <c r="AM72" i="1" s="1"/>
  <c r="AI54" i="1"/>
  <c r="AJ54" i="1" s="1"/>
  <c r="AL54" i="1" s="1"/>
  <c r="AM54" i="1" s="1"/>
  <c r="AI74" i="1"/>
  <c r="AJ74" i="1" s="1"/>
  <c r="AL74" i="1" s="1"/>
  <c r="AM74" i="1" s="1"/>
  <c r="AI78" i="1"/>
  <c r="AJ78" i="1" s="1"/>
  <c r="AL78" i="1" s="1"/>
  <c r="AM78" i="1" s="1"/>
  <c r="AI129" i="1"/>
  <c r="AJ129" i="1" s="1"/>
  <c r="AL129" i="1" s="1"/>
  <c r="AM129" i="1" s="1"/>
  <c r="AI154" i="1"/>
  <c r="AJ154" i="1" s="1"/>
  <c r="AL154" i="1" s="1"/>
  <c r="AM154" i="1" s="1"/>
  <c r="CI154" i="1"/>
  <c r="AI66" i="1"/>
  <c r="AJ66" i="1" s="1"/>
  <c r="AL66" i="1" s="1"/>
  <c r="AM66" i="1" s="1"/>
  <c r="AI73" i="1"/>
  <c r="AJ73" i="1" s="1"/>
  <c r="AL73" i="1" s="1"/>
  <c r="AM73" i="1" s="1"/>
  <c r="AI60" i="1"/>
  <c r="AJ60" i="1" s="1"/>
  <c r="AL60" i="1" s="1"/>
  <c r="AM60" i="1" s="1"/>
  <c r="AI77" i="1"/>
  <c r="AJ77" i="1" s="1"/>
  <c r="AL77" i="1" s="1"/>
  <c r="AM77" i="1" s="1"/>
  <c r="CI77" i="1"/>
  <c r="AI81" i="1"/>
  <c r="AJ81" i="1" s="1"/>
  <c r="AL81" i="1" s="1"/>
  <c r="AM81" i="1" s="1"/>
  <c r="CI81" i="1"/>
  <c r="AI93" i="1"/>
  <c r="AJ93" i="1" s="1"/>
  <c r="AL93" i="1" s="1"/>
  <c r="AM93" i="1" s="1"/>
  <c r="AI71" i="1"/>
  <c r="AJ71" i="1" s="1"/>
  <c r="AL71" i="1" s="1"/>
  <c r="AM71" i="1" s="1"/>
  <c r="AI58" i="1"/>
  <c r="AJ58" i="1" s="1"/>
  <c r="AL58" i="1" s="1"/>
  <c r="AM58" i="1" s="1"/>
  <c r="AI158" i="1"/>
  <c r="AJ158" i="1" s="1"/>
  <c r="AL158" i="1" s="1"/>
  <c r="AM158" i="1" s="1"/>
  <c r="AI63" i="1"/>
  <c r="AJ63" i="1" s="1"/>
  <c r="AL63" i="1" s="1"/>
  <c r="AM63" i="1" s="1"/>
  <c r="AI123" i="1"/>
  <c r="AJ123" i="1" s="1"/>
  <c r="AL123" i="1" s="1"/>
  <c r="AM123" i="1" s="1"/>
  <c r="AI51" i="1"/>
  <c r="AJ51" i="1" s="1"/>
  <c r="AL51" i="1" s="1"/>
  <c r="AM51" i="1" s="1"/>
  <c r="AI96" i="1"/>
  <c r="AJ96" i="1" s="1"/>
  <c r="AL96" i="1" s="1"/>
  <c r="AM96" i="1" s="1"/>
  <c r="AI109" i="1"/>
  <c r="AJ109" i="1" s="1"/>
  <c r="AL109" i="1" s="1"/>
  <c r="AM109" i="1" s="1"/>
  <c r="AV135" i="1"/>
  <c r="AW135" i="1" s="1"/>
  <c r="AI99" i="1"/>
  <c r="AJ99" i="1" s="1"/>
  <c r="AL99" i="1" s="1"/>
  <c r="AM99" i="1" s="1"/>
  <c r="AI98" i="1"/>
  <c r="AJ98" i="1" s="1"/>
  <c r="AL98" i="1" s="1"/>
  <c r="AM98" i="1" s="1"/>
  <c r="AI100" i="1"/>
  <c r="AJ100" i="1" s="1"/>
  <c r="AL100" i="1" s="1"/>
  <c r="AM100" i="1" s="1"/>
  <c r="AI49" i="1"/>
  <c r="AJ49" i="1" s="1"/>
  <c r="AL49" i="1" s="1"/>
  <c r="AM49" i="1" s="1"/>
  <c r="AI87" i="1"/>
  <c r="AJ87" i="1" s="1"/>
  <c r="AL87" i="1" s="1"/>
  <c r="AM87" i="1" s="1"/>
  <c r="AI151" i="1"/>
  <c r="AJ151" i="1" s="1"/>
  <c r="AL151" i="1" s="1"/>
  <c r="AM151" i="1" s="1"/>
  <c r="AI52" i="1"/>
  <c r="AJ52" i="1" s="1"/>
  <c r="AL52" i="1" s="1"/>
  <c r="AM52" i="1" s="1"/>
  <c r="AI46" i="1"/>
  <c r="AJ46" i="1" s="1"/>
  <c r="AL46" i="1" s="1"/>
  <c r="AM46" i="1" s="1"/>
  <c r="AI83" i="1"/>
  <c r="AJ83" i="1" s="1"/>
  <c r="AL83" i="1" s="1"/>
  <c r="AM83" i="1" s="1"/>
  <c r="AI89" i="1"/>
  <c r="AJ89" i="1" s="1"/>
  <c r="AL89" i="1" s="1"/>
  <c r="AM89" i="1" s="1"/>
  <c r="AJ116" i="1"/>
  <c r="AL116" i="1" s="1"/>
  <c r="AM116" i="1" s="1"/>
  <c r="AJ143" i="1"/>
  <c r="AL143" i="1" s="1"/>
  <c r="AM143" i="1" s="1"/>
  <c r="AJ41" i="1"/>
  <c r="AL41" i="1" s="1"/>
  <c r="AM41" i="1" s="1"/>
  <c r="AJ38" i="1"/>
  <c r="AL38" i="1" s="1"/>
  <c r="AM38" i="1" s="1"/>
  <c r="AI107" i="1"/>
  <c r="AI153" i="1"/>
  <c r="AI94" i="1"/>
  <c r="AI152" i="1"/>
  <c r="AI118" i="1"/>
  <c r="AI133" i="1"/>
  <c r="AI24" i="1"/>
  <c r="AI92" i="1"/>
  <c r="AI20" i="1"/>
  <c r="CH128" i="1"/>
  <c r="CH155" i="1"/>
  <c r="CH157" i="1"/>
  <c r="CH104" i="1"/>
  <c r="AI97" i="1"/>
  <c r="CH90" i="1"/>
  <c r="CH146" i="1"/>
  <c r="CH164" i="1"/>
  <c r="CH36" i="1"/>
  <c r="CH112" i="1"/>
  <c r="AI147" i="1"/>
  <c r="CH88" i="1"/>
  <c r="CH103" i="1"/>
  <c r="CH124" i="1"/>
  <c r="CH137" i="1"/>
  <c r="CH127" i="1"/>
  <c r="CH35" i="1"/>
  <c r="AI106" i="1"/>
  <c r="CH114" i="1"/>
  <c r="CH121" i="1"/>
  <c r="AI122" i="1"/>
  <c r="CH102" i="1"/>
  <c r="CH163" i="1"/>
  <c r="AI31" i="1"/>
  <c r="AI29" i="1"/>
  <c r="AI33" i="1"/>
  <c r="AI138" i="1"/>
  <c r="AI23" i="1"/>
  <c r="AI26" i="1"/>
  <c r="AI65" i="1"/>
  <c r="AI161" i="1"/>
  <c r="AI30" i="1"/>
  <c r="AI32" i="1"/>
  <c r="AI47" i="1"/>
  <c r="AI57" i="1"/>
  <c r="AI95" i="1"/>
  <c r="AI119" i="1"/>
  <c r="AI150" i="1"/>
  <c r="AI126" i="1"/>
  <c r="AI27" i="1"/>
  <c r="AI132" i="1"/>
  <c r="AI131" i="1"/>
  <c r="AI67" i="1"/>
  <c r="AI55" i="1"/>
  <c r="AI130" i="1" l="1"/>
  <c r="BZ77" i="1"/>
  <c r="BZ62" i="1"/>
  <c r="CE62" i="1" s="1"/>
  <c r="CF62" i="1" s="1"/>
  <c r="BZ64" i="1"/>
  <c r="CE64" i="1" s="1"/>
  <c r="CF64" i="1" s="1"/>
  <c r="BZ76" i="1"/>
  <c r="CE76" i="1" s="1"/>
  <c r="CF76" i="1" s="1"/>
  <c r="BZ156" i="1"/>
  <c r="CE156" i="1" s="1"/>
  <c r="CF156" i="1" s="1"/>
  <c r="BZ116" i="1"/>
  <c r="BZ89" i="1"/>
  <c r="CE89" i="1" s="1"/>
  <c r="CF89" i="1" s="1"/>
  <c r="BZ78" i="1"/>
  <c r="CE78" i="1" s="1"/>
  <c r="CF78" i="1" s="1"/>
  <c r="BZ141" i="1"/>
  <c r="CE141" i="1" s="1"/>
  <c r="CF141" i="1" s="1"/>
  <c r="BZ43" i="1"/>
  <c r="CE43" i="1" s="1"/>
  <c r="CF43" i="1" s="1"/>
  <c r="BZ149" i="1"/>
  <c r="CE149" i="1" s="1"/>
  <c r="CF149" i="1" s="1"/>
  <c r="BZ115" i="1"/>
  <c r="BZ110" i="1"/>
  <c r="BZ129" i="1"/>
  <c r="CE129" i="1" s="1"/>
  <c r="CF129" i="1" s="1"/>
  <c r="BZ60" i="1"/>
  <c r="CE60" i="1" s="1"/>
  <c r="CF60" i="1" s="1"/>
  <c r="BZ83" i="1"/>
  <c r="BZ80" i="1"/>
  <c r="CE80" i="1" s="1"/>
  <c r="CF80" i="1" s="1"/>
  <c r="BZ101" i="1"/>
  <c r="BZ105" i="1"/>
  <c r="BZ117" i="1"/>
  <c r="BZ165" i="1"/>
  <c r="CE165" i="1" s="1"/>
  <c r="CF165" i="1" s="1"/>
  <c r="BZ87" i="1"/>
  <c r="CE87" i="1" s="1"/>
  <c r="CF87" i="1" s="1"/>
  <c r="BZ49" i="1"/>
  <c r="CE49" i="1" s="1"/>
  <c r="CF49" i="1" s="1"/>
  <c r="BZ39" i="1"/>
  <c r="BZ93" i="1"/>
  <c r="CE93" i="1" s="1"/>
  <c r="CF93" i="1" s="1"/>
  <c r="BZ162" i="1"/>
  <c r="CE162" i="1" s="1"/>
  <c r="CF162" i="1" s="1"/>
  <c r="BZ38" i="1"/>
  <c r="CE38" i="1" s="1"/>
  <c r="CF38" i="1" s="1"/>
  <c r="BZ66" i="1"/>
  <c r="CE66" i="1" s="1"/>
  <c r="CF66" i="1" s="1"/>
  <c r="BZ166" i="1"/>
  <c r="CE166" i="1" s="1"/>
  <c r="CF166" i="1" s="1"/>
  <c r="BZ111" i="1"/>
  <c r="BZ109" i="1"/>
  <c r="CE109" i="1" s="1"/>
  <c r="CF109" i="1" s="1"/>
  <c r="BZ96" i="1"/>
  <c r="CE96" i="1" s="1"/>
  <c r="CF96" i="1" s="1"/>
  <c r="BZ56" i="1"/>
  <c r="CE56" i="1" s="1"/>
  <c r="CF56" i="1" s="1"/>
  <c r="BZ100" i="1"/>
  <c r="CE100" i="1" s="1"/>
  <c r="CF100" i="1" s="1"/>
  <c r="BZ73" i="1"/>
  <c r="CE73" i="1" s="1"/>
  <c r="CF73" i="1" s="1"/>
  <c r="BZ70" i="1"/>
  <c r="CE70" i="1" s="1"/>
  <c r="CF70" i="1" s="1"/>
  <c r="BZ46" i="1"/>
  <c r="BZ123" i="1"/>
  <c r="CE123" i="1" s="1"/>
  <c r="CF123" i="1" s="1"/>
  <c r="BZ113" i="1"/>
  <c r="CE113" i="1" s="1"/>
  <c r="CF113" i="1" s="1"/>
  <c r="BZ52" i="1"/>
  <c r="CE52" i="1" s="1"/>
  <c r="CF52" i="1" s="1"/>
  <c r="BZ63" i="1"/>
  <c r="CE63" i="1" s="1"/>
  <c r="CF63" i="1" s="1"/>
  <c r="BZ72" i="1"/>
  <c r="BZ45" i="1"/>
  <c r="CE45" i="1" s="1"/>
  <c r="CF45" i="1" s="1"/>
  <c r="BZ40" i="1"/>
  <c r="CE40" i="1" s="1"/>
  <c r="CF40" i="1" s="1"/>
  <c r="BZ144" i="1"/>
  <c r="CE144" i="1" s="1"/>
  <c r="CF144" i="1" s="1"/>
  <c r="BZ58" i="1"/>
  <c r="CE58" i="1" s="1"/>
  <c r="CF58" i="1" s="1"/>
  <c r="BZ71" i="1"/>
  <c r="CE71" i="1" s="1"/>
  <c r="CF71" i="1" s="1"/>
  <c r="BZ82" i="1"/>
  <c r="BZ51" i="1"/>
  <c r="BZ74" i="1"/>
  <c r="CE74" i="1" s="1"/>
  <c r="CF74" i="1" s="1"/>
  <c r="BZ98" i="1"/>
  <c r="CE98" i="1" s="1"/>
  <c r="CF98" i="1" s="1"/>
  <c r="BZ54" i="1"/>
  <c r="CE54" i="1" s="1"/>
  <c r="CF54" i="1" s="1"/>
  <c r="BZ136" i="1"/>
  <c r="CE136" i="1" s="1"/>
  <c r="CF136" i="1" s="1"/>
  <c r="BZ41" i="1"/>
  <c r="BZ99" i="1"/>
  <c r="BZ81" i="1"/>
  <c r="CE81" i="1" s="1"/>
  <c r="CF81" i="1" s="1"/>
  <c r="BZ79" i="1"/>
  <c r="CE79" i="1" s="1"/>
  <c r="CF79" i="1" s="1"/>
  <c r="BZ61" i="1"/>
  <c r="CE61" i="1" s="1"/>
  <c r="CF61" i="1" s="1"/>
  <c r="BZ143" i="1"/>
  <c r="CE143" i="1" s="1"/>
  <c r="CF143" i="1" s="1"/>
  <c r="BZ151" i="1"/>
  <c r="BZ158" i="1"/>
  <c r="CE158" i="1" s="1"/>
  <c r="CF158" i="1" s="1"/>
  <c r="BZ154" i="1"/>
  <c r="BZ75" i="1"/>
  <c r="CE75" i="1" s="1"/>
  <c r="CF75" i="1" s="1"/>
  <c r="BZ44" i="1"/>
  <c r="CE44" i="1" s="1"/>
  <c r="CF44" i="1" s="1"/>
  <c r="CH149" i="1"/>
  <c r="CI149" i="1" s="1"/>
  <c r="CH115" i="1"/>
  <c r="CI115" i="1" s="1"/>
  <c r="BZ145" i="1"/>
  <c r="CE145" i="1" s="1"/>
  <c r="CF145" i="1" s="1"/>
  <c r="AI69" i="1"/>
  <c r="AJ69" i="1" s="1"/>
  <c r="AL69" i="1" s="1"/>
  <c r="AM69" i="1" s="1"/>
  <c r="AI86" i="1"/>
  <c r="AJ86" i="1" s="1"/>
  <c r="AL86" i="1" s="1"/>
  <c r="AM86" i="1" s="1"/>
  <c r="AI59" i="1"/>
  <c r="AJ59" i="1" s="1"/>
  <c r="AL59" i="1" s="1"/>
  <c r="AM59" i="1" s="1"/>
  <c r="CH156" i="1"/>
  <c r="CI156" i="1" s="1"/>
  <c r="CH144" i="1"/>
  <c r="CI144" i="1" s="1"/>
  <c r="CH117" i="1"/>
  <c r="CI117" i="1" s="1"/>
  <c r="AI148" i="1"/>
  <c r="AJ148" i="1" s="1"/>
  <c r="AL148" i="1" s="1"/>
  <c r="AM148" i="1" s="1"/>
  <c r="AI42" i="1"/>
  <c r="AJ42" i="1" s="1"/>
  <c r="AL42" i="1" s="1"/>
  <c r="AM42" i="1" s="1"/>
  <c r="CH18" i="1"/>
  <c r="CI18" i="1" s="1"/>
  <c r="AI125" i="1"/>
  <c r="AJ125" i="1" s="1"/>
  <c r="AL125" i="1" s="1"/>
  <c r="AM125" i="1" s="1"/>
  <c r="CH165" i="1"/>
  <c r="CI165" i="1" s="1"/>
  <c r="AI84" i="1"/>
  <c r="AJ84" i="1" s="1"/>
  <c r="AL84" i="1" s="1"/>
  <c r="AM84" i="1" s="1"/>
  <c r="AI37" i="1"/>
  <c r="AJ37" i="1" s="1"/>
  <c r="AL37" i="1" s="1"/>
  <c r="AM37" i="1" s="1"/>
  <c r="AI139" i="1"/>
  <c r="AJ139" i="1" s="1"/>
  <c r="AL139" i="1" s="1"/>
  <c r="AM139" i="1" s="1"/>
  <c r="AI140" i="1"/>
  <c r="AJ140" i="1" s="1"/>
  <c r="AL140" i="1" s="1"/>
  <c r="AM140" i="1" s="1"/>
  <c r="CH111" i="1"/>
  <c r="CI111" i="1" s="1"/>
  <c r="CE82" i="1"/>
  <c r="CF82" i="1" s="1"/>
  <c r="CE77" i="1"/>
  <c r="CF77" i="1" s="1"/>
  <c r="CE72" i="1"/>
  <c r="CF72" i="1" s="1"/>
  <c r="CE51" i="1"/>
  <c r="CF51" i="1" s="1"/>
  <c r="CE83" i="1"/>
  <c r="CF83" i="1" s="1"/>
  <c r="CE154" i="1"/>
  <c r="CF154" i="1" s="1"/>
  <c r="BH135" i="1"/>
  <c r="BG135" i="1"/>
  <c r="AZ135" i="1"/>
  <c r="BA135" i="1" s="1"/>
  <c r="AV145" i="1"/>
  <c r="AW145" i="1" s="1"/>
  <c r="AV158" i="1"/>
  <c r="AW158" i="1" s="1"/>
  <c r="AI85" i="1"/>
  <c r="AJ85" i="1" s="1"/>
  <c r="AL85" i="1" s="1"/>
  <c r="AM85" i="1" s="1"/>
  <c r="CH85" i="1"/>
  <c r="CI85" i="1" s="1"/>
  <c r="AI68" i="1"/>
  <c r="AJ68" i="1" s="1"/>
  <c r="AL68" i="1" s="1"/>
  <c r="AM68" i="1" s="1"/>
  <c r="CH68" i="1"/>
  <c r="CI68" i="1" s="1"/>
  <c r="AI21" i="1"/>
  <c r="AJ21" i="1" s="1"/>
  <c r="AL21" i="1" s="1"/>
  <c r="AM21" i="1" s="1"/>
  <c r="CH21" i="1"/>
  <c r="CI21" i="1" s="1"/>
  <c r="AI50" i="1"/>
  <c r="AJ50" i="1" s="1"/>
  <c r="AL50" i="1" s="1"/>
  <c r="AM50" i="1" s="1"/>
  <c r="CH50" i="1"/>
  <c r="CI50" i="1" s="1"/>
  <c r="AI142" i="1"/>
  <c r="AJ142" i="1" s="1"/>
  <c r="AL142" i="1" s="1"/>
  <c r="AM142" i="1" s="1"/>
  <c r="CH142" i="1"/>
  <c r="CI142" i="1" s="1"/>
  <c r="AI120" i="1"/>
  <c r="AJ120" i="1" s="1"/>
  <c r="AL120" i="1" s="1"/>
  <c r="AM120" i="1" s="1"/>
  <c r="CH120" i="1"/>
  <c r="CI120" i="1" s="1"/>
  <c r="AI34" i="1"/>
  <c r="AJ34" i="1" s="1"/>
  <c r="AL34" i="1" s="1"/>
  <c r="AM34" i="1" s="1"/>
  <c r="CH34" i="1"/>
  <c r="CI34" i="1" s="1"/>
  <c r="AI25" i="1"/>
  <c r="AJ25" i="1" s="1"/>
  <c r="AL25" i="1" s="1"/>
  <c r="AM25" i="1" s="1"/>
  <c r="CH25" i="1"/>
  <c r="CI25" i="1" s="1"/>
  <c r="AI159" i="1"/>
  <c r="AJ159" i="1" s="1"/>
  <c r="AL159" i="1" s="1"/>
  <c r="AM159" i="1" s="1"/>
  <c r="CH159" i="1"/>
  <c r="CI159" i="1" s="1"/>
  <c r="CI17" i="1"/>
  <c r="AI91" i="1"/>
  <c r="AJ91" i="1" s="1"/>
  <c r="AL91" i="1" s="1"/>
  <c r="AM91" i="1" s="1"/>
  <c r="CH91" i="1"/>
  <c r="CI91" i="1" s="1"/>
  <c r="AI22" i="1"/>
  <c r="AJ22" i="1" s="1"/>
  <c r="AL22" i="1" s="1"/>
  <c r="AM22" i="1" s="1"/>
  <c r="CH22" i="1"/>
  <c r="CI22" i="1" s="1"/>
  <c r="AI28" i="1"/>
  <c r="AJ28" i="1" s="1"/>
  <c r="AL28" i="1" s="1"/>
  <c r="AM28" i="1" s="1"/>
  <c r="CH28" i="1"/>
  <c r="CI28" i="1" s="1"/>
  <c r="AI134" i="1"/>
  <c r="AJ134" i="1" s="1"/>
  <c r="AL134" i="1" s="1"/>
  <c r="AM134" i="1" s="1"/>
  <c r="CH134" i="1"/>
  <c r="CI134" i="1" s="1"/>
  <c r="AI160" i="1"/>
  <c r="AJ160" i="1" s="1"/>
  <c r="AL160" i="1" s="1"/>
  <c r="AM160" i="1" s="1"/>
  <c r="CH160" i="1"/>
  <c r="CI160" i="1" s="1"/>
  <c r="AI53" i="1"/>
  <c r="AJ53" i="1" s="1"/>
  <c r="AL53" i="1" s="1"/>
  <c r="AM53" i="1" s="1"/>
  <c r="CH53" i="1"/>
  <c r="CI53" i="1" s="1"/>
  <c r="AI48" i="1"/>
  <c r="AJ48" i="1" s="1"/>
  <c r="AL48" i="1" s="1"/>
  <c r="AM48" i="1" s="1"/>
  <c r="CH48" i="1"/>
  <c r="CI48" i="1" s="1"/>
  <c r="AI19" i="1"/>
  <c r="AJ19" i="1" s="1"/>
  <c r="AL19" i="1" s="1"/>
  <c r="AM19" i="1" s="1"/>
  <c r="CH19" i="1"/>
  <c r="CI19" i="1" s="1"/>
  <c r="AI108" i="1"/>
  <c r="AJ108" i="1" s="1"/>
  <c r="AL108" i="1" s="1"/>
  <c r="AM108" i="1" s="1"/>
  <c r="CH108" i="1"/>
  <c r="CI108" i="1" s="1"/>
  <c r="AV71" i="1"/>
  <c r="AW71" i="1" s="1"/>
  <c r="AI137" i="1"/>
  <c r="AJ137" i="1" s="1"/>
  <c r="AL137" i="1" s="1"/>
  <c r="AM137" i="1" s="1"/>
  <c r="CI137" i="1"/>
  <c r="AI155" i="1"/>
  <c r="AJ155" i="1" s="1"/>
  <c r="AL155" i="1" s="1"/>
  <c r="AM155" i="1" s="1"/>
  <c r="CI155" i="1"/>
  <c r="AI36" i="1"/>
  <c r="AJ36" i="1" s="1"/>
  <c r="AL36" i="1" s="1"/>
  <c r="AM36" i="1" s="1"/>
  <c r="CI36" i="1"/>
  <c r="AI128" i="1"/>
  <c r="AJ128" i="1" s="1"/>
  <c r="AL128" i="1" s="1"/>
  <c r="AM128" i="1" s="1"/>
  <c r="CI128" i="1"/>
  <c r="AI124" i="1"/>
  <c r="AJ124" i="1" s="1"/>
  <c r="AL124" i="1" s="1"/>
  <c r="AM124" i="1" s="1"/>
  <c r="CI124" i="1"/>
  <c r="AI88" i="1"/>
  <c r="AJ88" i="1" s="1"/>
  <c r="AL88" i="1" s="1"/>
  <c r="AM88" i="1" s="1"/>
  <c r="CI88" i="1"/>
  <c r="AI121" i="1"/>
  <c r="AJ121" i="1" s="1"/>
  <c r="AL121" i="1" s="1"/>
  <c r="AM121" i="1" s="1"/>
  <c r="CI121" i="1"/>
  <c r="AI127" i="1"/>
  <c r="AJ127" i="1" s="1"/>
  <c r="AL127" i="1" s="1"/>
  <c r="AM127" i="1" s="1"/>
  <c r="CI127" i="1"/>
  <c r="AI35" i="1"/>
  <c r="AJ35" i="1" s="1"/>
  <c r="AL35" i="1" s="1"/>
  <c r="AM35" i="1" s="1"/>
  <c r="CI35" i="1"/>
  <c r="AI90" i="1"/>
  <c r="AJ90" i="1" s="1"/>
  <c r="AL90" i="1" s="1"/>
  <c r="AM90" i="1" s="1"/>
  <c r="CI90" i="1"/>
  <c r="AI163" i="1"/>
  <c r="AJ163" i="1" s="1"/>
  <c r="AL163" i="1" s="1"/>
  <c r="AM163" i="1" s="1"/>
  <c r="CI163" i="1"/>
  <c r="AI164" i="1"/>
  <c r="AJ164" i="1" s="1"/>
  <c r="AL164" i="1" s="1"/>
  <c r="AM164" i="1" s="1"/>
  <c r="CI164" i="1"/>
  <c r="AI102" i="1"/>
  <c r="AJ102" i="1" s="1"/>
  <c r="AL102" i="1" s="1"/>
  <c r="AM102" i="1" s="1"/>
  <c r="CI102" i="1"/>
  <c r="AI104" i="1"/>
  <c r="AJ104" i="1" s="1"/>
  <c r="AL104" i="1" s="1"/>
  <c r="AM104" i="1" s="1"/>
  <c r="CI104" i="1"/>
  <c r="AV162" i="1"/>
  <c r="AW162" i="1" s="1"/>
  <c r="AI114" i="1"/>
  <c r="AJ114" i="1" s="1"/>
  <c r="AL114" i="1" s="1"/>
  <c r="AM114" i="1" s="1"/>
  <c r="CI114" i="1"/>
  <c r="AI103" i="1"/>
  <c r="AJ103" i="1" s="1"/>
  <c r="AL103" i="1" s="1"/>
  <c r="AM103" i="1" s="1"/>
  <c r="CI103" i="1"/>
  <c r="AI112" i="1"/>
  <c r="AJ112" i="1" s="1"/>
  <c r="AL112" i="1" s="1"/>
  <c r="AM112" i="1" s="1"/>
  <c r="CI112" i="1"/>
  <c r="AI146" i="1"/>
  <c r="AJ146" i="1" s="1"/>
  <c r="AL146" i="1" s="1"/>
  <c r="AM146" i="1" s="1"/>
  <c r="CI146" i="1"/>
  <c r="AI157" i="1"/>
  <c r="AJ157" i="1" s="1"/>
  <c r="AL157" i="1" s="1"/>
  <c r="AM157" i="1" s="1"/>
  <c r="CI157" i="1"/>
  <c r="AV109" i="1"/>
  <c r="AW109" i="1" s="1"/>
  <c r="AV58" i="1"/>
  <c r="AW58" i="1" s="1"/>
  <c r="AV60" i="1"/>
  <c r="AW60" i="1" s="1"/>
  <c r="AV61" i="1"/>
  <c r="AW61" i="1" s="1"/>
  <c r="AV54" i="1"/>
  <c r="AW54" i="1" s="1"/>
  <c r="CE46" i="1"/>
  <c r="CF46" i="1" s="1"/>
  <c r="AV46" i="1"/>
  <c r="AW46" i="1" s="1"/>
  <c r="CE99" i="1"/>
  <c r="CF99" i="1" s="1"/>
  <c r="AV99" i="1"/>
  <c r="AW99" i="1" s="1"/>
  <c r="AV100" i="1"/>
  <c r="AW100" i="1" s="1"/>
  <c r="AV80" i="1"/>
  <c r="AW80" i="1" s="1"/>
  <c r="AV82" i="1"/>
  <c r="AW82" i="1" s="1"/>
  <c r="AV74" i="1"/>
  <c r="AW74" i="1" s="1"/>
  <c r="AV98" i="1"/>
  <c r="AW98" i="1" s="1"/>
  <c r="AV66" i="1"/>
  <c r="AW66" i="1" s="1"/>
  <c r="AV129" i="1"/>
  <c r="AW129" i="1" s="1"/>
  <c r="AV63" i="1"/>
  <c r="AW63" i="1" s="1"/>
  <c r="AV70" i="1"/>
  <c r="AW70" i="1" s="1"/>
  <c r="AV72" i="1"/>
  <c r="AW72" i="1" s="1"/>
  <c r="AV78" i="1"/>
  <c r="AW78" i="1" s="1"/>
  <c r="AV73" i="1"/>
  <c r="AW73" i="1" s="1"/>
  <c r="CE151" i="1"/>
  <c r="CF151" i="1" s="1"/>
  <c r="AV151" i="1"/>
  <c r="AW151" i="1" s="1"/>
  <c r="AV87" i="1"/>
  <c r="AW87" i="1" s="1"/>
  <c r="AV89" i="1"/>
  <c r="AW89" i="1" s="1"/>
  <c r="AV56" i="1"/>
  <c r="AW56" i="1" s="1"/>
  <c r="AV93" i="1"/>
  <c r="AW93" i="1" s="1"/>
  <c r="AV75" i="1"/>
  <c r="AW75" i="1" s="1"/>
  <c r="AV154" i="1"/>
  <c r="AW154" i="1" s="1"/>
  <c r="AV64" i="1"/>
  <c r="AW64" i="1" s="1"/>
  <c r="AV81" i="1"/>
  <c r="AW81" i="1" s="1"/>
  <c r="AV123" i="1"/>
  <c r="AW123" i="1" s="1"/>
  <c r="AV44" i="1"/>
  <c r="AW44" i="1" s="1"/>
  <c r="AV96" i="1"/>
  <c r="AW96" i="1" s="1"/>
  <c r="AV77" i="1"/>
  <c r="AW77" i="1" s="1"/>
  <c r="AV62" i="1"/>
  <c r="AW62" i="1" s="1"/>
  <c r="AV45" i="1"/>
  <c r="AW45" i="1" s="1"/>
  <c r="AV52" i="1"/>
  <c r="AW52" i="1" s="1"/>
  <c r="AV79" i="1"/>
  <c r="AW79" i="1" s="1"/>
  <c r="AV83" i="1"/>
  <c r="AW83" i="1" s="1"/>
  <c r="AV49" i="1"/>
  <c r="AW49" i="1" s="1"/>
  <c r="AV51" i="1"/>
  <c r="AW51" i="1" s="1"/>
  <c r="AV76" i="1"/>
  <c r="AW76" i="1" s="1"/>
  <c r="AV110" i="1"/>
  <c r="AW110" i="1" s="1"/>
  <c r="CE110" i="1"/>
  <c r="CF110" i="1" s="1"/>
  <c r="AV41" i="1"/>
  <c r="AW41" i="1" s="1"/>
  <c r="CE41" i="1"/>
  <c r="CF41" i="1" s="1"/>
  <c r="AV116" i="1"/>
  <c r="AW116" i="1" s="1"/>
  <c r="CE116" i="1"/>
  <c r="CF116" i="1" s="1"/>
  <c r="AV105" i="1"/>
  <c r="AW105" i="1" s="1"/>
  <c r="CE105" i="1"/>
  <c r="CF105" i="1" s="1"/>
  <c r="AV117" i="1"/>
  <c r="AW117" i="1" s="1"/>
  <c r="CE117" i="1"/>
  <c r="CF117" i="1" s="1"/>
  <c r="AV38" i="1"/>
  <c r="AW38" i="1" s="1"/>
  <c r="AV143" i="1"/>
  <c r="AW143" i="1" s="1"/>
  <c r="AV43" i="1"/>
  <c r="AW43" i="1" s="1"/>
  <c r="AV165" i="1"/>
  <c r="AW165" i="1" s="1"/>
  <c r="AV111" i="1"/>
  <c r="AW111" i="1" s="1"/>
  <c r="CE111" i="1"/>
  <c r="CF111" i="1" s="1"/>
  <c r="AV141" i="1"/>
  <c r="AW141" i="1" s="1"/>
  <c r="AV149" i="1"/>
  <c r="AW149" i="1" s="1"/>
  <c r="AV113" i="1"/>
  <c r="AW113" i="1" s="1"/>
  <c r="AV115" i="1"/>
  <c r="AW115" i="1" s="1"/>
  <c r="CE115" i="1"/>
  <c r="CF115" i="1" s="1"/>
  <c r="AV156" i="1"/>
  <c r="AW156" i="1" s="1"/>
  <c r="AV136" i="1"/>
  <c r="AW136" i="1" s="1"/>
  <c r="AV144" i="1"/>
  <c r="AW144" i="1" s="1"/>
  <c r="AV40" i="1"/>
  <c r="AW40" i="1" s="1"/>
  <c r="AV166" i="1"/>
  <c r="AW166" i="1" s="1"/>
  <c r="AV101" i="1"/>
  <c r="AW101" i="1" s="1"/>
  <c r="CE101" i="1"/>
  <c r="CF101" i="1" s="1"/>
  <c r="AV39" i="1"/>
  <c r="AW39" i="1" s="1"/>
  <c r="CE39" i="1"/>
  <c r="CF39" i="1" s="1"/>
  <c r="AJ67" i="1"/>
  <c r="AL67" i="1" s="1"/>
  <c r="AM67" i="1" s="1"/>
  <c r="AJ126" i="1"/>
  <c r="AL126" i="1" s="1"/>
  <c r="AM126" i="1" s="1"/>
  <c r="AJ95" i="1"/>
  <c r="AL95" i="1" s="1"/>
  <c r="AM95" i="1" s="1"/>
  <c r="AJ30" i="1"/>
  <c r="AL30" i="1" s="1"/>
  <c r="AM30" i="1" s="1"/>
  <c r="AJ138" i="1"/>
  <c r="AL138" i="1" s="1"/>
  <c r="AM138" i="1" s="1"/>
  <c r="AJ107" i="1"/>
  <c r="AL107" i="1" s="1"/>
  <c r="AM107" i="1" s="1"/>
  <c r="AJ131" i="1"/>
  <c r="AL131" i="1" s="1"/>
  <c r="AM131" i="1" s="1"/>
  <c r="AJ57" i="1"/>
  <c r="AL57" i="1" s="1"/>
  <c r="AM57" i="1" s="1"/>
  <c r="AJ161" i="1"/>
  <c r="AL161" i="1" s="1"/>
  <c r="AM161" i="1" s="1"/>
  <c r="AJ33" i="1"/>
  <c r="AL33" i="1" s="1"/>
  <c r="AM33" i="1" s="1"/>
  <c r="AJ130" i="1"/>
  <c r="AL130" i="1" s="1"/>
  <c r="AM130" i="1" s="1"/>
  <c r="AJ133" i="1"/>
  <c r="AL133" i="1" s="1"/>
  <c r="AM133" i="1" s="1"/>
  <c r="AJ65" i="1"/>
  <c r="AL65" i="1" s="1"/>
  <c r="AM65" i="1" s="1"/>
  <c r="AJ97" i="1"/>
  <c r="AL97" i="1" s="1"/>
  <c r="AM97" i="1" s="1"/>
  <c r="AJ118" i="1"/>
  <c r="AL118" i="1" s="1"/>
  <c r="AM118" i="1" s="1"/>
  <c r="AJ132" i="1"/>
  <c r="AL132" i="1" s="1"/>
  <c r="AM132" i="1" s="1"/>
  <c r="AJ31" i="1"/>
  <c r="AL31" i="1" s="1"/>
  <c r="AM31" i="1" s="1"/>
  <c r="AJ147" i="1"/>
  <c r="AL147" i="1" s="1"/>
  <c r="AM147" i="1" s="1"/>
  <c r="AJ20" i="1"/>
  <c r="AL20" i="1" s="1"/>
  <c r="AM20" i="1" s="1"/>
  <c r="AJ152" i="1"/>
  <c r="AL152" i="1" s="1"/>
  <c r="AM152" i="1" s="1"/>
  <c r="AJ47" i="1"/>
  <c r="AL47" i="1" s="1"/>
  <c r="AM47" i="1" s="1"/>
  <c r="AJ27" i="1"/>
  <c r="AL27" i="1" s="1"/>
  <c r="AM27" i="1" s="1"/>
  <c r="AJ26" i="1"/>
  <c r="AL26" i="1" s="1"/>
  <c r="AM26" i="1" s="1"/>
  <c r="AJ32" i="1"/>
  <c r="AL32" i="1" s="1"/>
  <c r="AM32" i="1" s="1"/>
  <c r="AJ18" i="1"/>
  <c r="AL18" i="1" s="1"/>
  <c r="AM18" i="1" s="1"/>
  <c r="AJ122" i="1"/>
  <c r="AL122" i="1" s="1"/>
  <c r="AM122" i="1" s="1"/>
  <c r="AJ92" i="1"/>
  <c r="AL92" i="1" s="1"/>
  <c r="AM92" i="1" s="1"/>
  <c r="AJ94" i="1"/>
  <c r="AL94" i="1" s="1"/>
  <c r="AM94" i="1" s="1"/>
  <c r="AJ150" i="1"/>
  <c r="AL150" i="1" s="1"/>
  <c r="AM150" i="1" s="1"/>
  <c r="AJ29" i="1"/>
  <c r="AL29" i="1" s="1"/>
  <c r="AM29" i="1" s="1"/>
  <c r="AJ119" i="1"/>
  <c r="AL119" i="1" s="1"/>
  <c r="AM119" i="1" s="1"/>
  <c r="AJ55" i="1"/>
  <c r="AL55" i="1" s="1"/>
  <c r="AM55" i="1" s="1"/>
  <c r="AJ23" i="1"/>
  <c r="AL23" i="1" s="1"/>
  <c r="AM23" i="1" s="1"/>
  <c r="AJ106" i="1"/>
  <c r="AL106" i="1" s="1"/>
  <c r="AM106" i="1" s="1"/>
  <c r="AJ24" i="1"/>
  <c r="AL24" i="1" s="1"/>
  <c r="AM24" i="1" s="1"/>
  <c r="AJ153" i="1"/>
  <c r="AL153" i="1" s="1"/>
  <c r="AM153" i="1" s="1"/>
  <c r="BZ131" i="1" l="1"/>
  <c r="BZ67" i="1"/>
  <c r="BZ104" i="1"/>
  <c r="CE104" i="1" s="1"/>
  <c r="CF104" i="1" s="1"/>
  <c r="BZ163" i="1"/>
  <c r="BZ127" i="1"/>
  <c r="CE127" i="1" s="1"/>
  <c r="CF127" i="1" s="1"/>
  <c r="BZ124" i="1"/>
  <c r="CE124" i="1" s="1"/>
  <c r="CF124" i="1" s="1"/>
  <c r="BZ155" i="1"/>
  <c r="BZ108" i="1"/>
  <c r="CE108" i="1" s="1"/>
  <c r="CF108" i="1" s="1"/>
  <c r="BZ53" i="1"/>
  <c r="CE53" i="1" s="1"/>
  <c r="CF53" i="1" s="1"/>
  <c r="BZ28" i="1"/>
  <c r="CE28" i="1" s="1"/>
  <c r="CF28" i="1" s="1"/>
  <c r="BZ34" i="1"/>
  <c r="CE34" i="1" s="1"/>
  <c r="CF34" i="1" s="1"/>
  <c r="BZ50" i="1"/>
  <c r="CE50" i="1" s="1"/>
  <c r="CF50" i="1" s="1"/>
  <c r="BZ85" i="1"/>
  <c r="BZ84" i="1"/>
  <c r="CE84" i="1" s="1"/>
  <c r="CF84" i="1" s="1"/>
  <c r="BZ94" i="1"/>
  <c r="CE94" i="1" s="1"/>
  <c r="CF94" i="1" s="1"/>
  <c r="BZ103" i="1"/>
  <c r="CE103" i="1" s="1"/>
  <c r="CF103" i="1" s="1"/>
  <c r="BZ150" i="1"/>
  <c r="CE150" i="1" s="1"/>
  <c r="CF150" i="1" s="1"/>
  <c r="BZ23" i="1"/>
  <c r="CE23" i="1" s="1"/>
  <c r="CF23" i="1" s="1"/>
  <c r="BZ107" i="1"/>
  <c r="BZ132" i="1"/>
  <c r="CE132" i="1" s="1"/>
  <c r="CF132" i="1" s="1"/>
  <c r="BZ121" i="1"/>
  <c r="CE121" i="1" s="1"/>
  <c r="CF121" i="1" s="1"/>
  <c r="BZ128" i="1"/>
  <c r="CE128" i="1" s="1"/>
  <c r="CF128" i="1" s="1"/>
  <c r="BZ137" i="1"/>
  <c r="CE137" i="1" s="1"/>
  <c r="CF137" i="1" s="1"/>
  <c r="BZ19" i="1"/>
  <c r="CE19" i="1" s="1"/>
  <c r="CF19" i="1" s="1"/>
  <c r="BZ160" i="1"/>
  <c r="BZ22" i="1"/>
  <c r="BZ159" i="1"/>
  <c r="CE159" i="1" s="1"/>
  <c r="CF159" i="1" s="1"/>
  <c r="BZ120" i="1"/>
  <c r="CE120" i="1" s="1"/>
  <c r="CF120" i="1" s="1"/>
  <c r="BZ21" i="1"/>
  <c r="CE21" i="1" s="1"/>
  <c r="CF21" i="1" s="1"/>
  <c r="BZ125" i="1"/>
  <c r="CE125" i="1" s="1"/>
  <c r="CF125" i="1" s="1"/>
  <c r="BZ133" i="1"/>
  <c r="BZ130" i="1"/>
  <c r="BZ86" i="1"/>
  <c r="CE86" i="1" s="1"/>
  <c r="CF86" i="1" s="1"/>
  <c r="BZ33" i="1"/>
  <c r="CE33" i="1" s="1"/>
  <c r="CF33" i="1" s="1"/>
  <c r="BZ55" i="1"/>
  <c r="CE55" i="1" s="1"/>
  <c r="CF55" i="1" s="1"/>
  <c r="BZ118" i="1"/>
  <c r="CE118" i="1" s="1"/>
  <c r="CF118" i="1" s="1"/>
  <c r="BZ114" i="1"/>
  <c r="BZ140" i="1"/>
  <c r="CE140" i="1" s="1"/>
  <c r="CF140" i="1" s="1"/>
  <c r="BZ106" i="1"/>
  <c r="CE106" i="1" s="1"/>
  <c r="CF106" i="1" s="1"/>
  <c r="BZ147" i="1"/>
  <c r="CE147" i="1" s="1"/>
  <c r="CF147" i="1" s="1"/>
  <c r="BZ31" i="1"/>
  <c r="CE31" i="1" s="1"/>
  <c r="CF31" i="1" s="1"/>
  <c r="BZ92" i="1"/>
  <c r="CE92" i="1" s="1"/>
  <c r="CF92" i="1" s="1"/>
  <c r="BZ138" i="1"/>
  <c r="BZ102" i="1"/>
  <c r="BZ47" i="1"/>
  <c r="CE47" i="1" s="1"/>
  <c r="CF47" i="1" s="1"/>
  <c r="BZ30" i="1"/>
  <c r="CE30" i="1" s="1"/>
  <c r="CF30" i="1" s="1"/>
  <c r="BZ119" i="1"/>
  <c r="CE119" i="1" s="1"/>
  <c r="CF119" i="1" s="1"/>
  <c r="BZ18" i="1"/>
  <c r="CE18" i="1" s="1"/>
  <c r="CF18" i="1" s="1"/>
  <c r="BZ152" i="1"/>
  <c r="BZ97" i="1"/>
  <c r="CE97" i="1" s="1"/>
  <c r="CF97" i="1" s="1"/>
  <c r="BZ57" i="1"/>
  <c r="CE57" i="1" s="1"/>
  <c r="CF57" i="1" s="1"/>
  <c r="BZ95" i="1"/>
  <c r="CE95" i="1" s="1"/>
  <c r="CF95" i="1" s="1"/>
  <c r="BZ164" i="1"/>
  <c r="CE164" i="1" s="1"/>
  <c r="CF164" i="1" s="1"/>
  <c r="BZ35" i="1"/>
  <c r="CE35" i="1" s="1"/>
  <c r="CF35" i="1" s="1"/>
  <c r="BZ88" i="1"/>
  <c r="BZ36" i="1"/>
  <c r="CE36" i="1" s="1"/>
  <c r="CF36" i="1" s="1"/>
  <c r="BZ48" i="1"/>
  <c r="BZ134" i="1"/>
  <c r="CE134" i="1" s="1"/>
  <c r="CF134" i="1" s="1"/>
  <c r="BZ91" i="1"/>
  <c r="CE91" i="1" s="1"/>
  <c r="CF91" i="1" s="1"/>
  <c r="BZ25" i="1"/>
  <c r="CE25" i="1" s="1"/>
  <c r="CF25" i="1" s="1"/>
  <c r="BZ142" i="1"/>
  <c r="BZ68" i="1"/>
  <c r="BZ139" i="1"/>
  <c r="CE139" i="1" s="1"/>
  <c r="CF139" i="1" s="1"/>
  <c r="BZ42" i="1"/>
  <c r="CE42" i="1" s="1"/>
  <c r="CF42" i="1" s="1"/>
  <c r="BZ59" i="1"/>
  <c r="CE59" i="1" s="1"/>
  <c r="CF59" i="1" s="1"/>
  <c r="BZ26" i="1"/>
  <c r="CE26" i="1" s="1"/>
  <c r="CF26" i="1" s="1"/>
  <c r="BZ157" i="1"/>
  <c r="BZ27" i="1"/>
  <c r="BZ90" i="1"/>
  <c r="CE90" i="1" s="1"/>
  <c r="CF90" i="1" s="1"/>
  <c r="BZ122" i="1"/>
  <c r="CE122" i="1" s="1"/>
  <c r="CF122" i="1" s="1"/>
  <c r="BZ161" i="1"/>
  <c r="CE161" i="1" s="1"/>
  <c r="CF161" i="1" s="1"/>
  <c r="BZ146" i="1"/>
  <c r="CE146" i="1" s="1"/>
  <c r="CF146" i="1" s="1"/>
  <c r="BZ153" i="1"/>
  <c r="BZ24" i="1"/>
  <c r="CE24" i="1" s="1"/>
  <c r="CF24" i="1" s="1"/>
  <c r="BZ29" i="1"/>
  <c r="BZ32" i="1"/>
  <c r="CE32" i="1" s="1"/>
  <c r="CF32" i="1" s="1"/>
  <c r="BZ20" i="1"/>
  <c r="CE20" i="1" s="1"/>
  <c r="CF20" i="1" s="1"/>
  <c r="BZ65" i="1"/>
  <c r="CE65" i="1" s="1"/>
  <c r="CF65" i="1" s="1"/>
  <c r="BZ69" i="1"/>
  <c r="BZ126" i="1"/>
  <c r="CE126" i="1" s="1"/>
  <c r="CF126" i="1" s="1"/>
  <c r="BZ112" i="1"/>
  <c r="CE112" i="1" s="1"/>
  <c r="CF112" i="1" s="1"/>
  <c r="BC135" i="1"/>
  <c r="BD135" i="1"/>
  <c r="BE135" i="1" s="1"/>
  <c r="BZ37" i="1"/>
  <c r="CE37" i="1" s="1"/>
  <c r="CF37" i="1" s="1"/>
  <c r="BZ148" i="1"/>
  <c r="CE148" i="1" s="1"/>
  <c r="CF148" i="1" s="1"/>
  <c r="BZ17" i="1"/>
  <c r="AV125" i="1"/>
  <c r="AV37" i="1"/>
  <c r="AV42" i="1"/>
  <c r="AV139" i="1"/>
  <c r="AV148" i="1"/>
  <c r="AV140" i="1"/>
  <c r="AV84" i="1"/>
  <c r="BL135" i="1"/>
  <c r="BN135" i="1" s="1"/>
  <c r="BR135" i="1"/>
  <c r="BJ135" i="1"/>
  <c r="BK135" i="1"/>
  <c r="BH101" i="1"/>
  <c r="BG101" i="1"/>
  <c r="BH144" i="1"/>
  <c r="BG144" i="1"/>
  <c r="BH156" i="1"/>
  <c r="BG156" i="1"/>
  <c r="BH149" i="1"/>
  <c r="BG149" i="1"/>
  <c r="BH111" i="1"/>
  <c r="BG111" i="1"/>
  <c r="BH117" i="1"/>
  <c r="BG117" i="1"/>
  <c r="BH41" i="1"/>
  <c r="BG41" i="1"/>
  <c r="BH51" i="1"/>
  <c r="BG51" i="1"/>
  <c r="BH62" i="1"/>
  <c r="BG62" i="1"/>
  <c r="BH64" i="1"/>
  <c r="BG64" i="1"/>
  <c r="BH78" i="1"/>
  <c r="BG78" i="1"/>
  <c r="BH98" i="1"/>
  <c r="BG98" i="1"/>
  <c r="BH99" i="1"/>
  <c r="BG99" i="1"/>
  <c r="BH60" i="1"/>
  <c r="BG60" i="1"/>
  <c r="BH49" i="1"/>
  <c r="BG49" i="1"/>
  <c r="BH77" i="1"/>
  <c r="BG77" i="1"/>
  <c r="BH154" i="1"/>
  <c r="BG154" i="1"/>
  <c r="BH87" i="1"/>
  <c r="BG87" i="1"/>
  <c r="BH72" i="1"/>
  <c r="BG72" i="1"/>
  <c r="BH71" i="1"/>
  <c r="BG71" i="1"/>
  <c r="BH145" i="1"/>
  <c r="BG145" i="1"/>
  <c r="BH115" i="1"/>
  <c r="BG115" i="1"/>
  <c r="BH165" i="1"/>
  <c r="BG165" i="1"/>
  <c r="BH143" i="1"/>
  <c r="BG143" i="1"/>
  <c r="BH105" i="1"/>
  <c r="BG105" i="1"/>
  <c r="BH110" i="1"/>
  <c r="BG110" i="1"/>
  <c r="BH83" i="1"/>
  <c r="BG83" i="1"/>
  <c r="BH96" i="1"/>
  <c r="BG96" i="1"/>
  <c r="BH75" i="1"/>
  <c r="BG75" i="1"/>
  <c r="BH70" i="1"/>
  <c r="BG70" i="1"/>
  <c r="BH74" i="1"/>
  <c r="BG74" i="1"/>
  <c r="BH46" i="1"/>
  <c r="BG46" i="1"/>
  <c r="BH58" i="1"/>
  <c r="BG58" i="1"/>
  <c r="BH162" i="1"/>
  <c r="BG162" i="1"/>
  <c r="BH63" i="1"/>
  <c r="BG63" i="1"/>
  <c r="BH79" i="1"/>
  <c r="BG79" i="1"/>
  <c r="BH109" i="1"/>
  <c r="BG109" i="1"/>
  <c r="BH39" i="1"/>
  <c r="BG39" i="1"/>
  <c r="BH40" i="1"/>
  <c r="BG40" i="1"/>
  <c r="BH136" i="1"/>
  <c r="BG136" i="1"/>
  <c r="BH113" i="1"/>
  <c r="BG113" i="1"/>
  <c r="BH141" i="1"/>
  <c r="BG141" i="1"/>
  <c r="BH43" i="1"/>
  <c r="BG43" i="1"/>
  <c r="BH38" i="1"/>
  <c r="BG38" i="1"/>
  <c r="BH116" i="1"/>
  <c r="BG116" i="1"/>
  <c r="BH52" i="1"/>
  <c r="BG52" i="1"/>
  <c r="BH123" i="1"/>
  <c r="BG123" i="1"/>
  <c r="BH56" i="1"/>
  <c r="BG56" i="1"/>
  <c r="BH129" i="1"/>
  <c r="BG129" i="1"/>
  <c r="BH80" i="1"/>
  <c r="BG80" i="1"/>
  <c r="BH54" i="1"/>
  <c r="BG54" i="1"/>
  <c r="BH166" i="1"/>
  <c r="BG166" i="1"/>
  <c r="BH44" i="1"/>
  <c r="BG44" i="1"/>
  <c r="BH93" i="1"/>
  <c r="BG93" i="1"/>
  <c r="BH151" i="1"/>
  <c r="BG151" i="1"/>
  <c r="BH82" i="1"/>
  <c r="BG82" i="1"/>
  <c r="BH76" i="1"/>
  <c r="BG76" i="1"/>
  <c r="BH45" i="1"/>
  <c r="BG45" i="1"/>
  <c r="BH81" i="1"/>
  <c r="BG81" i="1"/>
  <c r="BH89" i="1"/>
  <c r="BG89" i="1"/>
  <c r="BH73" i="1"/>
  <c r="BG73" i="1"/>
  <c r="BH66" i="1"/>
  <c r="BG66" i="1"/>
  <c r="BH100" i="1"/>
  <c r="BG100" i="1"/>
  <c r="BH61" i="1"/>
  <c r="BG61" i="1"/>
  <c r="BH158" i="1"/>
  <c r="BG158" i="1"/>
  <c r="AZ76" i="1"/>
  <c r="BA76" i="1" s="1"/>
  <c r="AZ45" i="1"/>
  <c r="BA45" i="1" s="1"/>
  <c r="AZ89" i="1"/>
  <c r="BA89" i="1" s="1"/>
  <c r="AZ73" i="1"/>
  <c r="BA73" i="1" s="1"/>
  <c r="AZ129" i="1"/>
  <c r="BA129" i="1" s="1"/>
  <c r="AZ80" i="1"/>
  <c r="BA80" i="1" s="1"/>
  <c r="AZ54" i="1"/>
  <c r="BA54" i="1" s="1"/>
  <c r="AV17" i="1"/>
  <c r="AZ62" i="1"/>
  <c r="BA62" i="1" s="1"/>
  <c r="AZ158" i="1"/>
  <c r="BA158" i="1" s="1"/>
  <c r="AZ154" i="1"/>
  <c r="BA154" i="1" s="1"/>
  <c r="AZ81" i="1"/>
  <c r="BA81" i="1" s="1"/>
  <c r="AZ144" i="1"/>
  <c r="AZ111" i="1"/>
  <c r="BA111" i="1" s="1"/>
  <c r="AZ41" i="1"/>
  <c r="BA41" i="1" s="1"/>
  <c r="AZ100" i="1"/>
  <c r="BA100" i="1" s="1"/>
  <c r="AZ49" i="1"/>
  <c r="BA49" i="1" s="1"/>
  <c r="AZ72" i="1"/>
  <c r="BA72" i="1" s="1"/>
  <c r="AZ60" i="1"/>
  <c r="BA60" i="1" s="1"/>
  <c r="AZ156" i="1"/>
  <c r="AZ117" i="1"/>
  <c r="BA117" i="1" s="1"/>
  <c r="AZ64" i="1"/>
  <c r="BA64" i="1" s="1"/>
  <c r="AZ78" i="1"/>
  <c r="BA78" i="1" s="1"/>
  <c r="AZ61" i="1"/>
  <c r="BA61" i="1" s="1"/>
  <c r="AZ77" i="1"/>
  <c r="BA77" i="1" s="1"/>
  <c r="AZ98" i="1"/>
  <c r="BA98" i="1" s="1"/>
  <c r="AZ165" i="1"/>
  <c r="BA165" i="1" s="1"/>
  <c r="AZ143" i="1"/>
  <c r="BA143" i="1" s="1"/>
  <c r="AZ110" i="1"/>
  <c r="BA110" i="1" s="1"/>
  <c r="AZ83" i="1"/>
  <c r="BA83" i="1" s="1"/>
  <c r="AZ96" i="1"/>
  <c r="BA96" i="1" s="1"/>
  <c r="AZ75" i="1"/>
  <c r="BA75" i="1" s="1"/>
  <c r="AZ70" i="1"/>
  <c r="BA70" i="1" s="1"/>
  <c r="AZ71" i="1"/>
  <c r="BA71" i="1" s="1"/>
  <c r="AZ145" i="1"/>
  <c r="BA145" i="1" s="1"/>
  <c r="AZ151" i="1"/>
  <c r="BA151" i="1" s="1"/>
  <c r="AZ101" i="1"/>
  <c r="BA101" i="1" s="1"/>
  <c r="AZ149" i="1"/>
  <c r="BA149" i="1" s="1"/>
  <c r="AZ51" i="1"/>
  <c r="BA51" i="1" s="1"/>
  <c r="AZ66" i="1"/>
  <c r="BA66" i="1" s="1"/>
  <c r="AZ87" i="1"/>
  <c r="BA87" i="1" s="1"/>
  <c r="AZ99" i="1"/>
  <c r="BA99" i="1" s="1"/>
  <c r="AZ166" i="1"/>
  <c r="AZ115" i="1"/>
  <c r="AZ105" i="1"/>
  <c r="AZ79" i="1"/>
  <c r="BA79" i="1" s="1"/>
  <c r="AZ44" i="1"/>
  <c r="BA44" i="1" s="1"/>
  <c r="AZ93" i="1"/>
  <c r="BA93" i="1" s="1"/>
  <c r="AZ74" i="1"/>
  <c r="BA74" i="1" s="1"/>
  <c r="AZ46" i="1"/>
  <c r="BA46" i="1" s="1"/>
  <c r="AZ58" i="1"/>
  <c r="BA58" i="1" s="1"/>
  <c r="AZ162" i="1"/>
  <c r="BA162" i="1" s="1"/>
  <c r="AZ39" i="1"/>
  <c r="BA39" i="1" s="1"/>
  <c r="AZ40" i="1"/>
  <c r="AZ136" i="1"/>
  <c r="BA136" i="1" s="1"/>
  <c r="AZ113" i="1"/>
  <c r="BA113" i="1" s="1"/>
  <c r="AZ141" i="1"/>
  <c r="AZ43" i="1"/>
  <c r="AZ38" i="1"/>
  <c r="AZ116" i="1"/>
  <c r="BA116" i="1" s="1"/>
  <c r="AZ52" i="1"/>
  <c r="BA52" i="1" s="1"/>
  <c r="AZ123" i="1"/>
  <c r="BA123" i="1" s="1"/>
  <c r="AZ56" i="1"/>
  <c r="BA56" i="1" s="1"/>
  <c r="AZ63" i="1"/>
  <c r="BA63" i="1" s="1"/>
  <c r="AZ82" i="1"/>
  <c r="BA82" i="1" s="1"/>
  <c r="AZ109" i="1"/>
  <c r="BA109" i="1" s="1"/>
  <c r="AV155" i="1"/>
  <c r="AW155" i="1" s="1"/>
  <c r="CE155" i="1"/>
  <c r="CF155" i="1" s="1"/>
  <c r="AV22" i="1"/>
  <c r="AW22" i="1" s="1"/>
  <c r="CE22" i="1"/>
  <c r="CF22" i="1" s="1"/>
  <c r="AV29" i="1"/>
  <c r="AW29" i="1" s="1"/>
  <c r="CE29" i="1"/>
  <c r="CF29" i="1" s="1"/>
  <c r="AV112" i="1"/>
  <c r="AW112" i="1" s="1"/>
  <c r="AV32" i="1"/>
  <c r="AW32" i="1" s="1"/>
  <c r="AV152" i="1"/>
  <c r="AW152" i="1" s="1"/>
  <c r="CE152" i="1"/>
  <c r="CF152" i="1" s="1"/>
  <c r="AV127" i="1"/>
  <c r="AW127" i="1" s="1"/>
  <c r="AV97" i="1"/>
  <c r="AW97" i="1" s="1"/>
  <c r="AV65" i="1"/>
  <c r="AW65" i="1" s="1"/>
  <c r="AV68" i="1"/>
  <c r="AW68" i="1" s="1"/>
  <c r="CE68" i="1"/>
  <c r="CF68" i="1" s="1"/>
  <c r="AV57" i="1"/>
  <c r="AW57" i="1" s="1"/>
  <c r="AV19" i="1"/>
  <c r="AW19" i="1" s="1"/>
  <c r="AV30" i="1"/>
  <c r="AW30" i="1" s="1"/>
  <c r="AV150" i="1"/>
  <c r="AW150" i="1" s="1"/>
  <c r="AV164" i="1"/>
  <c r="AW164" i="1" s="1"/>
  <c r="AV35" i="1"/>
  <c r="AW35" i="1" s="1"/>
  <c r="AV95" i="1"/>
  <c r="AW95" i="1" s="1"/>
  <c r="AV103" i="1"/>
  <c r="AW103" i="1" s="1"/>
  <c r="AV133" i="1"/>
  <c r="AW133" i="1" s="1"/>
  <c r="CE133" i="1"/>
  <c r="CF133" i="1" s="1"/>
  <c r="AV48" i="1"/>
  <c r="AW48" i="1" s="1"/>
  <c r="CE48" i="1"/>
  <c r="CF48" i="1" s="1"/>
  <c r="AV28" i="1"/>
  <c r="AW28" i="1" s="1"/>
  <c r="AV23" i="1"/>
  <c r="AW23" i="1" s="1"/>
  <c r="AV94" i="1"/>
  <c r="AW94" i="1" s="1"/>
  <c r="AV25" i="1"/>
  <c r="AW25" i="1" s="1"/>
  <c r="AV26" i="1"/>
  <c r="AW26" i="1" s="1"/>
  <c r="AV104" i="1"/>
  <c r="AW104" i="1" s="1"/>
  <c r="AV102" i="1"/>
  <c r="AW102" i="1" s="1"/>
  <c r="CE102" i="1"/>
  <c r="CF102" i="1" s="1"/>
  <c r="AV50" i="1"/>
  <c r="AW50" i="1" s="1"/>
  <c r="AV34" i="1"/>
  <c r="AW34" i="1" s="1"/>
  <c r="AV120" i="1"/>
  <c r="AW120" i="1" s="1"/>
  <c r="AV131" i="1"/>
  <c r="AW131" i="1" s="1"/>
  <c r="CE131" i="1"/>
  <c r="CF131" i="1" s="1"/>
  <c r="AV53" i="1"/>
  <c r="AW53" i="1" s="1"/>
  <c r="AV126" i="1"/>
  <c r="AW126" i="1" s="1"/>
  <c r="AV91" i="1"/>
  <c r="AW91" i="1" s="1"/>
  <c r="AV159" i="1"/>
  <c r="AW159" i="1" s="1"/>
  <c r="AV86" i="1"/>
  <c r="AW86" i="1" s="1"/>
  <c r="AV92" i="1"/>
  <c r="AW92" i="1" s="1"/>
  <c r="AV114" i="1"/>
  <c r="AW114" i="1" s="1"/>
  <c r="CE114" i="1"/>
  <c r="CF114" i="1" s="1"/>
  <c r="AV27" i="1"/>
  <c r="AW27" i="1" s="1"/>
  <c r="CE27" i="1"/>
  <c r="CF27" i="1" s="1"/>
  <c r="AV21" i="1"/>
  <c r="AW21" i="1" s="1"/>
  <c r="AV31" i="1"/>
  <c r="AW31" i="1" s="1"/>
  <c r="AV124" i="1"/>
  <c r="AW124" i="1" s="1"/>
  <c r="AV90" i="1"/>
  <c r="AW90" i="1" s="1"/>
  <c r="AV130" i="1"/>
  <c r="AW130" i="1" s="1"/>
  <c r="CE130" i="1"/>
  <c r="CF130" i="1" s="1"/>
  <c r="AV107" i="1"/>
  <c r="AW107" i="1" s="1"/>
  <c r="CE107" i="1"/>
  <c r="CF107" i="1" s="1"/>
  <c r="AV160" i="1"/>
  <c r="AW160" i="1" s="1"/>
  <c r="CE160" i="1"/>
  <c r="CF160" i="1" s="1"/>
  <c r="AV67" i="1"/>
  <c r="AW67" i="1" s="1"/>
  <c r="CE67" i="1"/>
  <c r="CF67" i="1" s="1"/>
  <c r="AV20" i="1"/>
  <c r="AW20" i="1" s="1"/>
  <c r="AV153" i="1"/>
  <c r="AW153" i="1" s="1"/>
  <c r="CE153" i="1"/>
  <c r="CF153" i="1" s="1"/>
  <c r="AV137" i="1"/>
  <c r="AW137" i="1" s="1"/>
  <c r="AV55" i="1"/>
  <c r="AW55" i="1" s="1"/>
  <c r="AV157" i="1"/>
  <c r="AW157" i="1" s="1"/>
  <c r="CE157" i="1"/>
  <c r="CF157" i="1" s="1"/>
  <c r="AV122" i="1"/>
  <c r="AW122" i="1" s="1"/>
  <c r="AV121" i="1"/>
  <c r="AW121" i="1" s="1"/>
  <c r="AV147" i="1"/>
  <c r="AW147" i="1" s="1"/>
  <c r="AV132" i="1"/>
  <c r="AW132" i="1" s="1"/>
  <c r="AV85" i="1"/>
  <c r="AW85" i="1" s="1"/>
  <c r="CE85" i="1"/>
  <c r="CF85" i="1" s="1"/>
  <c r="AV36" i="1"/>
  <c r="AW36" i="1" s="1"/>
  <c r="AV33" i="1"/>
  <c r="AW33" i="1" s="1"/>
  <c r="AV128" i="1"/>
  <c r="AW128" i="1" s="1"/>
  <c r="AV134" i="1"/>
  <c r="AW134" i="1" s="1"/>
  <c r="AV59" i="1"/>
  <c r="AW59" i="1" s="1"/>
  <c r="AV69" i="1"/>
  <c r="AW69" i="1" s="1"/>
  <c r="CE69" i="1"/>
  <c r="CF69" i="1" s="1"/>
  <c r="AV24" i="1"/>
  <c r="AW24" i="1" s="1"/>
  <c r="AV106" i="1"/>
  <c r="AW106" i="1" s="1"/>
  <c r="AV119" i="1"/>
  <c r="AW119" i="1" s="1"/>
  <c r="AV146" i="1"/>
  <c r="AW146" i="1" s="1"/>
  <c r="AV18" i="1"/>
  <c r="AW18" i="1" s="1"/>
  <c r="AV47" i="1"/>
  <c r="AW47" i="1" s="1"/>
  <c r="AV142" i="1"/>
  <c r="AW142" i="1" s="1"/>
  <c r="CE142" i="1"/>
  <c r="CF142" i="1" s="1"/>
  <c r="AV118" i="1"/>
  <c r="AW118" i="1" s="1"/>
  <c r="AV163" i="1"/>
  <c r="AW163" i="1" s="1"/>
  <c r="CE163" i="1"/>
  <c r="CF163" i="1" s="1"/>
  <c r="AV88" i="1"/>
  <c r="AW88" i="1" s="1"/>
  <c r="CE88" i="1"/>
  <c r="CF88" i="1" s="1"/>
  <c r="AV161" i="1"/>
  <c r="AW161" i="1" s="1"/>
  <c r="AV108" i="1"/>
  <c r="AW108" i="1" s="1"/>
  <c r="AV138" i="1"/>
  <c r="AW138" i="1" s="1"/>
  <c r="CE138" i="1"/>
  <c r="CF138" i="1" s="1"/>
  <c r="BG139" i="1" l="1"/>
  <c r="AW139" i="1"/>
  <c r="BH42" i="1"/>
  <c r="BL42" i="1" s="1"/>
  <c r="BN42" i="1" s="1"/>
  <c r="AW42" i="1"/>
  <c r="BH37" i="1"/>
  <c r="BL37" i="1" s="1"/>
  <c r="BN37" i="1" s="1"/>
  <c r="AW37" i="1"/>
  <c r="AZ37" i="1" s="1"/>
  <c r="AW84" i="1"/>
  <c r="AZ84" i="1" s="1"/>
  <c r="BA84" i="1" s="1"/>
  <c r="AW125" i="1"/>
  <c r="AZ125" i="1" s="1"/>
  <c r="BA125" i="1" s="1"/>
  <c r="BH140" i="1"/>
  <c r="BL140" i="1" s="1"/>
  <c r="BN140" i="1" s="1"/>
  <c r="AW140" i="1"/>
  <c r="BH17" i="1"/>
  <c r="BR17" i="1" s="1"/>
  <c r="AW17" i="1"/>
  <c r="AZ17" i="1" s="1"/>
  <c r="BH148" i="1"/>
  <c r="AW148" i="1"/>
  <c r="AZ148" i="1" s="1"/>
  <c r="BA148" i="1" s="1"/>
  <c r="BC136" i="1"/>
  <c r="BD136" i="1"/>
  <c r="BC74" i="1"/>
  <c r="BD74" i="1"/>
  <c r="BE74" i="1" s="1"/>
  <c r="BC79" i="1"/>
  <c r="BD79" i="1"/>
  <c r="BA166" i="1"/>
  <c r="BD166" i="1" s="1"/>
  <c r="BE166" i="1" s="1"/>
  <c r="BC66" i="1"/>
  <c r="BD66" i="1"/>
  <c r="BE66" i="1" s="1"/>
  <c r="BC98" i="1"/>
  <c r="BD98" i="1"/>
  <c r="BC78" i="1"/>
  <c r="BD78" i="1"/>
  <c r="BE78" i="1" s="1"/>
  <c r="BC72" i="1"/>
  <c r="BD72" i="1"/>
  <c r="BE72" i="1" s="1"/>
  <c r="BC41" i="1"/>
  <c r="BD41" i="1"/>
  <c r="BC81" i="1"/>
  <c r="BD81" i="1"/>
  <c r="BC62" i="1"/>
  <c r="BD62" i="1"/>
  <c r="BE62" i="1" s="1"/>
  <c r="BC162" i="1"/>
  <c r="BD162" i="1"/>
  <c r="BC109" i="1"/>
  <c r="BD109" i="1"/>
  <c r="BE109" i="1" s="1"/>
  <c r="BC56" i="1"/>
  <c r="BD56" i="1"/>
  <c r="BE56" i="1" s="1"/>
  <c r="BC116" i="1"/>
  <c r="BD116" i="1"/>
  <c r="BC101" i="1"/>
  <c r="BD101" i="1"/>
  <c r="BE101" i="1" s="1"/>
  <c r="BC71" i="1"/>
  <c r="BD71" i="1"/>
  <c r="BE71" i="1" s="1"/>
  <c r="BC96" i="1"/>
  <c r="BD96" i="1"/>
  <c r="BC143" i="1"/>
  <c r="BD143" i="1"/>
  <c r="BC129" i="1"/>
  <c r="BD129" i="1"/>
  <c r="BC45" i="1"/>
  <c r="BD45" i="1"/>
  <c r="BE45" i="1" s="1"/>
  <c r="BC58" i="1"/>
  <c r="BD58" i="1"/>
  <c r="BC99" i="1"/>
  <c r="BD99" i="1"/>
  <c r="BE99" i="1" s="1"/>
  <c r="BC77" i="1"/>
  <c r="BD77" i="1"/>
  <c r="BC64" i="1"/>
  <c r="BD64" i="1"/>
  <c r="BE64" i="1" s="1"/>
  <c r="BC49" i="1"/>
  <c r="BD49" i="1"/>
  <c r="BE49" i="1" s="1"/>
  <c r="BC111" i="1"/>
  <c r="BD111" i="1"/>
  <c r="BE111" i="1" s="1"/>
  <c r="BC154" i="1"/>
  <c r="BD154" i="1"/>
  <c r="BE154" i="1" s="1"/>
  <c r="BC51" i="1"/>
  <c r="BD51" i="1"/>
  <c r="BE51" i="1" s="1"/>
  <c r="BC82" i="1"/>
  <c r="BD82" i="1"/>
  <c r="BC151" i="1"/>
  <c r="BD151" i="1"/>
  <c r="BE151" i="1" s="1"/>
  <c r="BC70" i="1"/>
  <c r="BD70" i="1"/>
  <c r="BE70" i="1" s="1"/>
  <c r="BC83" i="1"/>
  <c r="BD83" i="1"/>
  <c r="BE83" i="1" s="1"/>
  <c r="BC165" i="1"/>
  <c r="BD165" i="1"/>
  <c r="BE165" i="1" s="1"/>
  <c r="BC54" i="1"/>
  <c r="BD54" i="1"/>
  <c r="BE54" i="1" s="1"/>
  <c r="BC73" i="1"/>
  <c r="BD73" i="1"/>
  <c r="BE73" i="1" s="1"/>
  <c r="BC76" i="1"/>
  <c r="BD76" i="1"/>
  <c r="BE76" i="1" s="1"/>
  <c r="BC93" i="1"/>
  <c r="BD93" i="1"/>
  <c r="BC39" i="1"/>
  <c r="BD39" i="1"/>
  <c r="BE39" i="1" s="1"/>
  <c r="BC44" i="1"/>
  <c r="BD44" i="1"/>
  <c r="BE44" i="1" s="1"/>
  <c r="BC87" i="1"/>
  <c r="BD87" i="1"/>
  <c r="BE87" i="1" s="1"/>
  <c r="BC61" i="1"/>
  <c r="BD61" i="1"/>
  <c r="BE61" i="1" s="1"/>
  <c r="BC117" i="1"/>
  <c r="BD117" i="1"/>
  <c r="BE117" i="1" s="1"/>
  <c r="BC60" i="1"/>
  <c r="BD60" i="1"/>
  <c r="BE60" i="1" s="1"/>
  <c r="BC100" i="1"/>
  <c r="BD100" i="1"/>
  <c r="BE100" i="1" s="1"/>
  <c r="BC158" i="1"/>
  <c r="BD158" i="1"/>
  <c r="BG84" i="1"/>
  <c r="BC123" i="1"/>
  <c r="BD123" i="1"/>
  <c r="BE123" i="1" s="1"/>
  <c r="BC113" i="1"/>
  <c r="BD113" i="1"/>
  <c r="BE113" i="1" s="1"/>
  <c r="BC46" i="1"/>
  <c r="BD46" i="1"/>
  <c r="BE46" i="1" s="1"/>
  <c r="BC63" i="1"/>
  <c r="BD63" i="1"/>
  <c r="BE63" i="1" s="1"/>
  <c r="BC52" i="1"/>
  <c r="BD52" i="1"/>
  <c r="BE52" i="1" s="1"/>
  <c r="BC149" i="1"/>
  <c r="BD149" i="1"/>
  <c r="BC145" i="1"/>
  <c r="BD145" i="1"/>
  <c r="BE145" i="1" s="1"/>
  <c r="BC75" i="1"/>
  <c r="BD75" i="1"/>
  <c r="BE75" i="1" s="1"/>
  <c r="BC110" i="1"/>
  <c r="BD110" i="1"/>
  <c r="BC80" i="1"/>
  <c r="BD80" i="1"/>
  <c r="BE80" i="1" s="1"/>
  <c r="BC89" i="1"/>
  <c r="BD89" i="1"/>
  <c r="BH125" i="1"/>
  <c r="BK125" i="1" s="1"/>
  <c r="BA141" i="1"/>
  <c r="BA40" i="1"/>
  <c r="BA105" i="1"/>
  <c r="BA156" i="1"/>
  <c r="BA38" i="1"/>
  <c r="BA43" i="1"/>
  <c r="BA144" i="1"/>
  <c r="BA115" i="1"/>
  <c r="AZ42" i="1"/>
  <c r="BG125" i="1"/>
  <c r="BG37" i="1"/>
  <c r="BG42" i="1"/>
  <c r="AZ139" i="1"/>
  <c r="BA139" i="1" s="1"/>
  <c r="BH139" i="1"/>
  <c r="BR139" i="1" s="1"/>
  <c r="AZ140" i="1"/>
  <c r="BA140" i="1" s="1"/>
  <c r="BG148" i="1"/>
  <c r="BH84" i="1"/>
  <c r="BL84" i="1" s="1"/>
  <c r="BN84" i="1" s="1"/>
  <c r="BG140" i="1"/>
  <c r="BM135" i="1"/>
  <c r="BO135" i="1" s="1"/>
  <c r="BS135" i="1" s="1"/>
  <c r="BV135" i="1"/>
  <c r="BL100" i="1"/>
  <c r="BN100" i="1" s="1"/>
  <c r="BR100" i="1"/>
  <c r="BL89" i="1"/>
  <c r="BN89" i="1" s="1"/>
  <c r="BR89" i="1"/>
  <c r="BL76" i="1"/>
  <c r="BN76" i="1" s="1"/>
  <c r="BR76" i="1"/>
  <c r="BL93" i="1"/>
  <c r="BN93" i="1" s="1"/>
  <c r="BR93" i="1"/>
  <c r="BL54" i="1"/>
  <c r="BN54" i="1" s="1"/>
  <c r="BR54" i="1"/>
  <c r="BL56" i="1"/>
  <c r="BN56" i="1" s="1"/>
  <c r="BR56" i="1"/>
  <c r="BL43" i="1"/>
  <c r="BN43" i="1" s="1"/>
  <c r="BR43" i="1"/>
  <c r="BL113" i="1"/>
  <c r="BN113" i="1" s="1"/>
  <c r="BR113" i="1"/>
  <c r="BL39" i="1"/>
  <c r="BN39" i="1" s="1"/>
  <c r="BR39" i="1"/>
  <c r="BL58" i="1"/>
  <c r="BN58" i="1" s="1"/>
  <c r="BR58" i="1"/>
  <c r="BL70" i="1"/>
  <c r="BN70" i="1" s="1"/>
  <c r="BR70" i="1"/>
  <c r="BL83" i="1"/>
  <c r="BN83" i="1" s="1"/>
  <c r="BR83" i="1"/>
  <c r="BL143" i="1"/>
  <c r="BN143" i="1" s="1"/>
  <c r="BR143" i="1"/>
  <c r="BL71" i="1"/>
  <c r="BN71" i="1" s="1"/>
  <c r="BR71" i="1"/>
  <c r="BL154" i="1"/>
  <c r="BN154" i="1" s="1"/>
  <c r="BR154" i="1"/>
  <c r="BL60" i="1"/>
  <c r="BN60" i="1" s="1"/>
  <c r="BR60" i="1"/>
  <c r="BL78" i="1"/>
  <c r="BN78" i="1" s="1"/>
  <c r="BR78" i="1"/>
  <c r="BL51" i="1"/>
  <c r="BN51" i="1" s="1"/>
  <c r="BR51" i="1"/>
  <c r="BL149" i="1"/>
  <c r="BN149" i="1" s="1"/>
  <c r="BR149" i="1"/>
  <c r="BL101" i="1"/>
  <c r="BN101" i="1" s="1"/>
  <c r="BR101" i="1"/>
  <c r="BL158" i="1"/>
  <c r="BN158" i="1" s="1"/>
  <c r="BR158" i="1"/>
  <c r="BL66" i="1"/>
  <c r="BN66" i="1" s="1"/>
  <c r="BR66" i="1"/>
  <c r="BL81" i="1"/>
  <c r="BN81" i="1" s="1"/>
  <c r="BR81" i="1"/>
  <c r="BL82" i="1"/>
  <c r="BN82" i="1" s="1"/>
  <c r="BR82" i="1"/>
  <c r="BL44" i="1"/>
  <c r="BN44" i="1" s="1"/>
  <c r="BR44" i="1"/>
  <c r="BL80" i="1"/>
  <c r="BN80" i="1" s="1"/>
  <c r="BR80" i="1"/>
  <c r="BL123" i="1"/>
  <c r="BN123" i="1" s="1"/>
  <c r="BR123" i="1"/>
  <c r="BL116" i="1"/>
  <c r="BN116" i="1" s="1"/>
  <c r="BR116" i="1"/>
  <c r="BL136" i="1"/>
  <c r="BN136" i="1" s="1"/>
  <c r="BR136" i="1"/>
  <c r="BL109" i="1"/>
  <c r="BN109" i="1" s="1"/>
  <c r="BR109" i="1"/>
  <c r="BL63" i="1"/>
  <c r="BN63" i="1" s="1"/>
  <c r="BR63" i="1"/>
  <c r="BL46" i="1"/>
  <c r="BN46" i="1" s="1"/>
  <c r="BR46" i="1"/>
  <c r="BL75" i="1"/>
  <c r="BN75" i="1" s="1"/>
  <c r="BR75" i="1"/>
  <c r="BL110" i="1"/>
  <c r="BN110" i="1" s="1"/>
  <c r="BR110" i="1"/>
  <c r="BL165" i="1"/>
  <c r="BN165" i="1" s="1"/>
  <c r="BR165" i="1"/>
  <c r="BL115" i="1"/>
  <c r="BN115" i="1" s="1"/>
  <c r="BR115" i="1"/>
  <c r="BL72" i="1"/>
  <c r="BN72" i="1" s="1"/>
  <c r="BR72" i="1"/>
  <c r="BL77" i="1"/>
  <c r="BN77" i="1" s="1"/>
  <c r="BR77" i="1"/>
  <c r="BL99" i="1"/>
  <c r="BN99" i="1" s="1"/>
  <c r="BR99" i="1"/>
  <c r="BL64" i="1"/>
  <c r="BN64" i="1" s="1"/>
  <c r="BR64" i="1"/>
  <c r="BL41" i="1"/>
  <c r="BN41" i="1" s="1"/>
  <c r="BR41" i="1"/>
  <c r="BR42" i="1"/>
  <c r="BL156" i="1"/>
  <c r="BN156" i="1" s="1"/>
  <c r="BR156" i="1"/>
  <c r="BL61" i="1"/>
  <c r="BN61" i="1" s="1"/>
  <c r="BR61" i="1"/>
  <c r="BL73" i="1"/>
  <c r="BN73" i="1" s="1"/>
  <c r="BR73" i="1"/>
  <c r="BL45" i="1"/>
  <c r="BN45" i="1" s="1"/>
  <c r="BR45" i="1"/>
  <c r="BL151" i="1"/>
  <c r="BN151" i="1" s="1"/>
  <c r="BR151" i="1"/>
  <c r="BL166" i="1"/>
  <c r="BN166" i="1" s="1"/>
  <c r="BR166" i="1"/>
  <c r="BL129" i="1"/>
  <c r="BN129" i="1" s="1"/>
  <c r="BR129" i="1"/>
  <c r="BL52" i="1"/>
  <c r="BN52" i="1" s="1"/>
  <c r="BR52" i="1"/>
  <c r="BL38" i="1"/>
  <c r="BN38" i="1" s="1"/>
  <c r="BR38" i="1"/>
  <c r="BL141" i="1"/>
  <c r="BN141" i="1" s="1"/>
  <c r="BR141" i="1"/>
  <c r="BL40" i="1"/>
  <c r="BN40" i="1" s="1"/>
  <c r="BR40" i="1"/>
  <c r="BL79" i="1"/>
  <c r="BN79" i="1" s="1"/>
  <c r="BR79" i="1"/>
  <c r="BL162" i="1"/>
  <c r="BN162" i="1" s="1"/>
  <c r="BR162" i="1"/>
  <c r="BL74" i="1"/>
  <c r="BN74" i="1" s="1"/>
  <c r="BR74" i="1"/>
  <c r="BL96" i="1"/>
  <c r="BN96" i="1" s="1"/>
  <c r="BR96" i="1"/>
  <c r="BL105" i="1"/>
  <c r="BN105" i="1" s="1"/>
  <c r="BR105" i="1"/>
  <c r="BL148" i="1"/>
  <c r="BN148" i="1" s="1"/>
  <c r="BR148" i="1"/>
  <c r="BL145" i="1"/>
  <c r="BN145" i="1" s="1"/>
  <c r="BR145" i="1"/>
  <c r="BL87" i="1"/>
  <c r="BN87" i="1" s="1"/>
  <c r="BR87" i="1"/>
  <c r="BL49" i="1"/>
  <c r="BN49" i="1" s="1"/>
  <c r="BR49" i="1"/>
  <c r="BL98" i="1"/>
  <c r="BN98" i="1" s="1"/>
  <c r="BR98" i="1"/>
  <c r="BL62" i="1"/>
  <c r="BN62" i="1" s="1"/>
  <c r="BR62" i="1"/>
  <c r="BL117" i="1"/>
  <c r="BN117" i="1" s="1"/>
  <c r="BR117" i="1"/>
  <c r="BL111" i="1"/>
  <c r="BN111" i="1" s="1"/>
  <c r="BR111" i="1"/>
  <c r="BL144" i="1"/>
  <c r="BN144" i="1" s="1"/>
  <c r="BR144" i="1"/>
  <c r="BK61" i="1"/>
  <c r="BJ61" i="1"/>
  <c r="BK73" i="1"/>
  <c r="BJ73" i="1"/>
  <c r="BJ45" i="1"/>
  <c r="BK45" i="1"/>
  <c r="BJ151" i="1"/>
  <c r="BK151" i="1"/>
  <c r="BJ166" i="1"/>
  <c r="BK166" i="1"/>
  <c r="BJ129" i="1"/>
  <c r="BK129" i="1"/>
  <c r="BK52" i="1"/>
  <c r="BJ52" i="1"/>
  <c r="BJ38" i="1"/>
  <c r="BK38" i="1"/>
  <c r="BJ141" i="1"/>
  <c r="BK141" i="1"/>
  <c r="BK40" i="1"/>
  <c r="BJ40" i="1"/>
  <c r="BJ79" i="1"/>
  <c r="BK79" i="1"/>
  <c r="BJ162" i="1"/>
  <c r="BK162" i="1"/>
  <c r="BJ74" i="1"/>
  <c r="BK74" i="1"/>
  <c r="BJ96" i="1"/>
  <c r="BK96" i="1"/>
  <c r="BJ105" i="1"/>
  <c r="BK105" i="1"/>
  <c r="BJ148" i="1"/>
  <c r="BK148" i="1"/>
  <c r="BJ145" i="1"/>
  <c r="BK145" i="1"/>
  <c r="BJ87" i="1"/>
  <c r="BK87" i="1"/>
  <c r="BJ49" i="1"/>
  <c r="BK49" i="1"/>
  <c r="BJ98" i="1"/>
  <c r="BK98" i="1"/>
  <c r="BJ62" i="1"/>
  <c r="BK62" i="1"/>
  <c r="BJ117" i="1"/>
  <c r="BK117" i="1"/>
  <c r="BJ111" i="1"/>
  <c r="BK111" i="1"/>
  <c r="BJ144" i="1"/>
  <c r="BK144" i="1"/>
  <c r="BJ100" i="1"/>
  <c r="BK100" i="1"/>
  <c r="BJ89" i="1"/>
  <c r="BK89" i="1"/>
  <c r="BJ76" i="1"/>
  <c r="BK76" i="1"/>
  <c r="BJ93" i="1"/>
  <c r="BK93" i="1"/>
  <c r="BJ54" i="1"/>
  <c r="BK54" i="1"/>
  <c r="BJ56" i="1"/>
  <c r="BK56" i="1"/>
  <c r="BK43" i="1"/>
  <c r="BJ43" i="1"/>
  <c r="BJ113" i="1"/>
  <c r="BK113" i="1"/>
  <c r="BK39" i="1"/>
  <c r="BJ39" i="1"/>
  <c r="BJ58" i="1"/>
  <c r="BK58" i="1"/>
  <c r="BJ70" i="1"/>
  <c r="BK70" i="1"/>
  <c r="BJ83" i="1"/>
  <c r="BK83" i="1"/>
  <c r="BJ143" i="1"/>
  <c r="BK143" i="1"/>
  <c r="BJ71" i="1"/>
  <c r="BK71" i="1"/>
  <c r="BJ154" i="1"/>
  <c r="BK154" i="1"/>
  <c r="BJ60" i="1"/>
  <c r="BK60" i="1"/>
  <c r="BJ78" i="1"/>
  <c r="BK78" i="1"/>
  <c r="BJ51" i="1"/>
  <c r="BK51" i="1"/>
  <c r="BJ149" i="1"/>
  <c r="BK149" i="1"/>
  <c r="BJ101" i="1"/>
  <c r="BK101" i="1"/>
  <c r="BJ158" i="1"/>
  <c r="BK158" i="1"/>
  <c r="BJ66" i="1"/>
  <c r="BK66" i="1"/>
  <c r="BJ81" i="1"/>
  <c r="BK81" i="1"/>
  <c r="BJ82" i="1"/>
  <c r="BK82" i="1"/>
  <c r="BJ44" i="1"/>
  <c r="BK44" i="1"/>
  <c r="BJ80" i="1"/>
  <c r="BK80" i="1"/>
  <c r="BJ123" i="1"/>
  <c r="BK123" i="1"/>
  <c r="BJ116" i="1"/>
  <c r="BK116" i="1"/>
  <c r="BJ136" i="1"/>
  <c r="BK136" i="1"/>
  <c r="BK109" i="1"/>
  <c r="BJ109" i="1"/>
  <c r="BJ63" i="1"/>
  <c r="BK63" i="1"/>
  <c r="BJ46" i="1"/>
  <c r="BK46" i="1"/>
  <c r="BJ75" i="1"/>
  <c r="BK75" i="1"/>
  <c r="BJ110" i="1"/>
  <c r="BK110" i="1"/>
  <c r="BJ165" i="1"/>
  <c r="BK165" i="1"/>
  <c r="BK115" i="1"/>
  <c r="BJ115" i="1"/>
  <c r="BJ72" i="1"/>
  <c r="BK72" i="1"/>
  <c r="BJ77" i="1"/>
  <c r="BK77" i="1"/>
  <c r="BJ99" i="1"/>
  <c r="BK99" i="1"/>
  <c r="BK64" i="1"/>
  <c r="BJ64" i="1"/>
  <c r="BJ41" i="1"/>
  <c r="BK41" i="1"/>
  <c r="BK42" i="1"/>
  <c r="BJ156" i="1"/>
  <c r="BK156" i="1"/>
  <c r="BE98" i="1"/>
  <c r="BE116" i="1"/>
  <c r="BE41" i="1"/>
  <c r="BE149" i="1"/>
  <c r="BE129" i="1"/>
  <c r="BH47" i="1"/>
  <c r="BG47" i="1"/>
  <c r="BH107" i="1"/>
  <c r="BG107" i="1"/>
  <c r="BH124" i="1"/>
  <c r="BG124" i="1"/>
  <c r="BH27" i="1"/>
  <c r="BG27" i="1"/>
  <c r="BH86" i="1"/>
  <c r="BG86" i="1"/>
  <c r="BH91" i="1"/>
  <c r="BG91" i="1"/>
  <c r="BH131" i="1"/>
  <c r="BG131" i="1"/>
  <c r="BH50" i="1"/>
  <c r="BG50" i="1"/>
  <c r="BH26" i="1"/>
  <c r="BG26" i="1"/>
  <c r="BH23" i="1"/>
  <c r="BG23" i="1"/>
  <c r="BH133" i="1"/>
  <c r="BG133" i="1"/>
  <c r="BH128" i="1"/>
  <c r="BG128" i="1"/>
  <c r="BH35" i="1"/>
  <c r="BG35" i="1"/>
  <c r="BH30" i="1"/>
  <c r="BG30" i="1"/>
  <c r="BH68" i="1"/>
  <c r="BG68" i="1"/>
  <c r="BH127" i="1"/>
  <c r="BG127" i="1"/>
  <c r="BH112" i="1"/>
  <c r="BG112" i="1"/>
  <c r="BH155" i="1"/>
  <c r="BG155" i="1"/>
  <c r="BH67" i="1"/>
  <c r="BG67" i="1"/>
  <c r="BH130" i="1"/>
  <c r="BG130" i="1"/>
  <c r="BH31" i="1"/>
  <c r="BG31" i="1"/>
  <c r="BH114" i="1"/>
  <c r="BG114" i="1"/>
  <c r="BH159" i="1"/>
  <c r="BG159" i="1"/>
  <c r="BH126" i="1"/>
  <c r="BG126" i="1"/>
  <c r="BH120" i="1"/>
  <c r="BG120" i="1"/>
  <c r="BH102" i="1"/>
  <c r="BG102" i="1"/>
  <c r="BH25" i="1"/>
  <c r="BG25" i="1"/>
  <c r="BH28" i="1"/>
  <c r="BG28" i="1"/>
  <c r="BH103" i="1"/>
  <c r="BG103" i="1"/>
  <c r="BH119" i="1"/>
  <c r="BG119" i="1"/>
  <c r="BH106" i="1"/>
  <c r="BG106" i="1"/>
  <c r="BH122" i="1"/>
  <c r="BG122" i="1"/>
  <c r="BH20" i="1"/>
  <c r="BG20" i="1"/>
  <c r="BH164" i="1"/>
  <c r="BG164" i="1"/>
  <c r="BH29" i="1"/>
  <c r="BG29" i="1"/>
  <c r="BG17" i="1"/>
  <c r="BH163" i="1"/>
  <c r="BG163" i="1"/>
  <c r="BH85" i="1"/>
  <c r="BG85" i="1"/>
  <c r="BH55" i="1"/>
  <c r="BG55" i="1"/>
  <c r="BH161" i="1"/>
  <c r="BG161" i="1"/>
  <c r="BH18" i="1"/>
  <c r="BG18" i="1"/>
  <c r="BH59" i="1"/>
  <c r="BG59" i="1"/>
  <c r="BH132" i="1"/>
  <c r="BG132" i="1"/>
  <c r="BH137" i="1"/>
  <c r="BG137" i="1"/>
  <c r="BH65" i="1"/>
  <c r="BG65" i="1"/>
  <c r="BH21" i="1"/>
  <c r="BG21" i="1"/>
  <c r="BH53" i="1"/>
  <c r="BG53" i="1"/>
  <c r="BH104" i="1"/>
  <c r="BG104" i="1"/>
  <c r="BH94" i="1"/>
  <c r="BG94" i="1"/>
  <c r="BH48" i="1"/>
  <c r="BG48" i="1"/>
  <c r="BH108" i="1"/>
  <c r="BG108" i="1"/>
  <c r="BH69" i="1"/>
  <c r="BG69" i="1"/>
  <c r="BH121" i="1"/>
  <c r="BG121" i="1"/>
  <c r="BH118" i="1"/>
  <c r="BG118" i="1"/>
  <c r="BH33" i="1"/>
  <c r="BG33" i="1"/>
  <c r="BH19" i="1"/>
  <c r="BG19" i="1"/>
  <c r="BH152" i="1"/>
  <c r="BG152" i="1"/>
  <c r="BH160" i="1"/>
  <c r="BG160" i="1"/>
  <c r="BH90" i="1"/>
  <c r="BG90" i="1"/>
  <c r="BH92" i="1"/>
  <c r="BG92" i="1"/>
  <c r="BH34" i="1"/>
  <c r="BG34" i="1"/>
  <c r="BH138" i="1"/>
  <c r="BG138" i="1"/>
  <c r="BH88" i="1"/>
  <c r="BG88" i="1"/>
  <c r="BH142" i="1"/>
  <c r="BG142" i="1"/>
  <c r="BH146" i="1"/>
  <c r="BG146" i="1"/>
  <c r="BH24" i="1"/>
  <c r="BG24" i="1"/>
  <c r="BH134" i="1"/>
  <c r="BG134" i="1"/>
  <c r="BH36" i="1"/>
  <c r="BG36" i="1"/>
  <c r="BH147" i="1"/>
  <c r="BG147" i="1"/>
  <c r="BH157" i="1"/>
  <c r="BG157" i="1"/>
  <c r="BH153" i="1"/>
  <c r="BG153" i="1"/>
  <c r="BE143" i="1"/>
  <c r="BH95" i="1"/>
  <c r="BG95" i="1"/>
  <c r="BH150" i="1"/>
  <c r="BG150" i="1"/>
  <c r="BH57" i="1"/>
  <c r="BG57" i="1"/>
  <c r="BH97" i="1"/>
  <c r="BG97" i="1"/>
  <c r="BH32" i="1"/>
  <c r="BG32" i="1"/>
  <c r="BH22" i="1"/>
  <c r="BG22" i="1"/>
  <c r="BE110" i="1"/>
  <c r="BE77" i="1"/>
  <c r="BE58" i="1"/>
  <c r="BE96" i="1"/>
  <c r="BE89" i="1"/>
  <c r="BE81" i="1"/>
  <c r="BE136" i="1"/>
  <c r="BE93" i="1"/>
  <c r="BE162" i="1"/>
  <c r="AZ138" i="1"/>
  <c r="BA138" i="1" s="1"/>
  <c r="AZ88" i="1"/>
  <c r="BA88" i="1" s="1"/>
  <c r="AZ142" i="1"/>
  <c r="BA142" i="1" s="1"/>
  <c r="AZ146" i="1"/>
  <c r="AZ24" i="1"/>
  <c r="BA24" i="1" s="1"/>
  <c r="AZ33" i="1"/>
  <c r="BA33" i="1" s="1"/>
  <c r="AZ132" i="1"/>
  <c r="AZ122" i="1"/>
  <c r="BA122" i="1" s="1"/>
  <c r="AZ137" i="1"/>
  <c r="AZ20" i="1"/>
  <c r="BA20" i="1" s="1"/>
  <c r="AZ107" i="1"/>
  <c r="BA107" i="1" s="1"/>
  <c r="AZ124" i="1"/>
  <c r="AZ27" i="1"/>
  <c r="BA27" i="1" s="1"/>
  <c r="AZ86" i="1"/>
  <c r="BA86" i="1" s="1"/>
  <c r="AZ91" i="1"/>
  <c r="BA91" i="1" s="1"/>
  <c r="AZ131" i="1"/>
  <c r="AZ50" i="1"/>
  <c r="AZ26" i="1"/>
  <c r="BA26" i="1" s="1"/>
  <c r="AZ23" i="1"/>
  <c r="BA23" i="1" s="1"/>
  <c r="AZ133" i="1"/>
  <c r="BA133" i="1" s="1"/>
  <c r="AZ35" i="1"/>
  <c r="BA35" i="1" s="1"/>
  <c r="AZ30" i="1"/>
  <c r="BA30" i="1" s="1"/>
  <c r="AZ68" i="1"/>
  <c r="BA68" i="1" s="1"/>
  <c r="AZ127" i="1"/>
  <c r="AZ112" i="1"/>
  <c r="BA112" i="1" s="1"/>
  <c r="AZ155" i="1"/>
  <c r="BA155" i="1" s="1"/>
  <c r="BE82" i="1"/>
  <c r="AZ108" i="1"/>
  <c r="AZ163" i="1"/>
  <c r="AZ47" i="1"/>
  <c r="AZ119" i="1"/>
  <c r="AZ134" i="1"/>
  <c r="BA134" i="1" s="1"/>
  <c r="AZ36" i="1"/>
  <c r="BA36" i="1" s="1"/>
  <c r="AZ147" i="1"/>
  <c r="BA147" i="1" s="1"/>
  <c r="AZ157" i="1"/>
  <c r="AZ153" i="1"/>
  <c r="BA153" i="1" s="1"/>
  <c r="AZ67" i="1"/>
  <c r="BA67" i="1" s="1"/>
  <c r="AZ130" i="1"/>
  <c r="AZ31" i="1"/>
  <c r="BA31" i="1" s="1"/>
  <c r="AZ114" i="1"/>
  <c r="BA114" i="1" s="1"/>
  <c r="AZ159" i="1"/>
  <c r="BA159" i="1" s="1"/>
  <c r="AZ126" i="1"/>
  <c r="AZ120" i="1"/>
  <c r="BA120" i="1" s="1"/>
  <c r="AZ102" i="1"/>
  <c r="BA102" i="1" s="1"/>
  <c r="AZ25" i="1"/>
  <c r="BA25" i="1" s="1"/>
  <c r="AZ28" i="1"/>
  <c r="BA28" i="1" s="1"/>
  <c r="AZ103" i="1"/>
  <c r="AZ164" i="1"/>
  <c r="BA164" i="1" s="1"/>
  <c r="AZ19" i="1"/>
  <c r="BA19" i="1" s="1"/>
  <c r="AZ65" i="1"/>
  <c r="BA65" i="1" s="1"/>
  <c r="AZ152" i="1"/>
  <c r="BA152" i="1" s="1"/>
  <c r="AZ29" i="1"/>
  <c r="BE79" i="1"/>
  <c r="AZ69" i="1"/>
  <c r="BA69" i="1" s="1"/>
  <c r="AZ161" i="1"/>
  <c r="BA161" i="1" s="1"/>
  <c r="AZ118" i="1"/>
  <c r="BA118" i="1" s="1"/>
  <c r="AZ18" i="1"/>
  <c r="BA18" i="1" s="1"/>
  <c r="AZ106" i="1"/>
  <c r="AZ128" i="1"/>
  <c r="AZ85" i="1"/>
  <c r="BA85" i="1" s="1"/>
  <c r="AZ121" i="1"/>
  <c r="AZ55" i="1"/>
  <c r="BA55" i="1" s="1"/>
  <c r="AZ160" i="1"/>
  <c r="BA160" i="1" s="1"/>
  <c r="AZ90" i="1"/>
  <c r="AZ21" i="1"/>
  <c r="BA21" i="1" s="1"/>
  <c r="AZ92" i="1"/>
  <c r="BA92" i="1" s="1"/>
  <c r="AZ53" i="1"/>
  <c r="AZ34" i="1"/>
  <c r="BA34" i="1" s="1"/>
  <c r="AZ104" i="1"/>
  <c r="BA104" i="1" s="1"/>
  <c r="AZ94" i="1"/>
  <c r="BA94" i="1" s="1"/>
  <c r="AZ48" i="1"/>
  <c r="BA48" i="1" s="1"/>
  <c r="AZ95" i="1"/>
  <c r="BA95" i="1" s="1"/>
  <c r="AZ150" i="1"/>
  <c r="BA150" i="1" s="1"/>
  <c r="AZ57" i="1"/>
  <c r="AZ97" i="1"/>
  <c r="BA97" i="1" s="1"/>
  <c r="AZ32" i="1"/>
  <c r="BA32" i="1" s="1"/>
  <c r="AZ22" i="1"/>
  <c r="BA22" i="1" s="1"/>
  <c r="BE158" i="1"/>
  <c r="AZ59" i="1"/>
  <c r="BA59" i="1" s="1"/>
  <c r="CE17" i="1"/>
  <c r="CF17" i="1" s="1"/>
  <c r="BJ17" i="1" l="1"/>
  <c r="BK17" i="1"/>
  <c r="BM17" i="1" s="1"/>
  <c r="BX17" i="1" s="1"/>
  <c r="BL17" i="1"/>
  <c r="BN17" i="1" s="1"/>
  <c r="BJ140" i="1"/>
  <c r="BL125" i="1"/>
  <c r="BN125" i="1" s="1"/>
  <c r="BJ42" i="1"/>
  <c r="BJ37" i="1"/>
  <c r="BR125" i="1"/>
  <c r="BL139" i="1"/>
  <c r="BN139" i="1" s="1"/>
  <c r="BK139" i="1"/>
  <c r="BM139" i="1" s="1"/>
  <c r="BJ139" i="1"/>
  <c r="BR140" i="1"/>
  <c r="BK140" i="1"/>
  <c r="BM140" i="1" s="1"/>
  <c r="BC125" i="1"/>
  <c r="BD125" i="1"/>
  <c r="BE125" i="1" s="1"/>
  <c r="BK37" i="1"/>
  <c r="BM37" i="1" s="1"/>
  <c r="BR37" i="1"/>
  <c r="BJ125" i="1"/>
  <c r="BC159" i="1"/>
  <c r="BD159" i="1"/>
  <c r="BC139" i="1"/>
  <c r="BD139" i="1"/>
  <c r="BE139" i="1" s="1"/>
  <c r="BC43" i="1"/>
  <c r="BD43" i="1"/>
  <c r="BE43" i="1" s="1"/>
  <c r="BC156" i="1"/>
  <c r="BD156" i="1"/>
  <c r="BE156" i="1" s="1"/>
  <c r="BC141" i="1"/>
  <c r="BD141" i="1"/>
  <c r="BE141" i="1" s="1"/>
  <c r="BC59" i="1"/>
  <c r="BD59" i="1"/>
  <c r="BE59" i="1" s="1"/>
  <c r="BC92" i="1"/>
  <c r="BD92" i="1"/>
  <c r="BC104" i="1"/>
  <c r="BD104" i="1"/>
  <c r="BE104" i="1" s="1"/>
  <c r="BC18" i="1"/>
  <c r="BD18" i="1"/>
  <c r="BE18" i="1" s="1"/>
  <c r="BC35" i="1"/>
  <c r="BD35" i="1"/>
  <c r="BE35" i="1" s="1"/>
  <c r="BC33" i="1"/>
  <c r="BD33" i="1"/>
  <c r="BE33" i="1" s="1"/>
  <c r="BC19" i="1"/>
  <c r="BD19" i="1"/>
  <c r="BE19" i="1" s="1"/>
  <c r="BC147" i="1"/>
  <c r="BD147" i="1"/>
  <c r="BE147" i="1" s="1"/>
  <c r="BC115" i="1"/>
  <c r="BD115" i="1"/>
  <c r="BE115" i="1" s="1"/>
  <c r="BC84" i="1"/>
  <c r="BD84" i="1"/>
  <c r="BE84" i="1" s="1"/>
  <c r="BC105" i="1"/>
  <c r="BD105" i="1"/>
  <c r="BE105" i="1" s="1"/>
  <c r="BC102" i="1"/>
  <c r="BD102" i="1"/>
  <c r="BE102" i="1" s="1"/>
  <c r="BC97" i="1"/>
  <c r="BD97" i="1"/>
  <c r="BE97" i="1" s="1"/>
  <c r="BC85" i="1"/>
  <c r="BD85" i="1"/>
  <c r="BE85" i="1" s="1"/>
  <c r="BC91" i="1"/>
  <c r="BD91" i="1"/>
  <c r="BE91" i="1" s="1"/>
  <c r="BC28" i="1"/>
  <c r="BD28" i="1"/>
  <c r="BE28" i="1" s="1"/>
  <c r="BC67" i="1"/>
  <c r="BD67" i="1"/>
  <c r="BC22" i="1"/>
  <c r="BD22" i="1"/>
  <c r="BE22" i="1" s="1"/>
  <c r="BC34" i="1"/>
  <c r="BD34" i="1"/>
  <c r="BE34" i="1" s="1"/>
  <c r="BC68" i="1"/>
  <c r="BD68" i="1"/>
  <c r="BC86" i="1"/>
  <c r="BD86" i="1"/>
  <c r="BE86" i="1" s="1"/>
  <c r="BC122" i="1"/>
  <c r="BD122" i="1"/>
  <c r="BE122" i="1" s="1"/>
  <c r="BC24" i="1"/>
  <c r="BD24" i="1"/>
  <c r="BE24" i="1" s="1"/>
  <c r="BC88" i="1"/>
  <c r="BD88" i="1"/>
  <c r="BE88" i="1" s="1"/>
  <c r="BC148" i="1"/>
  <c r="BD148" i="1"/>
  <c r="BE148" i="1" s="1"/>
  <c r="BC65" i="1"/>
  <c r="BD65" i="1"/>
  <c r="BC134" i="1"/>
  <c r="BD134" i="1"/>
  <c r="BE134" i="1" s="1"/>
  <c r="BC160" i="1"/>
  <c r="BD160" i="1"/>
  <c r="BE160" i="1" s="1"/>
  <c r="BC114" i="1"/>
  <c r="BD114" i="1"/>
  <c r="BC21" i="1"/>
  <c r="BD21" i="1"/>
  <c r="BE21" i="1" s="1"/>
  <c r="BC164" i="1"/>
  <c r="BD164" i="1"/>
  <c r="BE164" i="1" s="1"/>
  <c r="BC25" i="1"/>
  <c r="BD25" i="1"/>
  <c r="BC31" i="1"/>
  <c r="BD31" i="1"/>
  <c r="BE31" i="1" s="1"/>
  <c r="BC153" i="1"/>
  <c r="BD153" i="1"/>
  <c r="BE153" i="1" s="1"/>
  <c r="BC36" i="1"/>
  <c r="BD36" i="1"/>
  <c r="BE36" i="1" s="1"/>
  <c r="BC140" i="1"/>
  <c r="BD140" i="1"/>
  <c r="BE140" i="1" s="1"/>
  <c r="BC144" i="1"/>
  <c r="BD144" i="1"/>
  <c r="BE144" i="1" s="1"/>
  <c r="BC38" i="1"/>
  <c r="BD38" i="1"/>
  <c r="BE38" i="1" s="1"/>
  <c r="BC40" i="1"/>
  <c r="BD40" i="1"/>
  <c r="BE40" i="1" s="1"/>
  <c r="BC95" i="1"/>
  <c r="BD95" i="1"/>
  <c r="BE95" i="1" s="1"/>
  <c r="BC69" i="1"/>
  <c r="BD69" i="1"/>
  <c r="BC26" i="1"/>
  <c r="BD26" i="1"/>
  <c r="BE26" i="1" s="1"/>
  <c r="BC142" i="1"/>
  <c r="BD142" i="1"/>
  <c r="BE142" i="1" s="1"/>
  <c r="BC120" i="1"/>
  <c r="BD120" i="1"/>
  <c r="BE120" i="1" s="1"/>
  <c r="BC48" i="1"/>
  <c r="BD48" i="1"/>
  <c r="BE48" i="1" s="1"/>
  <c r="BC55" i="1"/>
  <c r="BD55" i="1"/>
  <c r="BE55" i="1" s="1"/>
  <c r="BC118" i="1"/>
  <c r="BD118" i="1"/>
  <c r="BE118" i="1" s="1"/>
  <c r="BC155" i="1"/>
  <c r="BD155" i="1"/>
  <c r="BE155" i="1" s="1"/>
  <c r="BC133" i="1"/>
  <c r="BD133" i="1"/>
  <c r="BE133" i="1" s="1"/>
  <c r="BC107" i="1"/>
  <c r="BD107" i="1"/>
  <c r="BE107" i="1" s="1"/>
  <c r="BC152" i="1"/>
  <c r="BD152" i="1"/>
  <c r="BE152" i="1" s="1"/>
  <c r="BC32" i="1"/>
  <c r="BD32" i="1"/>
  <c r="BE32" i="1" s="1"/>
  <c r="BC150" i="1"/>
  <c r="BD150" i="1"/>
  <c r="BE150" i="1" s="1"/>
  <c r="BC94" i="1"/>
  <c r="BD94" i="1"/>
  <c r="BE94" i="1" s="1"/>
  <c r="BC161" i="1"/>
  <c r="BD161" i="1"/>
  <c r="BE161" i="1" s="1"/>
  <c r="BC112" i="1"/>
  <c r="BD112" i="1"/>
  <c r="BE112" i="1" s="1"/>
  <c r="BC30" i="1"/>
  <c r="BD30" i="1"/>
  <c r="BE30" i="1" s="1"/>
  <c r="BC23" i="1"/>
  <c r="BD23" i="1"/>
  <c r="BE23" i="1" s="1"/>
  <c r="BC27" i="1"/>
  <c r="BD27" i="1"/>
  <c r="BE27" i="1" s="1"/>
  <c r="BC20" i="1"/>
  <c r="BD20" i="1"/>
  <c r="BE20" i="1" s="1"/>
  <c r="BC138" i="1"/>
  <c r="BD138" i="1"/>
  <c r="BE138" i="1" s="1"/>
  <c r="BC166" i="1"/>
  <c r="BA29" i="1"/>
  <c r="BA119" i="1"/>
  <c r="BA108" i="1"/>
  <c r="BA37" i="1"/>
  <c r="BA50" i="1"/>
  <c r="BA128" i="1"/>
  <c r="BA126" i="1"/>
  <c r="BA47" i="1"/>
  <c r="BA57" i="1"/>
  <c r="BA53" i="1"/>
  <c r="BA132" i="1"/>
  <c r="BA121" i="1"/>
  <c r="BA131" i="1"/>
  <c r="BA146" i="1"/>
  <c r="BA103" i="1"/>
  <c r="BA157" i="1"/>
  <c r="BA17" i="1"/>
  <c r="BA90" i="1"/>
  <c r="BA106" i="1"/>
  <c r="BA130" i="1"/>
  <c r="BA163" i="1"/>
  <c r="BA127" i="1"/>
  <c r="BA124" i="1"/>
  <c r="BA137" i="1"/>
  <c r="BA42" i="1"/>
  <c r="BK84" i="1"/>
  <c r="BV84" i="1" s="1"/>
  <c r="BJ84" i="1"/>
  <c r="BR84" i="1"/>
  <c r="BO17" i="1"/>
  <c r="BS17" i="1" s="1"/>
  <c r="BQ135" i="1"/>
  <c r="BX135" i="1"/>
  <c r="BM156" i="1"/>
  <c r="BO156" i="1" s="1"/>
  <c r="BS156" i="1" s="1"/>
  <c r="BV156" i="1"/>
  <c r="BM72" i="1"/>
  <c r="BO72" i="1" s="1"/>
  <c r="BS72" i="1" s="1"/>
  <c r="BV72" i="1"/>
  <c r="BM110" i="1"/>
  <c r="BV110" i="1"/>
  <c r="BM63" i="1"/>
  <c r="BO63" i="1" s="1"/>
  <c r="BS63" i="1" s="1"/>
  <c r="BV63" i="1"/>
  <c r="BM80" i="1"/>
  <c r="BV80" i="1"/>
  <c r="BM81" i="1"/>
  <c r="BV81" i="1"/>
  <c r="BM125" i="1"/>
  <c r="BV125" i="1"/>
  <c r="BM60" i="1"/>
  <c r="BV60" i="1"/>
  <c r="BM70" i="1"/>
  <c r="BO70" i="1" s="1"/>
  <c r="BS70" i="1" s="1"/>
  <c r="BV70" i="1"/>
  <c r="BM93" i="1"/>
  <c r="BV93" i="1"/>
  <c r="BM100" i="1"/>
  <c r="BV100" i="1"/>
  <c r="BM117" i="1"/>
  <c r="BV117" i="1"/>
  <c r="BM49" i="1"/>
  <c r="BV49" i="1"/>
  <c r="BM148" i="1"/>
  <c r="BO148" i="1" s="1"/>
  <c r="BS148" i="1" s="1"/>
  <c r="BV148" i="1"/>
  <c r="BM74" i="1"/>
  <c r="BO74" i="1" s="1"/>
  <c r="BS74" i="1" s="1"/>
  <c r="BV74" i="1"/>
  <c r="BM151" i="1"/>
  <c r="BV151" i="1"/>
  <c r="BV17" i="1"/>
  <c r="BM64" i="1"/>
  <c r="BO64" i="1" s="1"/>
  <c r="BS64" i="1" s="1"/>
  <c r="BV64" i="1"/>
  <c r="BM39" i="1"/>
  <c r="BV39" i="1"/>
  <c r="BM40" i="1"/>
  <c r="BV40" i="1"/>
  <c r="BM52" i="1"/>
  <c r="BO52" i="1" s="1"/>
  <c r="BS52" i="1" s="1"/>
  <c r="BV52" i="1"/>
  <c r="BM61" i="1"/>
  <c r="BO61" i="1" s="1"/>
  <c r="BS61" i="1" s="1"/>
  <c r="BV61" i="1"/>
  <c r="BM42" i="1"/>
  <c r="BV42" i="1"/>
  <c r="BM99" i="1"/>
  <c r="BV99" i="1"/>
  <c r="BM75" i="1"/>
  <c r="BO75" i="1" s="1"/>
  <c r="BS75" i="1" s="1"/>
  <c r="BV75" i="1"/>
  <c r="BM116" i="1"/>
  <c r="BO116" i="1" s="1"/>
  <c r="BS116" i="1" s="1"/>
  <c r="BV116" i="1"/>
  <c r="BM44" i="1"/>
  <c r="BO44" i="1" s="1"/>
  <c r="BS44" i="1" s="1"/>
  <c r="BV44" i="1"/>
  <c r="BM66" i="1"/>
  <c r="BV66" i="1"/>
  <c r="BM101" i="1"/>
  <c r="BV101" i="1"/>
  <c r="BM51" i="1"/>
  <c r="BV51" i="1"/>
  <c r="BM154" i="1"/>
  <c r="BO154" i="1" s="1"/>
  <c r="BS154" i="1" s="1"/>
  <c r="BV154" i="1"/>
  <c r="BM143" i="1"/>
  <c r="BO143" i="1" s="1"/>
  <c r="BS143" i="1" s="1"/>
  <c r="BV143" i="1"/>
  <c r="BM58" i="1"/>
  <c r="BO58" i="1" s="1"/>
  <c r="BS58" i="1" s="1"/>
  <c r="BV58" i="1"/>
  <c r="BM113" i="1"/>
  <c r="BO113" i="1" s="1"/>
  <c r="BS113" i="1" s="1"/>
  <c r="BV113" i="1"/>
  <c r="BM56" i="1"/>
  <c r="BV56" i="1"/>
  <c r="BM76" i="1"/>
  <c r="BV76" i="1"/>
  <c r="BM144" i="1"/>
  <c r="BV144" i="1"/>
  <c r="BM62" i="1"/>
  <c r="BO62" i="1" s="1"/>
  <c r="BS62" i="1" s="1"/>
  <c r="BV62" i="1"/>
  <c r="BM87" i="1"/>
  <c r="BO87" i="1" s="1"/>
  <c r="BS87" i="1" s="1"/>
  <c r="BV87" i="1"/>
  <c r="BM105" i="1"/>
  <c r="BV105" i="1"/>
  <c r="BM162" i="1"/>
  <c r="BO162" i="1" s="1"/>
  <c r="BS162" i="1" s="1"/>
  <c r="BV162" i="1"/>
  <c r="BM141" i="1"/>
  <c r="BV141" i="1"/>
  <c r="BM129" i="1"/>
  <c r="BO129" i="1" s="1"/>
  <c r="BS129" i="1" s="1"/>
  <c r="BV129" i="1"/>
  <c r="BM45" i="1"/>
  <c r="BV45" i="1"/>
  <c r="BM115" i="1"/>
  <c r="BV115" i="1"/>
  <c r="BM109" i="1"/>
  <c r="BV109" i="1"/>
  <c r="BM41" i="1"/>
  <c r="BX41" i="1" s="1"/>
  <c r="BV41" i="1"/>
  <c r="BM77" i="1"/>
  <c r="BO77" i="1" s="1"/>
  <c r="BS77" i="1" s="1"/>
  <c r="BV77" i="1"/>
  <c r="BM165" i="1"/>
  <c r="BX165" i="1" s="1"/>
  <c r="BV165" i="1"/>
  <c r="BM46" i="1"/>
  <c r="BV46" i="1"/>
  <c r="BM136" i="1"/>
  <c r="BV136" i="1"/>
  <c r="BM123" i="1"/>
  <c r="BX123" i="1" s="1"/>
  <c r="BV123" i="1"/>
  <c r="BM82" i="1"/>
  <c r="BV82" i="1"/>
  <c r="BM158" i="1"/>
  <c r="BV158" i="1"/>
  <c r="BM149" i="1"/>
  <c r="BV149" i="1"/>
  <c r="BM78" i="1"/>
  <c r="BQ78" i="1" s="1"/>
  <c r="BV78" i="1"/>
  <c r="BM71" i="1"/>
  <c r="BQ71" i="1" s="1"/>
  <c r="BV71" i="1"/>
  <c r="BM83" i="1"/>
  <c r="BX83" i="1" s="1"/>
  <c r="BV83" i="1"/>
  <c r="BM54" i="1"/>
  <c r="BV54" i="1"/>
  <c r="BM89" i="1"/>
  <c r="BX89" i="1" s="1"/>
  <c r="BV89" i="1"/>
  <c r="BM111" i="1"/>
  <c r="BV111" i="1"/>
  <c r="BM98" i="1"/>
  <c r="BV98" i="1"/>
  <c r="BM145" i="1"/>
  <c r="BV145" i="1"/>
  <c r="BM96" i="1"/>
  <c r="BV96" i="1"/>
  <c r="BM79" i="1"/>
  <c r="BV79" i="1"/>
  <c r="BM38" i="1"/>
  <c r="BX38" i="1" s="1"/>
  <c r="BV38" i="1"/>
  <c r="BM166" i="1"/>
  <c r="BO166" i="1" s="1"/>
  <c r="BS166" i="1" s="1"/>
  <c r="BV166" i="1"/>
  <c r="BM43" i="1"/>
  <c r="BV43" i="1"/>
  <c r="BM73" i="1"/>
  <c r="BV73" i="1"/>
  <c r="BL153" i="1"/>
  <c r="BN153" i="1" s="1"/>
  <c r="BR153" i="1"/>
  <c r="BL36" i="1"/>
  <c r="BN36" i="1" s="1"/>
  <c r="BR36" i="1"/>
  <c r="BL146" i="1"/>
  <c r="BN146" i="1" s="1"/>
  <c r="BR146" i="1"/>
  <c r="BL138" i="1"/>
  <c r="BN138" i="1" s="1"/>
  <c r="BR138" i="1"/>
  <c r="BL90" i="1"/>
  <c r="BN90" i="1" s="1"/>
  <c r="BR90" i="1"/>
  <c r="BL19" i="1"/>
  <c r="BN19" i="1" s="1"/>
  <c r="BR19" i="1"/>
  <c r="BL121" i="1"/>
  <c r="BN121" i="1" s="1"/>
  <c r="BR121" i="1"/>
  <c r="BL48" i="1"/>
  <c r="BN48" i="1" s="1"/>
  <c r="BR48" i="1"/>
  <c r="BL53" i="1"/>
  <c r="BN53" i="1" s="1"/>
  <c r="BR53" i="1"/>
  <c r="BL29" i="1"/>
  <c r="BN29" i="1" s="1"/>
  <c r="BR29" i="1"/>
  <c r="BL122" i="1"/>
  <c r="BN122" i="1" s="1"/>
  <c r="BR122" i="1"/>
  <c r="BL103" i="1"/>
  <c r="BN103" i="1" s="1"/>
  <c r="BR103" i="1"/>
  <c r="BL102" i="1"/>
  <c r="BN102" i="1" s="1"/>
  <c r="BR102" i="1"/>
  <c r="BL159" i="1"/>
  <c r="BN159" i="1" s="1"/>
  <c r="BR159" i="1"/>
  <c r="BL130" i="1"/>
  <c r="BN130" i="1" s="1"/>
  <c r="BR130" i="1"/>
  <c r="BL112" i="1"/>
  <c r="BN112" i="1" s="1"/>
  <c r="BR112" i="1"/>
  <c r="BL30" i="1"/>
  <c r="BN30" i="1" s="1"/>
  <c r="BR30" i="1"/>
  <c r="BL133" i="1"/>
  <c r="BN133" i="1" s="1"/>
  <c r="BR133" i="1"/>
  <c r="BL50" i="1"/>
  <c r="BN50" i="1" s="1"/>
  <c r="BR50" i="1"/>
  <c r="BL86" i="1"/>
  <c r="BN86" i="1" s="1"/>
  <c r="BR86" i="1"/>
  <c r="BL107" i="1"/>
  <c r="BN107" i="1" s="1"/>
  <c r="BR107" i="1"/>
  <c r="BL32" i="1"/>
  <c r="BN32" i="1" s="1"/>
  <c r="BR32" i="1"/>
  <c r="BL150" i="1"/>
  <c r="BN150" i="1" s="1"/>
  <c r="BR150" i="1"/>
  <c r="BL137" i="1"/>
  <c r="BN137" i="1" s="1"/>
  <c r="BR137" i="1"/>
  <c r="BL18" i="1"/>
  <c r="BN18" i="1" s="1"/>
  <c r="BR18" i="1"/>
  <c r="BL85" i="1"/>
  <c r="BN85" i="1" s="1"/>
  <c r="BR85" i="1"/>
  <c r="BL134" i="1"/>
  <c r="BN134" i="1" s="1"/>
  <c r="BR134" i="1"/>
  <c r="BL142" i="1"/>
  <c r="BN142" i="1" s="1"/>
  <c r="BR142" i="1"/>
  <c r="BL34" i="1"/>
  <c r="BN34" i="1" s="1"/>
  <c r="BR34" i="1"/>
  <c r="BL33" i="1"/>
  <c r="BN33" i="1" s="1"/>
  <c r="BR33" i="1"/>
  <c r="BL94" i="1"/>
  <c r="BN94" i="1" s="1"/>
  <c r="BR94" i="1"/>
  <c r="BL164" i="1"/>
  <c r="BN164" i="1" s="1"/>
  <c r="BR164" i="1"/>
  <c r="BL106" i="1"/>
  <c r="BN106" i="1" s="1"/>
  <c r="BR106" i="1"/>
  <c r="BL28" i="1"/>
  <c r="BN28" i="1" s="1"/>
  <c r="BR28" i="1"/>
  <c r="BL120" i="1"/>
  <c r="BN120" i="1" s="1"/>
  <c r="BR120" i="1"/>
  <c r="BL114" i="1"/>
  <c r="BN114" i="1" s="1"/>
  <c r="BR114" i="1"/>
  <c r="BL67" i="1"/>
  <c r="BN67" i="1" s="1"/>
  <c r="BR67" i="1"/>
  <c r="BL127" i="1"/>
  <c r="BN127" i="1" s="1"/>
  <c r="BR127" i="1"/>
  <c r="BL35" i="1"/>
  <c r="BN35" i="1" s="1"/>
  <c r="BR35" i="1"/>
  <c r="BL23" i="1"/>
  <c r="BN23" i="1" s="1"/>
  <c r="BR23" i="1"/>
  <c r="BL131" i="1"/>
  <c r="BN131" i="1" s="1"/>
  <c r="BR131" i="1"/>
  <c r="BL27" i="1"/>
  <c r="BN27" i="1" s="1"/>
  <c r="BR27" i="1"/>
  <c r="BL47" i="1"/>
  <c r="BN47" i="1" s="1"/>
  <c r="BR47" i="1"/>
  <c r="BL160" i="1"/>
  <c r="BN160" i="1" s="1"/>
  <c r="BR160" i="1"/>
  <c r="BL97" i="1"/>
  <c r="BN97" i="1" s="1"/>
  <c r="BR97" i="1"/>
  <c r="BL95" i="1"/>
  <c r="BN95" i="1" s="1"/>
  <c r="BR95" i="1"/>
  <c r="BL132" i="1"/>
  <c r="BN132" i="1" s="1"/>
  <c r="BR132" i="1"/>
  <c r="BL161" i="1"/>
  <c r="BN161" i="1" s="1"/>
  <c r="BR161" i="1"/>
  <c r="BL163" i="1"/>
  <c r="BN163" i="1" s="1"/>
  <c r="BR163" i="1"/>
  <c r="BL157" i="1"/>
  <c r="BN157" i="1" s="1"/>
  <c r="BR157" i="1"/>
  <c r="BL69" i="1"/>
  <c r="BN69" i="1" s="1"/>
  <c r="BR69" i="1"/>
  <c r="BL147" i="1"/>
  <c r="BN147" i="1" s="1"/>
  <c r="BR147" i="1"/>
  <c r="BL24" i="1"/>
  <c r="BN24" i="1" s="1"/>
  <c r="BR24" i="1"/>
  <c r="BL88" i="1"/>
  <c r="BN88" i="1" s="1"/>
  <c r="BR88" i="1"/>
  <c r="BL92" i="1"/>
  <c r="BN92" i="1" s="1"/>
  <c r="BR92" i="1"/>
  <c r="BL152" i="1"/>
  <c r="BN152" i="1" s="1"/>
  <c r="BR152" i="1"/>
  <c r="BL118" i="1"/>
  <c r="BN118" i="1" s="1"/>
  <c r="BR118" i="1"/>
  <c r="BL108" i="1"/>
  <c r="BN108" i="1" s="1"/>
  <c r="BR108" i="1"/>
  <c r="BL104" i="1"/>
  <c r="BN104" i="1" s="1"/>
  <c r="BR104" i="1"/>
  <c r="BL20" i="1"/>
  <c r="BN20" i="1" s="1"/>
  <c r="BR20" i="1"/>
  <c r="BL119" i="1"/>
  <c r="BN119" i="1" s="1"/>
  <c r="BR119" i="1"/>
  <c r="BL25" i="1"/>
  <c r="BN25" i="1" s="1"/>
  <c r="BR25" i="1"/>
  <c r="BL126" i="1"/>
  <c r="BN126" i="1" s="1"/>
  <c r="BR126" i="1"/>
  <c r="BL31" i="1"/>
  <c r="BN31" i="1" s="1"/>
  <c r="BR31" i="1"/>
  <c r="BL155" i="1"/>
  <c r="BN155" i="1" s="1"/>
  <c r="BR155" i="1"/>
  <c r="BL68" i="1"/>
  <c r="BN68" i="1" s="1"/>
  <c r="BR68" i="1"/>
  <c r="BL128" i="1"/>
  <c r="BN128" i="1" s="1"/>
  <c r="BR128" i="1"/>
  <c r="BL26" i="1"/>
  <c r="BN26" i="1" s="1"/>
  <c r="BR26" i="1"/>
  <c r="BL91" i="1"/>
  <c r="BN91" i="1" s="1"/>
  <c r="BR91" i="1"/>
  <c r="BL124" i="1"/>
  <c r="BN124" i="1" s="1"/>
  <c r="BR124" i="1"/>
  <c r="BL21" i="1"/>
  <c r="BN21" i="1" s="1"/>
  <c r="BR21" i="1"/>
  <c r="BL22" i="1"/>
  <c r="BN22" i="1" s="1"/>
  <c r="BR22" i="1"/>
  <c r="BL57" i="1"/>
  <c r="BN57" i="1" s="1"/>
  <c r="BR57" i="1"/>
  <c r="BL65" i="1"/>
  <c r="BN65" i="1" s="1"/>
  <c r="BR65" i="1"/>
  <c r="BL59" i="1"/>
  <c r="BN59" i="1" s="1"/>
  <c r="BR59" i="1"/>
  <c r="BL55" i="1"/>
  <c r="BN55" i="1" s="1"/>
  <c r="BR55" i="1"/>
  <c r="BJ153" i="1"/>
  <c r="BK153" i="1"/>
  <c r="BK36" i="1"/>
  <c r="BJ36" i="1"/>
  <c r="BJ146" i="1"/>
  <c r="BK146" i="1"/>
  <c r="BJ138" i="1"/>
  <c r="BK138" i="1"/>
  <c r="BJ90" i="1"/>
  <c r="BK90" i="1"/>
  <c r="BJ19" i="1"/>
  <c r="BK19" i="1"/>
  <c r="BJ121" i="1"/>
  <c r="BK121" i="1"/>
  <c r="BJ48" i="1"/>
  <c r="BK48" i="1"/>
  <c r="BJ53" i="1"/>
  <c r="BK53" i="1"/>
  <c r="BK29" i="1"/>
  <c r="BJ29" i="1"/>
  <c r="BJ122" i="1"/>
  <c r="BK122" i="1"/>
  <c r="BJ103" i="1"/>
  <c r="BK103" i="1"/>
  <c r="BJ102" i="1"/>
  <c r="BK102" i="1"/>
  <c r="BJ159" i="1"/>
  <c r="BK159" i="1"/>
  <c r="BJ130" i="1"/>
  <c r="BK130" i="1"/>
  <c r="BJ112" i="1"/>
  <c r="BK112" i="1"/>
  <c r="BK30" i="1"/>
  <c r="BJ30" i="1"/>
  <c r="BJ133" i="1"/>
  <c r="BK133" i="1"/>
  <c r="BJ50" i="1"/>
  <c r="BK50" i="1"/>
  <c r="BJ86" i="1"/>
  <c r="BK86" i="1"/>
  <c r="BJ107" i="1"/>
  <c r="BK107" i="1"/>
  <c r="BK32" i="1"/>
  <c r="BJ32" i="1"/>
  <c r="BJ150" i="1"/>
  <c r="BK150" i="1"/>
  <c r="BJ137" i="1"/>
  <c r="BK137" i="1"/>
  <c r="BK18" i="1"/>
  <c r="BJ18" i="1"/>
  <c r="BJ85" i="1"/>
  <c r="BK85" i="1"/>
  <c r="BJ157" i="1"/>
  <c r="BK157" i="1"/>
  <c r="BJ134" i="1"/>
  <c r="BK134" i="1"/>
  <c r="BJ142" i="1"/>
  <c r="BK142" i="1"/>
  <c r="BJ34" i="1"/>
  <c r="BK34" i="1"/>
  <c r="BJ160" i="1"/>
  <c r="BK160" i="1"/>
  <c r="BK33" i="1"/>
  <c r="BJ33" i="1"/>
  <c r="BJ69" i="1"/>
  <c r="BK69" i="1"/>
  <c r="BJ94" i="1"/>
  <c r="BK94" i="1"/>
  <c r="BK21" i="1"/>
  <c r="BJ21" i="1"/>
  <c r="BJ164" i="1"/>
  <c r="BK164" i="1"/>
  <c r="BJ106" i="1"/>
  <c r="BK106" i="1"/>
  <c r="BJ28" i="1"/>
  <c r="BK28" i="1"/>
  <c r="BJ120" i="1"/>
  <c r="BK120" i="1"/>
  <c r="BJ114" i="1"/>
  <c r="BK114" i="1"/>
  <c r="BJ67" i="1"/>
  <c r="BK67" i="1"/>
  <c r="BJ127" i="1"/>
  <c r="BK127" i="1"/>
  <c r="BK35" i="1"/>
  <c r="BJ35" i="1"/>
  <c r="BK23" i="1"/>
  <c r="BJ23" i="1"/>
  <c r="BJ131" i="1"/>
  <c r="BK131" i="1"/>
  <c r="BK27" i="1"/>
  <c r="BJ27" i="1"/>
  <c r="BJ47" i="1"/>
  <c r="BK47" i="1"/>
  <c r="BJ97" i="1"/>
  <c r="BK97" i="1"/>
  <c r="BJ95" i="1"/>
  <c r="BK95" i="1"/>
  <c r="BJ132" i="1"/>
  <c r="BK132" i="1"/>
  <c r="BJ161" i="1"/>
  <c r="BK161" i="1"/>
  <c r="BJ163" i="1"/>
  <c r="BK163" i="1"/>
  <c r="BJ147" i="1"/>
  <c r="BK147" i="1"/>
  <c r="BK24" i="1"/>
  <c r="BJ24" i="1"/>
  <c r="BJ88" i="1"/>
  <c r="BK88" i="1"/>
  <c r="BJ92" i="1"/>
  <c r="BK92" i="1"/>
  <c r="BJ152" i="1"/>
  <c r="BK152" i="1"/>
  <c r="BJ118" i="1"/>
  <c r="BK118" i="1"/>
  <c r="BJ108" i="1"/>
  <c r="BK108" i="1"/>
  <c r="BJ104" i="1"/>
  <c r="BK104" i="1"/>
  <c r="BK20" i="1"/>
  <c r="BJ20" i="1"/>
  <c r="BJ119" i="1"/>
  <c r="BK119" i="1"/>
  <c r="BK25" i="1"/>
  <c r="BJ25" i="1"/>
  <c r="BJ126" i="1"/>
  <c r="BK126" i="1"/>
  <c r="BJ31" i="1"/>
  <c r="BK31" i="1"/>
  <c r="BJ155" i="1"/>
  <c r="BK155" i="1"/>
  <c r="BJ68" i="1"/>
  <c r="BK68" i="1"/>
  <c r="BJ128" i="1"/>
  <c r="BK128" i="1"/>
  <c r="BJ26" i="1"/>
  <c r="BK26" i="1"/>
  <c r="BJ91" i="1"/>
  <c r="BK91" i="1"/>
  <c r="BK124" i="1"/>
  <c r="BJ124" i="1"/>
  <c r="BK22" i="1"/>
  <c r="BJ22" i="1"/>
  <c r="BJ57" i="1"/>
  <c r="BK57" i="1"/>
  <c r="BJ65" i="1"/>
  <c r="BK65" i="1"/>
  <c r="BJ59" i="1"/>
  <c r="BK59" i="1"/>
  <c r="BK55" i="1"/>
  <c r="BJ55" i="1"/>
  <c r="BE114" i="1"/>
  <c r="BE65" i="1"/>
  <c r="BE25" i="1"/>
  <c r="BE67" i="1"/>
  <c r="BE68" i="1"/>
  <c r="BE159" i="1"/>
  <c r="BE92" i="1"/>
  <c r="BE69" i="1"/>
  <c r="BV139" i="1" l="1"/>
  <c r="BO140" i="1"/>
  <c r="BS140" i="1" s="1"/>
  <c r="BO42" i="1"/>
  <c r="BS42" i="1" s="1"/>
  <c r="BV140" i="1"/>
  <c r="BO37" i="1"/>
  <c r="BS37" i="1" s="1"/>
  <c r="BV37" i="1"/>
  <c r="BM84" i="1"/>
  <c r="BQ84" i="1" s="1"/>
  <c r="BC137" i="1"/>
  <c r="BD137" i="1"/>
  <c r="BE137" i="1" s="1"/>
  <c r="BC163" i="1"/>
  <c r="BD163" i="1"/>
  <c r="BE163" i="1" s="1"/>
  <c r="BC90" i="1"/>
  <c r="BD90" i="1"/>
  <c r="BE90" i="1" s="1"/>
  <c r="BO41" i="1"/>
  <c r="BS41" i="1" s="1"/>
  <c r="BC146" i="1"/>
  <c r="BD146" i="1"/>
  <c r="BE146" i="1" s="1"/>
  <c r="BC132" i="1"/>
  <c r="BD132" i="1"/>
  <c r="BE132" i="1" s="1"/>
  <c r="BC47" i="1"/>
  <c r="BD47" i="1"/>
  <c r="BE47" i="1" s="1"/>
  <c r="BC50" i="1"/>
  <c r="BD50" i="1"/>
  <c r="BE50" i="1" s="1"/>
  <c r="BC119" i="1"/>
  <c r="BD119" i="1"/>
  <c r="BE119" i="1" s="1"/>
  <c r="BC124" i="1"/>
  <c r="BD124" i="1"/>
  <c r="BE124" i="1" s="1"/>
  <c r="BC130" i="1"/>
  <c r="BD130" i="1"/>
  <c r="BE130" i="1" s="1"/>
  <c r="BC17" i="1"/>
  <c r="BD17" i="1"/>
  <c r="BE17" i="1" s="1"/>
  <c r="BC157" i="1"/>
  <c r="BD157" i="1"/>
  <c r="BE157" i="1" s="1"/>
  <c r="BC131" i="1"/>
  <c r="BD131" i="1"/>
  <c r="BE131" i="1" s="1"/>
  <c r="BC53" i="1"/>
  <c r="BD53" i="1"/>
  <c r="BE53" i="1" s="1"/>
  <c r="BC126" i="1"/>
  <c r="BD126" i="1"/>
  <c r="BE126" i="1" s="1"/>
  <c r="BC37" i="1"/>
  <c r="BD37" i="1"/>
  <c r="BE37" i="1" s="1"/>
  <c r="BC29" i="1"/>
  <c r="BD29" i="1"/>
  <c r="BE29" i="1" s="1"/>
  <c r="BC42" i="1"/>
  <c r="BD42" i="1"/>
  <c r="BE42" i="1" s="1"/>
  <c r="BC127" i="1"/>
  <c r="BD127" i="1"/>
  <c r="BE127" i="1" s="1"/>
  <c r="BC106" i="1"/>
  <c r="BD106" i="1"/>
  <c r="BE106" i="1" s="1"/>
  <c r="BQ83" i="1"/>
  <c r="BC103" i="1"/>
  <c r="BD103" i="1"/>
  <c r="BE103" i="1" s="1"/>
  <c r="BC121" i="1"/>
  <c r="BD121" i="1"/>
  <c r="BE121" i="1" s="1"/>
  <c r="BC57" i="1"/>
  <c r="BD57" i="1"/>
  <c r="BE57" i="1" s="1"/>
  <c r="BC128" i="1"/>
  <c r="BD128" i="1"/>
  <c r="BE128" i="1" s="1"/>
  <c r="BC108" i="1"/>
  <c r="BD108" i="1"/>
  <c r="BE108" i="1" s="1"/>
  <c r="BQ41" i="1"/>
  <c r="BO123" i="1"/>
  <c r="BS123" i="1" s="1"/>
  <c r="BQ165" i="1"/>
  <c r="BQ73" i="1"/>
  <c r="BX73" i="1"/>
  <c r="BQ145" i="1"/>
  <c r="BX145" i="1"/>
  <c r="BQ149" i="1"/>
  <c r="BX149" i="1"/>
  <c r="BQ109" i="1"/>
  <c r="BX109" i="1"/>
  <c r="BQ129" i="1"/>
  <c r="BX129" i="1"/>
  <c r="BQ105" i="1"/>
  <c r="BX105" i="1"/>
  <c r="BQ144" i="1"/>
  <c r="BX144" i="1"/>
  <c r="BQ113" i="1"/>
  <c r="BX113" i="1"/>
  <c r="BQ154" i="1"/>
  <c r="BX154" i="1"/>
  <c r="BQ66" i="1"/>
  <c r="BX66" i="1"/>
  <c r="BQ75" i="1"/>
  <c r="BX75" i="1"/>
  <c r="BQ148" i="1"/>
  <c r="BX148" i="1"/>
  <c r="BQ100" i="1"/>
  <c r="BX100" i="1"/>
  <c r="BQ139" i="1"/>
  <c r="BX139" i="1"/>
  <c r="BQ81" i="1"/>
  <c r="BX81" i="1"/>
  <c r="BQ63" i="1"/>
  <c r="BX63" i="1"/>
  <c r="BQ156" i="1"/>
  <c r="BX156" i="1"/>
  <c r="BO105" i="1"/>
  <c r="BS105" i="1" s="1"/>
  <c r="BO100" i="1"/>
  <c r="BS100" i="1" s="1"/>
  <c r="BQ38" i="1"/>
  <c r="BO83" i="1"/>
  <c r="BS83" i="1" s="1"/>
  <c r="BO165" i="1"/>
  <c r="BS165" i="1" s="1"/>
  <c r="BO145" i="1"/>
  <c r="BS145" i="1" s="1"/>
  <c r="BO38" i="1"/>
  <c r="BS38" i="1" s="1"/>
  <c r="BQ79" i="1"/>
  <c r="BX79" i="1"/>
  <c r="BO98" i="1"/>
  <c r="BS98" i="1" s="1"/>
  <c r="BX98" i="1"/>
  <c r="BO71" i="1"/>
  <c r="BS71" i="1" s="1"/>
  <c r="BX71" i="1"/>
  <c r="BQ158" i="1"/>
  <c r="BX158" i="1"/>
  <c r="BQ136" i="1"/>
  <c r="BX136" i="1"/>
  <c r="BQ77" i="1"/>
  <c r="BX77" i="1"/>
  <c r="BQ115" i="1"/>
  <c r="BX115" i="1"/>
  <c r="BQ141" i="1"/>
  <c r="BX141" i="1"/>
  <c r="BQ87" i="1"/>
  <c r="BX87" i="1"/>
  <c r="BQ76" i="1"/>
  <c r="BX76" i="1"/>
  <c r="BQ99" i="1"/>
  <c r="BX99" i="1"/>
  <c r="BQ151" i="1"/>
  <c r="BX151" i="1"/>
  <c r="BQ93" i="1"/>
  <c r="BX93" i="1"/>
  <c r="BQ80" i="1"/>
  <c r="BX80" i="1"/>
  <c r="BQ110" i="1"/>
  <c r="BX110" i="1"/>
  <c r="BO66" i="1"/>
  <c r="BS66" i="1" s="1"/>
  <c r="BO149" i="1"/>
  <c r="BS149" i="1" s="1"/>
  <c r="BO139" i="1"/>
  <c r="BS139" i="1" s="1"/>
  <c r="BO73" i="1"/>
  <c r="BS73" i="1" s="1"/>
  <c r="BQ89" i="1"/>
  <c r="BO144" i="1"/>
  <c r="BS144" i="1" s="1"/>
  <c r="BO109" i="1"/>
  <c r="BS109" i="1" s="1"/>
  <c r="BO81" i="1"/>
  <c r="BS81" i="1" s="1"/>
  <c r="BO89" i="1"/>
  <c r="BS89" i="1" s="1"/>
  <c r="BQ123" i="1"/>
  <c r="BQ166" i="1"/>
  <c r="BX166" i="1"/>
  <c r="BQ96" i="1"/>
  <c r="BX96" i="1"/>
  <c r="BO111" i="1"/>
  <c r="BS111" i="1" s="1"/>
  <c r="BX111" i="1"/>
  <c r="BX84" i="1"/>
  <c r="BO78" i="1"/>
  <c r="BS78" i="1" s="1"/>
  <c r="BX78" i="1"/>
  <c r="BO82" i="1"/>
  <c r="BS82" i="1" s="1"/>
  <c r="BX82" i="1"/>
  <c r="BQ162" i="1"/>
  <c r="BX162" i="1"/>
  <c r="BQ62" i="1"/>
  <c r="BX62" i="1"/>
  <c r="BQ143" i="1"/>
  <c r="BX143" i="1"/>
  <c r="BQ101" i="1"/>
  <c r="BX101" i="1"/>
  <c r="BQ116" i="1"/>
  <c r="BX116" i="1"/>
  <c r="BQ64" i="1"/>
  <c r="BX64" i="1"/>
  <c r="BQ74" i="1"/>
  <c r="BX74" i="1"/>
  <c r="BQ117" i="1"/>
  <c r="BX117" i="1"/>
  <c r="BQ70" i="1"/>
  <c r="BX70" i="1"/>
  <c r="BQ125" i="1"/>
  <c r="BX125" i="1"/>
  <c r="BQ140" i="1"/>
  <c r="BX140" i="1"/>
  <c r="BQ72" i="1"/>
  <c r="BX72" i="1"/>
  <c r="BO46" i="1"/>
  <c r="BS46" i="1" s="1"/>
  <c r="BX46" i="1"/>
  <c r="BQ45" i="1"/>
  <c r="BX45" i="1"/>
  <c r="BQ56" i="1"/>
  <c r="BX56" i="1"/>
  <c r="BQ42" i="1"/>
  <c r="BX42" i="1"/>
  <c r="BQ40" i="1"/>
  <c r="BX40" i="1"/>
  <c r="BQ46" i="1"/>
  <c r="BQ61" i="1"/>
  <c r="BX61" i="1"/>
  <c r="BQ37" i="1"/>
  <c r="BX37" i="1"/>
  <c r="BQ43" i="1"/>
  <c r="BX43" i="1"/>
  <c r="BO54" i="1"/>
  <c r="BS54" i="1" s="1"/>
  <c r="BX54" i="1"/>
  <c r="BQ58" i="1"/>
  <c r="BX58" i="1"/>
  <c r="BQ51" i="1"/>
  <c r="BX51" i="1"/>
  <c r="BQ44" i="1"/>
  <c r="BX44" i="1"/>
  <c r="BQ52" i="1"/>
  <c r="BX52" i="1"/>
  <c r="BQ39" i="1"/>
  <c r="BX39" i="1"/>
  <c r="BQ49" i="1"/>
  <c r="BX49" i="1"/>
  <c r="BQ60" i="1"/>
  <c r="BX60" i="1"/>
  <c r="BQ17" i="1"/>
  <c r="BO79" i="1"/>
  <c r="BS79" i="1" s="1"/>
  <c r="BQ54" i="1"/>
  <c r="BO136" i="1"/>
  <c r="BS136" i="1" s="1"/>
  <c r="BQ98" i="1"/>
  <c r="BO45" i="1"/>
  <c r="BS45" i="1" s="1"/>
  <c r="BO101" i="1"/>
  <c r="BS101" i="1" s="1"/>
  <c r="BO96" i="1"/>
  <c r="BS96" i="1" s="1"/>
  <c r="BO117" i="1"/>
  <c r="BS117" i="1" s="1"/>
  <c r="BO125" i="1"/>
  <c r="BS125" i="1" s="1"/>
  <c r="BQ111" i="1"/>
  <c r="BQ82" i="1"/>
  <c r="BO158" i="1"/>
  <c r="BS158" i="1" s="1"/>
  <c r="BO40" i="1"/>
  <c r="BS40" i="1" s="1"/>
  <c r="BO56" i="1"/>
  <c r="BS56" i="1" s="1"/>
  <c r="BM27" i="1"/>
  <c r="BO27" i="1" s="1"/>
  <c r="BS27" i="1" s="1"/>
  <c r="BV27" i="1"/>
  <c r="BM26" i="1"/>
  <c r="BO26" i="1" s="1"/>
  <c r="BS26" i="1" s="1"/>
  <c r="BV26" i="1"/>
  <c r="BM161" i="1"/>
  <c r="BO161" i="1" s="1"/>
  <c r="BS161" i="1" s="1"/>
  <c r="BV161" i="1"/>
  <c r="BM131" i="1"/>
  <c r="BO131" i="1" s="1"/>
  <c r="BS131" i="1" s="1"/>
  <c r="BV131" i="1"/>
  <c r="BM130" i="1"/>
  <c r="BO130" i="1" s="1"/>
  <c r="BS130" i="1" s="1"/>
  <c r="BV130" i="1"/>
  <c r="BM104" i="1"/>
  <c r="BO104" i="1" s="1"/>
  <c r="BS104" i="1" s="1"/>
  <c r="BV104" i="1"/>
  <c r="BM35" i="1"/>
  <c r="BO35" i="1" s="1"/>
  <c r="BS35" i="1" s="1"/>
  <c r="BV35" i="1"/>
  <c r="BM127" i="1"/>
  <c r="BO127" i="1" s="1"/>
  <c r="BS127" i="1" s="1"/>
  <c r="BV127" i="1"/>
  <c r="BM34" i="1"/>
  <c r="BV34" i="1"/>
  <c r="BM133" i="1"/>
  <c r="BV133" i="1"/>
  <c r="BM19" i="1"/>
  <c r="BV19" i="1"/>
  <c r="BM128" i="1"/>
  <c r="BO128" i="1" s="1"/>
  <c r="BS128" i="1" s="1"/>
  <c r="BV128" i="1"/>
  <c r="BM31" i="1"/>
  <c r="BV31" i="1"/>
  <c r="BM119" i="1"/>
  <c r="BV119" i="1"/>
  <c r="BM108" i="1"/>
  <c r="BO108" i="1" s="1"/>
  <c r="BS108" i="1" s="1"/>
  <c r="BV108" i="1"/>
  <c r="BM92" i="1"/>
  <c r="BV92" i="1"/>
  <c r="BM147" i="1"/>
  <c r="BO147" i="1" s="1"/>
  <c r="BS147" i="1" s="1"/>
  <c r="BV147" i="1"/>
  <c r="BM132" i="1"/>
  <c r="BO132" i="1" s="1"/>
  <c r="BS132" i="1" s="1"/>
  <c r="BV132" i="1"/>
  <c r="BO49" i="1"/>
  <c r="BS49" i="1" s="1"/>
  <c r="BO110" i="1"/>
  <c r="BS110" i="1" s="1"/>
  <c r="BM22" i="1"/>
  <c r="BV22" i="1"/>
  <c r="BM152" i="1"/>
  <c r="BV152" i="1"/>
  <c r="BM32" i="1"/>
  <c r="BO32" i="1" s="1"/>
  <c r="BS32" i="1" s="1"/>
  <c r="BV32" i="1"/>
  <c r="BM65" i="1"/>
  <c r="BV65" i="1"/>
  <c r="BM69" i="1"/>
  <c r="BV69" i="1"/>
  <c r="BM107" i="1"/>
  <c r="BV107" i="1"/>
  <c r="BM146" i="1"/>
  <c r="BV146" i="1"/>
  <c r="BM57" i="1"/>
  <c r="BO57" i="1" s="1"/>
  <c r="BS57" i="1" s="1"/>
  <c r="BV57" i="1"/>
  <c r="BM124" i="1"/>
  <c r="BV124" i="1"/>
  <c r="BM47" i="1"/>
  <c r="BO47" i="1" s="1"/>
  <c r="BS47" i="1" s="1"/>
  <c r="BV47" i="1"/>
  <c r="BM67" i="1"/>
  <c r="BO67" i="1" s="1"/>
  <c r="BS67" i="1" s="1"/>
  <c r="BV67" i="1"/>
  <c r="BM28" i="1"/>
  <c r="BO28" i="1" s="1"/>
  <c r="BS28" i="1" s="1"/>
  <c r="BV28" i="1"/>
  <c r="BM142" i="1"/>
  <c r="BO142" i="1" s="1"/>
  <c r="BS142" i="1" s="1"/>
  <c r="BV142" i="1"/>
  <c r="BM85" i="1"/>
  <c r="BX85" i="1" s="1"/>
  <c r="BV85" i="1"/>
  <c r="BM150" i="1"/>
  <c r="BV150" i="1"/>
  <c r="BM86" i="1"/>
  <c r="BV86" i="1"/>
  <c r="BM159" i="1"/>
  <c r="BX159" i="1" s="1"/>
  <c r="BV159" i="1"/>
  <c r="BM122" i="1"/>
  <c r="BV122" i="1"/>
  <c r="BM48" i="1"/>
  <c r="BV48" i="1"/>
  <c r="BM90" i="1"/>
  <c r="BO90" i="1" s="1"/>
  <c r="BS90" i="1" s="1"/>
  <c r="BV90" i="1"/>
  <c r="BO39" i="1"/>
  <c r="BS39" i="1" s="1"/>
  <c r="BO80" i="1"/>
  <c r="BS80" i="1" s="1"/>
  <c r="BO43" i="1"/>
  <c r="BS43" i="1" s="1"/>
  <c r="BM155" i="1"/>
  <c r="BV155" i="1"/>
  <c r="BM18" i="1"/>
  <c r="BV18" i="1"/>
  <c r="BM25" i="1"/>
  <c r="BO25" i="1" s="1"/>
  <c r="BS25" i="1" s="1"/>
  <c r="BV25" i="1"/>
  <c r="BM164" i="1"/>
  <c r="BV164" i="1"/>
  <c r="BM137" i="1"/>
  <c r="BV137" i="1"/>
  <c r="BM53" i="1"/>
  <c r="BO53" i="1" s="1"/>
  <c r="BS53" i="1" s="1"/>
  <c r="BV53" i="1"/>
  <c r="BM55" i="1"/>
  <c r="BV55" i="1"/>
  <c r="BM91" i="1"/>
  <c r="BV91" i="1"/>
  <c r="BM68" i="1"/>
  <c r="BV68" i="1"/>
  <c r="BM126" i="1"/>
  <c r="BV126" i="1"/>
  <c r="BM118" i="1"/>
  <c r="BV118" i="1"/>
  <c r="BM88" i="1"/>
  <c r="BV88" i="1"/>
  <c r="BM163" i="1"/>
  <c r="BV163" i="1"/>
  <c r="BM95" i="1"/>
  <c r="BO95" i="1" s="1"/>
  <c r="BS95" i="1" s="1"/>
  <c r="BV95" i="1"/>
  <c r="BM23" i="1"/>
  <c r="BO23" i="1" s="1"/>
  <c r="BS23" i="1" s="1"/>
  <c r="BV23" i="1"/>
  <c r="BM21" i="1"/>
  <c r="BV21" i="1"/>
  <c r="BM33" i="1"/>
  <c r="BO33" i="1" s="1"/>
  <c r="BS33" i="1" s="1"/>
  <c r="BV33" i="1"/>
  <c r="BM30" i="1"/>
  <c r="BV30" i="1"/>
  <c r="BM36" i="1"/>
  <c r="BO36" i="1" s="1"/>
  <c r="BS36" i="1" s="1"/>
  <c r="BV36" i="1"/>
  <c r="BO141" i="1"/>
  <c r="BS141" i="1" s="1"/>
  <c r="BO76" i="1"/>
  <c r="BS76" i="1" s="1"/>
  <c r="BO51" i="1"/>
  <c r="BS51" i="1" s="1"/>
  <c r="BO99" i="1"/>
  <c r="BS99" i="1" s="1"/>
  <c r="BO115" i="1"/>
  <c r="BS115" i="1" s="1"/>
  <c r="BM97" i="1"/>
  <c r="BV97" i="1"/>
  <c r="BM29" i="1"/>
  <c r="BO29" i="1" s="1"/>
  <c r="BS29" i="1" s="1"/>
  <c r="BV29" i="1"/>
  <c r="BM24" i="1"/>
  <c r="BO24" i="1" s="1"/>
  <c r="BS24" i="1" s="1"/>
  <c r="BV24" i="1"/>
  <c r="BM120" i="1"/>
  <c r="BO120" i="1" s="1"/>
  <c r="BS120" i="1" s="1"/>
  <c r="BV120" i="1"/>
  <c r="BM157" i="1"/>
  <c r="BV157" i="1"/>
  <c r="BM103" i="1"/>
  <c r="BO103" i="1" s="1"/>
  <c r="BS103" i="1" s="1"/>
  <c r="BV103" i="1"/>
  <c r="BM59" i="1"/>
  <c r="BV59" i="1"/>
  <c r="BM20" i="1"/>
  <c r="BV20" i="1"/>
  <c r="BM114" i="1"/>
  <c r="BO114" i="1" s="1"/>
  <c r="BS114" i="1" s="1"/>
  <c r="BV114" i="1"/>
  <c r="BM106" i="1"/>
  <c r="BO106" i="1" s="1"/>
  <c r="BS106" i="1" s="1"/>
  <c r="BV106" i="1"/>
  <c r="BM94" i="1"/>
  <c r="BV94" i="1"/>
  <c r="BM160" i="1"/>
  <c r="BV160" i="1"/>
  <c r="BM134" i="1"/>
  <c r="BO134" i="1" s="1"/>
  <c r="BS134" i="1" s="1"/>
  <c r="BV134" i="1"/>
  <c r="BM50" i="1"/>
  <c r="BV50" i="1"/>
  <c r="BM112" i="1"/>
  <c r="BO112" i="1" s="1"/>
  <c r="BS112" i="1" s="1"/>
  <c r="BV112" i="1"/>
  <c r="BM102" i="1"/>
  <c r="BO102" i="1" s="1"/>
  <c r="BS102" i="1" s="1"/>
  <c r="BV102" i="1"/>
  <c r="BM121" i="1"/>
  <c r="BV121" i="1"/>
  <c r="BM138" i="1"/>
  <c r="BV138" i="1"/>
  <c r="BM153" i="1"/>
  <c r="BO153" i="1" s="1"/>
  <c r="BS153" i="1" s="1"/>
  <c r="BV153" i="1"/>
  <c r="BO151" i="1"/>
  <c r="BS151" i="1" s="1"/>
  <c r="BO93" i="1"/>
  <c r="BS93" i="1" s="1"/>
  <c r="BO60" i="1"/>
  <c r="BS60" i="1" s="1"/>
  <c r="BO22" i="1"/>
  <c r="BS22" i="1" s="1"/>
  <c r="BO84" i="1" l="1"/>
  <c r="BS84" i="1" s="1"/>
  <c r="BQ159" i="1"/>
  <c r="BO159" i="1"/>
  <c r="BS159" i="1" s="1"/>
  <c r="BO18" i="1"/>
  <c r="BS18" i="1" s="1"/>
  <c r="BX18" i="1"/>
  <c r="BQ85" i="1"/>
  <c r="BQ88" i="1"/>
  <c r="BX88" i="1"/>
  <c r="BQ68" i="1"/>
  <c r="BX68" i="1"/>
  <c r="BQ122" i="1"/>
  <c r="BX122" i="1"/>
  <c r="BQ150" i="1"/>
  <c r="BX150" i="1"/>
  <c r="BQ124" i="1"/>
  <c r="BX124" i="1"/>
  <c r="BQ107" i="1"/>
  <c r="BX107" i="1"/>
  <c r="BQ92" i="1"/>
  <c r="BX92" i="1"/>
  <c r="BQ133" i="1"/>
  <c r="BX133" i="1"/>
  <c r="BQ131" i="1"/>
  <c r="BX131" i="1"/>
  <c r="BQ95" i="1"/>
  <c r="BX95" i="1"/>
  <c r="BQ118" i="1"/>
  <c r="BX118" i="1"/>
  <c r="BQ91" i="1"/>
  <c r="BX91" i="1"/>
  <c r="BQ137" i="1"/>
  <c r="BX137" i="1"/>
  <c r="BQ94" i="1"/>
  <c r="BX94" i="1"/>
  <c r="BQ120" i="1"/>
  <c r="BX120" i="1"/>
  <c r="BQ152" i="1"/>
  <c r="BX152" i="1"/>
  <c r="BQ104" i="1"/>
  <c r="BX104" i="1"/>
  <c r="BQ157" i="1"/>
  <c r="BX157" i="1"/>
  <c r="BQ153" i="1"/>
  <c r="BX153" i="1"/>
  <c r="BQ102" i="1"/>
  <c r="BX102" i="1"/>
  <c r="BQ106" i="1"/>
  <c r="BX106" i="1"/>
  <c r="BQ97" i="1"/>
  <c r="BX97" i="1"/>
  <c r="BQ90" i="1"/>
  <c r="BX90" i="1"/>
  <c r="BQ132" i="1"/>
  <c r="BX132" i="1"/>
  <c r="BQ128" i="1"/>
  <c r="BX128" i="1"/>
  <c r="BQ161" i="1"/>
  <c r="BX161" i="1"/>
  <c r="BO91" i="1"/>
  <c r="BS91" i="1" s="1"/>
  <c r="BO157" i="1"/>
  <c r="BS157" i="1" s="1"/>
  <c r="BQ121" i="1"/>
  <c r="BX121" i="1"/>
  <c r="BO124" i="1"/>
  <c r="BS124" i="1" s="1"/>
  <c r="BQ134" i="1"/>
  <c r="BX134" i="1"/>
  <c r="BQ67" i="1"/>
  <c r="BX67" i="1"/>
  <c r="BQ69" i="1"/>
  <c r="BX69" i="1"/>
  <c r="BQ108" i="1"/>
  <c r="BX108" i="1"/>
  <c r="BO152" i="1"/>
  <c r="BS152" i="1" s="1"/>
  <c r="BO85" i="1"/>
  <c r="BS85" i="1" s="1"/>
  <c r="BQ163" i="1"/>
  <c r="BX163" i="1"/>
  <c r="BQ126" i="1"/>
  <c r="BX126" i="1"/>
  <c r="BQ164" i="1"/>
  <c r="BX164" i="1"/>
  <c r="BQ155" i="1"/>
  <c r="BX155" i="1"/>
  <c r="BO94" i="1"/>
  <c r="BS94" i="1" s="1"/>
  <c r="BO133" i="1"/>
  <c r="BS133" i="1" s="1"/>
  <c r="BO92" i="1"/>
  <c r="BS92" i="1" s="1"/>
  <c r="BO69" i="1"/>
  <c r="BS69" i="1" s="1"/>
  <c r="BQ138" i="1"/>
  <c r="BX138" i="1"/>
  <c r="BQ112" i="1"/>
  <c r="BX112" i="1"/>
  <c r="BQ160" i="1"/>
  <c r="BX160" i="1"/>
  <c r="BQ114" i="1"/>
  <c r="BX114" i="1"/>
  <c r="BQ103" i="1"/>
  <c r="BX103" i="1"/>
  <c r="BO86" i="1"/>
  <c r="BS86" i="1" s="1"/>
  <c r="BX86" i="1"/>
  <c r="BQ142" i="1"/>
  <c r="BX142" i="1"/>
  <c r="BQ146" i="1"/>
  <c r="BX146" i="1"/>
  <c r="BQ65" i="1"/>
  <c r="BX65" i="1"/>
  <c r="BQ147" i="1"/>
  <c r="BX147" i="1"/>
  <c r="BQ119" i="1"/>
  <c r="BX119" i="1"/>
  <c r="BQ127" i="1"/>
  <c r="BX127" i="1"/>
  <c r="BQ130" i="1"/>
  <c r="BX130" i="1"/>
  <c r="BQ34" i="1"/>
  <c r="BX34" i="1"/>
  <c r="BQ59" i="1"/>
  <c r="BX59" i="1"/>
  <c r="BQ36" i="1"/>
  <c r="BX36" i="1"/>
  <c r="BO48" i="1"/>
  <c r="BS48" i="1" s="1"/>
  <c r="BX48" i="1"/>
  <c r="BQ22" i="1"/>
  <c r="BX22" i="1"/>
  <c r="BQ53" i="1"/>
  <c r="BX53" i="1"/>
  <c r="BQ57" i="1"/>
  <c r="BX57" i="1"/>
  <c r="BQ21" i="1"/>
  <c r="BX21" i="1"/>
  <c r="BQ24" i="1"/>
  <c r="BX24" i="1"/>
  <c r="BQ47" i="1"/>
  <c r="BX47" i="1"/>
  <c r="BQ26" i="1"/>
  <c r="BX26" i="1"/>
  <c r="BQ30" i="1"/>
  <c r="BX30" i="1"/>
  <c r="BQ25" i="1"/>
  <c r="BX25" i="1"/>
  <c r="BQ50" i="1"/>
  <c r="BX50" i="1"/>
  <c r="BQ20" i="1"/>
  <c r="BX20" i="1"/>
  <c r="BQ29" i="1"/>
  <c r="BX29" i="1"/>
  <c r="BQ28" i="1"/>
  <c r="BX28" i="1"/>
  <c r="BQ32" i="1"/>
  <c r="BX32" i="1"/>
  <c r="BQ31" i="1"/>
  <c r="BX31" i="1"/>
  <c r="BQ35" i="1"/>
  <c r="BX35" i="1"/>
  <c r="BQ27" i="1"/>
  <c r="BX27" i="1"/>
  <c r="BQ55" i="1"/>
  <c r="BX55" i="1"/>
  <c r="BQ19" i="1"/>
  <c r="BX19" i="1"/>
  <c r="BO34" i="1"/>
  <c r="BS34" i="1" s="1"/>
  <c r="BQ23" i="1"/>
  <c r="BX23" i="1"/>
  <c r="BO30" i="1"/>
  <c r="BS30" i="1" s="1"/>
  <c r="BQ33" i="1"/>
  <c r="BX33" i="1"/>
  <c r="BQ18" i="1"/>
  <c r="BO55" i="1"/>
  <c r="BS55" i="1" s="1"/>
  <c r="BO126" i="1"/>
  <c r="BS126" i="1" s="1"/>
  <c r="BO65" i="1"/>
  <c r="BS65" i="1" s="1"/>
  <c r="BO21" i="1"/>
  <c r="BS21" i="1" s="1"/>
  <c r="BO163" i="1"/>
  <c r="BS163" i="1" s="1"/>
  <c r="BO164" i="1"/>
  <c r="BS164" i="1" s="1"/>
  <c r="BO155" i="1"/>
  <c r="BS155" i="1" s="1"/>
  <c r="BQ86" i="1"/>
  <c r="BO20" i="1"/>
  <c r="BS20" i="1" s="1"/>
  <c r="BO146" i="1"/>
  <c r="BS146" i="1" s="1"/>
  <c r="BO107" i="1"/>
  <c r="BS107" i="1" s="1"/>
  <c r="BO88" i="1"/>
  <c r="BS88" i="1" s="1"/>
  <c r="BO119" i="1"/>
  <c r="BS119" i="1" s="1"/>
  <c r="BO138" i="1"/>
  <c r="BS138" i="1" s="1"/>
  <c r="BQ48" i="1"/>
  <c r="BO31" i="1"/>
  <c r="BS31" i="1" s="1"/>
  <c r="BO150" i="1"/>
  <c r="BS150" i="1" s="1"/>
  <c r="BO19" i="1"/>
  <c r="BS19" i="1" s="1"/>
  <c r="BO137" i="1"/>
  <c r="BS137" i="1" s="1"/>
  <c r="BO68" i="1"/>
  <c r="BS68" i="1" s="1"/>
  <c r="BO50" i="1"/>
  <c r="BS50" i="1" s="1"/>
  <c r="BO160" i="1"/>
  <c r="BS160" i="1" s="1"/>
  <c r="BO122" i="1"/>
  <c r="BS122" i="1" s="1"/>
  <c r="BO118" i="1"/>
  <c r="BS118" i="1" s="1"/>
  <c r="BO121" i="1"/>
  <c r="BS121" i="1" s="1"/>
  <c r="BO59" i="1"/>
  <c r="BS59" i="1" s="1"/>
  <c r="BO97" i="1"/>
  <c r="BS97" i="1" s="1"/>
</calcChain>
</file>

<file path=xl/sharedStrings.xml><?xml version="1.0" encoding="utf-8"?>
<sst xmlns="http://schemas.openxmlformats.org/spreadsheetml/2006/main" count="159" uniqueCount="154">
  <si>
    <t>ICAO</t>
  </si>
  <si>
    <t>Manufacturer</t>
  </si>
  <si>
    <t>Type</t>
  </si>
  <si>
    <t>Aircraft parameters</t>
  </si>
  <si>
    <t>winglets</t>
  </si>
  <si>
    <t>Sref/m2</t>
  </si>
  <si>
    <t>𝛿2</t>
  </si>
  <si>
    <t>COS(sweep)</t>
  </si>
  <si>
    <t>AR</t>
  </si>
  <si>
    <t xml:space="preserve">𝜓0 </t>
  </si>
  <si>
    <t>Xo</t>
  </si>
  <si>
    <t>wing constant</t>
  </si>
  <si>
    <t>j2</t>
  </si>
  <si>
    <t>J1</t>
  </si>
  <si>
    <t>nominal((mf)FI)SLS (kg/s)</t>
  </si>
  <si>
    <t>𝜂1</t>
  </si>
  <si>
    <t>𝜂2</t>
  </si>
  <si>
    <t>A320</t>
  </si>
  <si>
    <t>Airbus</t>
  </si>
  <si>
    <t>A320-200</t>
  </si>
  <si>
    <t>no</t>
  </si>
  <si>
    <t>Input</t>
  </si>
  <si>
    <t xml:space="preserve">Atmosphere </t>
  </si>
  <si>
    <t>Trajectory</t>
  </si>
  <si>
    <t>Performance</t>
  </si>
  <si>
    <t>Total drag</t>
  </si>
  <si>
    <t>lift-to-drag ratio</t>
  </si>
  <si>
    <t>Engine</t>
  </si>
  <si>
    <t>Fuel use</t>
  </si>
  <si>
    <t>mass (kg)</t>
  </si>
  <si>
    <t>M∞</t>
  </si>
  <si>
    <t>FL</t>
  </si>
  <si>
    <t>dhdt/(m/s)</t>
  </si>
  <si>
    <t>dv/dt (m/s/s)</t>
  </si>
  <si>
    <t>(h (ft))ISA</t>
  </si>
  <si>
    <t>(h (m))ISA</t>
  </si>
  <si>
    <t>p∞ (Pa)</t>
  </si>
  <si>
    <t>(𝛥T)ISA</t>
  </si>
  <si>
    <t>T (K)</t>
  </si>
  <si>
    <t>a (m/s/s)</t>
  </si>
  <si>
    <t>𝜇∞ (J/(msK)</t>
  </si>
  <si>
    <t>TAS =V∞ (m/s)</t>
  </si>
  <si>
    <t>(dv/dt)/go</t>
  </si>
  <si>
    <t>sin(𝜃)</t>
  </si>
  <si>
    <t>cos(𝜃)</t>
  </si>
  <si>
    <t>tan(𝜃)</t>
  </si>
  <si>
    <t>𝜃 (degs)</t>
  </si>
  <si>
    <t>Cl</t>
  </si>
  <si>
    <t>R</t>
  </si>
  <si>
    <t>Cf</t>
  </si>
  <si>
    <t>Cd0</t>
  </si>
  <si>
    <t>k1</t>
  </si>
  <si>
    <t>eLS</t>
  </si>
  <si>
    <t>K</t>
  </si>
  <si>
    <t>Mcc</t>
  </si>
  <si>
    <t>X</t>
  </si>
  <si>
    <t>Cdw</t>
  </si>
  <si>
    <t>Cd</t>
  </si>
  <si>
    <t>(L/D)</t>
  </si>
  <si>
    <t>Fn/mg</t>
  </si>
  <si>
    <t>CT</t>
  </si>
  <si>
    <t>M/Mdes</t>
  </si>
  <si>
    <t>𝛴</t>
  </si>
  <si>
    <t>𝛴-𝚯</t>
  </si>
  <si>
    <t>𝛴𝚯</t>
  </si>
  <si>
    <t>h1</t>
  </si>
  <si>
    <t>h2</t>
  </si>
  <si>
    <t>(CT)𝜂B</t>
  </si>
  <si>
    <t>CT/(CT)𝜂B</t>
  </si>
  <si>
    <t>𝜂o/(𝜂o)𝜂B</t>
  </si>
  <si>
    <t>𝜂o</t>
  </si>
  <si>
    <t>(𝜂oL/D)</t>
  </si>
  <si>
    <t>mf (kg/s)</t>
  </si>
  <si>
    <t>mf (kg/m)</t>
  </si>
  <si>
    <t>TR</t>
  </si>
  <si>
    <t>(CT)avail</t>
  </si>
  <si>
    <t>(CT)avail/(CT)req</t>
  </si>
  <si>
    <t>Achievable ?</t>
  </si>
  <si>
    <t>(𝜂oL/D)do</t>
  </si>
  <si>
    <t>MMO</t>
  </si>
  <si>
    <t>span/m</t>
  </si>
  <si>
    <t>bf/m</t>
  </si>
  <si>
    <t>(mf)max T/O (kg/s)</t>
  </si>
  <si>
    <t>nominal (F00)ISA (kn)</t>
  </si>
  <si>
    <t>Mec</t>
  </si>
  <si>
    <t>Tec</t>
  </si>
  <si>
    <t>max required</t>
  </si>
  <si>
    <t>(CT)max req</t>
  </si>
  <si>
    <t>max available</t>
  </si>
  <si>
    <t>Max Mach number</t>
  </si>
  <si>
    <t>(CL)mu</t>
  </si>
  <si>
    <t>(CL)do</t>
  </si>
  <si>
    <t>CL/(CL)mu</t>
  </si>
  <si>
    <t>(FL)MO</t>
  </si>
  <si>
    <t>FL/(FL)MO</t>
  </si>
  <si>
    <t>(Vcas)asl/(asl)ISA</t>
  </si>
  <si>
    <t>(m)max (kg)</t>
  </si>
  <si>
    <t>(CL)max</t>
  </si>
  <si>
    <t>(m)max  (kg)</t>
  </si>
  <si>
    <t>max useable</t>
  </si>
  <si>
    <t>limiting mass</t>
  </si>
  <si>
    <t>(pinf)co (Pa)</t>
  </si>
  <si>
    <t>Mass</t>
  </si>
  <si>
    <t>Geometery</t>
  </si>
  <si>
    <t>(TET) max climb (K)</t>
  </si>
  <si>
    <t>Mach number limit</t>
  </si>
  <si>
    <t>Height and speed limits</t>
  </si>
  <si>
    <t>Aerodynamics</t>
  </si>
  <si>
    <t>FL limit</t>
  </si>
  <si>
    <t>(𝜂o)B</t>
  </si>
  <si>
    <t>Engine state</t>
  </si>
  <si>
    <t>(TR)max</t>
  </si>
  <si>
    <t>(CT)max/(CT)𝜂B</t>
  </si>
  <si>
    <t>M∞/MDO</t>
  </si>
  <si>
    <t>(CL)mu/(CL)DO</t>
  </si>
  <si>
    <t>(pi)max (Pa)</t>
  </si>
  <si>
    <t>(T0)4/(T0)2</t>
  </si>
  <si>
    <t>BPR</t>
  </si>
  <si>
    <t>nominal OPR</t>
  </si>
  <si>
    <t>nominal BPR</t>
  </si>
  <si>
    <t>OPR</t>
  </si>
  <si>
    <t>((TET)maxt/o)/(Tsl)isa</t>
  </si>
  <si>
    <t>(𝜂)PC</t>
  </si>
  <si>
    <t>(T0)3/(T0)2</t>
  </si>
  <si>
    <t>(T0)13/(T0)2</t>
  </si>
  <si>
    <t>(T0)5/(T0)2</t>
  </si>
  <si>
    <t>(T0)5 (K)</t>
  </si>
  <si>
    <t>FPR</t>
  </si>
  <si>
    <t>nominal FPR</t>
  </si>
  <si>
    <t>(T0)2 (K)</t>
  </si>
  <si>
    <t>(T0)3 (K)</t>
  </si>
  <si>
    <t>(T0)4 (K)</t>
  </si>
  <si>
    <t>(p0)2 (Pa)</t>
  </si>
  <si>
    <t>(p0)3 (Pa)</t>
  </si>
  <si>
    <t>FTAR</t>
  </si>
  <si>
    <t>Cpe/Cp</t>
  </si>
  <si>
    <t>Cp kerosene</t>
  </si>
  <si>
    <t>Cp kero/Cp</t>
  </si>
  <si>
    <t>LCV kerosene</t>
  </si>
  <si>
    <t>η combustion</t>
  </si>
  <si>
    <t>Cp (air)</t>
  </si>
  <si>
    <t>in service corrected 𝜂o</t>
  </si>
  <si>
    <t>((CL)mu/(CL)DO)LS</t>
  </si>
  <si>
    <t>uncertainty factor</t>
  </si>
  <si>
    <t>(M∞)min</t>
  </si>
  <si>
    <t>MZFM (kgs)</t>
  </si>
  <si>
    <t>MLM (kgs)</t>
  </si>
  <si>
    <t>OEM (kgs)</t>
  </si>
  <si>
    <t>(MPM) kgs</t>
  </si>
  <si>
    <t>(MFM)approx</t>
  </si>
  <si>
    <t>(MTOM)min</t>
  </si>
  <si>
    <t>(MTOM)max</t>
  </si>
  <si>
    <t>(M)des=(M)DO</t>
  </si>
  <si>
    <t>(CT)des=(CT)DO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</si>
</sst>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00"/>
    <numFmt numFmtId="165" formatCode="0.0000"/>
    <numFmt numFmtId="166" formatCode="0.000E+00"/>
    <numFmt numFmtId="167" formatCode="0.0"/>
    <numFmt numFmtId="168" formatCode="0.00000"/>
    <numFmt numFmtId="169" formatCode="0.000000"/>
    <numFmt numFmtId="170" formatCode="0.00000E+00"/>
  </numFmts>
  <fonts count="6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164" fontId="0" fillId="0" borderId="0" xfId="0" applyNumberFormat="1"/>
    <xf numFmtId="0" fontId="1" fillId="0" borderId="0" xfId="0" applyFon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2" fontId="0" fillId="0" borderId="0" xfId="0" applyNumberFormat="1"/>
    <xf numFmtId="164" fontId="2" fillId="0" borderId="0" xfId="0" applyNumberFormat="1" applyFont="1"/>
    <xf numFmtId="168" fontId="0" fillId="0" borderId="0" xfId="0" applyNumberFormat="1"/>
    <xf numFmtId="1" fontId="0" fillId="0" borderId="0" xfId="0" applyNumberFormat="1"/>
    <xf numFmtId="11" fontId="0" fillId="0" borderId="0" xfId="0" applyNumberFormat="1"/>
    <xf numFmtId="169" fontId="0" fillId="0" borderId="0" xfId="0" applyNumberFormat="1"/>
    <xf numFmtId="164" fontId="3" fillId="0" borderId="0" xfId="0" applyNumberFormat="1" applyFont="1"/>
    <xf numFmtId="2" fontId="1" fillId="0" borderId="0" xfId="0" applyNumberFormat="1" applyFont="1"/>
    <xf numFmtId="164" fontId="1" fillId="0" borderId="0" xfId="0" applyNumberFormat="1" applyFont="1"/>
    <xf numFmtId="167" fontId="1" fillId="0" borderId="0" xfId="0" applyNumberFormat="1" applyFont="1"/>
    <xf numFmtId="11" fontId="1" fillId="0" borderId="0" xfId="0" applyNumberFormat="1" applyFont="1"/>
    <xf numFmtId="167" fontId="3" fillId="0" borderId="0" xfId="0" applyNumberFormat="1" applyFont="1"/>
    <xf numFmtId="1" fontId="1" fillId="0" borderId="0" xfId="0" applyNumberFormat="1" applyFont="1"/>
    <xf numFmtId="164" fontId="4" fillId="0" borderId="0" xfId="0" applyNumberFormat="1" applyFont="1"/>
    <xf numFmtId="166" fontId="5" fillId="0" borderId="0" xfId="0" applyNumberFormat="1" applyFont="1"/>
    <xf numFmtId="165" fontId="1" fillId="0" borderId="0" xfId="0" applyNumberFormat="1" applyFont="1"/>
    <xf numFmtId="11" fontId="2" fillId="0" borderId="0" xfId="0" applyNumberFormat="1" applyFont="1"/>
    <xf numFmtId="1" fontId="2" fillId="0" borderId="0" xfId="0" applyNumberFormat="1" applyFont="1"/>
    <xf numFmtId="166" fontId="2" fillId="0" borderId="0" xfId="0" applyNumberFormat="1" applyFont="1"/>
    <xf numFmtId="167" fontId="2" fillId="0" borderId="0" xfId="0" applyNumberFormat="1" applyFont="1"/>
    <xf numFmtId="170" fontId="0" fillId="0" borderId="0" xfId="0" applyNumberFormat="1"/>
    <xf numFmtId="170" fontId="1" fillId="0" borderId="0" xfId="0" applyNumberFormat="1" applyFont="1"/>
    <xf numFmtId="168" fontId="1" fillId="0" borderId="0" xfId="0" applyNumberFormat="1" applyFont="1"/>
    <xf numFmtId="11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E50D4-3221-BD4F-9615-2CD389B09E0F}">
  <dimension ref="A2:CY229"/>
  <sheetViews>
    <sheetView tabSelected="1" workbookViewId="0">
      <selection activeCell="A7" sqref="A7:AW7"/>
    </sheetView>
  </sheetViews>
  <sheetFormatPr baseColWidth="10" defaultRowHeight="16" x14ac:dyDescent="0.2"/>
  <cols>
    <col min="4" max="4" width="17.6640625" customWidth="1"/>
    <col min="5" max="5" width="12.6640625" customWidth="1"/>
    <col min="8" max="8" width="10.5" customWidth="1"/>
    <col min="9" max="9" width="17.33203125" customWidth="1"/>
    <col min="10" max="10" width="13" customWidth="1"/>
    <col min="11" max="11" width="10.5" customWidth="1"/>
    <col min="12" max="12" width="13" customWidth="1"/>
    <col min="13" max="13" width="13.6640625" customWidth="1"/>
    <col min="14" max="14" width="10.33203125" customWidth="1"/>
    <col min="15" max="15" width="13.6640625" customWidth="1"/>
    <col min="16" max="16" width="10.5" customWidth="1"/>
    <col min="17" max="17" width="9.1640625" customWidth="1"/>
    <col min="18" max="18" width="11" customWidth="1"/>
    <col min="19" max="19" width="7" customWidth="1"/>
    <col min="20" max="21" width="7.6640625" customWidth="1"/>
    <col min="22" max="22" width="21.33203125" customWidth="1"/>
    <col min="23" max="23" width="12.6640625" customWidth="1"/>
    <col min="24" max="24" width="12.1640625" customWidth="1"/>
    <col min="27" max="27" width="9.83203125" customWidth="1"/>
    <col min="29" max="29" width="12.6640625" customWidth="1"/>
    <col min="30" max="30" width="13" customWidth="1"/>
    <col min="31" max="31" width="12" customWidth="1"/>
    <col min="32" max="32" width="19" customWidth="1"/>
    <col min="33" max="33" width="17.33203125" customWidth="1"/>
    <col min="34" max="34" width="22.5" customWidth="1"/>
    <col min="35" max="35" width="12" customWidth="1"/>
    <col min="36" max="36" width="14.6640625" customWidth="1"/>
    <col min="37" max="37" width="7.1640625" customWidth="1"/>
    <col min="38" max="38" width="17.33203125" customWidth="1"/>
    <col min="39" max="39" width="17" customWidth="1"/>
    <col min="40" max="40" width="18" customWidth="1"/>
    <col min="41" max="41" width="20" customWidth="1"/>
    <col min="42" max="42" width="20.33203125" customWidth="1"/>
    <col min="43" max="43" width="16" customWidth="1"/>
    <col min="44" max="44" width="11.83203125" customWidth="1"/>
    <col min="46" max="46" width="19.6640625" customWidth="1"/>
    <col min="47" max="47" width="16.33203125" customWidth="1"/>
    <col min="48" max="48" width="16" customWidth="1"/>
    <col min="53" max="53" width="20.6640625" style="14" customWidth="1"/>
    <col min="54" max="54" width="20.6640625" customWidth="1"/>
    <col min="55" max="56" width="10.83203125" style="2"/>
    <col min="57" max="58" width="17.83203125" customWidth="1"/>
    <col min="59" max="59" width="11.83203125" customWidth="1"/>
    <col min="60" max="61" width="9.6640625" style="1" customWidth="1"/>
    <col min="62" max="62" width="8.5" style="1" customWidth="1"/>
    <col min="63" max="64" width="8" style="5" customWidth="1"/>
    <col min="65" max="65" width="10.5" style="5" customWidth="1"/>
    <col min="66" max="66" width="11.6640625" style="1" customWidth="1"/>
    <col min="67" max="70" width="10.6640625" style="1" customWidth="1"/>
    <col min="71" max="72" width="8.5" style="9" customWidth="1"/>
    <col min="73" max="73" width="9.5" style="9" customWidth="1"/>
    <col min="74" max="74" width="9.83203125" style="9" customWidth="1"/>
    <col min="75" max="75" width="12.6640625" style="9" customWidth="1"/>
    <col min="76" max="76" width="9.83203125" style="9" customWidth="1"/>
    <col min="77" max="77" width="9.6640625" style="9" customWidth="1"/>
    <col min="78" max="78" width="13" style="3" customWidth="1"/>
    <col min="79" max="79" width="10.83203125" style="2"/>
    <col min="80" max="80" width="12.5" style="14" customWidth="1"/>
    <col min="81" max="81" width="14.33203125" style="14" customWidth="1"/>
    <col min="82" max="82" width="10.1640625" style="21" customWidth="1"/>
    <col min="83" max="83" width="15.5" style="2" customWidth="1"/>
    <col min="84" max="85" width="10.83203125" style="2"/>
    <col min="86" max="86" width="12.1640625" style="2" customWidth="1"/>
    <col min="87" max="87" width="12.83203125" style="18" customWidth="1"/>
    <col min="88" max="88" width="16.1640625" style="2" customWidth="1"/>
    <col min="89" max="89" width="16.33203125" style="2" customWidth="1"/>
    <col min="90" max="90" width="15" style="2" customWidth="1"/>
    <col min="91" max="92" width="11.1640625" style="2" customWidth="1"/>
    <col min="93" max="93" width="15" style="2" customWidth="1"/>
    <col min="94" max="95" width="10.83203125" style="2"/>
    <col min="96" max="96" width="12" style="18" customWidth="1"/>
    <col min="97" max="97" width="10.83203125" style="2"/>
    <col min="98" max="98" width="13.6640625" style="2" customWidth="1"/>
    <col min="99" max="99" width="10.83203125" style="2"/>
    <col min="100" max="100" width="10.83203125" style="15"/>
    <col min="101" max="101" width="17.6640625" style="13" customWidth="1"/>
  </cols>
  <sheetData>
    <row r="2" spans="1:103" x14ac:dyDescent="0.2">
      <c r="F2" t="s">
        <v>102</v>
      </c>
      <c r="K2" s="1"/>
      <c r="N2" t="s">
        <v>103</v>
      </c>
      <c r="U2" t="s">
        <v>107</v>
      </c>
      <c r="AC2" t="s">
        <v>27</v>
      </c>
      <c r="AS2" t="s">
        <v>106</v>
      </c>
      <c r="BE2" s="4"/>
      <c r="BF2" s="4"/>
      <c r="BG2" s="4"/>
    </row>
    <row r="3" spans="1:103" x14ac:dyDescent="0.2">
      <c r="K3" s="1"/>
      <c r="AS3" s="2"/>
      <c r="BE3" s="4"/>
      <c r="BF3" s="4"/>
      <c r="BG3" s="4"/>
    </row>
    <row r="4" spans="1:103" x14ac:dyDescent="0.2">
      <c r="A4" t="s">
        <v>0</v>
      </c>
      <c r="B4" t="s">
        <v>1</v>
      </c>
      <c r="C4" t="s">
        <v>2</v>
      </c>
      <c r="D4" t="s">
        <v>3</v>
      </c>
      <c r="E4" t="s">
        <v>4</v>
      </c>
      <c r="F4" s="9" t="s">
        <v>145</v>
      </c>
      <c r="G4" s="9" t="s">
        <v>146</v>
      </c>
      <c r="H4" s="9" t="s">
        <v>147</v>
      </c>
      <c r="I4" s="9" t="s">
        <v>148</v>
      </c>
      <c r="J4" s="2" t="s">
        <v>149</v>
      </c>
      <c r="K4" t="s">
        <v>150</v>
      </c>
      <c r="L4" t="s">
        <v>151</v>
      </c>
      <c r="M4" s="1"/>
      <c r="N4" t="s">
        <v>5</v>
      </c>
      <c r="O4" t="s">
        <v>80</v>
      </c>
      <c r="P4" t="s">
        <v>81</v>
      </c>
      <c r="Q4" s="1" t="s">
        <v>6</v>
      </c>
      <c r="R4" s="3" t="s">
        <v>7</v>
      </c>
      <c r="S4" s="6" t="s">
        <v>8</v>
      </c>
      <c r="U4" s="1" t="s">
        <v>9</v>
      </c>
      <c r="V4" s="1" t="s">
        <v>10</v>
      </c>
      <c r="W4" s="1" t="s">
        <v>11</v>
      </c>
      <c r="X4" s="1" t="s">
        <v>12</v>
      </c>
      <c r="Y4" s="1" t="s">
        <v>13</v>
      </c>
      <c r="Z4" t="s">
        <v>91</v>
      </c>
      <c r="AA4" s="1" t="s">
        <v>78</v>
      </c>
      <c r="AC4" t="s">
        <v>118</v>
      </c>
      <c r="AD4" s="5" t="s">
        <v>119</v>
      </c>
      <c r="AE4" t="s">
        <v>128</v>
      </c>
      <c r="AF4" s="5" t="s">
        <v>83</v>
      </c>
      <c r="AG4" s="6" t="s">
        <v>82</v>
      </c>
      <c r="AH4" s="6" t="s">
        <v>14</v>
      </c>
      <c r="AI4" s="1" t="s">
        <v>152</v>
      </c>
      <c r="AJ4" s="3" t="s">
        <v>153</v>
      </c>
      <c r="AK4" s="1" t="s">
        <v>15</v>
      </c>
      <c r="AL4" s="1" t="s">
        <v>16</v>
      </c>
      <c r="AM4" t="s">
        <v>84</v>
      </c>
      <c r="AN4" t="s">
        <v>85</v>
      </c>
      <c r="AO4" t="s">
        <v>104</v>
      </c>
      <c r="AP4" s="1" t="s">
        <v>121</v>
      </c>
      <c r="AQ4" s="9" t="s">
        <v>122</v>
      </c>
      <c r="AS4" t="s">
        <v>79</v>
      </c>
      <c r="AT4" t="s">
        <v>93</v>
      </c>
      <c r="AU4" t="s">
        <v>95</v>
      </c>
      <c r="AV4" t="s">
        <v>115</v>
      </c>
      <c r="AW4" t="s">
        <v>101</v>
      </c>
    </row>
    <row r="5" spans="1:103" x14ac:dyDescent="0.2">
      <c r="A5" t="s">
        <v>17</v>
      </c>
      <c r="B5" t="s">
        <v>18</v>
      </c>
      <c r="C5" t="s">
        <v>19</v>
      </c>
      <c r="E5" t="s">
        <v>20</v>
      </c>
      <c r="F5" s="9">
        <v>61200</v>
      </c>
      <c r="G5" s="9">
        <v>64875</v>
      </c>
      <c r="H5" s="9">
        <v>41295</v>
      </c>
      <c r="I5" s="9">
        <v>19905</v>
      </c>
      <c r="J5" s="18">
        <f t="shared" ref="J5" si="0">0.58*G5</f>
        <v>37627.5</v>
      </c>
      <c r="K5">
        <v>66000</v>
      </c>
      <c r="L5">
        <v>78000</v>
      </c>
      <c r="N5" s="5">
        <v>122.4</v>
      </c>
      <c r="O5" s="6">
        <v>34.1</v>
      </c>
      <c r="P5" s="6">
        <v>3.95</v>
      </c>
      <c r="Q5" s="1">
        <v>2.6835854524814885E-2</v>
      </c>
      <c r="R5" s="3">
        <v>0.90630776670341573</v>
      </c>
      <c r="S5" s="6">
        <v>9.5000816993464063</v>
      </c>
      <c r="T5" s="1"/>
      <c r="U5" s="1">
        <v>8.3952876119329449</v>
      </c>
      <c r="V5" s="1">
        <v>1.0065975056939278</v>
      </c>
      <c r="W5" s="1">
        <v>0.74958438245515457</v>
      </c>
      <c r="X5" s="1">
        <v>0.86890345803635205</v>
      </c>
      <c r="Y5" s="1">
        <v>7.3191605148663991E-2</v>
      </c>
      <c r="Z5" s="1">
        <v>0.59039894962740302</v>
      </c>
      <c r="AA5" s="1">
        <v>5.2591005758186293</v>
      </c>
      <c r="AB5" s="1"/>
      <c r="AC5" s="5">
        <v>26.908999999999999</v>
      </c>
      <c r="AD5" s="5">
        <v>5.6339999999999995</v>
      </c>
      <c r="AE5" s="6">
        <v>1.65</v>
      </c>
      <c r="AF5" s="9">
        <v>224.63800000000001</v>
      </c>
      <c r="AG5" s="6">
        <v>2.1462000000000003</v>
      </c>
      <c r="AH5" s="6">
        <v>0.22389999999999999</v>
      </c>
      <c r="AI5" s="1">
        <v>0.75270000000000004</v>
      </c>
      <c r="AJ5" s="3">
        <v>3.465254791234245E-2</v>
      </c>
      <c r="AK5" s="1">
        <v>0.35799999999999998</v>
      </c>
      <c r="AL5" s="1">
        <v>0.52182650000000008</v>
      </c>
      <c r="AM5" s="1">
        <v>0.70084087039999998</v>
      </c>
      <c r="AN5" s="1">
        <v>5.58892957206987</v>
      </c>
      <c r="AO5" s="9">
        <v>1528.9291030704399</v>
      </c>
      <c r="AP5" s="1">
        <v>5.7674109313176256</v>
      </c>
      <c r="AQ5" s="6">
        <v>0.85959602206398344</v>
      </c>
      <c r="AR5" s="9"/>
      <c r="AS5" s="6">
        <v>0.82</v>
      </c>
      <c r="AT5" s="5">
        <v>409.99999999999994</v>
      </c>
      <c r="AU5" s="1">
        <v>0.52439999999999987</v>
      </c>
      <c r="AV5" s="9">
        <v>20882.788219222657</v>
      </c>
      <c r="AW5" s="9">
        <v>37618.415157783318</v>
      </c>
      <c r="BC5" s="13"/>
      <c r="BD5" s="15"/>
      <c r="BF5" s="3"/>
      <c r="BG5" s="3"/>
      <c r="BH5" s="6"/>
      <c r="BI5"/>
      <c r="BK5"/>
      <c r="BL5"/>
      <c r="BM5"/>
      <c r="BN5"/>
      <c r="BO5"/>
      <c r="BP5"/>
      <c r="BQ5"/>
      <c r="BR5"/>
      <c r="BS5"/>
      <c r="BT5"/>
      <c r="BU5"/>
      <c r="BV5"/>
      <c r="BZ5"/>
      <c r="CA5"/>
      <c r="CB5" s="2"/>
      <c r="CC5"/>
      <c r="CD5"/>
      <c r="CE5"/>
      <c r="CF5"/>
      <c r="CG5"/>
      <c r="CH5"/>
      <c r="CI5"/>
      <c r="CJ5"/>
      <c r="CK5"/>
      <c r="CM5"/>
      <c r="CO5"/>
      <c r="CQ5"/>
      <c r="CR5"/>
      <c r="CS5"/>
      <c r="CT5"/>
      <c r="CU5"/>
      <c r="CV5"/>
      <c r="CW5"/>
    </row>
    <row r="6" spans="1:103" x14ac:dyDescent="0.2">
      <c r="B6" s="9"/>
      <c r="D6" s="9"/>
      <c r="E6" s="9"/>
      <c r="F6" s="9"/>
      <c r="G6" s="6"/>
      <c r="H6" s="5"/>
      <c r="I6" s="10"/>
      <c r="J6" s="10"/>
      <c r="K6" s="1"/>
      <c r="M6" s="1"/>
      <c r="N6" s="11"/>
      <c r="O6" s="6"/>
      <c r="Q6" s="1"/>
      <c r="R6" s="5"/>
      <c r="S6" s="1"/>
      <c r="T6" s="1"/>
      <c r="U6" s="1"/>
      <c r="V6" s="1"/>
      <c r="W6" s="1"/>
      <c r="X6" s="12"/>
      <c r="Y6" s="12"/>
      <c r="Z6" s="12"/>
      <c r="AA6" s="12"/>
      <c r="AB6" s="6"/>
      <c r="AF6" s="5"/>
      <c r="AG6" s="6"/>
      <c r="AH6" s="1"/>
      <c r="AI6" s="1"/>
      <c r="AJ6" s="1"/>
      <c r="AK6" s="1"/>
      <c r="AL6" s="1"/>
      <c r="AO6" s="3"/>
      <c r="AP6" s="10"/>
      <c r="AS6" s="6"/>
      <c r="AT6" s="13"/>
      <c r="AX6" s="3"/>
      <c r="AY6" s="3"/>
      <c r="AZ6" s="1"/>
      <c r="BB6" s="3"/>
      <c r="BD6" s="21"/>
      <c r="BE6" s="4"/>
      <c r="BF6" s="4"/>
      <c r="BG6" s="4"/>
      <c r="BY6" s="1"/>
    </row>
    <row r="7" spans="1:103" x14ac:dyDescent="0.2">
      <c r="F7" s="9"/>
      <c r="G7" s="9"/>
      <c r="H7" s="9"/>
      <c r="I7" s="9"/>
      <c r="J7" s="18"/>
      <c r="N7" s="5"/>
      <c r="O7" s="6"/>
      <c r="P7" s="6"/>
      <c r="Q7" s="1"/>
      <c r="R7" s="3"/>
      <c r="S7" s="6"/>
      <c r="T7" s="1"/>
      <c r="U7" s="1"/>
      <c r="V7" s="1"/>
      <c r="W7" s="1"/>
      <c r="X7" s="1"/>
      <c r="Y7" s="1"/>
      <c r="Z7" s="1"/>
      <c r="AA7" s="1"/>
      <c r="AB7" s="1"/>
      <c r="AC7" s="5"/>
      <c r="AD7" s="5"/>
      <c r="AE7" s="6"/>
      <c r="AF7" s="9"/>
      <c r="AG7" s="6"/>
      <c r="AH7" s="6"/>
      <c r="AI7" s="1"/>
      <c r="AJ7" s="3"/>
      <c r="AK7" s="1"/>
      <c r="AL7" s="1"/>
      <c r="AM7" s="1"/>
      <c r="AN7" s="1"/>
      <c r="AO7" s="9"/>
      <c r="AP7" s="1"/>
      <c r="AQ7" s="6"/>
      <c r="AR7" s="9"/>
      <c r="AS7" s="6"/>
      <c r="AT7" s="5"/>
      <c r="AU7" s="1"/>
      <c r="AV7" s="9"/>
      <c r="AW7" s="9"/>
      <c r="AX7" s="3"/>
      <c r="AY7" s="3"/>
      <c r="AZ7" s="1"/>
      <c r="BB7" s="3"/>
      <c r="BD7" s="21"/>
      <c r="BE7" s="4"/>
      <c r="BF7" s="4"/>
      <c r="BG7" s="4"/>
      <c r="BX7" s="1"/>
      <c r="BY7" s="1"/>
    </row>
    <row r="8" spans="1:103" x14ac:dyDescent="0.2">
      <c r="F8" s="9"/>
      <c r="G8" s="9"/>
      <c r="H8" s="9"/>
      <c r="I8" s="9"/>
      <c r="J8" s="2"/>
      <c r="N8" s="5"/>
      <c r="O8" s="6"/>
      <c r="P8" s="6"/>
      <c r="Q8" s="1"/>
      <c r="R8" s="3"/>
      <c r="S8" s="6"/>
      <c r="T8" s="1"/>
      <c r="U8" s="1"/>
      <c r="V8" s="1"/>
      <c r="W8" s="1"/>
      <c r="X8" s="1"/>
      <c r="Y8" s="1"/>
      <c r="Z8" s="1"/>
      <c r="AA8" s="1"/>
      <c r="AB8" s="1"/>
      <c r="AC8" s="5"/>
      <c r="AD8" s="5"/>
      <c r="AE8" s="6"/>
      <c r="AF8" s="9"/>
      <c r="AG8" s="6"/>
      <c r="AH8" s="6"/>
      <c r="AI8" s="1"/>
      <c r="AJ8" s="3"/>
      <c r="AK8" s="1"/>
      <c r="AL8" s="1"/>
      <c r="AM8" s="1"/>
      <c r="AN8" s="1"/>
      <c r="AO8" s="9"/>
      <c r="AP8" s="1"/>
      <c r="AQ8" s="6"/>
      <c r="AR8" s="9"/>
      <c r="AS8" s="6"/>
      <c r="AT8" s="5"/>
      <c r="AU8" s="1"/>
      <c r="AV8" s="9"/>
      <c r="AW8" s="9"/>
      <c r="AY8" s="6"/>
      <c r="AZ8" s="5"/>
      <c r="BA8"/>
      <c r="BC8"/>
      <c r="BD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 s="16" t="s">
        <v>142</v>
      </c>
      <c r="CL8" s="2">
        <f>1.8</f>
        <v>1.8</v>
      </c>
      <c r="CM8"/>
      <c r="CN8"/>
      <c r="CO8"/>
      <c r="CP8"/>
      <c r="CQ8"/>
      <c r="CR8"/>
      <c r="CS8"/>
      <c r="CT8"/>
      <c r="CU8"/>
      <c r="CV8"/>
      <c r="CW8"/>
    </row>
    <row r="9" spans="1:103" x14ac:dyDescent="0.2">
      <c r="B9" s="9"/>
      <c r="D9" s="9"/>
      <c r="E9" s="9"/>
      <c r="F9" s="9"/>
      <c r="G9" s="6"/>
      <c r="H9" s="5"/>
      <c r="I9" s="10"/>
      <c r="J9" s="10"/>
      <c r="K9" s="1"/>
      <c r="M9" s="1"/>
      <c r="N9" s="11"/>
      <c r="O9" s="6"/>
      <c r="Q9" s="1"/>
      <c r="R9" s="5"/>
      <c r="S9" s="1"/>
      <c r="T9" s="1"/>
      <c r="U9" s="1"/>
      <c r="V9" s="1"/>
      <c r="W9" s="1"/>
      <c r="X9" s="12"/>
      <c r="Y9" s="12"/>
      <c r="Z9" s="12"/>
      <c r="AA9" s="12"/>
      <c r="AB9" s="6"/>
      <c r="AF9" s="5"/>
      <c r="AG9" s="6"/>
      <c r="AH9" s="1"/>
      <c r="AI9" s="1"/>
      <c r="AJ9" s="1"/>
      <c r="AK9" s="1"/>
      <c r="AL9" s="1"/>
      <c r="AO9" s="3"/>
      <c r="AP9" s="10"/>
      <c r="AS9" s="6"/>
      <c r="AT9" s="13"/>
      <c r="AX9" s="3"/>
      <c r="AY9" s="3"/>
      <c r="AZ9" s="1"/>
      <c r="BB9" s="3"/>
      <c r="BD9" s="21"/>
      <c r="BE9" s="4"/>
      <c r="BF9" s="4"/>
      <c r="BG9" s="4"/>
      <c r="BW9" t="s">
        <v>140</v>
      </c>
      <c r="BX9">
        <f>1005</f>
        <v>1005</v>
      </c>
      <c r="BY9" s="1"/>
    </row>
    <row r="10" spans="1:103" x14ac:dyDescent="0.2">
      <c r="B10" s="9"/>
      <c r="D10" s="9"/>
      <c r="E10" s="9"/>
      <c r="F10" s="9"/>
      <c r="G10" s="6"/>
      <c r="H10" s="5"/>
      <c r="I10" s="10"/>
      <c r="J10" s="10"/>
      <c r="K10" s="1"/>
      <c r="M10" s="1"/>
      <c r="N10" s="11"/>
      <c r="O10" s="6"/>
      <c r="Q10" s="1"/>
      <c r="R10" s="5"/>
      <c r="S10" s="1"/>
      <c r="T10" s="1"/>
      <c r="U10" s="1"/>
      <c r="V10" s="1"/>
      <c r="W10" s="1"/>
      <c r="X10" s="12"/>
      <c r="Y10" s="12"/>
      <c r="Z10" s="12"/>
      <c r="AA10" s="12"/>
      <c r="AB10" s="6"/>
      <c r="AF10" s="5"/>
      <c r="AG10" s="6"/>
      <c r="AH10" s="1"/>
      <c r="AI10" s="1"/>
      <c r="AJ10" s="1"/>
      <c r="AK10" s="1"/>
      <c r="AL10" s="1"/>
      <c r="AO10" s="3"/>
      <c r="AP10" s="10"/>
      <c r="AS10" s="6"/>
      <c r="AT10" s="13"/>
      <c r="AX10" s="3"/>
      <c r="AY10" s="3"/>
      <c r="AZ10" s="1"/>
      <c r="BB10" s="3"/>
      <c r="BD10" s="21"/>
      <c r="BE10" s="4"/>
      <c r="BF10" s="4"/>
      <c r="BG10" s="4"/>
      <c r="BW10" s="9" t="s">
        <v>135</v>
      </c>
      <c r="BX10" s="3">
        <v>1.2378109452736319</v>
      </c>
      <c r="BY10" s="1"/>
      <c r="CK10" s="2" t="s">
        <v>143</v>
      </c>
      <c r="CL10" s="2">
        <v>1.2</v>
      </c>
    </row>
    <row r="11" spans="1:103" x14ac:dyDescent="0.2">
      <c r="B11" s="9"/>
      <c r="D11" s="9"/>
      <c r="E11" s="9"/>
      <c r="F11" s="9"/>
      <c r="G11" s="6"/>
      <c r="H11" s="5"/>
      <c r="I11" s="10"/>
      <c r="J11" s="10"/>
      <c r="K11" s="1"/>
      <c r="M11" s="1"/>
      <c r="N11" s="11"/>
      <c r="O11" s="6"/>
      <c r="Q11" s="1"/>
      <c r="R11" s="5"/>
      <c r="S11" s="1"/>
      <c r="T11" s="1"/>
      <c r="U11" s="1"/>
      <c r="V11" s="1"/>
      <c r="W11" s="1"/>
      <c r="X11" s="12"/>
      <c r="Y11" s="12"/>
      <c r="Z11" s="12"/>
      <c r="AA11" s="12"/>
      <c r="AB11" s="6"/>
      <c r="AF11" s="5"/>
      <c r="AG11" s="6"/>
      <c r="AH11" s="1"/>
      <c r="AI11" s="1"/>
      <c r="AJ11" s="1"/>
      <c r="AK11" s="1"/>
      <c r="AL11" s="1"/>
      <c r="AO11" s="3"/>
      <c r="AP11" s="10"/>
      <c r="AS11" s="6"/>
      <c r="AT11" s="13"/>
      <c r="AX11" s="3"/>
      <c r="AY11" s="3"/>
      <c r="AZ11" s="1"/>
      <c r="BB11" s="3"/>
      <c r="BD11" s="21"/>
      <c r="BE11" s="4"/>
      <c r="BF11" s="4"/>
      <c r="BG11" s="4"/>
      <c r="BW11" s="9" t="s">
        <v>136</v>
      </c>
      <c r="BX11" s="9">
        <v>2010</v>
      </c>
      <c r="BY11" s="1"/>
    </row>
    <row r="12" spans="1:103" x14ac:dyDescent="0.2">
      <c r="B12" s="9"/>
      <c r="D12" s="9"/>
      <c r="E12" s="9"/>
      <c r="F12" s="9"/>
      <c r="G12" s="6"/>
      <c r="H12" s="5"/>
      <c r="I12" s="10"/>
      <c r="J12" s="10"/>
      <c r="K12" s="1"/>
      <c r="M12" s="1"/>
      <c r="N12" s="11"/>
      <c r="O12" s="6"/>
      <c r="Q12" s="1"/>
      <c r="R12" s="5"/>
      <c r="S12" s="1"/>
      <c r="T12" s="1"/>
      <c r="U12" s="1"/>
      <c r="V12" s="1"/>
      <c r="W12" s="1"/>
      <c r="X12" s="12"/>
      <c r="Y12" s="12"/>
      <c r="Z12" s="12"/>
      <c r="AA12" s="12"/>
      <c r="AB12" s="6"/>
      <c r="AF12" s="5"/>
      <c r="AG12" s="6"/>
      <c r="AH12" s="1"/>
      <c r="AI12" s="1"/>
      <c r="AJ12" s="1"/>
      <c r="AK12" s="1"/>
      <c r="AL12" s="1"/>
      <c r="AO12" s="3"/>
      <c r="AP12" s="10"/>
      <c r="AS12" s="6"/>
      <c r="AT12" s="13"/>
      <c r="AX12" s="3"/>
      <c r="AY12" s="3"/>
      <c r="AZ12" s="1"/>
      <c r="BB12" s="3"/>
      <c r="BD12" s="21"/>
      <c r="BE12" s="4"/>
      <c r="BF12" s="4"/>
      <c r="BG12" s="4"/>
      <c r="BW12" s="9" t="s">
        <v>137</v>
      </c>
      <c r="BX12" s="1">
        <f>BX11/BX9</f>
        <v>2</v>
      </c>
      <c r="BY12" s="1"/>
      <c r="CB12" s="14">
        <v>1.2</v>
      </c>
    </row>
    <row r="13" spans="1:103" x14ac:dyDescent="0.2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S13" s="1"/>
      <c r="T13" s="1"/>
      <c r="U13" s="1"/>
      <c r="V13" s="1"/>
      <c r="W13" s="1"/>
      <c r="X13" s="12"/>
      <c r="Y13" s="12"/>
      <c r="Z13" s="12"/>
      <c r="AA13" s="12"/>
      <c r="AB13" s="6"/>
      <c r="AF13" s="6"/>
      <c r="AG13" s="1"/>
      <c r="AH13" s="3"/>
      <c r="AI13" s="3"/>
      <c r="AJ13" s="9"/>
      <c r="AK13" s="3"/>
      <c r="AS13" s="2"/>
      <c r="AT13" s="10"/>
      <c r="AU13" s="3"/>
      <c r="AV13" s="9"/>
      <c r="AW13" s="9"/>
      <c r="AX13" s="3"/>
      <c r="AY13" s="3"/>
      <c r="AZ13" s="17"/>
      <c r="BA13" s="12"/>
      <c r="BB13" s="17"/>
      <c r="BD13" s="21"/>
      <c r="BE13" s="4"/>
      <c r="BF13" s="4"/>
      <c r="BG13" s="4"/>
      <c r="BW13" t="s">
        <v>138</v>
      </c>
      <c r="BX13" s="10">
        <f>43000000</f>
        <v>43000000</v>
      </c>
      <c r="CA13" s="16"/>
      <c r="CE13" s="16"/>
      <c r="CF13" s="16"/>
      <c r="CG13" s="16"/>
      <c r="CH13" s="16"/>
      <c r="CK13" s="14"/>
      <c r="CL13" s="16"/>
      <c r="CM13" s="16"/>
      <c r="CN13" s="16"/>
      <c r="CO13" s="16"/>
      <c r="CP13" s="14"/>
      <c r="CQ13" s="14"/>
      <c r="CT13" s="16"/>
      <c r="CU13" s="16"/>
      <c r="CX13" s="3"/>
      <c r="CY13" s="10"/>
    </row>
    <row r="14" spans="1:103" x14ac:dyDescent="0.2">
      <c r="A14" t="s">
        <v>21</v>
      </c>
      <c r="D14" s="9"/>
      <c r="E14" s="9"/>
      <c r="F14" s="9"/>
      <c r="G14" s="5" t="s">
        <v>22</v>
      </c>
      <c r="H14" s="10"/>
      <c r="I14" s="10"/>
      <c r="J14" s="1"/>
      <c r="L14" s="1"/>
      <c r="M14" s="11"/>
      <c r="O14" s="6" t="s">
        <v>23</v>
      </c>
      <c r="Q14" s="1"/>
      <c r="S14" s="1"/>
      <c r="T14" s="1"/>
      <c r="U14" s="1"/>
      <c r="V14" s="1"/>
      <c r="W14" s="1"/>
      <c r="X14" s="7" t="s">
        <v>24</v>
      </c>
      <c r="Y14" s="12"/>
      <c r="Z14" s="12"/>
      <c r="AA14" s="12"/>
      <c r="AB14" s="6"/>
      <c r="AC14" s="6"/>
      <c r="AD14" s="10"/>
      <c r="AE14" s="10"/>
      <c r="AF14" s="10"/>
      <c r="AG14" s="10"/>
      <c r="AH14" s="10"/>
      <c r="AI14" s="3" t="s">
        <v>25</v>
      </c>
      <c r="AJ14" s="10" t="s">
        <v>26</v>
      </c>
      <c r="AK14" s="10"/>
      <c r="AL14" s="10" t="s">
        <v>27</v>
      </c>
      <c r="AM14" s="1"/>
      <c r="AN14" s="2"/>
      <c r="AO14" s="10"/>
      <c r="AP14" s="3"/>
      <c r="AQ14" s="10"/>
      <c r="AR14" s="10"/>
      <c r="AS14" s="8"/>
      <c r="AT14" s="10"/>
      <c r="AU14" s="10"/>
      <c r="AV14" s="16"/>
      <c r="AW14" s="10"/>
      <c r="AX14" s="10"/>
      <c r="AY14" s="10"/>
      <c r="AZ14" s="10"/>
      <c r="BA14" s="14">
        <v>0.97499999999999998</v>
      </c>
      <c r="BB14" s="10"/>
      <c r="BC14" s="16" t="s">
        <v>28</v>
      </c>
      <c r="BD14" s="16"/>
      <c r="BE14" s="4"/>
      <c r="BF14" s="4"/>
      <c r="BG14" s="1" t="s">
        <v>110</v>
      </c>
      <c r="BW14" t="s">
        <v>139</v>
      </c>
      <c r="BX14">
        <f>0.99</f>
        <v>0.99</v>
      </c>
      <c r="BZ14" s="3" t="s">
        <v>86</v>
      </c>
      <c r="CA14" s="10"/>
      <c r="CB14" s="14" t="s">
        <v>88</v>
      </c>
      <c r="CC14" s="1"/>
      <c r="CD14" s="3"/>
      <c r="CE14" s="10"/>
      <c r="CF14" s="10"/>
      <c r="CG14" s="10"/>
      <c r="CH14" s="9" t="s">
        <v>100</v>
      </c>
      <c r="CI14" s="9"/>
      <c r="CK14" s="1"/>
      <c r="CL14" s="16" t="s">
        <v>99</v>
      </c>
      <c r="CM14" s="10"/>
      <c r="CN14" s="16"/>
      <c r="CO14" s="10"/>
      <c r="CP14" s="16"/>
      <c r="CQ14" s="10"/>
      <c r="CR14" s="9" t="s">
        <v>100</v>
      </c>
      <c r="CS14"/>
      <c r="CT14" s="10" t="s">
        <v>108</v>
      </c>
      <c r="CU14" s="10"/>
      <c r="CV14" s="5"/>
      <c r="CW14" s="6" t="s">
        <v>105</v>
      </c>
      <c r="CX14" s="10"/>
    </row>
    <row r="15" spans="1:103" x14ac:dyDescent="0.2">
      <c r="A15" s="9"/>
      <c r="D15" s="9"/>
      <c r="E15" s="9"/>
      <c r="F15" s="9"/>
      <c r="G15" s="5"/>
      <c r="H15" s="10"/>
      <c r="I15" s="10"/>
      <c r="J15" s="1"/>
      <c r="L15" s="1"/>
      <c r="M15" s="11"/>
      <c r="O15" s="6"/>
      <c r="Q15" s="1"/>
      <c r="R15" s="6"/>
      <c r="S15" s="1"/>
      <c r="T15" s="1"/>
      <c r="U15" s="1"/>
      <c r="V15" s="1"/>
      <c r="W15" s="1"/>
      <c r="X15" s="12"/>
      <c r="Y15" s="12"/>
      <c r="Z15" s="12"/>
      <c r="AA15" s="12"/>
      <c r="AB15" s="6"/>
      <c r="AC15" s="6"/>
      <c r="AD15" s="10"/>
      <c r="AE15" s="10"/>
      <c r="AF15" s="10"/>
      <c r="AG15" s="10"/>
      <c r="AH15" s="10"/>
      <c r="AI15" s="10"/>
      <c r="AJ15" s="10"/>
      <c r="AK15" s="10"/>
      <c r="AL15" s="6"/>
      <c r="AM15" s="10"/>
      <c r="AN15" s="10"/>
      <c r="AO15" s="10"/>
      <c r="AP15" s="10"/>
      <c r="AQ15" s="10"/>
      <c r="AR15" s="10"/>
      <c r="AS15" s="10"/>
      <c r="AT15" s="10"/>
      <c r="AU15" s="10"/>
      <c r="AV15" s="16"/>
      <c r="AW15" s="10"/>
      <c r="AX15" s="10"/>
      <c r="AY15" s="10"/>
      <c r="AZ15" s="10"/>
      <c r="BB15" s="10"/>
      <c r="BC15" s="16"/>
      <c r="BD15" s="16"/>
      <c r="BE15" s="4"/>
      <c r="BF15" s="4"/>
      <c r="BG15" s="4"/>
      <c r="CA15" s="10"/>
      <c r="CC15" s="1"/>
      <c r="CD15" s="3"/>
      <c r="CE15" s="10"/>
      <c r="CF15" s="10"/>
      <c r="CG15" s="10"/>
      <c r="CH15" s="10"/>
      <c r="CI15" s="9"/>
      <c r="CK15" s="1"/>
      <c r="CL15" s="16"/>
      <c r="CM15" s="10"/>
      <c r="CN15" s="16"/>
      <c r="CO15" s="10"/>
      <c r="CP15" s="14"/>
      <c r="CQ15" s="1"/>
      <c r="CR15" s="9"/>
      <c r="CS15"/>
      <c r="CT15" s="10"/>
      <c r="CU15" s="10"/>
      <c r="CV15" s="5"/>
      <c r="CW15" s="6"/>
      <c r="CX15" s="10"/>
    </row>
    <row r="16" spans="1:103" x14ac:dyDescent="0.2">
      <c r="A16" s="9" t="s">
        <v>29</v>
      </c>
      <c r="B16" s="1" t="s">
        <v>30</v>
      </c>
      <c r="C16" t="s">
        <v>31</v>
      </c>
      <c r="D16" s="1" t="s">
        <v>32</v>
      </c>
      <c r="E16" s="1" t="s">
        <v>33</v>
      </c>
      <c r="G16" t="s">
        <v>34</v>
      </c>
      <c r="H16" s="9" t="s">
        <v>35</v>
      </c>
      <c r="I16" s="9" t="s">
        <v>36</v>
      </c>
      <c r="J16" t="s">
        <v>37</v>
      </c>
      <c r="K16" s="6" t="s">
        <v>38</v>
      </c>
      <c r="L16" s="5" t="s">
        <v>39</v>
      </c>
      <c r="M16" s="4" t="s">
        <v>40</v>
      </c>
      <c r="O16" s="6" t="s">
        <v>41</v>
      </c>
      <c r="P16" s="1" t="s">
        <v>42</v>
      </c>
      <c r="Q16" s="7" t="s">
        <v>43</v>
      </c>
      <c r="R16" s="19" t="s">
        <v>44</v>
      </c>
      <c r="S16" s="19" t="s">
        <v>45</v>
      </c>
      <c r="T16" s="19" t="s">
        <v>46</v>
      </c>
      <c r="U16" s="19"/>
      <c r="V16" s="19"/>
      <c r="W16" s="6"/>
      <c r="X16" s="1" t="s">
        <v>47</v>
      </c>
      <c r="Y16" s="10" t="s">
        <v>48</v>
      </c>
      <c r="Z16" s="10" t="s">
        <v>49</v>
      </c>
      <c r="AA16" s="3" t="s">
        <v>50</v>
      </c>
      <c r="AB16" s="10" t="s">
        <v>51</v>
      </c>
      <c r="AC16" s="10" t="s">
        <v>52</v>
      </c>
      <c r="AD16" s="10" t="s">
        <v>53</v>
      </c>
      <c r="AE16" s="1" t="s">
        <v>54</v>
      </c>
      <c r="AF16" s="1" t="s">
        <v>55</v>
      </c>
      <c r="AG16" s="8" t="s">
        <v>56</v>
      </c>
      <c r="AH16" s="8"/>
      <c r="AI16" s="3" t="s">
        <v>57</v>
      </c>
      <c r="AJ16" s="1" t="s">
        <v>58</v>
      </c>
      <c r="AK16" s="1"/>
      <c r="AL16" s="1" t="s">
        <v>59</v>
      </c>
      <c r="AM16" s="1" t="s">
        <v>60</v>
      </c>
      <c r="AN16" s="1" t="s">
        <v>61</v>
      </c>
      <c r="AO16" s="1" t="s">
        <v>62</v>
      </c>
      <c r="AP16" s="1" t="s">
        <v>63</v>
      </c>
      <c r="AQ16" s="1" t="s">
        <v>64</v>
      </c>
      <c r="AR16" s="1" t="s">
        <v>65</v>
      </c>
      <c r="AS16" s="1" t="s">
        <v>109</v>
      </c>
      <c r="AT16" s="1" t="s">
        <v>66</v>
      </c>
      <c r="AU16" s="1" t="s">
        <v>67</v>
      </c>
      <c r="AV16" s="1" t="s">
        <v>68</v>
      </c>
      <c r="AW16" s="1" t="s">
        <v>69</v>
      </c>
      <c r="AX16" s="1"/>
      <c r="AY16" s="1"/>
      <c r="AZ16" s="1" t="s">
        <v>70</v>
      </c>
      <c r="BA16" s="14" t="s">
        <v>141</v>
      </c>
      <c r="BB16" s="16"/>
      <c r="BC16" s="13" t="s">
        <v>71</v>
      </c>
      <c r="BD16" s="12" t="s">
        <v>72</v>
      </c>
      <c r="BE16" s="20" t="s">
        <v>73</v>
      </c>
      <c r="BF16" s="20"/>
      <c r="BG16" s="24" t="s">
        <v>74</v>
      </c>
      <c r="BH16" s="7" t="s">
        <v>116</v>
      </c>
      <c r="BI16" s="7"/>
      <c r="BJ16" s="7" t="s">
        <v>117</v>
      </c>
      <c r="BK16" s="25" t="s">
        <v>120</v>
      </c>
      <c r="BL16" s="25" t="s">
        <v>127</v>
      </c>
      <c r="BM16" s="9" t="s">
        <v>123</v>
      </c>
      <c r="BN16" s="9" t="s">
        <v>124</v>
      </c>
      <c r="BO16" s="9" t="s">
        <v>125</v>
      </c>
      <c r="BP16" s="9" t="s">
        <v>129</v>
      </c>
      <c r="BQ16" s="9" t="s">
        <v>130</v>
      </c>
      <c r="BR16" s="9" t="s">
        <v>131</v>
      </c>
      <c r="BS16" s="9" t="s">
        <v>126</v>
      </c>
      <c r="BU16" s="9" t="s">
        <v>132</v>
      </c>
      <c r="BV16" s="9" t="s">
        <v>133</v>
      </c>
      <c r="BX16" s="9" t="s">
        <v>134</v>
      </c>
      <c r="BZ16" s="3" t="s">
        <v>87</v>
      </c>
      <c r="CA16" s="10"/>
      <c r="CB16" s="14" t="s">
        <v>111</v>
      </c>
      <c r="CC16" s="1" t="s">
        <v>112</v>
      </c>
      <c r="CD16" s="3" t="s">
        <v>75</v>
      </c>
      <c r="CE16" s="10" t="s">
        <v>76</v>
      </c>
      <c r="CF16" s="22" t="s">
        <v>77</v>
      </c>
      <c r="CG16" s="22"/>
      <c r="CH16" s="22" t="s">
        <v>97</v>
      </c>
      <c r="CI16" s="23" t="s">
        <v>98</v>
      </c>
      <c r="CK16" s="1" t="s">
        <v>113</v>
      </c>
      <c r="CL16" s="16" t="s">
        <v>114</v>
      </c>
      <c r="CM16" s="10" t="s">
        <v>90</v>
      </c>
      <c r="CN16" s="14" t="s">
        <v>144</v>
      </c>
      <c r="CO16" s="10" t="s">
        <v>92</v>
      </c>
      <c r="CP16" s="29" t="s">
        <v>77</v>
      </c>
      <c r="CQ16" s="22"/>
      <c r="CR16" s="23" t="s">
        <v>96</v>
      </c>
      <c r="CS16"/>
      <c r="CT16" s="10" t="s">
        <v>94</v>
      </c>
      <c r="CU16" s="22" t="s">
        <v>77</v>
      </c>
      <c r="CV16" s="5"/>
      <c r="CW16" s="10" t="s">
        <v>89</v>
      </c>
      <c r="CX16" s="22" t="s">
        <v>77</v>
      </c>
      <c r="CY16" s="10"/>
    </row>
    <row r="17" spans="1:103" x14ac:dyDescent="0.2">
      <c r="A17">
        <v>58800</v>
      </c>
      <c r="B17" s="1">
        <v>0.75270000000000004</v>
      </c>
      <c r="C17" s="5">
        <v>340</v>
      </c>
      <c r="D17" s="1">
        <v>0</v>
      </c>
      <c r="E17" s="1">
        <v>0</v>
      </c>
      <c r="G17">
        <f t="shared" ref="G17:G80" si="1">C17*100</f>
        <v>34000</v>
      </c>
      <c r="H17" s="9">
        <f t="shared" ref="H17:H80" si="2">G17/3.280839895</f>
        <v>10363.200000041452</v>
      </c>
      <c r="I17" s="5">
        <f>IF(H17&lt;11000,101325*((1-(0.0000225577*H17))^5.255879813),22632.04*EXP((-0.0001576885243)*(H17-11000)))</f>
        <v>24998.983042419241</v>
      </c>
      <c r="J17" s="5">
        <v>0</v>
      </c>
      <c r="K17" s="6">
        <f>IF(H17&gt;11000,216.65+J17,288.15+J17-0.0065*H17)</f>
        <v>220.78919999973056</v>
      </c>
      <c r="L17" s="5">
        <f>SQRT(1.4*287.05*K17)</f>
        <v>297.873388881739</v>
      </c>
      <c r="M17" s="10">
        <f>0.000001458*(K17^1.5)/(110.4+K17)</f>
        <v>1.444269023603098E-5</v>
      </c>
      <c r="O17" s="6">
        <f>B17*L17</f>
        <v>224.20929981128495</v>
      </c>
      <c r="P17" s="1">
        <f>IF(E17=0,0,E17/9.80665)</f>
        <v>0</v>
      </c>
      <c r="Q17" s="7">
        <f>IF(D17=0,0,(D17/O17))</f>
        <v>0</v>
      </c>
      <c r="R17" s="19">
        <f>SQRT(1-Q17*Q17)</f>
        <v>1</v>
      </c>
      <c r="S17" s="19">
        <f>Q17/R17</f>
        <v>0</v>
      </c>
      <c r="T17" s="19">
        <f>ASIN(Q17)*180/3.141593</f>
        <v>0</v>
      </c>
      <c r="U17" s="19"/>
      <c r="V17" s="19"/>
      <c r="W17" s="6"/>
      <c r="X17" s="1">
        <f>(A17*9.80665*R17)/(0.7*I17*B17*B17*$N$5)</f>
        <v>0.47517367218977219</v>
      </c>
      <c r="Y17" s="10">
        <f>(SQRT($N$5)*B17)*(I17/M17)*SQRT(1.4/(287.05*K17))</f>
        <v>67745928.512230068</v>
      </c>
      <c r="Z17" s="10">
        <f>0.0269/(Y17^0.14)</f>
        <v>2.1549074969510187E-3</v>
      </c>
      <c r="AA17" s="3">
        <f>$U$5*Z17</f>
        <v>1.8091068214014318E-2</v>
      </c>
      <c r="AB17" s="3">
        <f>0.8*(1-0.53*$R$5)*AA17</f>
        <v>7.5209185039547283E-3</v>
      </c>
      <c r="AC17" s="3">
        <f>IF($E$5="no",(1/((1+0.03+$Q$5)+AB17*3.141593*$S$5)),(1.075/((1+0.03+$Q$5)+AB17*3.141593*$S$5)))</f>
        <v>0.78045698151291709</v>
      </c>
      <c r="AD17" s="3">
        <f>1/(3.141593*$S$5*AC17)</f>
        <v>4.2931273290517741E-2</v>
      </c>
      <c r="AE17" s="1">
        <f>$W$5-0.1*(X17/($R$5*$R$5))</f>
        <v>0.69173470174058993</v>
      </c>
      <c r="AF17" s="1">
        <f>B17*$R$5/AE17</f>
        <v>0.9861842325983049</v>
      </c>
      <c r="AG17" s="8">
        <f>IF(AF17&lt;$X$5,0,IF(AF17&lt;$V$5,($R$5^3)*$Y$5*((AF17-$X$5)^2),($R$5^3)*$Y$5*((AF17-$X$5)^2)+40*((AF17-$V$5)^4)))</f>
        <v>7.4944890253748637E-4</v>
      </c>
      <c r="AH17" s="26"/>
      <c r="AI17" s="3">
        <f>AA17+AD17*X17*X17+AG17</f>
        <v>2.8533970117449171E-2</v>
      </c>
      <c r="AJ17" s="1">
        <f>X17/AI17</f>
        <v>16.65291125749069</v>
      </c>
      <c r="AK17" s="1"/>
      <c r="AL17" s="1">
        <f>(R17/AJ17)+Q17+P17</f>
        <v>6.0049560376428918E-2</v>
      </c>
      <c r="AM17" s="8">
        <f>AL17*(A17*9.80665)/(0.7*I17*B17*B17*$N$5)</f>
        <v>2.8533970117449171E-2</v>
      </c>
      <c r="AN17" s="1">
        <f>B17/$AI$5</f>
        <v>1</v>
      </c>
      <c r="AO17" s="1">
        <f>IF(B17&lt;0.4,1.3*(0.4-B17),0)</f>
        <v>0</v>
      </c>
      <c r="AP17" s="1">
        <f>AO17-0.43</f>
        <v>-0.43</v>
      </c>
      <c r="AQ17" s="1">
        <f>AO17*0.43</f>
        <v>0</v>
      </c>
      <c r="AR17" s="1">
        <f t="shared" ref="AR17:AR48" si="3">AN17^$AL$5</f>
        <v>1</v>
      </c>
      <c r="AS17" s="1">
        <f t="shared" ref="AS17:AS48" si="4">AR17*$AK$5*($AI$5^$AL$5)</f>
        <v>0.30867472713898642</v>
      </c>
      <c r="AT17" s="1">
        <f>(((1+0.55*B17)/(1+0.55*$AI$5))/(AN17^2))</f>
        <v>1</v>
      </c>
      <c r="AU17" s="1">
        <f t="shared" ref="AU17:AU48" si="5">AT17*$AJ$5</f>
        <v>3.465254791234245E-2</v>
      </c>
      <c r="AV17" s="8">
        <f>AM17/AU17</f>
        <v>0.82343065189979925</v>
      </c>
      <c r="AW17" s="8">
        <f>IF(AV17&lt;0.3,6.56*(1+0.8244*AO17)*AV17-19.43*(1+1.053*AO17)*(AV17^2)+21.11*(1+1.063*AO17)*(AV17^3),(1-0.43*((AV17-1)^2))*((1+AO17*((AV17-1)^2))))</f>
        <v>0.98659400408393216</v>
      </c>
      <c r="AX17" s="8"/>
      <c r="AY17" s="4"/>
      <c r="AZ17" s="1">
        <f>AW17*AS17</f>
        <v>0.30453663500756784</v>
      </c>
      <c r="BA17" s="14">
        <f>$BA$14*AZ17</f>
        <v>0.29692321913237862</v>
      </c>
      <c r="BB17" s="1"/>
      <c r="BC17" s="14">
        <f>BA17*AJ17</f>
        <v>4.9446360184999625</v>
      </c>
      <c r="BD17" s="14">
        <f>IF(0.7*(AM17*(B17^3)/BA17)*(I17*L17*$N$5/43000000)&lt;$AH$5*(1-0.178*(C17/100)+0.0085*((C17/100)^2)),$AH$5*(1-0.178*(C17/100)+0.0085*((C17/100)^2)),0.7*(AM17*(B17^3)/BA17)*(I17*L17*$N$5/43000000))</f>
        <v>0.60806336759133339</v>
      </c>
      <c r="BE17" s="4">
        <f t="shared" ref="BE17:BE48" si="6">BD17/O17</f>
        <v>2.7120345503203261E-3</v>
      </c>
      <c r="BF17" s="4"/>
      <c r="BG17" s="1">
        <f t="shared" ref="BG17:BG48" si="7">0.6*(1+(2/3)*AV17)</f>
        <v>0.92937226075991963</v>
      </c>
      <c r="BH17" s="1">
        <f>0.6*$AN$5*(1-0.53*((B17-$AM$5)^2))*(1+((2/3)*AV17))</f>
        <v>5.1867924824323755</v>
      </c>
      <c r="BJ17" s="1">
        <f t="shared" ref="BJ17:BJ48" si="8">$AD$5*($AP$5^1.13)/(BH17^1.13)</f>
        <v>6.3516934432292711</v>
      </c>
      <c r="BK17" s="5">
        <f t="shared" ref="BK17:BK48" si="9">($AC$5/($AP$5^2.5))*(BH17^2.5)</f>
        <v>20.63918290930927</v>
      </c>
      <c r="BL17" s="5">
        <f>($AE$5/$AP$5)*BH17</f>
        <v>1.4838907263468057</v>
      </c>
      <c r="BM17" s="5">
        <f>BK17^(0.4/(1.4*$AQ$5))</f>
        <v>2.7351439290098236</v>
      </c>
      <c r="BN17" s="1">
        <f>BL17^(0.4/(1.4*$AQ$5))</f>
        <v>1.1401734434003454</v>
      </c>
      <c r="BO17" s="1">
        <f>BH17-(1005/1244)*(BJ17*(BN17-1)+(BM17-1))</f>
        <v>3.0657232832985164</v>
      </c>
      <c r="BP17" s="9">
        <f>(1+0.2*B17*B17)*K17</f>
        <v>245.80714616235363</v>
      </c>
      <c r="BQ17" s="9">
        <f>BM17*BP17</f>
        <v>672.3179235331919</v>
      </c>
      <c r="BR17" s="9">
        <f>BH17*BP17</f>
        <v>1274.9506578430519</v>
      </c>
      <c r="BS17" s="9">
        <f>BO17*BP17</f>
        <v>753.57669119108914</v>
      </c>
      <c r="BU17" s="9">
        <f>((1+0.2*B17*B17)^3.5)*I17</f>
        <v>36398.267939222205</v>
      </c>
      <c r="BV17" s="9">
        <f>BK17*BU17</f>
        <v>751230.50957965443</v>
      </c>
      <c r="BX17" s="3">
        <f t="shared" ref="BX17:BX48" si="10">(($BX$10*(BH17-(298/BP17))-(BM17-(298/BP17)))/(($BX$13/($BX$9*BP17))-$BX$10*(BH17-(298/BP17))+$BX$12*(1-(298/BP17))))/$BX$14</f>
        <v>2.0336324411196136E-2</v>
      </c>
      <c r="BZ17" s="3">
        <f t="shared" ref="BZ17:BZ48" si="11">IF(AM17&gt;(X17*((1/AJ17)+(1.524/O17))),AM17,(X17*((1/AJ17)+(1.524/O17))))</f>
        <v>3.1763830239338563E-2</v>
      </c>
      <c r="CA17" s="8"/>
      <c r="CB17" s="14">
        <f>$CB$12*($AO$5/K17)/($AN$5*(1-0.53*((B17-$AM$5)^2))*(1+0.2*B17*B17))</f>
        <v>1.3374110958610579</v>
      </c>
      <c r="CC17" s="1">
        <f>1+2.5*(CB17-1)</f>
        <v>1.8435277396526448</v>
      </c>
      <c r="CD17" s="3">
        <f t="shared" ref="CD17:CD48" si="12">CC17*AU17</f>
        <v>6.3882933326045652E-2</v>
      </c>
      <c r="CE17" s="6">
        <f t="shared" ref="CE17:CE48" si="13">CD17/BZ17</f>
        <v>2.0111848238921932</v>
      </c>
      <c r="CF17" s="22" t="str">
        <f>IF(CE17&lt;1,"no","")</f>
        <v/>
      </c>
      <c r="CG17" s="22"/>
      <c r="CH17" s="7">
        <f t="shared" ref="CH17:CH48" si="14">SQRT(((CD17-AA17-AG17)/AD17)+(((Q17+P17)/(2*AD17))^2))-((Q17+P17)/(2*AD17))</f>
        <v>1.0242924109093687</v>
      </c>
      <c r="CI17" s="23">
        <f>CH17*(0.7*I17*B17*B17)*$N$5/9.80665</f>
        <v>126750.27529180367</v>
      </c>
      <c r="CK17" s="1">
        <f>B17/$AI$5</f>
        <v>1</v>
      </c>
      <c r="CL17" s="14">
        <f>IF(CK17&lt;0.7,$CL$10*$CL$8*(1+0.089*CK17-0.603*CK17*CK17),$CL$10*$CL$8*(7.373-23.479*CK17+27.713*CK17*CK17-10.935*CK17*CK17*CK17))</f>
        <v>1.4515200000000053</v>
      </c>
      <c r="CM17" s="1">
        <f>CL17*$Z$5</f>
        <v>0.8569758833631711</v>
      </c>
      <c r="CN17" s="14">
        <f>SQRT((A17*9.80665)/(0.7*I17*$N$5*CM17))</f>
        <v>0.56048475026181466</v>
      </c>
      <c r="CO17" s="1">
        <f t="shared" ref="CO17:CO48" si="15">X17/CM17</f>
        <v>0.55447729791994871</v>
      </c>
      <c r="CP17" s="29" t="str">
        <f>IF(C17&lt;30,"",IF(CO17&gt;1,"no",""))</f>
        <v/>
      </c>
      <c r="CQ17" s="22"/>
      <c r="CR17" s="23">
        <f>CM17*(0.7*I17*B17*B17)*$N$5/9.80665</f>
        <v>106045.82048819808</v>
      </c>
      <c r="CS17"/>
      <c r="CT17" s="6">
        <f t="shared" ref="CT17:CT48" si="16">C17/$AT$5</f>
        <v>0.8292682926829269</v>
      </c>
      <c r="CU17" s="22" t="str">
        <f>IF(CT17&gt;1,"no","")</f>
        <v/>
      </c>
      <c r="CV17" s="5"/>
      <c r="CW17" s="6">
        <f>IF(C17&lt;100,SQRT(2)*SQRT(SQRT(1+(2/1.4)*(10510/I17))-1),IF(I17&gt;$AW$5,SQRT(2)*SQRT(SQRT(1+(2/1.4)*($AV$5/I17))-1),$AS$5))</f>
        <v>0.82</v>
      </c>
      <c r="CX17" s="22" t="str">
        <f>IF(B17&gt;CW17,"no","")</f>
        <v/>
      </c>
      <c r="CY17" s="3"/>
    </row>
    <row r="18" spans="1:103" x14ac:dyDescent="0.2">
      <c r="A18">
        <v>58800</v>
      </c>
      <c r="B18" s="1">
        <v>0.75270000000000004</v>
      </c>
      <c r="C18" s="5">
        <v>340.5</v>
      </c>
      <c r="D18" s="1">
        <v>0</v>
      </c>
      <c r="E18" s="1">
        <v>0</v>
      </c>
      <c r="G18">
        <f t="shared" si="1"/>
        <v>34050</v>
      </c>
      <c r="H18" s="9">
        <f t="shared" si="2"/>
        <v>10378.440000041513</v>
      </c>
      <c r="I18" s="5">
        <f t="shared" ref="I18:I81" si="17">IF(H18&lt;11000,101325*((1-(0.0000225577*H18))^5.255879813),22632.04*EXP((-0.0001576885243)*(H18-11000)))</f>
        <v>24940.088677180247</v>
      </c>
      <c r="J18" s="5">
        <v>0</v>
      </c>
      <c r="K18" s="6">
        <f t="shared" ref="K18:K81" si="18">IF(H18&gt;11000,216.65+J18,288.15+J18-0.0065*H18)</f>
        <v>220.69013999973015</v>
      </c>
      <c r="L18" s="5">
        <f t="shared" ref="L18:L81" si="19">SQRT(1.4*287.05*K18)</f>
        <v>297.8065589635184</v>
      </c>
      <c r="M18" s="10">
        <f t="shared" ref="M18:M81" si="20">0.000001458*(K18^1.5)/(110.4+K18)</f>
        <v>1.4437289720315088E-5</v>
      </c>
      <c r="O18" s="6">
        <f>B18*L18</f>
        <v>224.15899693184031</v>
      </c>
      <c r="P18" s="1">
        <f>IF(E18=0,0,E18/9.80665)</f>
        <v>0</v>
      </c>
      <c r="Q18" s="7">
        <f>IF(D18=0,0,(D18/O18))</f>
        <v>0</v>
      </c>
      <c r="R18" s="19">
        <f t="shared" ref="R18:R81" si="21">SQRT(1-Q18*Q18)</f>
        <v>1</v>
      </c>
      <c r="S18" s="19">
        <f t="shared" ref="S18:S81" si="22">Q18/R18</f>
        <v>0</v>
      </c>
      <c r="T18" s="19">
        <f t="shared" ref="T18:T81" si="23">ASIN(Q18)*180/3.141593</f>
        <v>0</v>
      </c>
      <c r="U18" s="19"/>
      <c r="V18" s="19"/>
      <c r="W18" s="6"/>
      <c r="X18" s="1">
        <f>(A18*9.80665*R18)/(0.7*I18*B18*B18*$N$5)</f>
        <v>0.47629576330035844</v>
      </c>
      <c r="Y18" s="10">
        <f>(SQRT($N$5)*B18)*(I18/M18)*SQRT(1.4/(287.05*K18))</f>
        <v>67626782.23419857</v>
      </c>
      <c r="Z18" s="10">
        <f t="shared" ref="Z18:Z81" si="24">0.0269/(Y18^0.14)</f>
        <v>2.1554386132687261E-3</v>
      </c>
      <c r="AA18" s="3">
        <f t="shared" ref="AA18:AA48" si="25">$U$5*Z18</f>
        <v>1.8095527088256864E-2</v>
      </c>
      <c r="AB18" s="3">
        <f t="shared" ref="AB18:AB48" si="26">0.8*(1-0.53*$R$5)*AA18</f>
        <v>7.5227721717094926E-3</v>
      </c>
      <c r="AC18" s="3">
        <f>IF($E$5="no",(1/((1+0.03+$Q$5)+AB18*3.141593*$S$5)),(1.075/((1+0.03+$Q$5)+AB18*3.141593*$S$5)))</f>
        <v>0.7804232847374174</v>
      </c>
      <c r="AD18" s="3">
        <f t="shared" ref="AD18:AD48" si="27">1/(3.141593*$S$5*AC18)</f>
        <v>4.2933126958272512E-2</v>
      </c>
      <c r="AE18" s="1">
        <f t="shared" ref="AE18:AE48" si="28">$W$5-0.1*(X18/($R$5*$R$5))</f>
        <v>0.69159809355651081</v>
      </c>
      <c r="AF18" s="1">
        <f>B18*$R$5/AE18</f>
        <v>0.98637902902478136</v>
      </c>
      <c r="AG18" s="8">
        <f t="shared" ref="AG18:AG81" si="29">IF(AF18&lt;$X$5,0,IF(AF18&lt;$V$5,($R$5^3)*$Y$5*((AF18-$X$5)^2),($R$5^3)*$Y$5*((AF18-$X$5)^2)+40*((AF18-$V$5)^4)))</f>
        <v>7.5194055061767221E-4</v>
      </c>
      <c r="AH18" s="8"/>
      <c r="AI18" s="3">
        <f t="shared" ref="AI18:AI81" si="30">AA18+AD18*X18*X18+AG18</f>
        <v>2.8587176105431631E-2</v>
      </c>
      <c r="AJ18" s="1">
        <f t="shared" ref="AJ18:AJ81" si="31">X18/AI18</f>
        <v>16.66116868429901</v>
      </c>
      <c r="AK18" s="1"/>
      <c r="AL18" s="1">
        <f t="shared" ref="AL18:AL80" si="32">(R18/AJ18)+Q18+P18</f>
        <v>6.0019799267885109E-2</v>
      </c>
      <c r="AM18" s="8">
        <f>AL18*(A18*9.80665)/(0.7*I18*B18*B18*$N$5)</f>
        <v>2.8587176105431631E-2</v>
      </c>
      <c r="AN18" s="1">
        <f>B18/$AI$5</f>
        <v>1</v>
      </c>
      <c r="AO18" s="1">
        <f>IF(B18&lt;0.4,1.3*(0.4-B18),0)</f>
        <v>0</v>
      </c>
      <c r="AP18" s="1">
        <f t="shared" ref="AP18:AP81" si="33">AO18-0.43</f>
        <v>-0.43</v>
      </c>
      <c r="AQ18" s="1">
        <f t="shared" ref="AQ18:AQ81" si="34">AO18*0.43</f>
        <v>0</v>
      </c>
      <c r="AR18" s="1">
        <f t="shared" si="3"/>
        <v>1</v>
      </c>
      <c r="AS18" s="1">
        <f t="shared" si="4"/>
        <v>0.30867472713898642</v>
      </c>
      <c r="AT18" s="1">
        <f>(((1+0.55*B18)/(1+0.55*$AI$5))/(AN18^2))</f>
        <v>1</v>
      </c>
      <c r="AU18" s="1">
        <f t="shared" si="5"/>
        <v>3.465254791234245E-2</v>
      </c>
      <c r="AV18" s="8">
        <f t="shared" ref="AV18:AV48" si="35">AM18/AU18</f>
        <v>0.82496606534521311</v>
      </c>
      <c r="AW18" s="8">
        <f t="shared" ref="AW18:AW81" si="36">IF(AV18&lt;0.3,6.56*(1+0.8244*AO18)*AV18-19.43*(1+1.053*AO18)*(AV18^2)+21.11*(1+1.063*AO18)*(AV18^3),(1-0.43*((AV18-1)^2))*((1+AO18*((AV18-1)^2))))</f>
        <v>0.98682614233928345</v>
      </c>
      <c r="AX18" s="8"/>
      <c r="AY18" s="4"/>
      <c r="AZ18" s="1">
        <f t="shared" ref="AZ18:AZ48" si="37">AW18*AS18</f>
        <v>0.30460829022019686</v>
      </c>
      <c r="BA18" s="14">
        <f t="shared" ref="BA18:BA81" si="38">$BA$14*AZ18</f>
        <v>0.29699308296469196</v>
      </c>
      <c r="BB18" s="1"/>
      <c r="BC18" s="14">
        <f t="shared" ref="BC18:BC81" si="39">BA18*AJ18</f>
        <v>4.9482518533447433</v>
      </c>
      <c r="BD18" s="14">
        <f>IF(0.7*(AM18*(B18^3)/BA18)*(I18*L18*$N$5/43000000)&lt;$AH$5*(1-0.178*(C18/100)+0.0085*((C18/100)^2)),$AH$5*(1-0.178*(C18/100)+0.0085*((C18/100)^2)),0.7*(AM18*(B18^3)/BA18)*(I18*L18*$N$5/43000000))</f>
        <v>0.60748271413954646</v>
      </c>
      <c r="BE18" s="4">
        <f t="shared" si="6"/>
        <v>2.7100527859886116E-3</v>
      </c>
      <c r="BF18" s="4"/>
      <c r="BG18" s="1">
        <f t="shared" si="7"/>
        <v>0.92998642613808513</v>
      </c>
      <c r="BH18" s="1">
        <f>0.6*$AN$5*(1-0.53*((B18-$AM$5)^2))*(1+((2/3)*AV18))</f>
        <v>5.1902201168700914</v>
      </c>
      <c r="BJ18" s="1">
        <f t="shared" si="8"/>
        <v>6.3469536647244462</v>
      </c>
      <c r="BK18" s="5">
        <f t="shared" si="9"/>
        <v>20.673297750412303</v>
      </c>
      <c r="BL18" s="5">
        <f t="shared" ref="BL18:BL81" si="40">($AE$5/$AP$5)*BH18</f>
        <v>1.4848713391190846</v>
      </c>
      <c r="BM18" s="5">
        <f t="shared" ref="BM18:BM49" si="41">BK18^(0.4/(1.4*$AQ$5))</f>
        <v>2.7366457878825146</v>
      </c>
      <c r="BN18" s="1">
        <f t="shared" ref="BN18:BN81" si="42">BL18^(0.4/(1.4*$AQ$5))</f>
        <v>1.1404238284112591</v>
      </c>
      <c r="BO18" s="1">
        <f t="shared" ref="BO18:BO48" si="43">BH18-(1005/1244)*(BJ18*(BN18-1)+(BM18-1))</f>
        <v>3.0671904811521236</v>
      </c>
      <c r="BP18" s="9">
        <f>(1+0.2*B18*B18)*K18</f>
        <v>245.69686152932371</v>
      </c>
      <c r="BQ18" s="9">
        <f t="shared" ref="BQ18:BQ32" si="44">BM18*BP18</f>
        <v>672.38528120017713</v>
      </c>
      <c r="BR18" s="9">
        <f t="shared" ref="BR18:BR32" si="45">BH18*BP18</f>
        <v>1275.2207933613413</v>
      </c>
      <c r="BS18" s="9">
        <f t="shared" ref="BS18:BS81" si="46">BO18*BP18</f>
        <v>753.59907493169305</v>
      </c>
      <c r="BU18" s="9">
        <f>((1+0.2*B18*B18)^3.5)*I18</f>
        <v>36312.518335630659</v>
      </c>
      <c r="BV18" s="9">
        <f t="shared" ref="BV18:BV81" si="47">BK18*BU18</f>
        <v>750699.50361979881</v>
      </c>
      <c r="BX18" s="3">
        <f t="shared" si="10"/>
        <v>2.0343100134143272E-2</v>
      </c>
      <c r="BZ18" s="3">
        <f t="shared" si="11"/>
        <v>3.1825389843024604E-2</v>
      </c>
      <c r="CA18" s="8"/>
      <c r="CB18" s="14">
        <f>$CB$12*($AO$5/K18)/($AN$5*(1-0.53*((B18-$AM$5)^2))*(1+0.2*B18*B18))</f>
        <v>1.3380114124096663</v>
      </c>
      <c r="CC18" s="1">
        <f t="shared" ref="CC18:CC81" si="48">1+2.5*(CB18-1)</f>
        <v>1.8450285310241656</v>
      </c>
      <c r="CD18" s="3">
        <f t="shared" si="12"/>
        <v>6.3934939570953711E-2</v>
      </c>
      <c r="CE18" s="6">
        <f t="shared" si="13"/>
        <v>2.0089287165469485</v>
      </c>
      <c r="CF18" s="22" t="str">
        <f t="shared" ref="CF18:CF81" si="49">IF(CE18&lt;1,"no","")</f>
        <v/>
      </c>
      <c r="CG18" s="22"/>
      <c r="CH18" s="7">
        <f t="shared" si="14"/>
        <v>1.0247824567985482</v>
      </c>
      <c r="CI18" s="23">
        <f>CH18*(0.7*I18*B18*B18)*$N$5/9.80665</f>
        <v>126512.16555490467</v>
      </c>
      <c r="CK18" s="1">
        <f>B18/$AI$5</f>
        <v>1</v>
      </c>
      <c r="CL18" s="14">
        <f t="shared" ref="CL18:CL81" si="50">IF(CK18&lt;0.7,$CL$10*$CL$8*(1+0.089*CK18-0.603*CK18*CK18),$CL$10*$CL$8*(7.373-23.479*CK18+27.713*CK18*CK18-10.935*CK18*CK18*CK18))</f>
        <v>1.4515200000000053</v>
      </c>
      <c r="CM18" s="1">
        <f t="shared" ref="CM18:CM48" si="51">CL18*$Z$5</f>
        <v>0.8569758833631711</v>
      </c>
      <c r="CN18" s="14">
        <f>SQRT((A18*9.80665)/(0.7*I18*$N$5*CM18))</f>
        <v>0.56114613382026124</v>
      </c>
      <c r="CO18" s="1">
        <f t="shared" si="15"/>
        <v>0.55578665928281767</v>
      </c>
      <c r="CP18" s="29" t="str">
        <f>IF(C18&lt;30,"",IF(CO18&gt;1,"no",""))</f>
        <v/>
      </c>
      <c r="CQ18" s="22"/>
      <c r="CR18" s="23">
        <f>CM18*(0.7*I18*B18*B18)*$N$5/9.80665</f>
        <v>105795.99027417287</v>
      </c>
      <c r="CS18"/>
      <c r="CT18" s="6">
        <f t="shared" si="16"/>
        <v>0.83048780487804885</v>
      </c>
      <c r="CU18" s="22" t="str">
        <f t="shared" ref="CU18:CU81" si="52">IF(CT18&gt;1,"no","")</f>
        <v/>
      </c>
      <c r="CV18" s="5"/>
      <c r="CW18" s="6">
        <f>IF(C18&lt;100,SQRT(2)*SQRT(SQRT(1+(2/1.4)*(10510/I18))-1),IF(I18&gt;$AW$5,SQRT(2)*SQRT(SQRT(1+(2/1.4)*($AV$5/I18))-1),$AS$5))</f>
        <v>0.82</v>
      </c>
      <c r="CX18" s="22" t="str">
        <f>IF(B18&gt;CW18,"no","")</f>
        <v/>
      </c>
    </row>
    <row r="19" spans="1:103" x14ac:dyDescent="0.2">
      <c r="A19">
        <v>58800</v>
      </c>
      <c r="B19" s="1">
        <v>0.75270000000000004</v>
      </c>
      <c r="C19" s="5">
        <v>341</v>
      </c>
      <c r="D19" s="1">
        <v>0</v>
      </c>
      <c r="E19" s="1">
        <v>0</v>
      </c>
      <c r="G19">
        <f t="shared" si="1"/>
        <v>34100</v>
      </c>
      <c r="H19" s="9">
        <f t="shared" si="2"/>
        <v>10393.680000041573</v>
      </c>
      <c r="I19" s="5">
        <f t="shared" si="17"/>
        <v>24881.306711299952</v>
      </c>
      <c r="J19" s="5">
        <v>0</v>
      </c>
      <c r="K19" s="6">
        <f t="shared" si="18"/>
        <v>220.59107999972974</v>
      </c>
      <c r="L19" s="5">
        <f t="shared" si="19"/>
        <v>297.73971404482035</v>
      </c>
      <c r="M19" s="10">
        <f t="shared" si="20"/>
        <v>1.4431888154300194E-5</v>
      </c>
      <c r="O19" s="6">
        <f>B19*L19</f>
        <v>224.10868276153627</v>
      </c>
      <c r="P19" s="1">
        <f>IF(E19=0,0,E19/9.80665)</f>
        <v>0</v>
      </c>
      <c r="Q19" s="7">
        <f>IF(D19=0,0,(D19/O19))</f>
        <v>0</v>
      </c>
      <c r="R19" s="19">
        <f t="shared" si="21"/>
        <v>1</v>
      </c>
      <c r="S19" s="19">
        <f t="shared" si="22"/>
        <v>0</v>
      </c>
      <c r="T19" s="19">
        <f t="shared" si="23"/>
        <v>0</v>
      </c>
      <c r="U19" s="19"/>
      <c r="V19" s="19"/>
      <c r="W19" s="6"/>
      <c r="X19" s="1">
        <f>(A19*9.80665*R19)/(0.7*I19*B19*B19*$N$5)</f>
        <v>0.47742100972057716</v>
      </c>
      <c r="Y19" s="10">
        <f>(SQRT($N$5)*B19)*(I19/M19)*SQRT(1.4/(287.05*K19))</f>
        <v>67507795.173616797</v>
      </c>
      <c r="Z19" s="10">
        <f t="shared" si="24"/>
        <v>2.1559700855114296E-3</v>
      </c>
      <c r="AA19" s="3">
        <f t="shared" si="25"/>
        <v>1.8099988950592116E-2</v>
      </c>
      <c r="AB19" s="3">
        <f t="shared" si="26"/>
        <v>7.5246270816906125E-3</v>
      </c>
      <c r="AC19" s="3">
        <f>IF($E$5="no",(1/((1+0.03+$Q$5)+AB19*3.141593*$S$5)),(1.075/((1+0.03+$Q$5)+AB19*3.141593*$S$5)))</f>
        <v>0.78038956829275219</v>
      </c>
      <c r="AD19" s="3">
        <f t="shared" si="27"/>
        <v>4.2934981868253633E-2</v>
      </c>
      <c r="AE19" s="1">
        <f t="shared" si="28"/>
        <v>0.69146110123150495</v>
      </c>
      <c r="AF19" s="1">
        <f>B19*$R$5/AE19</f>
        <v>0.98657445051166248</v>
      </c>
      <c r="AG19" s="8">
        <f t="shared" si="29"/>
        <v>7.544443488379215E-4</v>
      </c>
      <c r="AH19" s="8"/>
      <c r="AI19" s="3">
        <f t="shared" si="30"/>
        <v>2.8640638945784704E-2</v>
      </c>
      <c r="AJ19" s="1">
        <f t="shared" si="31"/>
        <v>16.669356107044653</v>
      </c>
      <c r="AK19" s="1"/>
      <c r="AL19" s="1">
        <f t="shared" si="32"/>
        <v>5.9990319576734522E-2</v>
      </c>
      <c r="AM19" s="8">
        <f>AL19*(A19*9.80665)/(0.7*I19*B19*B19*$N$5)</f>
        <v>2.86406389457847E-2</v>
      </c>
      <c r="AN19" s="1">
        <f>B19/$AI$5</f>
        <v>1</v>
      </c>
      <c r="AO19" s="1">
        <f>IF(B19&lt;0.4,1.3*(0.4-B19),0)</f>
        <v>0</v>
      </c>
      <c r="AP19" s="1">
        <f t="shared" si="33"/>
        <v>-0.43</v>
      </c>
      <c r="AQ19" s="1">
        <f t="shared" si="34"/>
        <v>0</v>
      </c>
      <c r="AR19" s="1">
        <f t="shared" si="3"/>
        <v>1</v>
      </c>
      <c r="AS19" s="1">
        <f t="shared" si="4"/>
        <v>0.30867472713898642</v>
      </c>
      <c r="AT19" s="1">
        <f>(((1+0.55*B19)/(1+0.55*$AI$5))/(AN19^2))</f>
        <v>1</v>
      </c>
      <c r="AU19" s="1">
        <f t="shared" si="5"/>
        <v>3.465254791234245E-2</v>
      </c>
      <c r="AV19" s="8">
        <f t="shared" si="35"/>
        <v>0.82650889101241398</v>
      </c>
      <c r="AW19" s="8">
        <f t="shared" si="36"/>
        <v>0.98705735909397074</v>
      </c>
      <c r="AX19" s="8"/>
      <c r="AY19" s="4"/>
      <c r="AZ19" s="1">
        <f t="shared" si="37"/>
        <v>0.30467966098885996</v>
      </c>
      <c r="BA19" s="14">
        <f t="shared" si="38"/>
        <v>0.29706266946413845</v>
      </c>
      <c r="BB19" s="1"/>
      <c r="BC19" s="14">
        <f t="shared" si="39"/>
        <v>4.9518434234070234</v>
      </c>
      <c r="BD19" s="14">
        <f>IF(0.7*(AM19*(B19^3)/BA19)*(I19*L19*$N$5/43000000)&lt;$AH$5*(1-0.178*(C19/100)+0.0085*((C19/100)^2)),$AH$5*(1-0.178*(C19/100)+0.0085*((C19/100)^2)),0.7*(AM19*(B19^3)/BA19)*(I19*L19*$N$5/43000000))</f>
        <v>0.60690585200912672</v>
      </c>
      <c r="BE19" s="4">
        <f t="shared" si="6"/>
        <v>2.7080871857825665E-3</v>
      </c>
      <c r="BF19" s="4"/>
      <c r="BG19" s="1">
        <f t="shared" si="7"/>
        <v>0.9306035564049655</v>
      </c>
      <c r="BH19" s="1">
        <f>0.6*$AN$5*(1-0.53*((B19-$AM$5)^2))*(1+((2/3)*AV19))</f>
        <v>5.1936642982429246</v>
      </c>
      <c r="BJ19" s="1">
        <f t="shared" si="8"/>
        <v>6.3421977157565266</v>
      </c>
      <c r="BK19" s="5">
        <f t="shared" si="9"/>
        <v>20.707611337489737</v>
      </c>
      <c r="BL19" s="5">
        <f t="shared" si="40"/>
        <v>1.4858566858080671</v>
      </c>
      <c r="BM19" s="5">
        <f t="shared" si="41"/>
        <v>2.7381547281215535</v>
      </c>
      <c r="BN19" s="1">
        <f t="shared" si="42"/>
        <v>1.1406753109881183</v>
      </c>
      <c r="BO19" s="1">
        <f t="shared" si="43"/>
        <v>3.0686666367040139</v>
      </c>
      <c r="BP19" s="9">
        <f>(1+0.2*B19*B19)*K19</f>
        <v>245.58657689629379</v>
      </c>
      <c r="BQ19" s="9">
        <f t="shared" si="44"/>
        <v>672.45404669177435</v>
      </c>
      <c r="BR19" s="9">
        <f t="shared" si="45"/>
        <v>1275.4942365539719</v>
      </c>
      <c r="BS19" s="9">
        <f t="shared" si="46"/>
        <v>753.6233349440015</v>
      </c>
      <c r="BU19" s="9">
        <f>((1+0.2*B19*B19)^3.5)*I19</f>
        <v>36226.932384375177</v>
      </c>
      <c r="BV19" s="9">
        <f t="shared" si="47"/>
        <v>750173.23576516157</v>
      </c>
      <c r="BX19" s="3">
        <f t="shared" si="10"/>
        <v>2.0349943480380994E-2</v>
      </c>
      <c r="BZ19" s="3">
        <f t="shared" si="11"/>
        <v>3.1887231669674623E-2</v>
      </c>
      <c r="CA19" s="8"/>
      <c r="CB19" s="14">
        <f>$CB$12*($AO$5/K19)/($AN$5*(1-0.53*((B19-$AM$5)^2))*(1+0.2*B19*B19))</f>
        <v>1.338612268122028</v>
      </c>
      <c r="CC19" s="1">
        <f t="shared" si="48"/>
        <v>1.8465306703050701</v>
      </c>
      <c r="CD19" s="3">
        <f t="shared" si="12"/>
        <v>6.3986992524356259E-2</v>
      </c>
      <c r="CE19" s="6">
        <f t="shared" si="13"/>
        <v>2.0066650246471265</v>
      </c>
      <c r="CF19" s="22" t="str">
        <f t="shared" si="49"/>
        <v/>
      </c>
      <c r="CG19" s="22"/>
      <c r="CH19" s="7">
        <f t="shared" si="14"/>
        <v>1.0252725699357936</v>
      </c>
      <c r="CI19" s="23">
        <f>CH19*(0.7*I19*B19*B19)*$N$5/9.80665</f>
        <v>126274.34881323847</v>
      </c>
      <c r="CK19" s="1">
        <f>B19/$AI$5</f>
        <v>1</v>
      </c>
      <c r="CL19" s="14">
        <f t="shared" si="50"/>
        <v>1.4515200000000053</v>
      </c>
      <c r="CM19" s="1">
        <f t="shared" si="51"/>
        <v>0.8569758833631711</v>
      </c>
      <c r="CN19" s="14">
        <f>SQRT((A19*9.80665)/(0.7*I19*$N$5*CM19))</f>
        <v>0.56180859528916594</v>
      </c>
      <c r="CO19" s="1">
        <f t="shared" si="15"/>
        <v>0.55709970255750441</v>
      </c>
      <c r="CP19" s="29" t="str">
        <f>IF(C19&lt;30,"",IF(CO19&gt;1,"no",""))</f>
        <v/>
      </c>
      <c r="CQ19" s="22"/>
      <c r="CR19" s="23">
        <f>CM19*(0.7*I19*B19*B19)*$N$5/9.80665</f>
        <v>105546.63685883161</v>
      </c>
      <c r="CS19"/>
      <c r="CT19" s="6">
        <f t="shared" si="16"/>
        <v>0.8317073170731708</v>
      </c>
      <c r="CU19" s="22" t="str">
        <f t="shared" si="52"/>
        <v/>
      </c>
      <c r="CV19" s="5"/>
      <c r="CW19" s="6">
        <f>IF(C19&lt;100,SQRT(2)*SQRT(SQRT(1+(2/1.4)*(10510/I19))-1),IF(I19&gt;$AW$5,SQRT(2)*SQRT(SQRT(1+(2/1.4)*($AV$5/I19))-1),$AS$5))</f>
        <v>0.82</v>
      </c>
      <c r="CX19" s="22" t="str">
        <f>IF(B19&gt;CW19,"no","")</f>
        <v/>
      </c>
    </row>
    <row r="20" spans="1:103" x14ac:dyDescent="0.2">
      <c r="A20">
        <v>58800</v>
      </c>
      <c r="B20" s="1">
        <v>0.75270000000000004</v>
      </c>
      <c r="C20" s="5">
        <v>341.5</v>
      </c>
      <c r="D20" s="1">
        <v>0</v>
      </c>
      <c r="E20" s="1">
        <v>0</v>
      </c>
      <c r="G20">
        <f t="shared" si="1"/>
        <v>34150</v>
      </c>
      <c r="H20" s="9">
        <f t="shared" si="2"/>
        <v>10408.920000041635</v>
      </c>
      <c r="I20" s="5">
        <f t="shared" si="17"/>
        <v>24822.636980595496</v>
      </c>
      <c r="J20" s="5">
        <v>0</v>
      </c>
      <c r="K20" s="6">
        <f t="shared" si="18"/>
        <v>220.49201999972934</v>
      </c>
      <c r="L20" s="5">
        <f t="shared" si="19"/>
        <v>297.67285411553945</v>
      </c>
      <c r="M20" s="10">
        <f t="shared" si="20"/>
        <v>1.4426485537533106E-5</v>
      </c>
      <c r="O20" s="6">
        <f>B20*L20</f>
        <v>224.05835729276654</v>
      </c>
      <c r="P20" s="1">
        <f>IF(E20=0,0,E20/9.80665)</f>
        <v>0</v>
      </c>
      <c r="Q20" s="7">
        <f>IF(D20=0,0,(D20/O20))</f>
        <v>0</v>
      </c>
      <c r="R20" s="19">
        <f t="shared" si="21"/>
        <v>1</v>
      </c>
      <c r="S20" s="19">
        <f t="shared" si="22"/>
        <v>0</v>
      </c>
      <c r="T20" s="19">
        <f t="shared" si="23"/>
        <v>0</v>
      </c>
      <c r="U20" s="19"/>
      <c r="V20" s="19"/>
      <c r="W20" s="6"/>
      <c r="X20" s="1">
        <f>(A20*9.80665*R20)/(0.7*I20*B20*B20*$N$5)</f>
        <v>0.47854942174605414</v>
      </c>
      <c r="Y20" s="10">
        <f>(SQRT($N$5)*B20)*(I20/M20)*SQRT(1.4/(287.05*K20))</f>
        <v>67388967.184279114</v>
      </c>
      <c r="Z20" s="10">
        <f t="shared" si="24"/>
        <v>2.1565019140719409E-3</v>
      </c>
      <c r="AA20" s="3">
        <f t="shared" si="25"/>
        <v>1.8104453804317848E-2</v>
      </c>
      <c r="AB20" s="3">
        <f t="shared" si="26"/>
        <v>7.5264832352690565E-3</v>
      </c>
      <c r="AC20" s="3">
        <f>IF($E$5="no",(1/((1+0.03+$Q$5)+AB20*3.141593*$S$5)),(1.075/((1+0.03+$Q$5)+AB20*3.141593*$S$5)))</f>
        <v>0.78035583215948057</v>
      </c>
      <c r="AD20" s="3">
        <f t="shared" si="27"/>
        <v>4.2936838021832083E-2</v>
      </c>
      <c r="AE20" s="1">
        <f t="shared" si="28"/>
        <v>0.69132372351213867</v>
      </c>
      <c r="AF20" s="1">
        <f>B20*$R$5/AE20</f>
        <v>0.98677049954540286</v>
      </c>
      <c r="AG20" s="8">
        <f t="shared" si="29"/>
        <v>7.5696036906820871E-4</v>
      </c>
      <c r="AH20" s="8"/>
      <c r="AI20" s="3">
        <f t="shared" si="30"/>
        <v>2.8694360086548257E-2</v>
      </c>
      <c r="AJ20" s="1">
        <f t="shared" si="31"/>
        <v>16.677473214340655</v>
      </c>
      <c r="AK20" s="1"/>
      <c r="AL20" s="1">
        <f t="shared" si="32"/>
        <v>5.996112163682675E-2</v>
      </c>
      <c r="AM20" s="8">
        <f>AL20*(A20*9.80665)/(0.7*I20*B20*B20*$N$5)</f>
        <v>2.8694360086548253E-2</v>
      </c>
      <c r="AN20" s="1">
        <f>B20/$AI$5</f>
        <v>1</v>
      </c>
      <c r="AO20" s="1">
        <f>IF(B20&lt;0.4,1.3*(0.4-B20),0)</f>
        <v>0</v>
      </c>
      <c r="AP20" s="1">
        <f t="shared" si="33"/>
        <v>-0.43</v>
      </c>
      <c r="AQ20" s="1">
        <f t="shared" si="34"/>
        <v>0</v>
      </c>
      <c r="AR20" s="1">
        <f t="shared" si="3"/>
        <v>1</v>
      </c>
      <c r="AS20" s="1">
        <f t="shared" si="4"/>
        <v>0.30867472713898642</v>
      </c>
      <c r="AT20" s="1">
        <f>(((1+0.55*B20)/(1+0.55*$AI$5))/(AN20^2))</f>
        <v>1</v>
      </c>
      <c r="AU20" s="1">
        <f t="shared" si="5"/>
        <v>3.465254791234245E-2</v>
      </c>
      <c r="AV20" s="8">
        <f t="shared" si="35"/>
        <v>0.82805917068880164</v>
      </c>
      <c r="AW20" s="8">
        <f t="shared" si="36"/>
        <v>0.98728763102278427</v>
      </c>
      <c r="AX20" s="8"/>
      <c r="AY20" s="4"/>
      <c r="AZ20" s="1">
        <f t="shared" si="37"/>
        <v>0.30475074011365422</v>
      </c>
      <c r="BA20" s="14">
        <f t="shared" si="38"/>
        <v>0.29713197161081284</v>
      </c>
      <c r="BB20" s="1"/>
      <c r="BC20" s="14">
        <f t="shared" si="39"/>
        <v>4.9554104976635589</v>
      </c>
      <c r="BD20" s="14">
        <f>IF(0.7*(AM20*(B20^3)/BA20)*(I20*L20*$N$5/43000000)&lt;$AH$5*(1-0.178*(C20/100)+0.0085*((C20/100)^2)),$AH$5*(1-0.178*(C20/100)+0.0085*((C20/100)^2)),0.7*(AM20*(B20^3)/BA20)*(I20*L20*$N$5/43000000))</f>
        <v>0.60633279272934526</v>
      </c>
      <c r="BE20" s="4">
        <f t="shared" si="6"/>
        <v>2.7061378118428256E-3</v>
      </c>
      <c r="BF20" s="4"/>
      <c r="BG20" s="1">
        <f t="shared" si="7"/>
        <v>0.9312236682755205</v>
      </c>
      <c r="BH20" s="1">
        <f>0.6*$AN$5*(1-0.53*((B20-$AM$5)^2))*(1+((2/3)*AV20))</f>
        <v>5.1971251198364499</v>
      </c>
      <c r="BJ20" s="1">
        <f t="shared" si="8"/>
        <v>6.3374255506865609</v>
      </c>
      <c r="BK20" s="5">
        <f t="shared" si="9"/>
        <v>20.742125104756354</v>
      </c>
      <c r="BL20" s="5">
        <f t="shared" si="40"/>
        <v>1.4868467931018459</v>
      </c>
      <c r="BM20" s="5">
        <f t="shared" si="41"/>
        <v>2.7396707882820475</v>
      </c>
      <c r="BN20" s="1">
        <f t="shared" si="42"/>
        <v>1.1409278964557417</v>
      </c>
      <c r="BO20" s="1">
        <f t="shared" si="43"/>
        <v>3.0701518125329126</v>
      </c>
      <c r="BP20" s="9">
        <f>(1+0.2*B20*B20)*K20</f>
        <v>245.47629226326384</v>
      </c>
      <c r="BQ20" s="9">
        <f t="shared" si="44"/>
        <v>672.52422712945031</v>
      </c>
      <c r="BR20" s="9">
        <f t="shared" si="45"/>
        <v>1275.7710048457225</v>
      </c>
      <c r="BS20" s="9">
        <f t="shared" si="46"/>
        <v>753.64948362591849</v>
      </c>
      <c r="BU20" s="9">
        <f>((1+0.2*B20*B20)^3.5)*I20</f>
        <v>36141.509846407163</v>
      </c>
      <c r="BV20" s="9">
        <f t="shared" si="47"/>
        <v>749651.71870896104</v>
      </c>
      <c r="BX20" s="3">
        <f t="shared" si="10"/>
        <v>2.035685481714623E-2</v>
      </c>
      <c r="BZ20" s="3">
        <f t="shared" si="11"/>
        <v>3.1949357255826046E-2</v>
      </c>
      <c r="CA20" s="8"/>
      <c r="CB20" s="14">
        <f>$CB$12*($AO$5/K20)/($AN$5*(1-0.53*((B20-$AM$5)^2))*(1+0.2*B20*B20))</f>
        <v>1.3392136637248295</v>
      </c>
      <c r="CC20" s="1">
        <f t="shared" si="48"/>
        <v>1.8480341593120739</v>
      </c>
      <c r="CD20" s="3">
        <f t="shared" si="12"/>
        <v>6.4039092249207147E-2</v>
      </c>
      <c r="CE20" s="6">
        <f t="shared" si="13"/>
        <v>2.0043937577970978</v>
      </c>
      <c r="CF20" s="22" t="str">
        <f t="shared" si="49"/>
        <v/>
      </c>
      <c r="CG20" s="22"/>
      <c r="CH20" s="7">
        <f t="shared" si="14"/>
        <v>1.0257627499881146</v>
      </c>
      <c r="CI20" s="23">
        <f>CH20*(0.7*I20*B20*B20)*$N$5/9.80665</f>
        <v>126036.824951609</v>
      </c>
      <c r="CK20" s="1">
        <f>B20/$AI$5</f>
        <v>1</v>
      </c>
      <c r="CL20" s="14">
        <f t="shared" si="50"/>
        <v>1.4515200000000053</v>
      </c>
      <c r="CM20" s="1">
        <f t="shared" si="51"/>
        <v>0.8569758833631711</v>
      </c>
      <c r="CN20" s="14">
        <f>SQRT((A20*9.80665)/(0.7*I20*$N$5*CM20))</f>
        <v>0.562472136910524</v>
      </c>
      <c r="CO20" s="1">
        <f t="shared" si="15"/>
        <v>0.55841643975791255</v>
      </c>
      <c r="CP20" s="29" t="str">
        <f>IF(C20&lt;30,"",IF(CO20&gt;1,"no",""))</f>
        <v/>
      </c>
      <c r="CQ20" s="22"/>
      <c r="CR20" s="23">
        <f>CM20*(0.7*I20*B20*B20)*$N$5/9.80665</f>
        <v>105297.75954570978</v>
      </c>
      <c r="CS20"/>
      <c r="CT20" s="6">
        <f t="shared" si="16"/>
        <v>0.83292682926829276</v>
      </c>
      <c r="CU20" s="22" t="str">
        <f t="shared" si="52"/>
        <v/>
      </c>
      <c r="CV20" s="5"/>
      <c r="CW20" s="6">
        <f>IF(C20&lt;100,SQRT(2)*SQRT(SQRT(1+(2/1.4)*(10510/I20))-1),IF(I20&gt;$AW$5,SQRT(2)*SQRT(SQRT(1+(2/1.4)*($AV$5/I20))-1),$AS$5))</f>
        <v>0.82</v>
      </c>
      <c r="CX20" s="22" t="str">
        <f>IF(B20&gt;CW20,"no","")</f>
        <v/>
      </c>
    </row>
    <row r="21" spans="1:103" x14ac:dyDescent="0.2">
      <c r="A21">
        <v>58800</v>
      </c>
      <c r="B21" s="1">
        <v>0.75270000000000004</v>
      </c>
      <c r="C21" s="5">
        <v>342</v>
      </c>
      <c r="D21" s="1">
        <v>0</v>
      </c>
      <c r="E21" s="1">
        <v>0</v>
      </c>
      <c r="G21">
        <f t="shared" si="1"/>
        <v>34200</v>
      </c>
      <c r="H21" s="9">
        <f t="shared" si="2"/>
        <v>10424.160000041697</v>
      </c>
      <c r="I21" s="5">
        <f t="shared" si="17"/>
        <v>24764.079321050245</v>
      </c>
      <c r="J21" s="5">
        <v>0</v>
      </c>
      <c r="K21" s="6">
        <f t="shared" si="18"/>
        <v>220.39295999972896</v>
      </c>
      <c r="L21" s="5">
        <f t="shared" si="19"/>
        <v>297.60597916555889</v>
      </c>
      <c r="M21" s="10">
        <f t="shared" si="20"/>
        <v>1.4421081869560408E-5</v>
      </c>
      <c r="O21" s="6">
        <f>B21*L21</f>
        <v>224.00802051791618</v>
      </c>
      <c r="P21" s="1">
        <f>IF(E21=0,0,E21/9.80665)</f>
        <v>0</v>
      </c>
      <c r="Q21" s="7">
        <f>IF(D21=0,0,(D21/O21))</f>
        <v>0</v>
      </c>
      <c r="R21" s="19">
        <f t="shared" si="21"/>
        <v>1</v>
      </c>
      <c r="S21" s="19">
        <f t="shared" si="22"/>
        <v>0</v>
      </c>
      <c r="T21" s="19">
        <f t="shared" si="23"/>
        <v>0</v>
      </c>
      <c r="U21" s="19"/>
      <c r="V21" s="19"/>
      <c r="W21" s="6"/>
      <c r="X21" s="1">
        <f>(A21*9.80665*R21)/(0.7*I21*B21*B21*$N$5)</f>
        <v>0.47968100971065758</v>
      </c>
      <c r="Y21" s="10">
        <f>(SQRT($N$5)*B21)*(I21/M21)*SQRT(1.4/(287.05*K21))</f>
        <v>67270298.120053798</v>
      </c>
      <c r="Z21" s="10">
        <f t="shared" si="24"/>
        <v>2.1570340993436782E-3</v>
      </c>
      <c r="AA21" s="3">
        <f t="shared" si="25"/>
        <v>1.810892165273692E-2</v>
      </c>
      <c r="AB21" s="3">
        <f t="shared" si="26"/>
        <v>7.5283406338179067E-3</v>
      </c>
      <c r="AC21" s="3">
        <f>IF($E$5="no",(1/((1+0.03+$Q$5)+AB21*3.141593*$S$5)),(1.075/((1+0.03+$Q$5)+AB21*3.141593*$S$5)))</f>
        <v>0.78032207631813411</v>
      </c>
      <c r="AD21" s="3">
        <f t="shared" si="27"/>
        <v>4.2938695420380923E-2</v>
      </c>
      <c r="AE21" s="1">
        <f t="shared" si="28"/>
        <v>0.69118595914032266</v>
      </c>
      <c r="AF21" s="1">
        <f>B21*$R$5/AE21</f>
        <v>0.98696717862459815</v>
      </c>
      <c r="AG21" s="8">
        <f t="shared" si="29"/>
        <v>7.5948868367560127E-4</v>
      </c>
      <c r="AH21" s="8"/>
      <c r="AI21" s="3">
        <f t="shared" si="30"/>
        <v>2.8748340984685764E-2</v>
      </c>
      <c r="AJ21" s="1">
        <f t="shared" si="31"/>
        <v>16.685519695421156</v>
      </c>
      <c r="AK21" s="1"/>
      <c r="AL21" s="1">
        <f t="shared" si="32"/>
        <v>5.9932205784061984E-2</v>
      </c>
      <c r="AM21" s="8">
        <f>AL21*(A21*9.80665)/(0.7*I21*B21*B21*$N$5)</f>
        <v>2.8748340984685764E-2</v>
      </c>
      <c r="AN21" s="1">
        <f>B21/$AI$5</f>
        <v>1</v>
      </c>
      <c r="AO21" s="1">
        <f>IF(B21&lt;0.4,1.3*(0.4-B21),0)</f>
        <v>0</v>
      </c>
      <c r="AP21" s="1">
        <f t="shared" si="33"/>
        <v>-0.43</v>
      </c>
      <c r="AQ21" s="1">
        <f t="shared" si="34"/>
        <v>0</v>
      </c>
      <c r="AR21" s="1">
        <f t="shared" si="3"/>
        <v>1</v>
      </c>
      <c r="AS21" s="1">
        <f t="shared" si="4"/>
        <v>0.30867472713898642</v>
      </c>
      <c r="AT21" s="1">
        <f>(((1+0.55*B21)/(1+0.55*$AI$5))/(AN21^2))</f>
        <v>1</v>
      </c>
      <c r="AU21" s="1">
        <f t="shared" si="5"/>
        <v>3.465254791234245E-2</v>
      </c>
      <c r="AV21" s="8">
        <f t="shared" si="35"/>
        <v>0.82961694641929229</v>
      </c>
      <c r="AW21" s="8">
        <f t="shared" si="36"/>
        <v>0.98751693447258093</v>
      </c>
      <c r="AX21" s="8"/>
      <c r="AY21" s="4"/>
      <c r="AZ21" s="1">
        <f t="shared" si="37"/>
        <v>0.30482152029345222</v>
      </c>
      <c r="BA21" s="14">
        <f t="shared" si="38"/>
        <v>0.29720098228611591</v>
      </c>
      <c r="BB21" s="1"/>
      <c r="BC21" s="14">
        <f t="shared" si="39"/>
        <v>4.9589528434335008</v>
      </c>
      <c r="BD21" s="14">
        <f>IF(0.7*(AM21*(B21^3)/BA21)*(I21*L21*$N$5/43000000)&lt;$AH$5*(1-0.178*(C21/100)+0.0085*((C21/100)^2)),$AH$5*(1-0.178*(C21/100)+0.0085*((C21/100)^2)),0.7*(AM21*(B21^3)/BA21)*(I21*L21*$N$5/43000000))</f>
        <v>0.60576354800421806</v>
      </c>
      <c r="BE21" s="4">
        <f t="shared" si="6"/>
        <v>2.7042047271506916E-3</v>
      </c>
      <c r="BF21" s="4"/>
      <c r="BG21" s="1">
        <f t="shared" si="7"/>
        <v>0.93184677856771692</v>
      </c>
      <c r="BH21" s="1">
        <f>0.6*$AN$5*(1-0.53*((B21-$AM$5)^2))*(1+((2/3)*AV21))</f>
        <v>5.2006026755111243</v>
      </c>
      <c r="BJ21" s="1">
        <f t="shared" si="8"/>
        <v>6.3326371239163759</v>
      </c>
      <c r="BK21" s="5">
        <f t="shared" si="9"/>
        <v>20.77684049859495</v>
      </c>
      <c r="BL21" s="5">
        <f t="shared" si="40"/>
        <v>1.4878416878529819</v>
      </c>
      <c r="BM21" s="5">
        <f t="shared" si="41"/>
        <v>2.7411940071443155</v>
      </c>
      <c r="BN21" s="1">
        <f t="shared" si="42"/>
        <v>1.1411815901643592</v>
      </c>
      <c r="BO21" s="1">
        <f t="shared" si="43"/>
        <v>3.0716460716816658</v>
      </c>
      <c r="BP21" s="9">
        <f>(1+0.2*B21*B21)*K21</f>
        <v>245.36600763023395</v>
      </c>
      <c r="BQ21" s="9">
        <f t="shared" si="44"/>
        <v>672.59582967292374</v>
      </c>
      <c r="BR21" s="9">
        <f t="shared" si="45"/>
        <v>1276.0511157612777</v>
      </c>
      <c r="BS21" s="9">
        <f t="shared" si="46"/>
        <v>753.67753346162181</v>
      </c>
      <c r="BU21" s="9">
        <f>((1+0.2*B21*B21)^3.5)*I21</f>
        <v>36056.250482920048</v>
      </c>
      <c r="BV21" s="9">
        <f t="shared" si="47"/>
        <v>749134.96526101697</v>
      </c>
      <c r="BX21" s="3">
        <f t="shared" si="10"/>
        <v>2.0363834513891718E-2</v>
      </c>
      <c r="BZ21" s="3">
        <f t="shared" si="11"/>
        <v>3.2011768147288518E-2</v>
      </c>
      <c r="CA21" s="8"/>
      <c r="CB21" s="14">
        <f>$CB$12*($AO$5/K21)/($AN$5*(1-0.53*((B21-$AM$5)^2))*(1+0.2*B21*B21))</f>
        <v>1.339815599946065</v>
      </c>
      <c r="CC21" s="1">
        <f t="shared" si="48"/>
        <v>1.8495389998651626</v>
      </c>
      <c r="CD21" s="3">
        <f t="shared" si="12"/>
        <v>6.4091238808573481E-2</v>
      </c>
      <c r="CE21" s="6">
        <f t="shared" si="13"/>
        <v>2.0021149257886957</v>
      </c>
      <c r="CF21" s="22" t="str">
        <f t="shared" si="49"/>
        <v/>
      </c>
      <c r="CG21" s="22"/>
      <c r="CH21" s="7">
        <f t="shared" si="14"/>
        <v>1.0262529966186311</v>
      </c>
      <c r="CI21" s="23">
        <f>CH21*(0.7*I21*B21*B21)*$N$5/9.80665</f>
        <v>125799.59385420466</v>
      </c>
      <c r="CK21" s="1">
        <f>B21/$AI$5</f>
        <v>1</v>
      </c>
      <c r="CL21" s="14">
        <f t="shared" si="50"/>
        <v>1.4515200000000053</v>
      </c>
      <c r="CM21" s="1">
        <f t="shared" si="51"/>
        <v>0.8569758833631711</v>
      </c>
      <c r="CN21" s="14">
        <f>SQRT((A21*9.80665)/(0.7*I21*$N$5*CM21))</f>
        <v>0.56313676093200504</v>
      </c>
      <c r="CO21" s="1">
        <f t="shared" si="15"/>
        <v>0.55973688294257085</v>
      </c>
      <c r="CP21" s="29" t="str">
        <f>IF(C21&lt;30,"",IF(CO21&gt;1,"no",""))</f>
        <v/>
      </c>
      <c r="CQ21" s="22"/>
      <c r="CR21" s="23">
        <f>CM21*(0.7*I21*B21*B21)*$N$5/9.80665</f>
        <v>105049.35763904788</v>
      </c>
      <c r="CS21"/>
      <c r="CT21" s="6">
        <f t="shared" si="16"/>
        <v>0.83414634146341471</v>
      </c>
      <c r="CU21" s="22" t="str">
        <f t="shared" si="52"/>
        <v/>
      </c>
      <c r="CV21" s="5"/>
      <c r="CW21" s="6">
        <f>IF(C21&lt;100,SQRT(2)*SQRT(SQRT(1+(2/1.4)*(10510/I21))-1),IF(I21&gt;$AW$5,SQRT(2)*SQRT(SQRT(1+(2/1.4)*($AV$5/I21))-1),$AS$5))</f>
        <v>0.82</v>
      </c>
      <c r="CX21" s="22" t="str">
        <f>IF(B21&gt;CW21,"no","")</f>
        <v/>
      </c>
    </row>
    <row r="22" spans="1:103" x14ac:dyDescent="0.2">
      <c r="A22">
        <v>58800</v>
      </c>
      <c r="B22" s="1">
        <v>0.75270000000000004</v>
      </c>
      <c r="C22" s="5">
        <v>342.5</v>
      </c>
      <c r="D22" s="1">
        <v>0</v>
      </c>
      <c r="E22" s="1">
        <v>0</v>
      </c>
      <c r="G22">
        <f t="shared" si="1"/>
        <v>34250</v>
      </c>
      <c r="H22" s="9">
        <f t="shared" si="2"/>
        <v>10439.400000041756</v>
      </c>
      <c r="I22" s="5">
        <f t="shared" si="17"/>
        <v>24705.633568813791</v>
      </c>
      <c r="J22" s="5">
        <v>0</v>
      </c>
      <c r="K22" s="6">
        <f t="shared" si="18"/>
        <v>220.29389999972858</v>
      </c>
      <c r="L22" s="5">
        <f t="shared" si="19"/>
        <v>297.53908918475054</v>
      </c>
      <c r="M22" s="10">
        <f t="shared" si="20"/>
        <v>1.4415677149928444E-5</v>
      </c>
      <c r="O22" s="6">
        <f>B22*L22</f>
        <v>223.95767242936174</v>
      </c>
      <c r="P22" s="1">
        <f>IF(E22=0,0,E22/9.80665)</f>
        <v>0</v>
      </c>
      <c r="Q22" s="7">
        <f>IF(D22=0,0,(D22/O22))</f>
        <v>0</v>
      </c>
      <c r="R22" s="19">
        <f t="shared" si="21"/>
        <v>1</v>
      </c>
      <c r="S22" s="19">
        <f t="shared" si="22"/>
        <v>0</v>
      </c>
      <c r="T22" s="19">
        <f t="shared" si="23"/>
        <v>0</v>
      </c>
      <c r="U22" s="19"/>
      <c r="V22" s="19"/>
      <c r="W22" s="6"/>
      <c r="X22" s="1">
        <f>(A22*9.80665*R22)/(0.7*I22*B22*B22*$N$5)</f>
        <v>0.48081578398665376</v>
      </c>
      <c r="Y22" s="10">
        <f>(SQRT($N$5)*B22)*(I22/M22)*SQRT(1.4/(287.05*K22))</f>
        <v>67151787.834883556</v>
      </c>
      <c r="Z22" s="10">
        <f t="shared" si="24"/>
        <v>2.1575666417206663E-3</v>
      </c>
      <c r="AA22" s="3">
        <f t="shared" si="25"/>
        <v>1.8113392499157277E-2</v>
      </c>
      <c r="AB22" s="3">
        <f t="shared" si="26"/>
        <v>7.5301992787123609E-3</v>
      </c>
      <c r="AC22" s="3">
        <f>IF($E$5="no",(1/((1+0.03+$Q$5)+AB22*3.141593*$S$5)),(1.075/((1+0.03+$Q$5)+AB22*3.141593*$S$5)))</f>
        <v>0.78028830074921673</v>
      </c>
      <c r="AD22" s="3">
        <f t="shared" si="27"/>
        <v>4.2940554065275381E-2</v>
      </c>
      <c r="AE22" s="1">
        <f t="shared" si="28"/>
        <v>0.69104780685329259</v>
      </c>
      <c r="AF22" s="1">
        <f>B22*$R$5/AE22</f>
        <v>0.98716449026005715</v>
      </c>
      <c r="AG22" s="8">
        <f t="shared" si="29"/>
        <v>7.6202936552819669E-4</v>
      </c>
      <c r="AH22" s="8"/>
      <c r="AI22" s="3">
        <f t="shared" si="30"/>
        <v>2.8802583106143607E-2</v>
      </c>
      <c r="AJ22" s="1">
        <f t="shared" si="31"/>
        <v>16.69349524015766</v>
      </c>
      <c r="AK22" s="1"/>
      <c r="AL22" s="1">
        <f t="shared" si="32"/>
        <v>5.9903572356399801E-2</v>
      </c>
      <c r="AM22" s="8">
        <f>AL22*(A22*9.80665)/(0.7*I22*B22*B22*$N$5)</f>
        <v>2.8802583106143604E-2</v>
      </c>
      <c r="AN22" s="1">
        <f>B22/$AI$5</f>
        <v>1</v>
      </c>
      <c r="AO22" s="1">
        <f>IF(B22&lt;0.4,1.3*(0.4-B22),0)</f>
        <v>0</v>
      </c>
      <c r="AP22" s="1">
        <f t="shared" si="33"/>
        <v>-0.43</v>
      </c>
      <c r="AQ22" s="1">
        <f t="shared" si="34"/>
        <v>0</v>
      </c>
      <c r="AR22" s="1">
        <f t="shared" si="3"/>
        <v>1</v>
      </c>
      <c r="AS22" s="1">
        <f t="shared" si="4"/>
        <v>0.30867472713898642</v>
      </c>
      <c r="AT22" s="1">
        <f>(((1+0.55*B22)/(1+0.55*$AI$5))/(AN22^2))</f>
        <v>1</v>
      </c>
      <c r="AU22" s="1">
        <f t="shared" si="5"/>
        <v>3.465254791234245E-2</v>
      </c>
      <c r="AV22" s="8">
        <f t="shared" si="35"/>
        <v>0.83118226050802968</v>
      </c>
      <c r="AW22" s="8">
        <f t="shared" si="36"/>
        <v>0.98774524545811315</v>
      </c>
      <c r="AX22" s="8"/>
      <c r="AY22" s="4"/>
      <c r="AZ22" s="1">
        <f t="shared" si="37"/>
        <v>0.30489199412461426</v>
      </c>
      <c r="BA22" s="14">
        <f t="shared" si="38"/>
        <v>0.29726969427149891</v>
      </c>
      <c r="BB22" s="1"/>
      <c r="BC22" s="14">
        <f t="shared" si="39"/>
        <v>4.9624702263643901</v>
      </c>
      <c r="BD22" s="14">
        <f>IF(0.7*(AM22*(B22^3)/BA22)*(I22*L22*$N$5/43000000)&lt;$AH$5*(1-0.178*(C22/100)+0.0085*((C22/100)^2)),$AH$5*(1-0.178*(C22/100)+0.0085*((C22/100)^2)),0.7*(AM22*(B22^3)/BA22)*(I22*L22*$N$5/43000000))</f>
        <v>0.60519812971499232</v>
      </c>
      <c r="BE22" s="4">
        <f t="shared" si="6"/>
        <v>2.7022879955402165E-3</v>
      </c>
      <c r="BF22" s="4"/>
      <c r="BG22" s="1">
        <f t="shared" si="7"/>
        <v>0.93247290420321183</v>
      </c>
      <c r="BH22" s="1">
        <f>0.6*$AN$5*(1-0.53*((B22-$AM$5)^2))*(1+((2/3)*AV22))</f>
        <v>5.2040970597060943</v>
      </c>
      <c r="BJ22" s="1">
        <f t="shared" si="8"/>
        <v>6.327832389890812</v>
      </c>
      <c r="BK22" s="5">
        <f t="shared" si="9"/>
        <v>20.811758977674941</v>
      </c>
      <c r="BL22" s="5">
        <f t="shared" si="40"/>
        <v>1.4888413970795937</v>
      </c>
      <c r="BM22" s="5">
        <f t="shared" si="41"/>
        <v>2.7427244237152575</v>
      </c>
      <c r="BN22" s="1">
        <f t="shared" si="42"/>
        <v>1.1414363974897168</v>
      </c>
      <c r="BO22" s="1">
        <f t="shared" si="43"/>
        <v>3.0731494776607087</v>
      </c>
      <c r="BP22" s="9">
        <f>(1+0.2*B22*B22)*K22</f>
        <v>245.25572299720403</v>
      </c>
      <c r="BQ22" s="9">
        <f t="shared" si="44"/>
        <v>672.66886152037523</v>
      </c>
      <c r="BR22" s="9">
        <f t="shared" si="45"/>
        <v>1276.3345869258419</v>
      </c>
      <c r="BS22" s="9">
        <f t="shared" si="46"/>
        <v>753.70749702215699</v>
      </c>
      <c r="BU22" s="9">
        <f>((1+0.2*B22*B22)^3.5)*I22</f>
        <v>35971.154055349289</v>
      </c>
      <c r="BV22" s="9">
        <f t="shared" si="47"/>
        <v>748622.98834874388</v>
      </c>
      <c r="BX22" s="3">
        <f t="shared" si="10"/>
        <v>2.0370882942300751E-2</v>
      </c>
      <c r="BZ22" s="3">
        <f t="shared" si="11"/>
        <v>3.2074465899204783E-2</v>
      </c>
      <c r="CA22" s="8"/>
      <c r="CB22" s="14">
        <f>$CB$12*($AO$5/K22)/($AN$5*(1-0.53*((B22-$AM$5)^2))*(1+0.2*B22*B22))</f>
        <v>1.3404180775150367</v>
      </c>
      <c r="CC22" s="1">
        <f t="shared" si="48"/>
        <v>1.8510451937875918</v>
      </c>
      <c r="CD22" s="3">
        <f t="shared" si="12"/>
        <v>6.4143432265635736E-2</v>
      </c>
      <c r="CE22" s="6">
        <f t="shared" si="13"/>
        <v>1.9998285386016679</v>
      </c>
      <c r="CF22" s="22" t="str">
        <f t="shared" si="49"/>
        <v/>
      </c>
      <c r="CG22" s="22"/>
      <c r="CH22" s="7">
        <f t="shared" si="14"/>
        <v>1.0267433094865408</v>
      </c>
      <c r="CI22" s="23">
        <f>CH22*(0.7*I22*B22*B22)*$N$5/9.80665</f>
        <v>125562.65540459962</v>
      </c>
      <c r="CK22" s="1">
        <f>B22/$AI$5</f>
        <v>1</v>
      </c>
      <c r="CL22" s="14">
        <f t="shared" si="50"/>
        <v>1.4515200000000053</v>
      </c>
      <c r="CM22" s="1">
        <f t="shared" si="51"/>
        <v>0.8569758833631711</v>
      </c>
      <c r="CN22" s="14">
        <f>SQRT((A22*9.80665)/(0.7*I22*$N$5*CM22))</f>
        <v>0.56380246960696745</v>
      </c>
      <c r="CO22" s="1">
        <f t="shared" si="15"/>
        <v>0.5610610442148144</v>
      </c>
      <c r="CP22" s="29" t="str">
        <f>IF(C22&lt;30,"",IF(CO22&gt;1,"no",""))</f>
        <v/>
      </c>
      <c r="CQ22" s="22"/>
      <c r="CR22" s="23">
        <f>CM22*(0.7*I22*B22*B22)*$N$5/9.80665</f>
        <v>104801.4304437917</v>
      </c>
      <c r="CS22"/>
      <c r="CT22" s="6">
        <f t="shared" si="16"/>
        <v>0.83536585365853666</v>
      </c>
      <c r="CU22" s="22" t="str">
        <f t="shared" si="52"/>
        <v/>
      </c>
      <c r="CV22" s="5"/>
      <c r="CW22" s="6">
        <f>IF(C22&lt;100,SQRT(2)*SQRT(SQRT(1+(2/1.4)*(10510/I22))-1),IF(I22&gt;$AW$5,SQRT(2)*SQRT(SQRT(1+(2/1.4)*($AV$5/I22))-1),$AS$5))</f>
        <v>0.82</v>
      </c>
      <c r="CX22" s="22" t="str">
        <f>IF(B22&gt;CW22,"no","")</f>
        <v/>
      </c>
    </row>
    <row r="23" spans="1:103" x14ac:dyDescent="0.2">
      <c r="A23">
        <v>58800</v>
      </c>
      <c r="B23" s="1">
        <v>0.75270000000000004</v>
      </c>
      <c r="C23" s="5">
        <v>343</v>
      </c>
      <c r="D23" s="1">
        <v>0</v>
      </c>
      <c r="E23" s="1">
        <v>0</v>
      </c>
      <c r="G23">
        <f t="shared" si="1"/>
        <v>34300</v>
      </c>
      <c r="H23" s="9">
        <f t="shared" si="2"/>
        <v>10454.640000041818</v>
      </c>
      <c r="I23" s="5">
        <f t="shared" si="17"/>
        <v>24647.2995602017</v>
      </c>
      <c r="J23" s="5">
        <v>0</v>
      </c>
      <c r="K23" s="6">
        <f t="shared" si="18"/>
        <v>220.19483999972817</v>
      </c>
      <c r="L23" s="5">
        <f t="shared" si="19"/>
        <v>297.47218416297477</v>
      </c>
      <c r="M23" s="10">
        <f t="shared" si="20"/>
        <v>1.441027137818341E-5</v>
      </c>
      <c r="O23" s="6">
        <f>B23*L23</f>
        <v>223.90731301947113</v>
      </c>
      <c r="P23" s="1">
        <f>IF(E23=0,0,E23/9.80665)</f>
        <v>0</v>
      </c>
      <c r="Q23" s="7">
        <f>IF(D23=0,0,(D23/O23))</f>
        <v>0</v>
      </c>
      <c r="R23" s="19">
        <f t="shared" si="21"/>
        <v>1</v>
      </c>
      <c r="S23" s="19">
        <f t="shared" si="22"/>
        <v>0</v>
      </c>
      <c r="T23" s="19">
        <f t="shared" si="23"/>
        <v>0</v>
      </c>
      <c r="U23" s="19"/>
      <c r="V23" s="19"/>
      <c r="W23" s="6"/>
      <c r="X23" s="1">
        <f>(A23*9.80665*R23)/(0.7*I23*B23*B23*$N$5)</f>
        <v>0.48195375498487208</v>
      </c>
      <c r="Y23" s="10">
        <f>(SQRT($N$5)*B23)*(I23/M23)*SQRT(1.4/(287.05*K23))</f>
        <v>67033436.182784468</v>
      </c>
      <c r="Z23" s="10">
        <f t="shared" si="24"/>
        <v>2.1580995415975412E-3</v>
      </c>
      <c r="AA23" s="3">
        <f t="shared" si="25"/>
        <v>1.8117866346892005E-2</v>
      </c>
      <c r="AB23" s="3">
        <f t="shared" si="26"/>
        <v>7.5320591713297531E-3</v>
      </c>
      <c r="AC23" s="3">
        <f>IF($E$5="no",(1/((1+0.03+$Q$5)+AB23*3.141593*$S$5)),(1.075/((1+0.03+$Q$5)+AB23*3.141593*$S$5)))</f>
        <v>0.7802545054332054</v>
      </c>
      <c r="AD23" s="3">
        <f t="shared" si="27"/>
        <v>4.2942413957892764E-2</v>
      </c>
      <c r="AE23" s="1">
        <f t="shared" si="28"/>
        <v>0.69090926538358954</v>
      </c>
      <c r="AF23" s="1">
        <f>B23*$R$5/AE23</f>
        <v>0.98736243697487414</v>
      </c>
      <c r="AG23" s="8">
        <f t="shared" si="29"/>
        <v>7.6458248799909305E-4</v>
      </c>
      <c r="AH23" s="8"/>
      <c r="AI23" s="3">
        <f t="shared" si="30"/>
        <v>2.8857087925911164E-2</v>
      </c>
      <c r="AJ23" s="1">
        <f t="shared" si="31"/>
        <v>16.701399539075439</v>
      </c>
      <c r="AK23" s="1"/>
      <c r="AL23" s="1">
        <f t="shared" si="32"/>
        <v>5.9875221693867595E-2</v>
      </c>
      <c r="AM23" s="8">
        <f>AL23*(A23*9.80665)/(0.7*I23*B23*B23*$N$5)</f>
        <v>2.885708792591116E-2</v>
      </c>
      <c r="AN23" s="1">
        <f>B23/$AI$5</f>
        <v>1</v>
      </c>
      <c r="AO23" s="1">
        <f>IF(B23&lt;0.4,1.3*(0.4-B23),0)</f>
        <v>0</v>
      </c>
      <c r="AP23" s="1">
        <f t="shared" si="33"/>
        <v>-0.43</v>
      </c>
      <c r="AQ23" s="1">
        <f t="shared" si="34"/>
        <v>0</v>
      </c>
      <c r="AR23" s="1">
        <f t="shared" si="3"/>
        <v>1</v>
      </c>
      <c r="AS23" s="1">
        <f t="shared" si="4"/>
        <v>0.30867472713898642</v>
      </c>
      <c r="AT23" s="1">
        <f>(((1+0.55*B23)/(1+0.55*$AI$5))/(AN23^2))</f>
        <v>1</v>
      </c>
      <c r="AU23" s="1">
        <f t="shared" si="5"/>
        <v>3.465254791234245E-2</v>
      </c>
      <c r="AV23" s="8">
        <f t="shared" si="35"/>
        <v>0.83275515552012036</v>
      </c>
      <c r="AW23" s="8">
        <f t="shared" si="36"/>
        <v>0.9879725396578074</v>
      </c>
      <c r="AX23" s="8"/>
      <c r="AY23" s="4"/>
      <c r="AZ23" s="1">
        <f t="shared" si="37"/>
        <v>0.30496215409968513</v>
      </c>
      <c r="BA23" s="14">
        <f t="shared" si="38"/>
        <v>0.29733810024719298</v>
      </c>
      <c r="BB23" s="1"/>
      <c r="BC23" s="14">
        <f t="shared" si="39"/>
        <v>4.9659624104180358</v>
      </c>
      <c r="BD23" s="14">
        <f>IF(0.7*(AM23*(B23^3)/BA23)*(I23*L23*$N$5/43000000)&lt;$AH$5*(1-0.178*(C23/100)+0.0085*((C23/100)^2)),$AH$5*(1-0.178*(C23/100)+0.0085*((C23/100)^2)),0.7*(AM23*(B23^3)/BA23)*(I23*L23*$N$5/43000000))</f>
        <v>0.60463654992267646</v>
      </c>
      <c r="BE23" s="4">
        <f t="shared" si="6"/>
        <v>2.7003876817104982E-3</v>
      </c>
      <c r="BF23" s="4"/>
      <c r="BG23" s="1">
        <f t="shared" si="7"/>
        <v>0.93310206220804814</v>
      </c>
      <c r="BH23" s="1">
        <f>0.6*$AN$5*(1-0.53*((B23-$AM$5)^2))*(1+((2/3)*AV23))</f>
        <v>5.2076083674430809</v>
      </c>
      <c r="BJ23" s="1">
        <f t="shared" si="8"/>
        <v>6.3230113030999009</v>
      </c>
      <c r="BK23" s="5">
        <f t="shared" si="9"/>
        <v>20.846882013073035</v>
      </c>
      <c r="BL23" s="5">
        <f t="shared" si="40"/>
        <v>1.4898459479664687</v>
      </c>
      <c r="BM23" s="5">
        <f t="shared" si="41"/>
        <v>2.7442620772297639</v>
      </c>
      <c r="BN23" s="1">
        <f t="shared" si="42"/>
        <v>1.1416923238331844</v>
      </c>
      <c r="BO23" s="1">
        <f t="shared" si="43"/>
        <v>3.0746620944515795</v>
      </c>
      <c r="BP23" s="9">
        <f>(1+0.2*B23*B23)*K23</f>
        <v>245.14543836417411</v>
      </c>
      <c r="BQ23" s="9">
        <f t="shared" si="44"/>
        <v>672.74332990866947</v>
      </c>
      <c r="BR23" s="9">
        <f t="shared" si="45"/>
        <v>1276.6214360657752</v>
      </c>
      <c r="BS23" s="9">
        <f t="shared" si="46"/>
        <v>753.73938696604216</v>
      </c>
      <c r="BU23" s="9">
        <f>((1+0.2*B23*B23)^3.5)*I23</f>
        <v>35886.220325371993</v>
      </c>
      <c r="BV23" s="9">
        <f t="shared" si="47"/>
        <v>748115.80101817334</v>
      </c>
      <c r="BX23" s="3">
        <f t="shared" si="10"/>
        <v>2.0378000476302355E-2</v>
      </c>
      <c r="BZ23" s="3">
        <f t="shared" si="11"/>
        <v>3.2137452076112336E-2</v>
      </c>
      <c r="CA23" s="8"/>
      <c r="CB23" s="14">
        <f>$CB$12*($AO$5/K23)/($AN$5*(1-0.53*((B23-$AM$5)^2))*(1+0.2*B23*B23))</f>
        <v>1.3410210971623608</v>
      </c>
      <c r="CC23" s="1">
        <f t="shared" si="48"/>
        <v>1.8525527429059021</v>
      </c>
      <c r="CD23" s="3">
        <f t="shared" si="12"/>
        <v>6.4195672683688199E-2</v>
      </c>
      <c r="CE23" s="6">
        <f t="shared" si="13"/>
        <v>1.9975346064041162</v>
      </c>
      <c r="CF23" s="22" t="str">
        <f t="shared" si="49"/>
        <v/>
      </c>
      <c r="CG23" s="22"/>
      <c r="CH23" s="7">
        <f t="shared" si="14"/>
        <v>1.0272336882470892</v>
      </c>
      <c r="CI23" s="23">
        <f>CH23*(0.7*I23*B23*B23)*$N$5/9.80665</f>
        <v>125326.00948575404</v>
      </c>
      <c r="CK23" s="1">
        <f>B23/$AI$5</f>
        <v>1</v>
      </c>
      <c r="CL23" s="14">
        <f t="shared" si="50"/>
        <v>1.4515200000000053</v>
      </c>
      <c r="CM23" s="1">
        <f t="shared" si="51"/>
        <v>0.8569758833631711</v>
      </c>
      <c r="CN23" s="14">
        <f>SQRT((A23*9.80665)/(0.7*I23*$N$5*CM23))</f>
        <v>0.56446926519447826</v>
      </c>
      <c r="CO23" s="1">
        <f t="shared" si="15"/>
        <v>0.56238893572297721</v>
      </c>
      <c r="CP23" s="29" t="str">
        <f>IF(C23&lt;30,"",IF(CO23&gt;1,"no",""))</f>
        <v/>
      </c>
      <c r="CQ23" s="22"/>
      <c r="CR23" s="23">
        <f>CM23*(0.7*I23*B23*B23)*$N$5/9.80665</f>
        <v>104553.97726559087</v>
      </c>
      <c r="CS23"/>
      <c r="CT23" s="6">
        <f t="shared" si="16"/>
        <v>0.83658536585365861</v>
      </c>
      <c r="CU23" s="22" t="str">
        <f t="shared" si="52"/>
        <v/>
      </c>
      <c r="CV23" s="5"/>
      <c r="CW23" s="6">
        <f>IF(C23&lt;100,SQRT(2)*SQRT(SQRT(1+(2/1.4)*(10510/I23))-1),IF(I23&gt;$AW$5,SQRT(2)*SQRT(SQRT(1+(2/1.4)*($AV$5/I23))-1),$AS$5))</f>
        <v>0.82</v>
      </c>
      <c r="CX23" s="22" t="str">
        <f>IF(B23&gt;CW23,"no","")</f>
        <v/>
      </c>
    </row>
    <row r="24" spans="1:103" x14ac:dyDescent="0.2">
      <c r="A24">
        <v>58800</v>
      </c>
      <c r="B24" s="1">
        <v>0.75270000000000004</v>
      </c>
      <c r="C24" s="5">
        <v>343.5</v>
      </c>
      <c r="D24" s="1">
        <v>0</v>
      </c>
      <c r="E24" s="1">
        <v>0</v>
      </c>
      <c r="G24">
        <f t="shared" si="1"/>
        <v>34350</v>
      </c>
      <c r="H24" s="9">
        <f t="shared" si="2"/>
        <v>10469.88000004188</v>
      </c>
      <c r="I24" s="5">
        <f t="shared" si="17"/>
        <v>24589.077131695511</v>
      </c>
      <c r="J24" s="5">
        <v>0</v>
      </c>
      <c r="K24" s="6">
        <f t="shared" si="18"/>
        <v>220.09577999972777</v>
      </c>
      <c r="L24" s="5">
        <f t="shared" si="19"/>
        <v>297.40526409008061</v>
      </c>
      <c r="M24" s="10">
        <f t="shared" si="20"/>
        <v>1.4404864553871187E-5</v>
      </c>
      <c r="O24" s="6">
        <f>B24*L24</f>
        <v>223.85694228060368</v>
      </c>
      <c r="P24" s="1">
        <f>IF(E24=0,0,E24/9.80665)</f>
        <v>0</v>
      </c>
      <c r="Q24" s="7">
        <f>IF(D24=0,0,(D24/O24))</f>
        <v>0</v>
      </c>
      <c r="R24" s="19">
        <f t="shared" si="21"/>
        <v>1</v>
      </c>
      <c r="S24" s="19">
        <f t="shared" si="22"/>
        <v>0</v>
      </c>
      <c r="T24" s="19">
        <f t="shared" si="23"/>
        <v>0</v>
      </c>
      <c r="U24" s="19"/>
      <c r="V24" s="19"/>
      <c r="W24" s="6"/>
      <c r="X24" s="1">
        <f>(A24*9.80665*R24)/(0.7*I24*B24*B24*$N$5)</f>
        <v>0.48309493315486218</v>
      </c>
      <c r="Y24" s="10">
        <f>(SQRT($N$5)*B24)*(I24/M24)*SQRT(1.4/(287.05*K24))</f>
        <v>66915243.017847151</v>
      </c>
      <c r="Z24" s="10">
        <f t="shared" si="24"/>
        <v>2.1586327993695495E-3</v>
      </c>
      <c r="AA24" s="3">
        <f t="shared" si="25"/>
        <v>1.8122343199259313E-2</v>
      </c>
      <c r="AB24" s="3">
        <f t="shared" si="26"/>
        <v>7.5339203130495485E-3</v>
      </c>
      <c r="AC24" s="3">
        <f>IF($E$5="no",(1/((1+0.03+$Q$5)+AB24*3.141593*$S$5)),(1.075/((1+0.03+$Q$5)+AB24*3.141593*$S$5)))</f>
        <v>0.78022069035054864</v>
      </c>
      <c r="AD24" s="3">
        <f t="shared" si="27"/>
        <v>4.2944275099612572E-2</v>
      </c>
      <c r="AE24" s="1">
        <f t="shared" si="28"/>
        <v>0.69077033345904049</v>
      </c>
      <c r="AF24" s="1">
        <f>B24*$R$5/AE24</f>
        <v>0.98756102130450141</v>
      </c>
      <c r="AG24" s="8">
        <f t="shared" si="29"/>
        <v>7.671481249703902E-4</v>
      </c>
      <c r="AH24" s="8"/>
      <c r="AI24" s="3">
        <f t="shared" si="30"/>
        <v>2.8911856928080924E-2</v>
      </c>
      <c r="AJ24" s="1">
        <f t="shared" si="31"/>
        <v>16.709232283369925</v>
      </c>
      <c r="AK24" s="1"/>
      <c r="AL24" s="1">
        <f t="shared" si="32"/>
        <v>5.9847154138569413E-2</v>
      </c>
      <c r="AM24" s="8">
        <f>AL24*(A24*9.80665)/(0.7*I24*B24*B24*$N$5)</f>
        <v>2.8911856928080921E-2</v>
      </c>
      <c r="AN24" s="1">
        <f>B24/$AI$5</f>
        <v>1</v>
      </c>
      <c r="AO24" s="1">
        <f>IF(B24&lt;0.4,1.3*(0.4-B24),0)</f>
        <v>0</v>
      </c>
      <c r="AP24" s="1">
        <f t="shared" si="33"/>
        <v>-0.43</v>
      </c>
      <c r="AQ24" s="1">
        <f t="shared" si="34"/>
        <v>0</v>
      </c>
      <c r="AR24" s="1">
        <f t="shared" si="3"/>
        <v>1</v>
      </c>
      <c r="AS24" s="1">
        <f t="shared" si="4"/>
        <v>0.30867472713898642</v>
      </c>
      <c r="AT24" s="1">
        <f>(((1+0.55*B24)/(1+0.55*$AI$5))/(AN24^2))</f>
        <v>1</v>
      </c>
      <c r="AU24" s="1">
        <f t="shared" si="5"/>
        <v>3.465254791234245E-2</v>
      </c>
      <c r="AV24" s="8">
        <f t="shared" si="35"/>
        <v>0.83433567428336708</v>
      </c>
      <c r="AW24" s="8">
        <f t="shared" si="36"/>
        <v>0.98819879240948694</v>
      </c>
      <c r="AX24" s="8"/>
      <c r="AY24" s="4"/>
      <c r="AZ24" s="1">
        <f t="shared" si="37"/>
        <v>0.30503199260607428</v>
      </c>
      <c r="BA24" s="14">
        <f t="shared" si="38"/>
        <v>0.2974061927909224</v>
      </c>
      <c r="BB24" s="1"/>
      <c r="BC24" s="14">
        <f t="shared" si="39"/>
        <v>4.9694291578562204</v>
      </c>
      <c r="BD24" s="14">
        <f>IF(0.7*(AM24*(B24^3)/BA24)*(I24*L24*$N$5/43000000)&lt;$AH$5*(1-0.178*(C24/100)+0.0085*((C24/100)^2)),$AH$5*(1-0.178*(C24/100)+0.0085*((C24/100)^2)),0.7*(AM24*(B24^3)/BA24)*(I24*L24*$N$5/43000000))</f>
        <v>0.60407882087060827</v>
      </c>
      <c r="BE24" s="4">
        <f t="shared" si="6"/>
        <v>2.6985038512381634E-3</v>
      </c>
      <c r="BF24" s="4"/>
      <c r="BG24" s="1">
        <f t="shared" si="7"/>
        <v>0.93373426971334683</v>
      </c>
      <c r="BH24" s="1">
        <f>0.6*$AN$5*(1-0.53*((B24-$AM$5)^2))*(1+((2/3)*AV24))</f>
        <v>5.211136694330242</v>
      </c>
      <c r="BJ24" s="1">
        <f t="shared" si="8"/>
        <v>6.3181738180811546</v>
      </c>
      <c r="BK24" s="5">
        <f t="shared" si="9"/>
        <v>20.88221108839452</v>
      </c>
      <c r="BL24" s="5">
        <f t="shared" si="40"/>
        <v>1.4908553678661682</v>
      </c>
      <c r="BM24" s="5">
        <f t="shared" si="41"/>
        <v>2.7458070071521075</v>
      </c>
      <c r="BN24" s="1">
        <f t="shared" si="42"/>
        <v>1.1419493746218616</v>
      </c>
      <c r="BO24" s="1">
        <f t="shared" si="43"/>
        <v>3.0761839865104252</v>
      </c>
      <c r="BP24" s="9">
        <f>(1+0.2*B24*B24)*K24</f>
        <v>245.03515373114419</v>
      </c>
      <c r="BQ24" s="9">
        <f t="shared" si="44"/>
        <v>672.81924211356954</v>
      </c>
      <c r="BR24" s="9">
        <f t="shared" si="45"/>
        <v>1276.9116810092173</v>
      </c>
      <c r="BS24" s="9">
        <f t="shared" si="46"/>
        <v>753.77321603986604</v>
      </c>
      <c r="BU24" s="9">
        <f>((1+0.2*B24*B24)^3.5)*I24</f>
        <v>35801.449054906931</v>
      </c>
      <c r="BV24" s="9">
        <f t="shared" si="47"/>
        <v>747613.41643496905</v>
      </c>
      <c r="BX24" s="3">
        <f t="shared" si="10"/>
        <v>2.0385187492086201E-2</v>
      </c>
      <c r="BZ24" s="3">
        <f t="shared" si="11"/>
        <v>3.2200728252005026E-2</v>
      </c>
      <c r="CA24" s="8"/>
      <c r="CB24" s="14">
        <f>$CB$12*($AO$5/K24)/($AN$5*(1-0.53*((B24-$AM$5)^2))*(1+0.2*B24*B24))</f>
        <v>1.341624659619967</v>
      </c>
      <c r="CC24" s="1">
        <f t="shared" si="48"/>
        <v>1.8540616490499175</v>
      </c>
      <c r="CD24" s="3">
        <f t="shared" si="12"/>
        <v>6.4247960126138925E-2</v>
      </c>
      <c r="CE24" s="6">
        <f t="shared" si="13"/>
        <v>1.9952331395529364</v>
      </c>
      <c r="CF24" s="22" t="str">
        <f t="shared" si="49"/>
        <v/>
      </c>
      <c r="CG24" s="22"/>
      <c r="CH24" s="7">
        <f t="shared" si="14"/>
        <v>1.0277241325515334</v>
      </c>
      <c r="CI24" s="23">
        <f>CH24*(0.7*I24*B24*B24)*$N$5/9.80665</f>
        <v>125089.65598001526</v>
      </c>
      <c r="CK24" s="1">
        <f>B24/$AI$5</f>
        <v>1</v>
      </c>
      <c r="CL24" s="14">
        <f t="shared" si="50"/>
        <v>1.4515200000000053</v>
      </c>
      <c r="CM24" s="1">
        <f t="shared" si="51"/>
        <v>0.8569758833631711</v>
      </c>
      <c r="CN24" s="14">
        <f>SQRT((A24*9.80665)/(0.7*I24*$N$5*CM24))</f>
        <v>0.56513714995932818</v>
      </c>
      <c r="CO24" s="1">
        <f t="shared" si="15"/>
        <v>0.56372056966057604</v>
      </c>
      <c r="CP24" s="29" t="str">
        <f>IF(C24&lt;30,"",IF(CO24&gt;1,"no",""))</f>
        <v/>
      </c>
      <c r="CQ24" s="22"/>
      <c r="CR24" s="23">
        <f>CM24*(0.7*I24*B24*B24)*$N$5/9.80665</f>
        <v>104306.99741079929</v>
      </c>
      <c r="CS24"/>
      <c r="CT24" s="6">
        <f t="shared" si="16"/>
        <v>0.83780487804878057</v>
      </c>
      <c r="CU24" s="22" t="str">
        <f t="shared" si="52"/>
        <v/>
      </c>
      <c r="CV24" s="5"/>
      <c r="CW24" s="6">
        <f>IF(C24&lt;100,SQRT(2)*SQRT(SQRT(1+(2/1.4)*(10510/I24))-1),IF(I24&gt;$AW$5,SQRT(2)*SQRT(SQRT(1+(2/1.4)*($AV$5/I24))-1),$AS$5))</f>
        <v>0.82</v>
      </c>
      <c r="CX24" s="22" t="str">
        <f>IF(B24&gt;CW24,"no","")</f>
        <v/>
      </c>
    </row>
    <row r="25" spans="1:103" x14ac:dyDescent="0.2">
      <c r="A25">
        <v>58800</v>
      </c>
      <c r="B25" s="1">
        <v>0.75270000000000004</v>
      </c>
      <c r="C25" s="5">
        <v>344</v>
      </c>
      <c r="D25" s="1">
        <v>0</v>
      </c>
      <c r="E25" s="1">
        <v>0</v>
      </c>
      <c r="G25">
        <f t="shared" si="1"/>
        <v>34400</v>
      </c>
      <c r="H25" s="9">
        <f t="shared" si="2"/>
        <v>10485.120000041939</v>
      </c>
      <c r="I25" s="5">
        <f t="shared" si="17"/>
        <v>24530.96611994267</v>
      </c>
      <c r="J25" s="5">
        <v>0</v>
      </c>
      <c r="K25" s="6">
        <f t="shared" si="18"/>
        <v>219.99671999972736</v>
      </c>
      <c r="L25" s="5">
        <f t="shared" si="19"/>
        <v>297.33832895590575</v>
      </c>
      <c r="M25" s="10">
        <f t="shared" si="20"/>
        <v>1.4399456676537546E-5</v>
      </c>
      <c r="O25" s="6">
        <f>B25*L25</f>
        <v>223.80656020511026</v>
      </c>
      <c r="P25" s="1">
        <f>IF(E25=0,0,E25/9.80665)</f>
        <v>0</v>
      </c>
      <c r="Q25" s="7">
        <f>IF(D25=0,0,(D25/O25))</f>
        <v>0</v>
      </c>
      <c r="R25" s="19">
        <f t="shared" si="21"/>
        <v>1</v>
      </c>
      <c r="S25" s="19">
        <f t="shared" si="22"/>
        <v>0</v>
      </c>
      <c r="T25" s="19">
        <f t="shared" si="23"/>
        <v>0</v>
      </c>
      <c r="U25" s="19"/>
      <c r="V25" s="19"/>
      <c r="W25" s="6"/>
      <c r="X25" s="1">
        <f>(A25*9.80665*R25)/(0.7*I25*B25*B25*$N$5)</f>
        <v>0.48423932898505656</v>
      </c>
      <c r="Y25" s="10">
        <f>(SQRT($N$5)*B25)*(I25/M25)*SQRT(1.4/(287.05*K25))</f>
        <v>66797208.194235787</v>
      </c>
      <c r="Z25" s="10">
        <f t="shared" si="24"/>
        <v>2.159166415432547E-3</v>
      </c>
      <c r="AA25" s="3">
        <f t="shared" si="25"/>
        <v>1.8126823059582523E-2</v>
      </c>
      <c r="AB25" s="3">
        <f t="shared" si="26"/>
        <v>7.5357827052533362E-3</v>
      </c>
      <c r="AC25" s="3">
        <f>IF($E$5="no",(1/((1+0.03+$Q$5)+AB25*3.141593*$S$5)),(1.075/((1+0.03+$Q$5)+AB25*3.141593*$S$5)))</f>
        <v>0.78018685548166866</v>
      </c>
      <c r="AD25" s="3">
        <f t="shared" si="27"/>
        <v>4.2946137491816354E-2</v>
      </c>
      <c r="AE25" s="1">
        <f t="shared" si="28"/>
        <v>0.69063100980273873</v>
      </c>
      <c r="AF25" s="1">
        <f>B25*$R$5/AE25</f>
        <v>0.98776024579682264</v>
      </c>
      <c r="AG25" s="8">
        <f t="shared" si="29"/>
        <v>7.6972635083723121E-4</v>
      </c>
      <c r="AH25" s="8"/>
      <c r="AI25" s="3">
        <f t="shared" si="30"/>
        <v>2.8966891605909224E-2</v>
      </c>
      <c r="AJ25" s="1">
        <f t="shared" si="31"/>
        <v>16.716993164923231</v>
      </c>
      <c r="AK25" s="1"/>
      <c r="AL25" s="1">
        <f t="shared" si="32"/>
        <v>5.9819370034694411E-2</v>
      </c>
      <c r="AM25" s="8">
        <f>AL25*(A25*9.80665)/(0.7*I25*B25*B25*$N$5)</f>
        <v>2.896689160590922E-2</v>
      </c>
      <c r="AN25" s="1">
        <f>B25/$AI$5</f>
        <v>1</v>
      </c>
      <c r="AO25" s="1">
        <f>IF(B25&lt;0.4,1.3*(0.4-B25),0)</f>
        <v>0</v>
      </c>
      <c r="AP25" s="1">
        <f t="shared" si="33"/>
        <v>-0.43</v>
      </c>
      <c r="AQ25" s="1">
        <f t="shared" si="34"/>
        <v>0</v>
      </c>
      <c r="AR25" s="1">
        <f t="shared" si="3"/>
        <v>1</v>
      </c>
      <c r="AS25" s="1">
        <f t="shared" si="4"/>
        <v>0.30867472713898642</v>
      </c>
      <c r="AT25" s="1">
        <f>(((1+0.55*B25)/(1+0.55*$AI$5))/(AN25^2))</f>
        <v>1</v>
      </c>
      <c r="AU25" s="1">
        <f t="shared" si="5"/>
        <v>3.465254791234245E-2</v>
      </c>
      <c r="AV25" s="8">
        <f t="shared" si="35"/>
        <v>0.83592385989002183</v>
      </c>
      <c r="AW25" s="8">
        <f t="shared" si="36"/>
        <v>0.98842397870604271</v>
      </c>
      <c r="AX25" s="8"/>
      <c r="AY25" s="4"/>
      <c r="AZ25" s="1">
        <f t="shared" si="37"/>
        <v>0.30510150192471908</v>
      </c>
      <c r="BA25" s="14">
        <f t="shared" si="38"/>
        <v>0.29747396437660112</v>
      </c>
      <c r="BB25" s="1"/>
      <c r="BC25" s="14">
        <f t="shared" si="39"/>
        <v>4.9728702292262579</v>
      </c>
      <c r="BD25" s="14">
        <f>IF(0.7*(AM25*(B25^3)/BA25)*(I25*L25*$N$5/43000000)&lt;$AH$5*(1-0.178*(C25/100)+0.0085*((C25/100)^2)),$AH$5*(1-0.178*(C25/100)+0.0085*((C25/100)^2)),0.7*(AM25*(B25^3)/BA25)*(I25*L25*$N$5/43000000))</f>
        <v>0.60352495498707237</v>
      </c>
      <c r="BE25" s="4">
        <f t="shared" si="6"/>
        <v>2.696636570590087E-3</v>
      </c>
      <c r="BF25" s="4"/>
      <c r="BG25" s="1">
        <f t="shared" si="7"/>
        <v>0.93436954395600857</v>
      </c>
      <c r="BH25" s="1">
        <f>0.6*$AN$5*(1-0.53*((B25-$AM$5)^2))*(1+((2/3)*AV25))</f>
        <v>5.2146821365660871</v>
      </c>
      <c r="BJ25" s="1">
        <f t="shared" si="8"/>
        <v>6.3133198894218294</v>
      </c>
      <c r="BK25" s="5">
        <f t="shared" si="9"/>
        <v>20.917747699896307</v>
      </c>
      <c r="BL25" s="5">
        <f t="shared" si="40"/>
        <v>1.4918696843001469</v>
      </c>
      <c r="BM25" s="5">
        <f t="shared" si="41"/>
        <v>2.747359253177359</v>
      </c>
      <c r="BN25" s="1">
        <f t="shared" si="42"/>
        <v>1.1422075553086843</v>
      </c>
      <c r="BO25" s="1">
        <f t="shared" si="43"/>
        <v>3.0777152187715537</v>
      </c>
      <c r="BP25" s="9">
        <f>(1+0.2*B25*B25)*K25</f>
        <v>244.92486909811424</v>
      </c>
      <c r="BQ25" s="9">
        <f t="shared" si="44"/>
        <v>672.89660544995752</v>
      </c>
      <c r="BR25" s="9">
        <f t="shared" si="45"/>
        <v>1277.2053396867236</v>
      </c>
      <c r="BS25" s="9">
        <f t="shared" si="46"/>
        <v>753.80899707889682</v>
      </c>
      <c r="BU25" s="9">
        <f>((1+0.2*B25*B25)^3.5)*I25</f>
        <v>35716.84000611442</v>
      </c>
      <c r="BV25" s="9">
        <f t="shared" si="47"/>
        <v>747115.84788546432</v>
      </c>
      <c r="BX25" s="3">
        <f t="shared" si="10"/>
        <v>2.0392444368117841E-2</v>
      </c>
      <c r="BZ25" s="3">
        <f t="shared" si="11"/>
        <v>3.2264296010395377E-2</v>
      </c>
      <c r="CA25" s="8"/>
      <c r="CB25" s="14">
        <f>$CB$12*($AO$5/K25)/($AN$5*(1-0.53*((B25-$AM$5)^2))*(1+0.2*B25*B25))</f>
        <v>1.3422287656211049</v>
      </c>
      <c r="CC25" s="1">
        <f t="shared" si="48"/>
        <v>1.8555719140527622</v>
      </c>
      <c r="CD25" s="3">
        <f t="shared" si="12"/>
        <v>6.4300294656510326E-2</v>
      </c>
      <c r="CE25" s="6">
        <f t="shared" si="13"/>
        <v>1.9929241485942581</v>
      </c>
      <c r="CF25" s="22" t="str">
        <f t="shared" si="49"/>
        <v/>
      </c>
      <c r="CG25" s="22"/>
      <c r="CH25" s="7">
        <f t="shared" si="14"/>
        <v>1.0282146420471159</v>
      </c>
      <c r="CI25" s="23">
        <f>CH25*(0.7*I25*B25*B25)*$N$5/9.80665</f>
        <v>124853.59476911914</v>
      </c>
      <c r="CK25" s="1">
        <f>B25/$AI$5</f>
        <v>1</v>
      </c>
      <c r="CL25" s="14">
        <f t="shared" si="50"/>
        <v>1.4515200000000053</v>
      </c>
      <c r="CM25" s="1">
        <f t="shared" si="51"/>
        <v>0.8569758833631711</v>
      </c>
      <c r="CN25" s="14">
        <f>SQRT((A25*9.80665)/(0.7*I25*$N$5*CM25))</f>
        <v>0.5658061261720494</v>
      </c>
      <c r="CO25" s="1">
        <f t="shared" si="15"/>
        <v>0.56505595826649946</v>
      </c>
      <c r="CP25" s="29" t="str">
        <f>IF(C25&lt;30,"",IF(CO25&gt;1,"no",""))</f>
        <v/>
      </c>
      <c r="CQ25" s="22"/>
      <c r="CR25" s="23">
        <f>CM25*(0.7*I25*B25*B25)*$N$5/9.80665</f>
        <v>104060.49018647449</v>
      </c>
      <c r="CS25"/>
      <c r="CT25" s="6">
        <f t="shared" si="16"/>
        <v>0.83902439024390252</v>
      </c>
      <c r="CU25" s="22" t="str">
        <f t="shared" si="52"/>
        <v/>
      </c>
      <c r="CV25" s="5"/>
      <c r="CW25" s="6">
        <f>IF(C25&lt;100,SQRT(2)*SQRT(SQRT(1+(2/1.4)*(10510/I25))-1),IF(I25&gt;$AW$5,SQRT(2)*SQRT(SQRT(1+(2/1.4)*($AV$5/I25))-1),$AS$5))</f>
        <v>0.82</v>
      </c>
      <c r="CX25" s="22" t="str">
        <f>IF(B25&gt;CW25,"no","")</f>
        <v/>
      </c>
    </row>
    <row r="26" spans="1:103" x14ac:dyDescent="0.2">
      <c r="A26">
        <v>58800</v>
      </c>
      <c r="B26" s="1">
        <v>0.75270000000000004</v>
      </c>
      <c r="C26" s="5">
        <v>344.5</v>
      </c>
      <c r="D26" s="1">
        <v>0</v>
      </c>
      <c r="E26" s="1">
        <v>0</v>
      </c>
      <c r="G26">
        <f t="shared" si="1"/>
        <v>34450</v>
      </c>
      <c r="H26" s="9">
        <f t="shared" si="2"/>
        <v>10500.360000042001</v>
      </c>
      <c r="I26" s="5">
        <f t="shared" si="17"/>
        <v>24472.966361756353</v>
      </c>
      <c r="J26" s="5">
        <v>0</v>
      </c>
      <c r="K26" s="6">
        <f t="shared" si="18"/>
        <v>219.89765999972695</v>
      </c>
      <c r="L26" s="5">
        <f t="shared" si="19"/>
        <v>297.27137875027637</v>
      </c>
      <c r="M26" s="10">
        <f t="shared" si="20"/>
        <v>1.4394047745727998E-5</v>
      </c>
      <c r="O26" s="6">
        <f>B26*L26</f>
        <v>223.75616678533302</v>
      </c>
      <c r="P26" s="1">
        <f>IF(E26=0,0,E26/9.80665)</f>
        <v>0</v>
      </c>
      <c r="Q26" s="7">
        <f>IF(D26=0,0,(D26/O26))</f>
        <v>0</v>
      </c>
      <c r="R26" s="19">
        <f t="shared" si="21"/>
        <v>1</v>
      </c>
      <c r="S26" s="19">
        <f t="shared" si="22"/>
        <v>0</v>
      </c>
      <c r="T26" s="19">
        <f t="shared" si="23"/>
        <v>0</v>
      </c>
      <c r="U26" s="19"/>
      <c r="V26" s="19"/>
      <c r="W26" s="6"/>
      <c r="X26" s="1">
        <f>(A26*9.80665*R26)/(0.7*I26*B26*B26*$N$5)</f>
        <v>0.48538695300293316</v>
      </c>
      <c r="Y26" s="10">
        <f>(SQRT($N$5)*B26)*(I26/M26)*SQRT(1.4/(287.05*K26))</f>
        <v>66679331.566188619</v>
      </c>
      <c r="Z26" s="10">
        <f t="shared" si="24"/>
        <v>2.1597003901830014E-3</v>
      </c>
      <c r="AA26" s="3">
        <f t="shared" si="25"/>
        <v>1.8131305931190101E-2</v>
      </c>
      <c r="AB26" s="3">
        <f t="shared" si="26"/>
        <v>7.5376463493248436E-3</v>
      </c>
      <c r="AC26" s="3">
        <f>IF($E$5="no",(1/((1+0.03+$Q$5)+AB26*3.141593*$S$5)),(1.075/((1+0.03+$Q$5)+AB26*3.141593*$S$5)))</f>
        <v>0.78015300080695893</v>
      </c>
      <c r="AD26" s="3">
        <f t="shared" si="27"/>
        <v>4.2948001135887863E-2</v>
      </c>
      <c r="AE26" s="1">
        <f t="shared" si="28"/>
        <v>0.69049129313302393</v>
      </c>
      <c r="AF26" s="1">
        <f>B26*$R$5/AE26</f>
        <v>0.98796011301222686</v>
      </c>
      <c r="AG26" s="8">
        <f t="shared" si="29"/>
        <v>7.723172405118805E-4</v>
      </c>
      <c r="AH26" s="8"/>
      <c r="AI26" s="3">
        <f t="shared" si="30"/>
        <v>2.9022193461877437E-2</v>
      </c>
      <c r="AJ26" s="1">
        <f t="shared" si="31"/>
        <v>16.724681876320648</v>
      </c>
      <c r="AK26" s="1"/>
      <c r="AL26" s="1">
        <f t="shared" si="32"/>
        <v>5.9791869728525758E-2</v>
      </c>
      <c r="AM26" s="8">
        <f>AL26*(A26*9.80665)/(0.7*I26*B26*B26*$N$5)</f>
        <v>2.9022193461877437E-2</v>
      </c>
      <c r="AN26" s="1">
        <f>B26/$AI$5</f>
        <v>1</v>
      </c>
      <c r="AO26" s="1">
        <f>IF(B26&lt;0.4,1.3*(0.4-B26),0)</f>
        <v>0</v>
      </c>
      <c r="AP26" s="1">
        <f t="shared" si="33"/>
        <v>-0.43</v>
      </c>
      <c r="AQ26" s="1">
        <f t="shared" si="34"/>
        <v>0</v>
      </c>
      <c r="AR26" s="1">
        <f t="shared" si="3"/>
        <v>1</v>
      </c>
      <c r="AS26" s="1">
        <f t="shared" si="4"/>
        <v>0.30867472713898642</v>
      </c>
      <c r="AT26" s="1">
        <f>(((1+0.55*B26)/(1+0.55*$AI$5))/(AN26^2))</f>
        <v>1</v>
      </c>
      <c r="AU26" s="1">
        <f t="shared" si="5"/>
        <v>3.465254791234245E-2</v>
      </c>
      <c r="AV26" s="8">
        <f t="shared" si="35"/>
        <v>0.83751975569855253</v>
      </c>
      <c r="AW26" s="8">
        <f t="shared" si="36"/>
        <v>0.98864807319104908</v>
      </c>
      <c r="AX26" s="8"/>
      <c r="AY26" s="4"/>
      <c r="AZ26" s="1">
        <f t="shared" si="37"/>
        <v>0.30517067422873173</v>
      </c>
      <c r="BA26" s="14">
        <f t="shared" si="38"/>
        <v>0.29754140737301343</v>
      </c>
      <c r="BB26" s="1"/>
      <c r="BC26" s="14">
        <f t="shared" si="39"/>
        <v>4.9762853833463767</v>
      </c>
      <c r="BD26" s="14">
        <f>IF(0.7*(AM26*(B26^3)/BA26)*(I26*L26*$N$5/43000000)&lt;$AH$5*(1-0.178*(C26/100)+0.0085*((C26/100)^2)),$AH$5*(1-0.178*(C26/100)+0.0085*((C26/100)^2)),0.7*(AM26*(B26^3)/BA26)*(I26*L26*$N$5/43000000))</f>
        <v>0.60297496488795754</v>
      </c>
      <c r="BE26" s="4">
        <f t="shared" si="6"/>
        <v>2.6947859071363117E-3</v>
      </c>
      <c r="BF26" s="4"/>
      <c r="BG26" s="1">
        <f t="shared" si="7"/>
        <v>0.93500790227942088</v>
      </c>
      <c r="BH26" s="1">
        <f>0.6*$AN$5*(1-0.53*((B26-$AM$5)^2))*(1+((2/3)*AV26))</f>
        <v>5.2182447909434257</v>
      </c>
      <c r="BJ26" s="1">
        <f t="shared" si="8"/>
        <v>6.308449471761195</v>
      </c>
      <c r="BK26" s="5">
        <f t="shared" si="9"/>
        <v>20.95349335661129</v>
      </c>
      <c r="BL26" s="5">
        <f t="shared" si="40"/>
        <v>1.4928889249598836</v>
      </c>
      <c r="BM26" s="5">
        <f t="shared" si="41"/>
        <v>2.7489188552328119</v>
      </c>
      <c r="BN26" s="1">
        <f t="shared" si="42"/>
        <v>1.142466871372533</v>
      </c>
      <c r="BO26" s="1">
        <f t="shared" si="43"/>
        <v>3.0792558566510064</v>
      </c>
      <c r="BP26" s="9">
        <f>(1+0.2*B26*B26)*K26</f>
        <v>244.81458446508432</v>
      </c>
      <c r="BQ26" s="9">
        <f t="shared" si="44"/>
        <v>672.97542727205609</v>
      </c>
      <c r="BR26" s="9">
        <f t="shared" si="45"/>
        <v>1277.5024301319056</v>
      </c>
      <c r="BS26" s="9">
        <f t="shared" si="46"/>
        <v>753.84674300769336</v>
      </c>
      <c r="BU26" s="9">
        <f>((1+0.2*B26*B26)^3.5)*I26</f>
        <v>35632.392941396087</v>
      </c>
      <c r="BV26" s="9">
        <f t="shared" si="47"/>
        <v>746623.10877770593</v>
      </c>
      <c r="BX26" s="3">
        <f t="shared" si="10"/>
        <v>2.0399771485154056E-2</v>
      </c>
      <c r="BZ26" s="3">
        <f t="shared" si="11"/>
        <v>3.2328156944377344E-2</v>
      </c>
      <c r="CA26" s="8"/>
      <c r="CB26" s="14">
        <f>$CB$12*($AO$5/K26)/($AN$5*(1-0.53*((B26-$AM$5)^2))*(1+0.2*B26*B26))</f>
        <v>1.3428334159003446</v>
      </c>
      <c r="CC26" s="1">
        <f t="shared" si="48"/>
        <v>1.8570835397508614</v>
      </c>
      <c r="CD26" s="3">
        <f t="shared" si="12"/>
        <v>6.4352676338439246E-2</v>
      </c>
      <c r="CE26" s="6">
        <f t="shared" si="13"/>
        <v>1.9906076442638574</v>
      </c>
      <c r="CF26" s="22" t="str">
        <f t="shared" si="49"/>
        <v/>
      </c>
      <c r="CG26" s="22"/>
      <c r="CH26" s="7">
        <f t="shared" si="14"/>
        <v>1.0287052163770265</v>
      </c>
      <c r="CI26" s="23">
        <f>CH26*(0.7*I26*B26*B26)*$N$5/9.80665</f>
        <v>124617.82573419034</v>
      </c>
      <c r="CK26" s="1">
        <f>B26/$AI$5</f>
        <v>1</v>
      </c>
      <c r="CL26" s="14">
        <f t="shared" si="50"/>
        <v>1.4515200000000053</v>
      </c>
      <c r="CM26" s="1">
        <f t="shared" si="51"/>
        <v>0.8569758833631711</v>
      </c>
      <c r="CN26" s="14">
        <f>SQRT((A26*9.80665)/(0.7*I26*$N$5*CM26))</f>
        <v>0.56647619610893263</v>
      </c>
      <c r="CO26" s="1">
        <f t="shared" si="15"/>
        <v>0.56639511382519836</v>
      </c>
      <c r="CP26" s="29" t="str">
        <f>IF(C26&lt;30,"",IF(CO26&gt;1,"no",""))</f>
        <v/>
      </c>
      <c r="CQ26" s="22"/>
      <c r="CR26" s="23">
        <f>CM26*(0.7*I26*B26*B26)*$N$5/9.80665</f>
        <v>103814.45490037711</v>
      </c>
      <c r="CS26"/>
      <c r="CT26" s="6">
        <f t="shared" si="16"/>
        <v>0.84024390243902447</v>
      </c>
      <c r="CU26" s="22" t="str">
        <f t="shared" si="52"/>
        <v/>
      </c>
      <c r="CV26" s="5"/>
      <c r="CW26" s="6">
        <f>IF(C26&lt;100,SQRT(2)*SQRT(SQRT(1+(2/1.4)*(10510/I26))-1),IF(I26&gt;$AW$5,SQRT(2)*SQRT(SQRT(1+(2/1.4)*($AV$5/I26))-1),$AS$5))</f>
        <v>0.82</v>
      </c>
      <c r="CX26" s="22" t="str">
        <f>IF(B26&gt;CW26,"no","")</f>
        <v/>
      </c>
    </row>
    <row r="27" spans="1:103" x14ac:dyDescent="0.2">
      <c r="A27">
        <v>58800</v>
      </c>
      <c r="B27" s="1">
        <v>0.75270000000000004</v>
      </c>
      <c r="C27" s="5">
        <v>345</v>
      </c>
      <c r="D27" s="1">
        <v>0</v>
      </c>
      <c r="E27" s="1">
        <v>0</v>
      </c>
      <c r="G27">
        <f t="shared" si="1"/>
        <v>34500</v>
      </c>
      <c r="H27" s="9">
        <f t="shared" si="2"/>
        <v>10515.600000042063</v>
      </c>
      <c r="I27" s="5">
        <f t="shared" si="17"/>
        <v>24415.077694115404</v>
      </c>
      <c r="J27" s="5">
        <v>0</v>
      </c>
      <c r="K27" s="6">
        <f t="shared" si="18"/>
        <v>219.79859999972658</v>
      </c>
      <c r="L27" s="5">
        <f t="shared" si="19"/>
        <v>297.2044134630072</v>
      </c>
      <c r="M27" s="10">
        <f t="shared" si="20"/>
        <v>1.4388637760987845E-5</v>
      </c>
      <c r="O27" s="6">
        <f>B27*L27</f>
        <v>223.70576201360552</v>
      </c>
      <c r="P27" s="1">
        <f>IF(E27=0,0,E27/9.80665)</f>
        <v>0</v>
      </c>
      <c r="Q27" s="7">
        <f>IF(D27=0,0,(D27/O27))</f>
        <v>0</v>
      </c>
      <c r="R27" s="19">
        <f t="shared" si="21"/>
        <v>1</v>
      </c>
      <c r="S27" s="19">
        <f t="shared" si="22"/>
        <v>0</v>
      </c>
      <c r="T27" s="19">
        <f t="shared" si="23"/>
        <v>0</v>
      </c>
      <c r="U27" s="19"/>
      <c r="V27" s="19"/>
      <c r="W27" s="6"/>
      <c r="X27" s="1">
        <f>(A27*9.80665*R27)/(0.7*I27*B27*B27*$N$5)</f>
        <v>0.48653781577517857</v>
      </c>
      <c r="Y27" s="10">
        <f>(SQRT($N$5)*B27)*(I27/M27)*SQRT(1.4/(287.05*K27))</f>
        <v>66561612.98801785</v>
      </c>
      <c r="Z27" s="10">
        <f t="shared" si="24"/>
        <v>2.1602347240179958E-3</v>
      </c>
      <c r="AA27" s="3">
        <f t="shared" si="25"/>
        <v>1.8135791817415665E-2</v>
      </c>
      <c r="AB27" s="3">
        <f t="shared" si="26"/>
        <v>7.5395112466499414E-3</v>
      </c>
      <c r="AC27" s="3">
        <f>IF($E$5="no",(1/((1+0.03+$Q$5)+AB27*3.141593*$S$5)),(1.075/((1+0.03+$Q$5)+AB27*3.141593*$S$5)))</f>
        <v>0.78011912630678604</v>
      </c>
      <c r="AD27" s="3">
        <f t="shared" si="27"/>
        <v>4.2949866033212956E-2</v>
      </c>
      <c r="AE27" s="1">
        <f t="shared" si="28"/>
        <v>0.69035118216346225</v>
      </c>
      <c r="AF27" s="1">
        <f>B27*$R$5/AE27</f>
        <v>0.98816062552368322</v>
      </c>
      <c r="AG27" s="8">
        <f t="shared" si="29"/>
        <v>7.7492086942784397E-4</v>
      </c>
      <c r="AH27" s="8"/>
      <c r="AI27" s="3">
        <f t="shared" si="30"/>
        <v>2.9077764007753606E-2</v>
      </c>
      <c r="AJ27" s="1">
        <f t="shared" si="31"/>
        <v>16.732298110867223</v>
      </c>
      <c r="AK27" s="1"/>
      <c r="AL27" s="1">
        <f t="shared" si="32"/>
        <v>5.9764653568449407E-2</v>
      </c>
      <c r="AM27" s="8">
        <f>AL27*(A27*9.80665)/(0.7*I27*B27*B27*$N$5)</f>
        <v>2.9077764007753606E-2</v>
      </c>
      <c r="AN27" s="1">
        <f>B27/$AI$5</f>
        <v>1</v>
      </c>
      <c r="AO27" s="1">
        <f>IF(B27&lt;0.4,1.3*(0.4-B27),0)</f>
        <v>0</v>
      </c>
      <c r="AP27" s="1">
        <f t="shared" si="33"/>
        <v>-0.43</v>
      </c>
      <c r="AQ27" s="1">
        <f t="shared" si="34"/>
        <v>0</v>
      </c>
      <c r="AR27" s="1">
        <f t="shared" si="3"/>
        <v>1</v>
      </c>
      <c r="AS27" s="1">
        <f t="shared" si="4"/>
        <v>0.30867472713898642</v>
      </c>
      <c r="AT27" s="1">
        <f>(((1+0.55*B27)/(1+0.55*$AI$5))/(AN27^2))</f>
        <v>1</v>
      </c>
      <c r="AU27" s="1">
        <f t="shared" si="5"/>
        <v>3.465254791234245E-2</v>
      </c>
      <c r="AV27" s="8">
        <f t="shared" si="35"/>
        <v>0.83912340533542029</v>
      </c>
      <c r="AW27" s="8">
        <f t="shared" si="36"/>
        <v>0.9888710501543253</v>
      </c>
      <c r="AX27" s="8"/>
      <c r="AY27" s="4"/>
      <c r="AZ27" s="1">
        <f t="shared" si="37"/>
        <v>0.30523950158202934</v>
      </c>
      <c r="BA27" s="14">
        <f t="shared" si="38"/>
        <v>0.29760851404247862</v>
      </c>
      <c r="BB27" s="1"/>
      <c r="BC27" s="14">
        <f t="shared" si="39"/>
        <v>4.9796743772909666</v>
      </c>
      <c r="BD27" s="14">
        <f>IF(0.7*(AM27*(B27^3)/BA27)*(I27*L27*$N$5/43000000)&lt;$AH$5*(1-0.178*(C27/100)+0.0085*((C27/100)^2)),$AH$5*(1-0.178*(C27/100)+0.0085*((C27/100)^2)),0.7*(AM27*(B27^3)/BA27)*(I27*L27*$N$5/43000000))</f>
        <v>0.60242886337946122</v>
      </c>
      <c r="BE27" s="4">
        <f t="shared" si="6"/>
        <v>2.6929519291631933E-3</v>
      </c>
      <c r="BF27" s="4"/>
      <c r="BG27" s="1">
        <f t="shared" si="7"/>
        <v>0.93564936213416805</v>
      </c>
      <c r="BH27" s="1">
        <f>0.6*$AN$5*(1-0.53*((B27-$AM$5)^2))*(1+((2/3)*AV27))</f>
        <v>5.2218247548533281</v>
      </c>
      <c r="BJ27" s="1">
        <f t="shared" si="8"/>
        <v>6.3035625197928766</v>
      </c>
      <c r="BK27" s="5">
        <f t="shared" si="9"/>
        <v>20.989449580473941</v>
      </c>
      <c r="BL27" s="5">
        <f t="shared" si="40"/>
        <v>1.4939131177080132</v>
      </c>
      <c r="BM27" s="5">
        <f t="shared" si="41"/>
        <v>2.750485853479407</v>
      </c>
      <c r="BN27" s="1">
        <f t="shared" si="42"/>
        <v>1.1427273283183386</v>
      </c>
      <c r="BO27" s="1">
        <f t="shared" si="43"/>
        <v>3.0808059660501583</v>
      </c>
      <c r="BP27" s="9">
        <f>(1+0.2*B27*B27)*K27</f>
        <v>244.7042998320544</v>
      </c>
      <c r="BQ27" s="9">
        <f t="shared" si="44"/>
        <v>673.05571497364883</v>
      </c>
      <c r="BR27" s="9">
        <f t="shared" si="45"/>
        <v>1277.8029704820729</v>
      </c>
      <c r="BS27" s="9">
        <f t="shared" si="46"/>
        <v>753.88646684072</v>
      </c>
      <c r="BU27" s="9">
        <f>((1+0.2*B27*B27)^3.5)*I27</f>
        <v>35548.107623394768</v>
      </c>
      <c r="BV27" s="9">
        <f t="shared" si="47"/>
        <v>746135.21264250588</v>
      </c>
      <c r="BX27" s="3">
        <f t="shared" si="10"/>
        <v>2.0407169226258251E-2</v>
      </c>
      <c r="BZ27" s="3">
        <f t="shared" si="11"/>
        <v>3.2392312656689501E-2</v>
      </c>
      <c r="CA27" s="8"/>
      <c r="CB27" s="14">
        <f>$CB$12*($AO$5/K27)/($AN$5*(1-0.53*((B27-$AM$5)^2))*(1+0.2*B27*B27))</f>
        <v>1.3434386111935801</v>
      </c>
      <c r="CC27" s="1">
        <f t="shared" si="48"/>
        <v>1.8585965279839503</v>
      </c>
      <c r="CD27" s="3">
        <f t="shared" si="12"/>
        <v>6.4405105235677163E-2</v>
      </c>
      <c r="CE27" s="6">
        <f t="shared" si="13"/>
        <v>1.9882836374875672</v>
      </c>
      <c r="CF27" s="22" t="str">
        <f t="shared" si="49"/>
        <v/>
      </c>
      <c r="CG27" s="22"/>
      <c r="CH27" s="7">
        <f t="shared" si="14"/>
        <v>1.029195855180371</v>
      </c>
      <c r="CI27" s="23">
        <f>CH27*(0.7*I27*B27*B27)*$N$5/9.80665</f>
        <v>124382.34875574325</v>
      </c>
      <c r="CK27" s="1">
        <f>B27/$AI$5</f>
        <v>1</v>
      </c>
      <c r="CL27" s="14">
        <f t="shared" si="50"/>
        <v>1.4515200000000053</v>
      </c>
      <c r="CM27" s="1">
        <f t="shared" si="51"/>
        <v>0.8569758833631711</v>
      </c>
      <c r="CN27" s="14">
        <f>SQRT((A27*9.80665)/(0.7*I27*$N$5*CM27))</f>
        <v>0.56714736205204475</v>
      </c>
      <c r="CO27" s="1">
        <f t="shared" si="15"/>
        <v>0.56773804866687538</v>
      </c>
      <c r="CP27" s="29" t="str">
        <f>IF(C27&lt;30,"",IF(CO27&gt;1,"no",""))</f>
        <v/>
      </c>
      <c r="CQ27" s="22"/>
      <c r="CR27" s="23">
        <f>CM27*(0.7*I27*B27*B27)*$N$5/9.80665</f>
        <v>103568.89086097054</v>
      </c>
      <c r="CS27"/>
      <c r="CT27" s="6">
        <f t="shared" si="16"/>
        <v>0.84146341463414642</v>
      </c>
      <c r="CU27" s="22" t="str">
        <f t="shared" si="52"/>
        <v/>
      </c>
      <c r="CV27" s="5"/>
      <c r="CW27" s="6">
        <f>IF(C27&lt;100,SQRT(2)*SQRT(SQRT(1+(2/1.4)*(10510/I27))-1),IF(I27&gt;$AW$5,SQRT(2)*SQRT(SQRT(1+(2/1.4)*($AV$5/I27))-1),$AS$5))</f>
        <v>0.82</v>
      </c>
      <c r="CX27" s="22" t="str">
        <f>IF(B27&gt;CW27,"no","")</f>
        <v/>
      </c>
    </row>
    <row r="28" spans="1:103" x14ac:dyDescent="0.2">
      <c r="A28">
        <v>58800</v>
      </c>
      <c r="B28" s="1">
        <v>0.75270000000000004</v>
      </c>
      <c r="C28" s="5">
        <v>345.5</v>
      </c>
      <c r="D28" s="1">
        <v>0</v>
      </c>
      <c r="E28" s="1">
        <v>0</v>
      </c>
      <c r="G28">
        <f t="shared" si="1"/>
        <v>34550</v>
      </c>
      <c r="H28" s="9">
        <f t="shared" si="2"/>
        <v>10530.840000042122</v>
      </c>
      <c r="I28" s="5">
        <f t="shared" si="17"/>
        <v>24357.299954164308</v>
      </c>
      <c r="J28" s="5">
        <v>0</v>
      </c>
      <c r="K28" s="6">
        <f t="shared" si="18"/>
        <v>219.6995399997262</v>
      </c>
      <c r="L28" s="5">
        <f t="shared" si="19"/>
        <v>297.13743308390139</v>
      </c>
      <c r="M28" s="10">
        <f t="shared" si="20"/>
        <v>1.4383226721862155E-5</v>
      </c>
      <c r="O28" s="6">
        <f>B28*L28</f>
        <v>223.65534588225259</v>
      </c>
      <c r="P28" s="1">
        <f>IF(E28=0,0,E28/9.80665)</f>
        <v>0</v>
      </c>
      <c r="Q28" s="7">
        <f>IF(D28=0,0,(D28/O28))</f>
        <v>0</v>
      </c>
      <c r="R28" s="19">
        <f t="shared" si="21"/>
        <v>1</v>
      </c>
      <c r="S28" s="19">
        <f t="shared" si="22"/>
        <v>0</v>
      </c>
      <c r="T28" s="19">
        <f t="shared" si="23"/>
        <v>0</v>
      </c>
      <c r="U28" s="19"/>
      <c r="V28" s="19"/>
      <c r="W28" s="6"/>
      <c r="X28" s="1">
        <f>(A28*9.80665*R28)/(0.7*I28*B28*B28*$N$5)</f>
        <v>0.48769192790785071</v>
      </c>
      <c r="Y28" s="10">
        <f>(SQRT($N$5)*B28)*(I28/M28)*SQRT(1.4/(287.05*K28))</f>
        <v>66444052.314109802</v>
      </c>
      <c r="Z28" s="10">
        <f t="shared" si="24"/>
        <v>2.1607694173352292E-3</v>
      </c>
      <c r="AA28" s="3">
        <f t="shared" si="25"/>
        <v>1.8140280721598016E-2</v>
      </c>
      <c r="AB28" s="3">
        <f t="shared" si="26"/>
        <v>7.5413773986166546E-3</v>
      </c>
      <c r="AC28" s="3">
        <f>IF($E$5="no",(1/((1+0.03+$Q$5)+AB28*3.141593*$S$5)),(1.075/((1+0.03+$Q$5)+AB28*3.141593*$S$5)))</f>
        <v>0.78008523196148805</v>
      </c>
      <c r="AD28" s="3">
        <f t="shared" si="27"/>
        <v>4.2951732185179677E-2</v>
      </c>
      <c r="AE28" s="1">
        <f t="shared" si="28"/>
        <v>0.69021067560282678</v>
      </c>
      <c r="AF28" s="1">
        <f>B28*$R$5/AE28</f>
        <v>0.98836178591681456</v>
      </c>
      <c r="AG28" s="8">
        <f t="shared" si="29"/>
        <v>7.7753731354400068E-4</v>
      </c>
      <c r="AH28" s="8"/>
      <c r="AI28" s="3">
        <f t="shared" si="30"/>
        <v>2.9133604764654399E-2</v>
      </c>
      <c r="AJ28" s="1">
        <f t="shared" si="31"/>
        <v>16.739841562604379</v>
      </c>
      <c r="AK28" s="1"/>
      <c r="AL28" s="1">
        <f t="shared" si="32"/>
        <v>5.9737721904962897E-2</v>
      </c>
      <c r="AM28" s="8">
        <f>AL28*(A28*9.80665)/(0.7*I28*B28*B28*$N$5)</f>
        <v>2.9133604764654403E-2</v>
      </c>
      <c r="AN28" s="1">
        <f>B28/$AI$5</f>
        <v>1</v>
      </c>
      <c r="AO28" s="1">
        <f>IF(B28&lt;0.4,1.3*(0.4-B28),0)</f>
        <v>0</v>
      </c>
      <c r="AP28" s="1">
        <f t="shared" si="33"/>
        <v>-0.43</v>
      </c>
      <c r="AQ28" s="1">
        <f t="shared" si="34"/>
        <v>0</v>
      </c>
      <c r="AR28" s="1">
        <f t="shared" si="3"/>
        <v>1</v>
      </c>
      <c r="AS28" s="1">
        <f t="shared" si="4"/>
        <v>0.30867472713898642</v>
      </c>
      <c r="AT28" s="1">
        <f>(((1+0.55*B28)/(1+0.55*$AI$5))/(AN28^2))</f>
        <v>1</v>
      </c>
      <c r="AU28" s="1">
        <f t="shared" si="5"/>
        <v>3.465254791234245E-2</v>
      </c>
      <c r="AV28" s="8">
        <f t="shared" si="35"/>
        <v>0.84073485269686832</v>
      </c>
      <c r="AW28" s="8">
        <f t="shared" si="36"/>
        <v>0.98909288352744007</v>
      </c>
      <c r="AX28" s="8"/>
      <c r="AY28" s="4"/>
      <c r="AZ28" s="1">
        <f t="shared" si="37"/>
        <v>0.30530797593794584</v>
      </c>
      <c r="BA28" s="14">
        <f t="shared" si="38"/>
        <v>0.29767527653949721</v>
      </c>
      <c r="BB28" s="1"/>
      <c r="BC28" s="14">
        <f t="shared" si="39"/>
        <v>4.9830369663756278</v>
      </c>
      <c r="BD28" s="14">
        <f>IF(0.7*(AM28*(B28^3)/BA28)*(I28*L28*$N$5/43000000)&lt;$AH$5*(1-0.178*(C28/100)+0.0085*((C28/100)^2)),$AH$5*(1-0.178*(C28/100)+0.0085*((C28/100)^2)),0.7*(AM28*(B28^3)/BA28)*(I28*L28*$N$5/43000000))</f>
        <v>0.6018866634608423</v>
      </c>
      <c r="BE28" s="4">
        <f t="shared" si="6"/>
        <v>2.6911347058867817E-3</v>
      </c>
      <c r="BF28" s="4"/>
      <c r="BG28" s="1">
        <f t="shared" si="7"/>
        <v>0.93629394107874719</v>
      </c>
      <c r="BH28" s="1">
        <f>0.6*$AN$5*(1-0.53*((B28-$AM$5)^2))*(1+((2/3)*AV28))</f>
        <v>5.2254221262891223</v>
      </c>
      <c r="BJ28" s="1">
        <f t="shared" si="8"/>
        <v>6.2986589882671717</v>
      </c>
      <c r="BK28" s="5">
        <f t="shared" si="9"/>
        <v>21.02561790644743</v>
      </c>
      <c r="BL28" s="5">
        <f t="shared" si="40"/>
        <v>1.4949422905794709</v>
      </c>
      <c r="BM28" s="5">
        <f t="shared" si="41"/>
        <v>2.7520602883131753</v>
      </c>
      <c r="BN28" s="1">
        <f t="shared" si="42"/>
        <v>1.1429889316771917</v>
      </c>
      <c r="BO28" s="1">
        <f t="shared" si="43"/>
        <v>3.0823656133593302</v>
      </c>
      <c r="BP28" s="9">
        <f>(1+0.2*B28*B28)*K28</f>
        <v>244.59401519902451</v>
      </c>
      <c r="BQ28" s="9">
        <f t="shared" si="44"/>
        <v>673.13747598830457</v>
      </c>
      <c r="BR28" s="9">
        <f t="shared" si="45"/>
        <v>1278.1069789788805</v>
      </c>
      <c r="BS28" s="9">
        <f t="shared" si="46"/>
        <v>753.92818168296253</v>
      </c>
      <c r="BU28" s="9">
        <f>((1+0.2*B28*B28)^3.5)*I28</f>
        <v>35463.983814994477</v>
      </c>
      <c r="BV28" s="9">
        <f t="shared" si="47"/>
        <v>745652.17313450971</v>
      </c>
      <c r="BX28" s="3">
        <f t="shared" si="10"/>
        <v>2.041463797681595E-2</v>
      </c>
      <c r="BZ28" s="3">
        <f t="shared" si="11"/>
        <v>3.2456764759778579E-2</v>
      </c>
      <c r="CA28" s="8"/>
      <c r="CB28" s="14">
        <f>$CB$12*($AO$5/K28)/($AN$5*(1-0.53*((B28-$AM$5)^2))*(1+0.2*B28*B28))</f>
        <v>1.3440443522380336</v>
      </c>
      <c r="CC28" s="1">
        <f t="shared" si="48"/>
        <v>1.8601108805950841</v>
      </c>
      <c r="CD28" s="3">
        <f t="shared" si="12"/>
        <v>6.4457581412090653E-2</v>
      </c>
      <c r="CE28" s="6">
        <f t="shared" si="13"/>
        <v>1.9859521393816943</v>
      </c>
      <c r="CF28" s="22" t="str">
        <f t="shared" si="49"/>
        <v/>
      </c>
      <c r="CG28" s="22"/>
      <c r="CH28" s="7">
        <f t="shared" si="14"/>
        <v>1.029686558092139</v>
      </c>
      <c r="CI28" s="23">
        <f>CH28*(0.7*I28*B28*B28)*$N$5/9.80665</f>
        <v>124147.16371368332</v>
      </c>
      <c r="CK28" s="1">
        <f>B28/$AI$5</f>
        <v>1</v>
      </c>
      <c r="CL28" s="14">
        <f t="shared" si="50"/>
        <v>1.4515200000000053</v>
      </c>
      <c r="CM28" s="1">
        <f t="shared" si="51"/>
        <v>0.8569758833631711</v>
      </c>
      <c r="CN28" s="14">
        <f>SQRT((A28*9.80665)/(0.7*I28*$N$5*CM28))</f>
        <v>0.56781962628924498</v>
      </c>
      <c r="CO28" s="1">
        <f t="shared" si="15"/>
        <v>0.56908477516767597</v>
      </c>
      <c r="CP28" s="29" t="str">
        <f>IF(C28&lt;30,"",IF(CO28&gt;1,"no",""))</f>
        <v/>
      </c>
      <c r="CQ28" s="22"/>
      <c r="CR28" s="23">
        <f>CM28*(0.7*I28*B28*B28)*$N$5/9.80665</f>
        <v>103323.79737742079</v>
      </c>
      <c r="CS28"/>
      <c r="CT28" s="6">
        <f t="shared" si="16"/>
        <v>0.84268292682926838</v>
      </c>
      <c r="CU28" s="22" t="str">
        <f t="shared" si="52"/>
        <v/>
      </c>
      <c r="CV28" s="5"/>
      <c r="CW28" s="6">
        <f>IF(C28&lt;100,SQRT(2)*SQRT(SQRT(1+(2/1.4)*(10510/I28))-1),IF(I28&gt;$AW$5,SQRT(2)*SQRT(SQRT(1+(2/1.4)*($AV$5/I28))-1),$AS$5))</f>
        <v>0.82</v>
      </c>
      <c r="CX28" s="22" t="str">
        <f>IF(B28&gt;CW28,"no","")</f>
        <v/>
      </c>
    </row>
    <row r="29" spans="1:103" x14ac:dyDescent="0.2">
      <c r="A29">
        <v>58800</v>
      </c>
      <c r="B29" s="1">
        <v>0.75270000000000004</v>
      </c>
      <c r="C29" s="5">
        <v>346</v>
      </c>
      <c r="D29" s="1">
        <v>0</v>
      </c>
      <c r="E29" s="1">
        <v>0</v>
      </c>
      <c r="G29">
        <f t="shared" si="1"/>
        <v>34600</v>
      </c>
      <c r="H29" s="9">
        <f t="shared" si="2"/>
        <v>10546.080000042184</v>
      </c>
      <c r="I29" s="5">
        <f t="shared" si="17"/>
        <v>24299.63297921298</v>
      </c>
      <c r="J29" s="5">
        <v>0</v>
      </c>
      <c r="K29" s="6">
        <f t="shared" si="18"/>
        <v>219.60047999972579</v>
      </c>
      <c r="L29" s="5">
        <f t="shared" si="19"/>
        <v>297.0704376027507</v>
      </c>
      <c r="M29" s="10">
        <f t="shared" si="20"/>
        <v>1.4377814627895842E-5</v>
      </c>
      <c r="O29" s="6">
        <f>B29*L29</f>
        <v>223.60491838359047</v>
      </c>
      <c r="P29" s="1">
        <f>IF(E29=0,0,E29/9.80665)</f>
        <v>0</v>
      </c>
      <c r="Q29" s="7">
        <f>IF(D29=0,0,(D29/O29))</f>
        <v>0</v>
      </c>
      <c r="R29" s="19">
        <f t="shared" si="21"/>
        <v>1</v>
      </c>
      <c r="S29" s="19">
        <f t="shared" si="22"/>
        <v>0</v>
      </c>
      <c r="T29" s="19">
        <f t="shared" si="23"/>
        <v>0</v>
      </c>
      <c r="U29" s="19"/>
      <c r="V29" s="19"/>
      <c r="W29" s="6"/>
      <c r="X29" s="1">
        <f>(A29*9.80665*R29)/(0.7*I29*B29*B29*$N$5)</f>
        <v>0.48884930004654453</v>
      </c>
      <c r="Y29" s="10">
        <f>(SQRT($N$5)*B29)*(I29/M29)*SQRT(1.4/(287.05*K29))</f>
        <v>66326649.398924336</v>
      </c>
      <c r="Z29" s="10">
        <f t="shared" si="24"/>
        <v>2.1613044705330168E-3</v>
      </c>
      <c r="AA29" s="3">
        <f t="shared" si="25"/>
        <v>1.8144772647081128E-2</v>
      </c>
      <c r="AB29" s="3">
        <f t="shared" si="26"/>
        <v>7.5432448066151576E-3</v>
      </c>
      <c r="AC29" s="3">
        <f>IF($E$5="no",(1/((1+0.03+$Q$5)+AB29*3.141593*$S$5)),(1.075/((1+0.03+$Q$5)+AB29*3.141593*$S$5)))</f>
        <v>0.78005131775137582</v>
      </c>
      <c r="AD29" s="3">
        <f t="shared" si="27"/>
        <v>4.2953599593178175E-2</v>
      </c>
      <c r="AE29" s="1">
        <f t="shared" si="28"/>
        <v>0.69006977215507725</v>
      </c>
      <c r="AF29" s="1">
        <f>B29*$R$5/AE29</f>
        <v>0.98856359678997396</v>
      </c>
      <c r="AG29" s="8">
        <f t="shared" si="29"/>
        <v>7.8016664934880693E-4</v>
      </c>
      <c r="AH29" s="8"/>
      <c r="AI29" s="3">
        <f t="shared" si="30"/>
        <v>2.9189717263107654E-2</v>
      </c>
      <c r="AJ29" s="1">
        <f t="shared" si="31"/>
        <v>16.74731192632661</v>
      </c>
      <c r="AK29" s="1"/>
      <c r="AL29" s="1">
        <f t="shared" si="32"/>
        <v>5.9711075090684247E-2</v>
      </c>
      <c r="AM29" s="8">
        <f>AL29*(A29*9.80665)/(0.7*I29*B29*B29*$N$5)</f>
        <v>2.9189717263107658E-2</v>
      </c>
      <c r="AN29" s="1">
        <f>B29/$AI$5</f>
        <v>1</v>
      </c>
      <c r="AO29" s="1">
        <f>IF(B29&lt;0.4,1.3*(0.4-B29),0)</f>
        <v>0</v>
      </c>
      <c r="AP29" s="1">
        <f t="shared" si="33"/>
        <v>-0.43</v>
      </c>
      <c r="AQ29" s="1">
        <f t="shared" si="34"/>
        <v>0</v>
      </c>
      <c r="AR29" s="1">
        <f t="shared" si="3"/>
        <v>1</v>
      </c>
      <c r="AS29" s="1">
        <f t="shared" si="4"/>
        <v>0.30867472713898642</v>
      </c>
      <c r="AT29" s="1">
        <f>(((1+0.55*B29)/(1+0.55*$AI$5))/(AN29^2))</f>
        <v>1</v>
      </c>
      <c r="AU29" s="1">
        <f t="shared" si="5"/>
        <v>3.465254791234245E-2</v>
      </c>
      <c r="AV29" s="8">
        <f t="shared" si="35"/>
        <v>0.84235414195072633</v>
      </c>
      <c r="AW29" s="8">
        <f t="shared" si="36"/>
        <v>0.98931354687916051</v>
      </c>
      <c r="AX29" s="8"/>
      <c r="AY29" s="4"/>
      <c r="AZ29" s="1">
        <f t="shared" si="37"/>
        <v>0.30537608913782771</v>
      </c>
      <c r="BA29" s="14">
        <f t="shared" si="38"/>
        <v>0.29774168690938202</v>
      </c>
      <c r="BB29" s="1"/>
      <c r="BC29" s="14">
        <f t="shared" si="39"/>
        <v>4.9863729041420966</v>
      </c>
      <c r="BD29" s="14">
        <f>IF(0.7*(AM29*(B29^3)/BA29)*(I29*L29*$N$5/43000000)&lt;$AH$5*(1-0.178*(C29/100)+0.0085*((C29/100)^2)),$AH$5*(1-0.178*(C29/100)+0.0085*((C29/100)^2)),0.7*(AM29*(B29^3)/BA29)*(I29*L29*$N$5/43000000))</f>
        <v>0.60134837832721544</v>
      </c>
      <c r="BE29" s="4">
        <f t="shared" si="6"/>
        <v>2.6893343074664055E-3</v>
      </c>
      <c r="BF29" s="4"/>
      <c r="BG29" s="1">
        <f t="shared" si="7"/>
        <v>0.9369416567802904</v>
      </c>
      <c r="BH29" s="1">
        <f>0.6*$AN$5*(1-0.53*((B29-$AM$5)^2))*(1+((2/3)*AV29))</f>
        <v>5.2290370038504239</v>
      </c>
      <c r="BJ29" s="1">
        <f t="shared" si="8"/>
        <v>6.2937388319934158</v>
      </c>
      <c r="BK29" s="5">
        <f t="shared" si="9"/>
        <v>21.061999882652074</v>
      </c>
      <c r="BL29" s="5">
        <f t="shared" si="40"/>
        <v>1.4959764717826447</v>
      </c>
      <c r="BM29" s="5">
        <f t="shared" si="41"/>
        <v>2.7536422003666861</v>
      </c>
      <c r="BN29" s="1">
        <f t="shared" si="42"/>
        <v>1.1432516870064493</v>
      </c>
      <c r="BO29" s="1">
        <f t="shared" si="43"/>
        <v>3.083934865461452</v>
      </c>
      <c r="BP29" s="9">
        <f>(1+0.2*B29*B29)*K29</f>
        <v>244.48373056599459</v>
      </c>
      <c r="BQ29" s="9">
        <f t="shared" si="44"/>
        <v>673.22071778960139</v>
      </c>
      <c r="BR29" s="9">
        <f t="shared" si="45"/>
        <v>1278.4144739689827</v>
      </c>
      <c r="BS29" s="9">
        <f t="shared" si="46"/>
        <v>753.97190073055447</v>
      </c>
      <c r="BU29" s="9">
        <f>((1+0.2*B29*B29)^3.5)*I29</f>
        <v>35380.021279320077</v>
      </c>
      <c r="BV29" s="9">
        <f t="shared" si="47"/>
        <v>745174.00403326738</v>
      </c>
      <c r="BX29" s="3">
        <f t="shared" si="10"/>
        <v>2.0422178124550522E-2</v>
      </c>
      <c r="BZ29" s="3">
        <f t="shared" si="11"/>
        <v>3.2521514875863598E-2</v>
      </c>
      <c r="CA29" s="8"/>
      <c r="CB29" s="14">
        <f>$CB$12*($AO$5/K29)/($AN$5*(1-0.53*((B29-$AM$5)^2))*(1+0.2*B29*B29))</f>
        <v>1.3446506397722566</v>
      </c>
      <c r="CC29" s="1">
        <f t="shared" si="48"/>
        <v>1.8616265994306416</v>
      </c>
      <c r="CD29" s="3">
        <f t="shared" si="12"/>
        <v>6.4510104931661455E-2</v>
      </c>
      <c r="CE29" s="6">
        <f t="shared" si="13"/>
        <v>1.9836131612534058</v>
      </c>
      <c r="CF29" s="22" t="str">
        <f t="shared" si="49"/>
        <v/>
      </c>
      <c r="CG29" s="22"/>
      <c r="CH29" s="7">
        <f t="shared" si="14"/>
        <v>1.0301773247431687</v>
      </c>
      <c r="CI29" s="23">
        <f>CH29*(0.7*I29*B29*B29)*$N$5/9.80665</f>
        <v>123912.2704873074</v>
      </c>
      <c r="CK29" s="1">
        <f>B29/$AI$5</f>
        <v>1</v>
      </c>
      <c r="CL29" s="14">
        <f t="shared" si="50"/>
        <v>1.4515200000000053</v>
      </c>
      <c r="CM29" s="1">
        <f t="shared" si="51"/>
        <v>0.8569758833631711</v>
      </c>
      <c r="CN29" s="14">
        <f>SQRT((A29*9.80665)/(0.7*I29*$N$5*CM29))</f>
        <v>0.56849299111420348</v>
      </c>
      <c r="CO29" s="1">
        <f t="shared" si="15"/>
        <v>0.57043530574988066</v>
      </c>
      <c r="CP29" s="29" t="str">
        <f>IF(C29&lt;30,"",IF(CO29&gt;1,"no",""))</f>
        <v/>
      </c>
      <c r="CQ29" s="22"/>
      <c r="CR29" s="23">
        <f>CM29*(0.7*I29*B29*B29)*$N$5/9.80665</f>
        <v>103079.17375959562</v>
      </c>
      <c r="CS29"/>
      <c r="CT29" s="6">
        <f t="shared" si="16"/>
        <v>0.84390243902439033</v>
      </c>
      <c r="CU29" s="22" t="str">
        <f t="shared" si="52"/>
        <v/>
      </c>
      <c r="CV29" s="5"/>
      <c r="CW29" s="6">
        <f>IF(C29&lt;100,SQRT(2)*SQRT(SQRT(1+(2/1.4)*(10510/I29))-1),IF(I29&gt;$AW$5,SQRT(2)*SQRT(SQRT(1+(2/1.4)*($AV$5/I29))-1),$AS$5))</f>
        <v>0.82</v>
      </c>
      <c r="CX29" s="22" t="str">
        <f>IF(B29&gt;CW29,"no","")</f>
        <v/>
      </c>
    </row>
    <row r="30" spans="1:103" x14ac:dyDescent="0.2">
      <c r="A30">
        <v>58800</v>
      </c>
      <c r="B30" s="1">
        <v>0.75270000000000004</v>
      </c>
      <c r="C30" s="5">
        <v>346.5</v>
      </c>
      <c r="D30" s="1">
        <v>0</v>
      </c>
      <c r="E30" s="1">
        <v>0</v>
      </c>
      <c r="G30">
        <f t="shared" si="1"/>
        <v>34650</v>
      </c>
      <c r="H30" s="9">
        <f t="shared" si="2"/>
        <v>10561.320000042244</v>
      </c>
      <c r="I30" s="5">
        <f t="shared" si="17"/>
        <v>24242.07660673674</v>
      </c>
      <c r="J30" s="5">
        <v>0</v>
      </c>
      <c r="K30" s="6">
        <f t="shared" si="18"/>
        <v>219.50141999972539</v>
      </c>
      <c r="L30" s="5">
        <f t="shared" si="19"/>
        <v>297.00342700933544</v>
      </c>
      <c r="M30" s="10">
        <f t="shared" si="20"/>
        <v>1.4372401478633564E-5</v>
      </c>
      <c r="O30" s="6">
        <f>B30*L30</f>
        <v>223.55447950992681</v>
      </c>
      <c r="P30" s="1">
        <f>IF(E30=0,0,E30/9.80665)</f>
        <v>0</v>
      </c>
      <c r="Q30" s="7">
        <f>IF(D30=0,0,(D30/O30))</f>
        <v>0</v>
      </c>
      <c r="R30" s="19">
        <f t="shared" si="21"/>
        <v>1</v>
      </c>
      <c r="S30" s="19">
        <f t="shared" si="22"/>
        <v>0</v>
      </c>
      <c r="T30" s="19">
        <f t="shared" si="23"/>
        <v>0</v>
      </c>
      <c r="U30" s="19"/>
      <c r="V30" s="19"/>
      <c r="W30" s="6"/>
      <c r="X30" s="1">
        <f>(A30*9.80665*R30)/(0.7*I30*B30*B30*$N$5)</f>
        <v>0.49000994287655725</v>
      </c>
      <c r="Y30" s="10">
        <f>(SQRT($N$5)*B30)*(I30/M30)*SQRT(1.4/(287.05*K30))</f>
        <v>66209404.096995458</v>
      </c>
      <c r="Z30" s="10">
        <f t="shared" si="24"/>
        <v>2.1618398840102886E-3</v>
      </c>
      <c r="AA30" s="3">
        <f t="shared" si="25"/>
        <v>1.8149267597214129E-2</v>
      </c>
      <c r="AB30" s="3">
        <f t="shared" si="26"/>
        <v>7.54511347203777E-3</v>
      </c>
      <c r="AC30" s="3">
        <f>IF($E$5="no",(1/((1+0.03+$Q$5)+AB30*3.141593*$S$5)),(1.075/((1+0.03+$Q$5)+AB30*3.141593*$S$5)))</f>
        <v>0.78001738365673223</v>
      </c>
      <c r="AD30" s="3">
        <f t="shared" si="27"/>
        <v>4.2955468258600797E-2</v>
      </c>
      <c r="AE30" s="1">
        <f t="shared" si="28"/>
        <v>0.68992847051933959</v>
      </c>
      <c r="AF30" s="1">
        <f>B30*$R$5/AE30</f>
        <v>0.98876606075432083</v>
      </c>
      <c r="AG30" s="8">
        <f t="shared" si="29"/>
        <v>7.8280895386452249E-4</v>
      </c>
      <c r="AH30" s="8"/>
      <c r="AI30" s="3">
        <f t="shared" si="30"/>
        <v>2.9246103043115302E-2</v>
      </c>
      <c r="AJ30" s="1">
        <f t="shared" si="31"/>
        <v>16.754708897598181</v>
      </c>
      <c r="AK30" s="1"/>
      <c r="AL30" s="1">
        <f t="shared" si="32"/>
        <v>5.9684713480360849E-2</v>
      </c>
      <c r="AM30" s="8">
        <f>AL30*(A30*9.80665)/(0.7*I30*B30*B30*$N$5)</f>
        <v>2.9246103043115302E-2</v>
      </c>
      <c r="AN30" s="1">
        <f>B30/$AI$5</f>
        <v>1</v>
      </c>
      <c r="AO30" s="1">
        <f>IF(B30&lt;0.4,1.3*(0.4-B30),0)</f>
        <v>0</v>
      </c>
      <c r="AP30" s="1">
        <f t="shared" si="33"/>
        <v>-0.43</v>
      </c>
      <c r="AQ30" s="1">
        <f t="shared" si="34"/>
        <v>0</v>
      </c>
      <c r="AR30" s="1">
        <f t="shared" si="3"/>
        <v>1</v>
      </c>
      <c r="AS30" s="1">
        <f t="shared" si="4"/>
        <v>0.30867472713898642</v>
      </c>
      <c r="AT30" s="1">
        <f>(((1+0.55*B30)/(1+0.55*$AI$5))/(AN30^2))</f>
        <v>1</v>
      </c>
      <c r="AU30" s="1">
        <f t="shared" si="5"/>
        <v>3.465254791234245E-2</v>
      </c>
      <c r="AV30" s="8">
        <f t="shared" si="35"/>
        <v>0.84398131753822647</v>
      </c>
      <c r="AW30" s="8">
        <f t="shared" si="36"/>
        <v>0.98953301341084365</v>
      </c>
      <c r="AX30" s="8"/>
      <c r="AY30" s="4"/>
      <c r="AZ30" s="1">
        <f t="shared" si="37"/>
        <v>0.30544383290961113</v>
      </c>
      <c r="BA30" s="14">
        <f t="shared" si="38"/>
        <v>0.29780773708687086</v>
      </c>
      <c r="BB30" s="1"/>
      <c r="BC30" s="14">
        <f t="shared" si="39"/>
        <v>4.9896819423429752</v>
      </c>
      <c r="BD30" s="14">
        <f>IF(0.7*(AM30*(B30^3)/BA30)*(I30*L30*$N$5/43000000)&lt;$AH$5*(1-0.178*(C30/100)+0.0085*((C30/100)^2)),$AH$5*(1-0.178*(C30/100)+0.0085*((C30/100)^2)),0.7*(AM30*(B30^3)/BA30)*(I30*L30*$N$5/43000000))</f>
        <v>0.60081402137239992</v>
      </c>
      <c r="BE30" s="4">
        <f t="shared" si="6"/>
        <v>2.6875508050185196E-3</v>
      </c>
      <c r="BF30" s="4"/>
      <c r="BG30" s="1">
        <f t="shared" si="7"/>
        <v>0.9375925270152905</v>
      </c>
      <c r="BH30" s="1">
        <f>0.6*$AN$5*(1-0.53*((B30-$AM$5)^2))*(1+((2/3)*AV30))</f>
        <v>5.2326694867471879</v>
      </c>
      <c r="BJ30" s="1">
        <f t="shared" si="8"/>
        <v>6.2888020058423626</v>
      </c>
      <c r="BK30" s="5">
        <f t="shared" si="9"/>
        <v>21.098597070495245</v>
      </c>
      <c r="BL30" s="5">
        <f t="shared" si="40"/>
        <v>1.4970156897005349</v>
      </c>
      <c r="BM30" s="5">
        <f t="shared" si="41"/>
        <v>2.755231630510504</v>
      </c>
      <c r="BN30" s="1">
        <f t="shared" si="42"/>
        <v>1.1435155998898439</v>
      </c>
      <c r="BO30" s="1">
        <f t="shared" si="43"/>
        <v>3.0855137897357241</v>
      </c>
      <c r="BP30" s="9">
        <f>(1+0.2*B30*B30)*K30</f>
        <v>244.37344593296464</v>
      </c>
      <c r="BQ30" s="9">
        <f t="shared" si="44"/>
        <v>673.30544789135263</v>
      </c>
      <c r="BR30" s="9">
        <f t="shared" si="45"/>
        <v>1278.7254739046878</v>
      </c>
      <c r="BS30" s="9">
        <f t="shared" si="46"/>
        <v>754.01763727139985</v>
      </c>
      <c r="BU30" s="9">
        <f>((1+0.2*B30*B30)^3.5)*I30</f>
        <v>35296.219779737272</v>
      </c>
      <c r="BV30" s="9">
        <f t="shared" si="47"/>
        <v>744700.71924432111</v>
      </c>
      <c r="BX30" s="3">
        <f t="shared" si="10"/>
        <v>2.0429790059538936E-2</v>
      </c>
      <c r="BZ30" s="3">
        <f t="shared" si="11"/>
        <v>3.2586564637000361E-2</v>
      </c>
      <c r="CA30" s="8"/>
      <c r="CB30" s="14">
        <f>$CB$12*($AO$5/K30)/($AN$5*(1-0.53*((B30-$AM$5)^2))*(1+0.2*B30*B30))</f>
        <v>1.3452574745361348</v>
      </c>
      <c r="CC30" s="1">
        <f t="shared" si="48"/>
        <v>1.863143686340337</v>
      </c>
      <c r="CD30" s="3">
        <f t="shared" si="12"/>
        <v>6.4562675858486865E-2</v>
      </c>
      <c r="CE30" s="6">
        <f t="shared" si="13"/>
        <v>1.9812667146011238</v>
      </c>
      <c r="CF30" s="22" t="str">
        <f t="shared" si="49"/>
        <v/>
      </c>
      <c r="CG30" s="22"/>
      <c r="CH30" s="7">
        <f t="shared" si="14"/>
        <v>1.0306681547601146</v>
      </c>
      <c r="CI30" s="23">
        <f>CH30*(0.7*I30*B30*B30)*$N$5/9.80665</f>
        <v>123677.66895530497</v>
      </c>
      <c r="CK30" s="1">
        <f>B30/$AI$5</f>
        <v>1</v>
      </c>
      <c r="CL30" s="14">
        <f t="shared" si="50"/>
        <v>1.4515200000000053</v>
      </c>
      <c r="CM30" s="1">
        <f t="shared" si="51"/>
        <v>0.8569758833631711</v>
      </c>
      <c r="CN30" s="14">
        <f>SQRT((A30*9.80665)/(0.7*I30*$N$5*CM30))</f>
        <v>0.56916745882641817</v>
      </c>
      <c r="CO30" s="1">
        <f t="shared" si="15"/>
        <v>0.57178965288209838</v>
      </c>
      <c r="CP30" s="29" t="str">
        <f>IF(C30&lt;30,"",IF(CO30&gt;1,"no",""))</f>
        <v/>
      </c>
      <c r="CQ30" s="22"/>
      <c r="CR30" s="23">
        <f>CM30*(0.7*I30*B30*B30)*$N$5/9.80665</f>
        <v>102835.01931806454</v>
      </c>
      <c r="CS30"/>
      <c r="CT30" s="6">
        <f t="shared" si="16"/>
        <v>0.84512195121951228</v>
      </c>
      <c r="CU30" s="22" t="str">
        <f t="shared" si="52"/>
        <v/>
      </c>
      <c r="CV30" s="5"/>
      <c r="CW30" s="6">
        <f>IF(C30&lt;100,SQRT(2)*SQRT(SQRT(1+(2/1.4)*(10510/I30))-1),IF(I30&gt;$AW$5,SQRT(2)*SQRT(SQRT(1+(2/1.4)*($AV$5/I30))-1),$AS$5))</f>
        <v>0.82</v>
      </c>
      <c r="CX30" s="22" t="str">
        <f>IF(B30&gt;CW30,"no","")</f>
        <v/>
      </c>
    </row>
    <row r="31" spans="1:103" x14ac:dyDescent="0.2">
      <c r="A31">
        <v>58800</v>
      </c>
      <c r="B31" s="1">
        <v>0.75270000000000004</v>
      </c>
      <c r="C31" s="5">
        <v>347</v>
      </c>
      <c r="D31" s="1">
        <v>0</v>
      </c>
      <c r="E31" s="1">
        <v>0</v>
      </c>
      <c r="G31">
        <f t="shared" si="1"/>
        <v>34700</v>
      </c>
      <c r="H31" s="9">
        <f t="shared" si="2"/>
        <v>10576.560000042306</v>
      </c>
      <c r="I31" s="5">
        <f t="shared" si="17"/>
        <v>24184.630674376265</v>
      </c>
      <c r="J31" s="5">
        <v>0</v>
      </c>
      <c r="K31" s="6">
        <f t="shared" si="18"/>
        <v>219.40235999972498</v>
      </c>
      <c r="L31" s="5">
        <f t="shared" si="19"/>
        <v>296.93640129342424</v>
      </c>
      <c r="M31" s="10">
        <f t="shared" si="20"/>
        <v>1.4366987273619754E-5</v>
      </c>
      <c r="O31" s="6">
        <f>B31*L31</f>
        <v>223.50402925356045</v>
      </c>
      <c r="P31" s="1">
        <f>IF(E31=0,0,E31/9.80665)</f>
        <v>0</v>
      </c>
      <c r="Q31" s="7">
        <f>IF(D31=0,0,(D31/O31))</f>
        <v>0</v>
      </c>
      <c r="R31" s="19">
        <f t="shared" si="21"/>
        <v>1</v>
      </c>
      <c r="S31" s="19">
        <f t="shared" si="22"/>
        <v>0</v>
      </c>
      <c r="T31" s="19">
        <f t="shared" si="23"/>
        <v>0</v>
      </c>
      <c r="U31" s="19"/>
      <c r="V31" s="19"/>
      <c r="W31" s="6"/>
      <c r="X31" s="1">
        <f>(A31*9.80665*R31)/(0.7*I31*B31*B31*$N$5)</f>
        <v>0.49117386712305272</v>
      </c>
      <c r="Y31" s="10">
        <f>(SQRT($N$5)*B31)*(I31/M31)*SQRT(1.4/(287.05*K31))</f>
        <v>66092316.262931287</v>
      </c>
      <c r="Z31" s="10">
        <f t="shared" si="24"/>
        <v>2.1623756581665974E-3</v>
      </c>
      <c r="AA31" s="3">
        <f t="shared" si="25"/>
        <v>1.8153765575351383E-2</v>
      </c>
      <c r="AB31" s="3">
        <f t="shared" si="26"/>
        <v>7.5469833962789846E-3</v>
      </c>
      <c r="AC31" s="3">
        <f>IF($E$5="no",(1/((1+0.03+$Q$5)+AB31*3.141593*$S$5)),(1.075/((1+0.03+$Q$5)+AB31*3.141593*$S$5)))</f>
        <v>0.77998342965781231</v>
      </c>
      <c r="AD31" s="3">
        <f t="shared" si="27"/>
        <v>4.2957338182841996E-2</v>
      </c>
      <c r="AE31" s="1">
        <f t="shared" si="28"/>
        <v>0.68978676938988637</v>
      </c>
      <c r="AF31" s="1">
        <f>B31*$R$5/AE31</f>
        <v>0.98896918043389637</v>
      </c>
      <c r="AG31" s="8">
        <f t="shared" si="29"/>
        <v>7.8546430465146122E-4</v>
      </c>
      <c r="AH31" s="8"/>
      <c r="AI31" s="3">
        <f t="shared" si="30"/>
        <v>2.930276365421669E-2</v>
      </c>
      <c r="AJ31" s="1">
        <f t="shared" si="31"/>
        <v>16.762032172769903</v>
      </c>
      <c r="AK31" s="1"/>
      <c r="AL31" s="1">
        <f t="shared" si="32"/>
        <v>5.9658637430878486E-2</v>
      </c>
      <c r="AM31" s="8">
        <f>AL31*(A31*9.80665)/(0.7*I31*B31*B31*$N$5)</f>
        <v>2.9302763654216694E-2</v>
      </c>
      <c r="AN31" s="1">
        <f>B31/$AI$5</f>
        <v>1</v>
      </c>
      <c r="AO31" s="1">
        <f>IF(B31&lt;0.4,1.3*(0.4-B31),0)</f>
        <v>0</v>
      </c>
      <c r="AP31" s="1">
        <f t="shared" si="33"/>
        <v>-0.43</v>
      </c>
      <c r="AQ31" s="1">
        <f t="shared" si="34"/>
        <v>0</v>
      </c>
      <c r="AR31" s="1">
        <f t="shared" si="3"/>
        <v>1</v>
      </c>
      <c r="AS31" s="1">
        <f t="shared" si="4"/>
        <v>0.30867472713898642</v>
      </c>
      <c r="AT31" s="1">
        <f>(((1+0.55*B31)/(1+0.55*$AI$5))/(AN31^2))</f>
        <v>1</v>
      </c>
      <c r="AU31" s="1">
        <f t="shared" si="5"/>
        <v>3.465254791234245E-2</v>
      </c>
      <c r="AV31" s="8">
        <f t="shared" si="35"/>
        <v>0.84561642417583138</v>
      </c>
      <c r="AW31" s="8">
        <f t="shared" si="36"/>
        <v>0.9897512559517696</v>
      </c>
      <c r="AX31" s="8"/>
      <c r="AY31" s="4"/>
      <c r="AZ31" s="1">
        <f t="shared" si="37"/>
        <v>0.30551119886638156</v>
      </c>
      <c r="BA31" s="14">
        <f t="shared" si="38"/>
        <v>0.29787341889472202</v>
      </c>
      <c r="BB31" s="1"/>
      <c r="BC31" s="14">
        <f t="shared" si="39"/>
        <v>4.9929638309262971</v>
      </c>
      <c r="BD31" s="14">
        <f>IF(0.7*(AM31*(B31^3)/BA31)*(I31*L31*$N$5/43000000)&lt;$AH$5*(1-0.178*(C31/100)+0.0085*((C31/100)^2)),$AH$5*(1-0.178*(C31/100)+0.0085*((C31/100)^2)),0.7*(AM31*(B31^3)/BA31)*(I31*L31*$N$5/43000000))</f>
        <v>0.60028360619181365</v>
      </c>
      <c r="BE31" s="4">
        <f t="shared" si="6"/>
        <v>2.685784270630777E-3</v>
      </c>
      <c r="BF31" s="4"/>
      <c r="BG31" s="1">
        <f t="shared" si="7"/>
        <v>0.9382465696703326</v>
      </c>
      <c r="BH31" s="1">
        <f>0.6*$AN$5*(1-0.53*((B31-$AM$5)^2))*(1+((2/3)*AV31))</f>
        <v>5.2363196748037897</v>
      </c>
      <c r="BJ31" s="1">
        <f t="shared" si="8"/>
        <v>6.2838484647485844</v>
      </c>
      <c r="BK31" s="5">
        <f t="shared" si="9"/>
        <v>21.135411044802787</v>
      </c>
      <c r="BL31" s="5">
        <f t="shared" si="40"/>
        <v>1.4980599728919211</v>
      </c>
      <c r="BM31" s="5">
        <f t="shared" si="41"/>
        <v>2.7568286198546588</v>
      </c>
      <c r="BN31" s="1">
        <f t="shared" si="42"/>
        <v>1.1437806759375908</v>
      </c>
      <c r="BO31" s="1">
        <f t="shared" si="43"/>
        <v>3.0871024540613212</v>
      </c>
      <c r="BP31" s="9">
        <f>(1+0.2*B31*B31)*K31</f>
        <v>244.26316129993472</v>
      </c>
      <c r="BQ31" s="9">
        <f t="shared" si="44"/>
        <v>673.39167384783491</v>
      </c>
      <c r="BR31" s="9">
        <f t="shared" si="45"/>
        <v>1279.0399973446199</v>
      </c>
      <c r="BS31" s="9">
        <f t="shared" si="46"/>
        <v>754.06540468580488</v>
      </c>
      <c r="BU31" s="9">
        <f>((1+0.2*B31*B31)^3.5)*I31</f>
        <v>35212.579079852519</v>
      </c>
      <c r="BV31" s="9">
        <f t="shared" si="47"/>
        <v>744232.3328003065</v>
      </c>
      <c r="BX31" s="3">
        <f t="shared" si="10"/>
        <v>2.0437474174227577E-2</v>
      </c>
      <c r="BZ31" s="3">
        <f t="shared" si="11"/>
        <v>3.2651915685146388E-2</v>
      </c>
      <c r="CA31" s="8"/>
      <c r="CB31" s="14">
        <f>$CB$12*($AO$5/K31)/($AN$5*(1-0.53*((B31-$AM$5)^2))*(1+0.2*B31*B31))</f>
        <v>1.3458648572708884</v>
      </c>
      <c r="CC31" s="1">
        <f t="shared" si="48"/>
        <v>1.8646621431772212</v>
      </c>
      <c r="CD31" s="3">
        <f t="shared" si="12"/>
        <v>6.4615294256779823E-2</v>
      </c>
      <c r="CE31" s="6">
        <f t="shared" si="13"/>
        <v>1.9789128111149028</v>
      </c>
      <c r="CF31" s="22" t="str">
        <f t="shared" si="49"/>
        <v/>
      </c>
      <c r="CG31" s="22"/>
      <c r="CH31" s="7">
        <f t="shared" si="14"/>
        <v>1.0311590477654109</v>
      </c>
      <c r="CI31" s="23">
        <f>CH31*(0.7*I31*B31*B31)*$N$5/9.80665</f>
        <v>123443.35899575886</v>
      </c>
      <c r="CK31" s="1">
        <f>B31/$AI$5</f>
        <v>1</v>
      </c>
      <c r="CL31" s="14">
        <f t="shared" si="50"/>
        <v>1.4515200000000053</v>
      </c>
      <c r="CM31" s="1">
        <f t="shared" si="51"/>
        <v>0.8569758833631711</v>
      </c>
      <c r="CN31" s="14">
        <f>SQRT((A31*9.80665)/(0.7*I31*$N$5*CM31))</f>
        <v>0.56984303173123141</v>
      </c>
      <c r="CO31" s="1">
        <f t="shared" si="15"/>
        <v>0.57314782907945849</v>
      </c>
      <c r="CP31" s="29" t="str">
        <f>IF(C31&lt;30,"",IF(CO31&gt;1,"no",""))</f>
        <v/>
      </c>
      <c r="CQ31" s="22"/>
      <c r="CR31" s="23">
        <f>CM31*(0.7*I31*B31*B31)*$N$5/9.80665</f>
        <v>102591.33336409838</v>
      </c>
      <c r="CS31"/>
      <c r="CT31" s="6">
        <f t="shared" si="16"/>
        <v>0.84634146341463423</v>
      </c>
      <c r="CU31" s="22" t="str">
        <f t="shared" si="52"/>
        <v/>
      </c>
      <c r="CV31" s="5"/>
      <c r="CW31" s="6">
        <f>IF(C31&lt;100,SQRT(2)*SQRT(SQRT(1+(2/1.4)*(10510/I31))-1),IF(I31&gt;$AW$5,SQRT(2)*SQRT(SQRT(1+(2/1.4)*($AV$5/I31))-1),$AS$5))</f>
        <v>0.82</v>
      </c>
      <c r="CX31" s="22" t="str">
        <f>IF(B31&gt;CW31,"no","")</f>
        <v/>
      </c>
    </row>
    <row r="32" spans="1:103" x14ac:dyDescent="0.2">
      <c r="A32">
        <v>58800</v>
      </c>
      <c r="B32" s="1">
        <v>0.75270000000000004</v>
      </c>
      <c r="C32" s="5">
        <v>347.5</v>
      </c>
      <c r="D32" s="1">
        <v>0</v>
      </c>
      <c r="E32" s="1">
        <v>0</v>
      </c>
      <c r="G32">
        <f t="shared" si="1"/>
        <v>34750</v>
      </c>
      <c r="H32" s="9">
        <f t="shared" si="2"/>
        <v>10591.800000042367</v>
      </c>
      <c r="I32" s="5">
        <f t="shared" si="17"/>
        <v>24127.295019937366</v>
      </c>
      <c r="J32" s="5">
        <v>0</v>
      </c>
      <c r="K32" s="6">
        <f t="shared" si="18"/>
        <v>219.3032999997246</v>
      </c>
      <c r="L32" s="5">
        <f t="shared" si="19"/>
        <v>296.86936044477432</v>
      </c>
      <c r="M32" s="10">
        <f t="shared" si="20"/>
        <v>1.436157201239868E-5</v>
      </c>
      <c r="O32" s="6">
        <f>B32*L32</f>
        <v>223.45356760678163</v>
      </c>
      <c r="P32" s="1">
        <f>IF(E32=0,0,E32/9.80665)</f>
        <v>0</v>
      </c>
      <c r="Q32" s="7">
        <f>IF(D32=0,0,(D32/O32))</f>
        <v>0</v>
      </c>
      <c r="R32" s="19">
        <f t="shared" si="21"/>
        <v>1</v>
      </c>
      <c r="S32" s="19">
        <f t="shared" si="22"/>
        <v>0</v>
      </c>
      <c r="T32" s="19">
        <f t="shared" si="23"/>
        <v>0</v>
      </c>
      <c r="U32" s="19"/>
      <c r="V32" s="19"/>
      <c r="W32" s="6"/>
      <c r="X32" s="1">
        <f>(A32*9.80665*R32)/(0.7*I32*B32*B32*$N$5)</f>
        <v>0.49234108355123152</v>
      </c>
      <c r="Y32" s="10">
        <f>(SQRT($N$5)*B32)*(I32/M32)*SQRT(1.4/(287.05*K32))</f>
        <v>65975385.751413412</v>
      </c>
      <c r="Z32" s="10">
        <f t="shared" si="24"/>
        <v>2.1629117934021122E-3</v>
      </c>
      <c r="AA32" s="3">
        <f t="shared" si="25"/>
        <v>1.8158266584852423E-2</v>
      </c>
      <c r="AB32" s="3">
        <f t="shared" si="26"/>
        <v>7.5488545807354457E-3</v>
      </c>
      <c r="AC32" s="3">
        <f>IF($E$5="no",(1/((1+0.03+$Q$5)+AB32*3.141593*$S$5)),(1.075/((1+0.03+$Q$5)+AB32*3.141593*$S$5)))</f>
        <v>0.77994945573484276</v>
      </c>
      <c r="AD32" s="3">
        <f t="shared" si="27"/>
        <v>4.2959209367298468E-2</v>
      </c>
      <c r="AE32" s="1">
        <f t="shared" si="28"/>
        <v>0.68964466745611608</v>
      </c>
      <c r="AF32" s="1">
        <f>B32*$R$5/AE32</f>
        <v>0.98917295846570119</v>
      </c>
      <c r="AG32" s="8">
        <f t="shared" si="29"/>
        <v>7.8813277981230109E-4</v>
      </c>
      <c r="AH32" s="8"/>
      <c r="AI32" s="3">
        <f t="shared" si="30"/>
        <v>2.9359700655552556E-2</v>
      </c>
      <c r="AJ32" s="1">
        <f t="shared" si="31"/>
        <v>16.769281448995944</v>
      </c>
      <c r="AK32" s="1"/>
      <c r="AL32" s="1">
        <f t="shared" si="32"/>
        <v>5.963284730127031E-2</v>
      </c>
      <c r="AM32" s="8">
        <f>AL32*(A32*9.80665)/(0.7*I32*B32*B32*$N$5)</f>
        <v>2.9359700655552556E-2</v>
      </c>
      <c r="AN32" s="1">
        <f>B32/$AI$5</f>
        <v>1</v>
      </c>
      <c r="AO32" s="1">
        <f>IF(B32&lt;0.4,1.3*(0.4-B32),0)</f>
        <v>0</v>
      </c>
      <c r="AP32" s="1">
        <f t="shared" si="33"/>
        <v>-0.43</v>
      </c>
      <c r="AQ32" s="1">
        <f t="shared" si="34"/>
        <v>0</v>
      </c>
      <c r="AR32" s="1">
        <f t="shared" si="3"/>
        <v>1</v>
      </c>
      <c r="AS32" s="1">
        <f t="shared" si="4"/>
        <v>0.30867472713898642</v>
      </c>
      <c r="AT32" s="1">
        <f>(((1+0.55*B32)/(1+0.55*$AI$5))/(AN32^2))</f>
        <v>1</v>
      </c>
      <c r="AU32" s="1">
        <f t="shared" si="5"/>
        <v>3.465254791234245E-2</v>
      </c>
      <c r="AV32" s="8">
        <f t="shared" si="35"/>
        <v>0.84725950685707863</v>
      </c>
      <c r="AW32" s="8">
        <f t="shared" si="36"/>
        <v>0.98996824695441654</v>
      </c>
      <c r="AX32" s="8"/>
      <c r="AY32" s="4"/>
      <c r="AZ32" s="1">
        <f t="shared" si="37"/>
        <v>0.30557817850491525</v>
      </c>
      <c r="BA32" s="14">
        <f t="shared" si="38"/>
        <v>0.29793872404229238</v>
      </c>
      <c r="BB32" s="1"/>
      <c r="BC32" s="14">
        <f t="shared" si="39"/>
        <v>4.9962183180199355</v>
      </c>
      <c r="BD32" s="14">
        <f>IF(0.7*(AM32*(B32^3)/BA32)*(I32*L32*$N$5/43000000)&lt;$AH$5*(1-0.178*(C32/100)+0.0085*((C32/100)^2)),$AH$5*(1-0.178*(C32/100)+0.0085*((C32/100)^2)),0.7*(AM32*(B32^3)/BA32)*(I32*L32*$N$5/43000000))</f>
        <v>0.59975714658541734</v>
      </c>
      <c r="BE32" s="4">
        <f t="shared" si="6"/>
        <v>2.6840347773763413E-3</v>
      </c>
      <c r="BF32" s="4"/>
      <c r="BG32" s="1">
        <f t="shared" si="7"/>
        <v>0.93890380274283136</v>
      </c>
      <c r="BH32" s="1">
        <f>0.6*$AN$5*(1-0.53*((B32-$AM$5)^2))*(1+((2/3)*AV32))</f>
        <v>5.2399876684631392</v>
      </c>
      <c r="BJ32" s="1">
        <f t="shared" si="8"/>
        <v>6.2788781637128954</v>
      </c>
      <c r="BK32" s="5">
        <f t="shared" si="9"/>
        <v>21.17244339395171</v>
      </c>
      <c r="BL32" s="5">
        <f t="shared" si="40"/>
        <v>1.4991093500925403</v>
      </c>
      <c r="BM32" s="5">
        <f t="shared" si="41"/>
        <v>2.7584332097501174</v>
      </c>
      <c r="BN32" s="1">
        <f t="shared" si="42"/>
        <v>1.1440469207864976</v>
      </c>
      <c r="BO32" s="1">
        <f t="shared" si="43"/>
        <v>3.088700926821121</v>
      </c>
      <c r="BP32" s="9">
        <f>(1+0.2*B32*B32)*K32</f>
        <v>244.1528766669048</v>
      </c>
      <c r="BQ32" s="9">
        <f t="shared" si="44"/>
        <v>673.47940325401476</v>
      </c>
      <c r="BR32" s="9">
        <f t="shared" si="45"/>
        <v>1279.3580629543828</v>
      </c>
      <c r="BS32" s="9">
        <f t="shared" si="46"/>
        <v>754.11521644711172</v>
      </c>
      <c r="BU32" s="9">
        <f>((1+0.2*B32*B32)^3.5)*I32</f>
        <v>35129.098943512712</v>
      </c>
      <c r="BV32" s="9">
        <f t="shared" si="47"/>
        <v>743768.85886205174</v>
      </c>
      <c r="BX32" s="3">
        <f t="shared" si="10"/>
        <v>2.0445230863448367E-2</v>
      </c>
      <c r="BZ32" s="3">
        <f t="shared" si="11"/>
        <v>3.271756967222654E-2</v>
      </c>
      <c r="CA32" s="8"/>
      <c r="CB32" s="14">
        <f>$CB$12*($AO$5/K32)/($AN$5*(1-0.53*((B32-$AM$5)^2))*(1+0.2*B32*B32))</f>
        <v>1.3464727887190786</v>
      </c>
      <c r="CC32" s="1">
        <f t="shared" si="48"/>
        <v>1.8661819717976966</v>
      </c>
      <c r="CD32" s="3">
        <f t="shared" si="12"/>
        <v>6.4667960190869386E-2</v>
      </c>
      <c r="CE32" s="6">
        <f t="shared" si="13"/>
        <v>1.976551462676797</v>
      </c>
      <c r="CF32" s="22" t="str">
        <f t="shared" si="49"/>
        <v/>
      </c>
      <c r="CG32" s="22"/>
      <c r="CH32" s="7">
        <f t="shared" si="14"/>
        <v>1.0316500033772384</v>
      </c>
      <c r="CI32" s="23">
        <f>CH32*(0.7*I32*B32*B32)*$N$5/9.80665</f>
        <v>123209.34048614578</v>
      </c>
      <c r="CK32" s="1">
        <f>B32/$AI$5</f>
        <v>1</v>
      </c>
      <c r="CL32" s="14">
        <f t="shared" si="50"/>
        <v>1.4515200000000053</v>
      </c>
      <c r="CM32" s="1">
        <f t="shared" si="51"/>
        <v>0.8569758833631711</v>
      </c>
      <c r="CN32" s="14">
        <f>SQRT((A32*9.80665)/(0.7*I32*$N$5*CM32))</f>
        <v>0.57051971213984953</v>
      </c>
      <c r="CO32" s="1">
        <f t="shared" si="15"/>
        <v>0.57450984690380857</v>
      </c>
      <c r="CP32" s="29" t="str">
        <f>IF(C32&lt;30,"",IF(CO32&gt;1,"no",""))</f>
        <v/>
      </c>
      <c r="CQ32" s="22"/>
      <c r="CR32" s="23">
        <f>CM32*(0.7*I32*B32*B32)*$N$5/9.80665</f>
        <v>102348.11520966848</v>
      </c>
      <c r="CS32"/>
      <c r="CT32" s="6">
        <f t="shared" si="16"/>
        <v>0.84756097560975618</v>
      </c>
      <c r="CU32" s="22" t="str">
        <f t="shared" si="52"/>
        <v/>
      </c>
      <c r="CV32" s="5"/>
      <c r="CW32" s="6">
        <f>IF(C32&lt;100,SQRT(2)*SQRT(SQRT(1+(2/1.4)*(10510/I32))-1),IF(I32&gt;$AW$5,SQRT(2)*SQRT(SQRT(1+(2/1.4)*($AV$5/I32))-1),$AS$5))</f>
        <v>0.82</v>
      </c>
      <c r="CX32" s="22" t="str">
        <f>IF(B32&gt;CW32,"no","")</f>
        <v/>
      </c>
    </row>
    <row r="33" spans="1:102" x14ac:dyDescent="0.2">
      <c r="A33">
        <v>58800</v>
      </c>
      <c r="B33" s="1">
        <v>0.75270000000000004</v>
      </c>
      <c r="C33" s="5">
        <v>348</v>
      </c>
      <c r="D33" s="1">
        <v>0</v>
      </c>
      <c r="E33" s="1">
        <v>0</v>
      </c>
      <c r="G33">
        <f t="shared" si="1"/>
        <v>34800</v>
      </c>
      <c r="H33" s="9">
        <f t="shared" si="2"/>
        <v>10607.040000042427</v>
      </c>
      <c r="I33" s="5">
        <f t="shared" si="17"/>
        <v>24070.069481391005</v>
      </c>
      <c r="J33" s="5">
        <v>0</v>
      </c>
      <c r="K33" s="6">
        <f t="shared" si="18"/>
        <v>219.20423999972422</v>
      </c>
      <c r="L33" s="5">
        <f t="shared" si="19"/>
        <v>296.80230445313117</v>
      </c>
      <c r="M33" s="10">
        <f t="shared" si="20"/>
        <v>1.4356155694514348E-5</v>
      </c>
      <c r="O33" s="6">
        <f>B33*L33</f>
        <v>223.40309456187185</v>
      </c>
      <c r="P33" s="1">
        <f>IF(E33=0,0,E33/9.80665)</f>
        <v>0</v>
      </c>
      <c r="Q33" s="7">
        <f>IF(D33=0,0,(D33/O33))</f>
        <v>0</v>
      </c>
      <c r="R33" s="19">
        <f t="shared" si="21"/>
        <v>1</v>
      </c>
      <c r="S33" s="19">
        <f t="shared" si="22"/>
        <v>0</v>
      </c>
      <c r="T33" s="19">
        <f t="shared" si="23"/>
        <v>0</v>
      </c>
      <c r="U33" s="19"/>
      <c r="V33" s="19"/>
      <c r="W33" s="6"/>
      <c r="X33" s="1">
        <f>(A33*9.80665*R33)/(0.7*I33*B33*B33*$N$5)</f>
        <v>0.49351160296649538</v>
      </c>
      <c r="Y33" s="10">
        <f>(SQRT($N$5)*B33)*(I33/M33)*SQRT(1.4/(287.05*K33))</f>
        <v>65858612.417197675</v>
      </c>
      <c r="Z33" s="10">
        <f t="shared" si="24"/>
        <v>2.1634482901176258E-3</v>
      </c>
      <c r="AA33" s="3">
        <f t="shared" si="25"/>
        <v>1.8162770629082014E-2</v>
      </c>
      <c r="AB33" s="3">
        <f t="shared" si="26"/>
        <v>7.5507270268059725E-3</v>
      </c>
      <c r="AC33" s="3">
        <f>IF($E$5="no",(1/((1+0.03+$Q$5)+AB33*3.141593*$S$5)),(1.075/((1+0.03+$Q$5)+AB33*3.141593*$S$5)))</f>
        <v>0.77991546186802296</v>
      </c>
      <c r="AD33" s="3">
        <f t="shared" si="27"/>
        <v>4.2961081813368988E-2</v>
      </c>
      <c r="AE33" s="1">
        <f t="shared" si="28"/>
        <v>0.68950216340253245</v>
      </c>
      <c r="AF33" s="1">
        <f>B33*$R$5/AE33</f>
        <v>0.98937739749977327</v>
      </c>
      <c r="AG33" s="8">
        <f t="shared" si="29"/>
        <v>7.9081445799642879E-4</v>
      </c>
      <c r="AH33" s="8"/>
      <c r="AI33" s="3">
        <f t="shared" si="30"/>
        <v>2.9416915615929184E-2</v>
      </c>
      <c r="AJ33" s="1">
        <f t="shared" si="31"/>
        <v>16.776456424250682</v>
      </c>
      <c r="AK33" s="1"/>
      <c r="AL33" s="1">
        <f t="shared" si="32"/>
        <v>5.9607343452725885E-2</v>
      </c>
      <c r="AM33" s="8">
        <f>AL33*(A33*9.80665)/(0.7*I33*B33*B33*$N$5)</f>
        <v>2.9416915615929181E-2</v>
      </c>
      <c r="AN33" s="1">
        <f>B33/$AI$5</f>
        <v>1</v>
      </c>
      <c r="AO33" s="1">
        <f>IF(B33&lt;0.4,1.3*(0.4-B33),0)</f>
        <v>0</v>
      </c>
      <c r="AP33" s="1">
        <f t="shared" si="33"/>
        <v>-0.43</v>
      </c>
      <c r="AQ33" s="1">
        <f t="shared" si="34"/>
        <v>0</v>
      </c>
      <c r="AR33" s="1">
        <f t="shared" si="3"/>
        <v>1</v>
      </c>
      <c r="AS33" s="1">
        <f t="shared" si="4"/>
        <v>0.30867472713898642</v>
      </c>
      <c r="AT33" s="1">
        <f>(((1+0.55*B33)/(1+0.55*$AI$5))/(AN33^2))</f>
        <v>1</v>
      </c>
      <c r="AU33" s="1">
        <f t="shared" si="5"/>
        <v>3.465254791234245E-2</v>
      </c>
      <c r="AV33" s="8">
        <f t="shared" si="35"/>
        <v>0.84891061085443431</v>
      </c>
      <c r="AW33" s="8">
        <f t="shared" si="36"/>
        <v>0.99018395848967655</v>
      </c>
      <c r="AX33" s="8"/>
      <c r="AY33" s="4"/>
      <c r="AZ33" s="1">
        <f t="shared" si="37"/>
        <v>0.30564476320420236</v>
      </c>
      <c r="BA33" s="14">
        <f t="shared" si="38"/>
        <v>0.2980036441240973</v>
      </c>
      <c r="BB33" s="1"/>
      <c r="BC33" s="14">
        <f t="shared" si="39"/>
        <v>4.9994451499158261</v>
      </c>
      <c r="BD33" s="14">
        <f>IF(0.7*(AM33*(B33^3)/BA33)*(I33*L33*$N$5/43000000)&lt;$AH$5*(1-0.178*(C33/100)+0.0085*((C33/100)^2)),$AH$5*(1-0.178*(C33/100)+0.0085*((C33/100)^2)),0.7*(AM33*(B33^3)/BA33)*(I33*L33*$N$5/43000000))</f>
        <v>0.59923465656071084</v>
      </c>
      <c r="BE33" s="4">
        <f t="shared" si="6"/>
        <v>2.6823023993284563E-3</v>
      </c>
      <c r="BF33" s="4"/>
      <c r="BG33" s="1">
        <f t="shared" si="7"/>
        <v>0.93956424434177366</v>
      </c>
      <c r="BH33" s="1">
        <f>0.6*$AN$5*(1-0.53*((B33-$AM$5)^2))*(1+((2/3)*AV33))</f>
        <v>5.2436735687908271</v>
      </c>
      <c r="BJ33" s="1">
        <f t="shared" si="8"/>
        <v>6.2738910578048017</v>
      </c>
      <c r="BK33" s="5">
        <f t="shared" si="9"/>
        <v>21.209695720004618</v>
      </c>
      <c r="BL33" s="5">
        <f t="shared" si="40"/>
        <v>1.500163850216272</v>
      </c>
      <c r="BM33" s="5">
        <f t="shared" si="41"/>
        <v>2.7600454417902776</v>
      </c>
      <c r="BN33" s="1">
        <f t="shared" si="42"/>
        <v>1.1443143401000726</v>
      </c>
      <c r="BO33" s="1">
        <f t="shared" si="43"/>
        <v>3.0903092769054497</v>
      </c>
      <c r="BP33" s="9">
        <f>(1+0.2*B33*B33)*K33</f>
        <v>244.04259203387491</v>
      </c>
      <c r="BQ33" s="9">
        <f t="shared" ref="BQ33:BQ96" si="53">BM33*BP33</f>
        <v>673.56864374578072</v>
      </c>
      <c r="BR33" s="9">
        <f t="shared" ref="BR33:BR96" si="54">BH33*BP33</f>
        <v>1279.6796895072328</v>
      </c>
      <c r="BS33" s="9">
        <f t="shared" si="46"/>
        <v>754.1670861223356</v>
      </c>
      <c r="BU33" s="9">
        <f>((1+0.2*B33*B33)^3.5)*I33</f>
        <v>35045.779134805198</v>
      </c>
      <c r="BV33" s="9">
        <f t="shared" si="47"/>
        <v>743310.31171970489</v>
      </c>
      <c r="BX33" s="3">
        <f t="shared" si="10"/>
        <v>2.0453060524434775E-2</v>
      </c>
      <c r="BZ33" s="3">
        <f t="shared" si="11"/>
        <v>3.2783528260198716E-2</v>
      </c>
      <c r="CA33" s="8"/>
      <c r="CB33" s="14">
        <f>$CB$12*($AO$5/K33)/($AN$5*(1-0.53*((B33-$AM$5)^2))*(1+0.2*B33*B33))</f>
        <v>1.3470812696246086</v>
      </c>
      <c r="CC33" s="1">
        <f t="shared" si="48"/>
        <v>1.8677031740615215</v>
      </c>
      <c r="CD33" s="3">
        <f t="shared" si="12"/>
        <v>6.4720673725200947E-2</v>
      </c>
      <c r="CE33" s="6">
        <f t="shared" si="13"/>
        <v>1.9741826813612358</v>
      </c>
      <c r="CF33" s="22" t="str">
        <f t="shared" si="49"/>
        <v/>
      </c>
      <c r="CG33" s="22"/>
      <c r="CH33" s="7">
        <f t="shared" si="14"/>
        <v>1.0321410212094917</v>
      </c>
      <c r="CI33" s="23">
        <f>CH33*(0.7*I33*B33*B33)*$N$5/9.80665</f>
        <v>122975.61330333781</v>
      </c>
      <c r="CK33" s="1">
        <f>B33/$AI$5</f>
        <v>1</v>
      </c>
      <c r="CL33" s="14">
        <f t="shared" si="50"/>
        <v>1.4515200000000053</v>
      </c>
      <c r="CM33" s="1">
        <f t="shared" si="51"/>
        <v>0.8569758833631711</v>
      </c>
      <c r="CN33" s="14">
        <f>SQRT((A33*9.80665)/(0.7*I33*$N$5*CM33))</f>
        <v>0.57119750236935796</v>
      </c>
      <c r="CO33" s="1">
        <f t="shared" si="15"/>
        <v>0.57587571896390688</v>
      </c>
      <c r="CP33" s="29" t="str">
        <f>IF(C33&lt;30,"",IF(CO33&gt;1,"no",""))</f>
        <v/>
      </c>
      <c r="CQ33" s="22"/>
      <c r="CR33" s="23">
        <f>CM33*(0.7*I33*B33*B33)*$N$5/9.80665</f>
        <v>102105.36416744688</v>
      </c>
      <c r="CS33"/>
      <c r="CT33" s="6">
        <f t="shared" si="16"/>
        <v>0.84878048780487814</v>
      </c>
      <c r="CU33" s="22" t="str">
        <f t="shared" si="52"/>
        <v/>
      </c>
      <c r="CV33" s="5"/>
      <c r="CW33" s="6">
        <f>IF(C33&lt;100,SQRT(2)*SQRT(SQRT(1+(2/1.4)*(10510/I33))-1),IF(I33&gt;$AW$5,SQRT(2)*SQRT(SQRT(1+(2/1.4)*($AV$5/I33))-1),$AS$5))</f>
        <v>0.82</v>
      </c>
      <c r="CX33" s="22" t="str">
        <f>IF(B33&gt;CW33,"no","")</f>
        <v/>
      </c>
    </row>
    <row r="34" spans="1:102" x14ac:dyDescent="0.2">
      <c r="A34">
        <v>58800</v>
      </c>
      <c r="B34" s="1">
        <v>0.75270000000000004</v>
      </c>
      <c r="C34" s="5">
        <v>348.5</v>
      </c>
      <c r="D34" s="1">
        <v>0</v>
      </c>
      <c r="E34" s="1">
        <v>0</v>
      </c>
      <c r="G34">
        <f t="shared" si="1"/>
        <v>34850</v>
      </c>
      <c r="H34" s="9">
        <f t="shared" si="2"/>
        <v>10622.280000042489</v>
      </c>
      <c r="I34" s="5">
        <f t="shared" si="17"/>
        <v>24012.953896873179</v>
      </c>
      <c r="J34" s="5">
        <v>0</v>
      </c>
      <c r="K34" s="6">
        <f t="shared" si="18"/>
        <v>219.10517999972382</v>
      </c>
      <c r="L34" s="5">
        <f t="shared" si="19"/>
        <v>296.73523330822883</v>
      </c>
      <c r="M34" s="10">
        <f t="shared" si="20"/>
        <v>1.4350738319510604E-5</v>
      </c>
      <c r="O34" s="6">
        <f>B34*L34</f>
        <v>223.35261011110384</v>
      </c>
      <c r="P34" s="1">
        <f>IF(E34=0,0,E34/9.80665)</f>
        <v>0</v>
      </c>
      <c r="Q34" s="7">
        <f>IF(D34=0,0,(D34/O34))</f>
        <v>0</v>
      </c>
      <c r="R34" s="19">
        <f t="shared" si="21"/>
        <v>1</v>
      </c>
      <c r="S34" s="19">
        <f t="shared" si="22"/>
        <v>0</v>
      </c>
      <c r="T34" s="19">
        <f t="shared" si="23"/>
        <v>0</v>
      </c>
      <c r="U34" s="19"/>
      <c r="V34" s="19"/>
      <c r="W34" s="6"/>
      <c r="X34" s="1">
        <f>(A34*9.80665*R34)/(0.7*I34*B34*B34*$N$5)</f>
        <v>0.49468543621461686</v>
      </c>
      <c r="Y34" s="10">
        <f>(SQRT($N$5)*B34)*(I34/M34)*SQRT(1.4/(287.05*K34))</f>
        <v>65741996.115113609</v>
      </c>
      <c r="Z34" s="10">
        <f t="shared" si="24"/>
        <v>2.163985148714553E-3</v>
      </c>
      <c r="AA34" s="3">
        <f t="shared" si="25"/>
        <v>1.8167277711410159E-2</v>
      </c>
      <c r="AB34" s="3">
        <f t="shared" si="26"/>
        <v>7.5526007358915608E-3</v>
      </c>
      <c r="AC34" s="3">
        <f>IF($E$5="no",(1/((1+0.03+$Q$5)+AB34*3.141593*$S$5)),(1.075/((1+0.03+$Q$5)+AB34*3.141593*$S$5)))</f>
        <v>0.77988144803752368</v>
      </c>
      <c r="AD34" s="3">
        <f t="shared" si="27"/>
        <v>4.296295552245457E-2</v>
      </c>
      <c r="AE34" s="1">
        <f t="shared" si="28"/>
        <v>0.68935925590872493</v>
      </c>
      <c r="AF34" s="1">
        <f>B34*$R$5/AE34</f>
        <v>0.98958250019926508</v>
      </c>
      <c r="AG34" s="8">
        <f t="shared" si="29"/>
        <v>7.9350941840430791E-4</v>
      </c>
      <c r="AH34" s="8"/>
      <c r="AI34" s="3">
        <f t="shared" si="30"/>
        <v>2.9474410113883277E-2</v>
      </c>
      <c r="AJ34" s="1">
        <f t="shared" si="31"/>
        <v>16.783556797345575</v>
      </c>
      <c r="AK34" s="1"/>
      <c r="AL34" s="1">
        <f t="shared" si="32"/>
        <v>5.9582126248600431E-2</v>
      </c>
      <c r="AM34" s="8">
        <f>AL34*(A34*9.80665)/(0.7*I34*B34*B34*$N$5)</f>
        <v>2.9474410113883277E-2</v>
      </c>
      <c r="AN34" s="1">
        <f>B34/$AI$5</f>
        <v>1</v>
      </c>
      <c r="AO34" s="1">
        <f>IF(B34&lt;0.4,1.3*(0.4-B34),0)</f>
        <v>0</v>
      </c>
      <c r="AP34" s="1">
        <f t="shared" si="33"/>
        <v>-0.43</v>
      </c>
      <c r="AQ34" s="1">
        <f t="shared" si="34"/>
        <v>0</v>
      </c>
      <c r="AR34" s="1">
        <f t="shared" si="3"/>
        <v>1</v>
      </c>
      <c r="AS34" s="1">
        <f t="shared" si="4"/>
        <v>0.30867472713898642</v>
      </c>
      <c r="AT34" s="1">
        <f>(((1+0.55*B34)/(1+0.55*$AI$5))/(AN34^2))</f>
        <v>1</v>
      </c>
      <c r="AU34" s="1">
        <f t="shared" si="5"/>
        <v>3.465254791234245E-2</v>
      </c>
      <c r="AV34" s="8">
        <f t="shared" si="35"/>
        <v>0.85056978172116349</v>
      </c>
      <c r="AW34" s="8">
        <f t="shared" si="36"/>
        <v>0.99039836224200983</v>
      </c>
      <c r="AX34" s="8"/>
      <c r="AY34" s="4"/>
      <c r="AZ34" s="1">
        <f t="shared" si="37"/>
        <v>0.3057109442239514</v>
      </c>
      <c r="BA34" s="14">
        <f t="shared" si="38"/>
        <v>0.29806817061835261</v>
      </c>
      <c r="BB34" s="1"/>
      <c r="BC34" s="14">
        <f t="shared" si="39"/>
        <v>5.0026440710540125</v>
      </c>
      <c r="BD34" s="14">
        <f>IF(0.7*(AM34*(B34^3)/BA34)*(I34*L34*$N$5/43000000)&lt;$AH$5*(1-0.178*(C34/100)+0.0085*((C34/100)^2)),$AH$5*(1-0.178*(C34/100)+0.0085*((C34/100)^2)),0.7*(AM34*(B34^3)/BA34)*(I34*L34*$N$5/43000000))</f>
        <v>0.59871615033578229</v>
      </c>
      <c r="BE34" s="4">
        <f t="shared" si="6"/>
        <v>2.6805872115752698E-3</v>
      </c>
      <c r="BF34" s="4"/>
      <c r="BG34" s="1">
        <f t="shared" si="7"/>
        <v>0.94022791268846528</v>
      </c>
      <c r="BH34" s="1">
        <f>0.6*$AN$5*(1-0.53*((B34-$AM$5)^2))*(1+((2/3)*AV34))</f>
        <v>5.2473774774792936</v>
      </c>
      <c r="BJ34" s="1">
        <f t="shared" si="8"/>
        <v>6.2688871021649648</v>
      </c>
      <c r="BK34" s="5">
        <f t="shared" si="9"/>
        <v>21.247169638845396</v>
      </c>
      <c r="BL34" s="5">
        <f t="shared" si="40"/>
        <v>1.5012235023563307</v>
      </c>
      <c r="BM34" s="5">
        <f t="shared" si="41"/>
        <v>2.7616653578124559</v>
      </c>
      <c r="BN34" s="1">
        <f t="shared" si="42"/>
        <v>1.144582939568634</v>
      </c>
      <c r="BO34" s="1">
        <f t="shared" si="43"/>
        <v>3.09192757371587</v>
      </c>
      <c r="BP34" s="9">
        <f>(1+0.2*B34*B34)*K34</f>
        <v>243.93230740084499</v>
      </c>
      <c r="BQ34" s="9">
        <f t="shared" si="53"/>
        <v>673.65940300017257</v>
      </c>
      <c r="BR34" s="9">
        <f t="shared" si="54"/>
        <v>1280.0048958847497</v>
      </c>
      <c r="BS34" s="9">
        <f t="shared" si="46"/>
        <v>754.22102737280841</v>
      </c>
      <c r="BU34" s="9">
        <f>((1+0.2*B34*B34)^3.5)*I34</f>
        <v>34962.61941805762</v>
      </c>
      <c r="BV34" s="9">
        <f t="shared" si="47"/>
        <v>742856.70579386037</v>
      </c>
      <c r="BX34" s="3">
        <f t="shared" si="10"/>
        <v>2.0460963556838165E-2</v>
      </c>
      <c r="BZ34" s="3">
        <f t="shared" si="11"/>
        <v>3.2849793121120387E-2</v>
      </c>
      <c r="CA34" s="8"/>
      <c r="CB34" s="14">
        <f>$CB$12*($AO$5/K34)/($AN$5*(1-0.53*((B34-$AM$5)^2))*(1+0.2*B34*B34))</f>
        <v>1.3476903007327263</v>
      </c>
      <c r="CC34" s="1">
        <f t="shared" si="48"/>
        <v>1.8692257518318158</v>
      </c>
      <c r="CD34" s="3">
        <f t="shared" si="12"/>
        <v>6.4773434924336334E-2</v>
      </c>
      <c r="CE34" s="6">
        <f t="shared" si="13"/>
        <v>1.9718064794353611</v>
      </c>
      <c r="CF34" s="22" t="str">
        <f t="shared" si="49"/>
        <v/>
      </c>
      <c r="CG34" s="22"/>
      <c r="CH34" s="7">
        <f t="shared" si="14"/>
        <v>1.0326321008717398</v>
      </c>
      <c r="CI34" s="23">
        <f>CH34*(0.7*I34*B34*B34)*$N$5/9.80665</f>
        <v>122742.17732360278</v>
      </c>
      <c r="CK34" s="1">
        <f>B34/$AI$5</f>
        <v>1</v>
      </c>
      <c r="CL34" s="14">
        <f t="shared" si="50"/>
        <v>1.4515200000000053</v>
      </c>
      <c r="CM34" s="1">
        <f t="shared" si="51"/>
        <v>0.8569758833631711</v>
      </c>
      <c r="CN34" s="14">
        <f>SQRT((A34*9.80665)/(0.7*I34*$N$5*CM34))</f>
        <v>0.57187640474274071</v>
      </c>
      <c r="CO34" s="1">
        <f t="shared" si="15"/>
        <v>0.57724545791562021</v>
      </c>
      <c r="CP34" s="29" t="str">
        <f>IF(C34&lt;30,"",IF(CO34&gt;1,"no",""))</f>
        <v/>
      </c>
      <c r="CQ34" s="22"/>
      <c r="CR34" s="23">
        <f>CM34*(0.7*I34*B34*B34)*$N$5/9.80665</f>
        <v>101863.07955080555</v>
      </c>
      <c r="CS34"/>
      <c r="CT34" s="6">
        <f t="shared" si="16"/>
        <v>0.85000000000000009</v>
      </c>
      <c r="CU34" s="22" t="str">
        <f t="shared" si="52"/>
        <v/>
      </c>
      <c r="CV34" s="5"/>
      <c r="CW34" s="6">
        <f>IF(C34&lt;100,SQRT(2)*SQRT(SQRT(1+(2/1.4)*(10510/I34))-1),IF(I34&gt;$AW$5,SQRT(2)*SQRT(SQRT(1+(2/1.4)*($AV$5/I34))-1),$AS$5))</f>
        <v>0.82</v>
      </c>
      <c r="CX34" s="22" t="str">
        <f>IF(B34&gt;CW34,"no","")</f>
        <v/>
      </c>
    </row>
    <row r="35" spans="1:102" x14ac:dyDescent="0.2">
      <c r="A35">
        <v>58800</v>
      </c>
      <c r="B35" s="1">
        <v>0.75270000000000004</v>
      </c>
      <c r="C35" s="5">
        <v>349</v>
      </c>
      <c r="D35" s="1">
        <v>0</v>
      </c>
      <c r="E35" s="1">
        <v>0</v>
      </c>
      <c r="G35">
        <f t="shared" si="1"/>
        <v>34900</v>
      </c>
      <c r="H35" s="9">
        <f t="shared" si="2"/>
        <v>10637.52000004255</v>
      </c>
      <c r="I35" s="5">
        <f t="shared" si="17"/>
        <v>23955.948104684801</v>
      </c>
      <c r="J35" s="5">
        <v>0</v>
      </c>
      <c r="K35" s="6">
        <f t="shared" si="18"/>
        <v>219.00611999972341</v>
      </c>
      <c r="L35" s="5">
        <f t="shared" si="19"/>
        <v>296.66814699978971</v>
      </c>
      <c r="M35" s="10">
        <f t="shared" si="20"/>
        <v>1.4345319886931043E-5</v>
      </c>
      <c r="O35" s="6">
        <f>B35*L35</f>
        <v>223.30211424674172</v>
      </c>
      <c r="P35" s="1">
        <f>IF(E35=0,0,E35/9.80665)</f>
        <v>0</v>
      </c>
      <c r="Q35" s="7">
        <f>IF(D35=0,0,(D35/O35))</f>
        <v>0</v>
      </c>
      <c r="R35" s="19">
        <f t="shared" si="21"/>
        <v>1</v>
      </c>
      <c r="S35" s="19">
        <f t="shared" si="22"/>
        <v>0</v>
      </c>
      <c r="T35" s="19">
        <f t="shared" si="23"/>
        <v>0</v>
      </c>
      <c r="U35" s="19"/>
      <c r="V35" s="19"/>
      <c r="W35" s="6"/>
      <c r="X35" s="1">
        <f>(A35*9.80665*R35)/(0.7*I35*B35*B35*$N$5)</f>
        <v>0.4958625941819092</v>
      </c>
      <c r="Y35" s="10">
        <f>(SQRT($N$5)*B35)*(I35/M35)*SQRT(1.4/(287.05*K35))</f>
        <v>65625536.700064741</v>
      </c>
      <c r="Z35" s="10">
        <f t="shared" si="24"/>
        <v>2.1645223695949314E-3</v>
      </c>
      <c r="AA35" s="3">
        <f t="shared" si="25"/>
        <v>1.8171787835212071E-2</v>
      </c>
      <c r="AB35" s="3">
        <f t="shared" si="26"/>
        <v>7.5544757093953729E-3</v>
      </c>
      <c r="AC35" s="3">
        <f>IF($E$5="no",(1/((1+0.03+$Q$5)+AB35*3.141593*$S$5)),(1.075/((1+0.03+$Q$5)+AB35*3.141593*$S$5)))</f>
        <v>0.77984741422348758</v>
      </c>
      <c r="AD35" s="3">
        <f t="shared" si="27"/>
        <v>4.2964830495958395E-2</v>
      </c>
      <c r="AE35" s="1">
        <f t="shared" si="28"/>
        <v>0.68921594364934691</v>
      </c>
      <c r="AF35" s="1">
        <f>B35*$R$5/AE35</f>
        <v>0.9897882692405231</v>
      </c>
      <c r="AG35" s="8">
        <f t="shared" si="29"/>
        <v>7.9621774079190872E-4</v>
      </c>
      <c r="AH35" s="8"/>
      <c r="AI35" s="3">
        <f t="shared" si="30"/>
        <v>2.9532185737747137E-2</v>
      </c>
      <c r="AJ35" s="1">
        <f t="shared" si="31"/>
        <v>16.790582267946149</v>
      </c>
      <c r="AK35" s="1"/>
      <c r="AL35" s="1">
        <f t="shared" si="32"/>
        <v>5.9557196054423764E-2</v>
      </c>
      <c r="AM35" s="8">
        <f>AL35*(A35*9.80665)/(0.7*I35*B35*B35*$N$5)</f>
        <v>2.9532185737747133E-2</v>
      </c>
      <c r="AN35" s="1">
        <f>B35/$AI$5</f>
        <v>1</v>
      </c>
      <c r="AO35" s="1">
        <f>IF(B35&lt;0.4,1.3*(0.4-B35),0)</f>
        <v>0</v>
      </c>
      <c r="AP35" s="1">
        <f t="shared" si="33"/>
        <v>-0.43</v>
      </c>
      <c r="AQ35" s="1">
        <f t="shared" si="34"/>
        <v>0</v>
      </c>
      <c r="AR35" s="1">
        <f t="shared" si="3"/>
        <v>1</v>
      </c>
      <c r="AS35" s="1">
        <f t="shared" si="4"/>
        <v>0.30867472713898642</v>
      </c>
      <c r="AT35" s="1">
        <f>(((1+0.55*B35)/(1+0.55*$AI$5))/(AN35^2))</f>
        <v>1</v>
      </c>
      <c r="AU35" s="1">
        <f t="shared" si="5"/>
        <v>3.465254791234245E-2</v>
      </c>
      <c r="AV35" s="8">
        <f t="shared" si="35"/>
        <v>0.85223706529321153</v>
      </c>
      <c r="AW35" s="8">
        <f t="shared" si="36"/>
        <v>0.99061142950454006</v>
      </c>
      <c r="AX35" s="8"/>
      <c r="AY35" s="4"/>
      <c r="AZ35" s="1">
        <f t="shared" si="37"/>
        <v>0.30577671270307516</v>
      </c>
      <c r="BA35" s="14">
        <f t="shared" si="38"/>
        <v>0.29813229488549825</v>
      </c>
      <c r="BB35" s="1"/>
      <c r="BC35" s="14">
        <f t="shared" si="39"/>
        <v>5.0058148240065394</v>
      </c>
      <c r="BD35" s="14">
        <f>IF(0.7*(AM35*(B35^3)/BA35)*(I35*L35*$N$5/43000000)&lt;$AH$5*(1-0.178*(C35/100)+0.0085*((C35/100)^2)),$AH$5*(1-0.178*(C35/100)+0.0085*((C35/100)^2)),0.7*(AM35*(B35^3)/BA35)*(I35*L35*$N$5/43000000))</f>
        <v>0.59820164234240725</v>
      </c>
      <c r="BE35" s="4">
        <f t="shared" si="6"/>
        <v>2.6788892902349032E-3</v>
      </c>
      <c r="BF35" s="4"/>
      <c r="BG35" s="1">
        <f t="shared" si="7"/>
        <v>0.94089482611728448</v>
      </c>
      <c r="BH35" s="1">
        <f>0.6*$AN$5*(1-0.53*((B35-$AM$5)^2))*(1+((2/3)*AV35))</f>
        <v>5.2510994968520306</v>
      </c>
      <c r="BJ35" s="1">
        <f t="shared" si="8"/>
        <v>6.2638662520077029</v>
      </c>
      <c r="BK35" s="5">
        <f t="shared" si="9"/>
        <v>21.284866780316595</v>
      </c>
      <c r="BL35" s="5">
        <f t="shared" si="40"/>
        <v>1.5022883357864698</v>
      </c>
      <c r="BM35" s="5">
        <f t="shared" si="41"/>
        <v>2.7632929998993974</v>
      </c>
      <c r="BN35" s="1">
        <f t="shared" si="42"/>
        <v>1.1448527249094196</v>
      </c>
      <c r="BO35" s="1">
        <f t="shared" si="43"/>
        <v>3.0935558871689759</v>
      </c>
      <c r="BP35" s="9">
        <f>(1+0.2*B35*B35)*K35</f>
        <v>243.82202276781504</v>
      </c>
      <c r="BQ35" s="9">
        <f t="shared" si="53"/>
        <v>673.75168873561483</v>
      </c>
      <c r="BR35" s="9">
        <f t="shared" si="54"/>
        <v>1280.3337010775178</v>
      </c>
      <c r="BS35" s="9">
        <f t="shared" si="46"/>
        <v>754.27705395482235</v>
      </c>
      <c r="BU35" s="9">
        <f>((1+0.2*B35*B35)^3.5)*I35</f>
        <v>34879.61955783773</v>
      </c>
      <c r="BV35" s="9">
        <f t="shared" si="47"/>
        <v>742408.05563670129</v>
      </c>
      <c r="BX35" s="3">
        <f t="shared" si="10"/>
        <v>2.0468940362744104E-2</v>
      </c>
      <c r="BZ35" s="3">
        <f t="shared" si="11"/>
        <v>3.2916365937215426E-2</v>
      </c>
      <c r="CA35" s="8"/>
      <c r="CB35" s="14">
        <f>$CB$12*($AO$5/K35)/($AN$5*(1-0.53*((B35-$AM$5)^2))*(1+0.2*B35*B35))</f>
        <v>1.3482998827900283</v>
      </c>
      <c r="CC35" s="1">
        <f t="shared" si="48"/>
        <v>1.8707497069750709</v>
      </c>
      <c r="CD35" s="3">
        <f t="shared" si="12"/>
        <v>6.4826243852954241E-2</v>
      </c>
      <c r="CE35" s="6">
        <f t="shared" si="13"/>
        <v>1.9694228693593825</v>
      </c>
      <c r="CF35" s="22" t="str">
        <f t="shared" si="49"/>
        <v/>
      </c>
      <c r="CG35" s="22"/>
      <c r="CH35" s="7">
        <f t="shared" si="14"/>
        <v>1.0331232419691931</v>
      </c>
      <c r="CI35" s="23">
        <f>CH35*(0.7*I35*B35*B35)*$N$5/9.80665</f>
        <v>122509.03242260503</v>
      </c>
      <c r="CK35" s="1">
        <f>B35/$AI$5</f>
        <v>1</v>
      </c>
      <c r="CL35" s="14">
        <f t="shared" si="50"/>
        <v>1.4515200000000053</v>
      </c>
      <c r="CM35" s="1">
        <f t="shared" si="51"/>
        <v>0.8569758833631711</v>
      </c>
      <c r="CN35" s="14">
        <f>SQRT((A35*9.80665)/(0.7*I35*$N$5*CM35))</f>
        <v>0.57255642158889686</v>
      </c>
      <c r="CO35" s="1">
        <f t="shared" si="15"/>
        <v>0.57861907646212196</v>
      </c>
      <c r="CP35" s="29" t="str">
        <f>IF(C35&lt;30,"",IF(CO35&gt;1,"no",""))</f>
        <v/>
      </c>
      <c r="CQ35" s="22"/>
      <c r="CR35" s="23">
        <f>CM35*(0.7*I35*B35*B35)*$N$5/9.80665</f>
        <v>101621.26067381607</v>
      </c>
      <c r="CS35"/>
      <c r="CT35" s="6">
        <f t="shared" si="16"/>
        <v>0.85121951219512204</v>
      </c>
      <c r="CU35" s="22" t="str">
        <f t="shared" si="52"/>
        <v/>
      </c>
      <c r="CV35" s="5"/>
      <c r="CW35" s="6">
        <f>IF(C35&lt;100,SQRT(2)*SQRT(SQRT(1+(2/1.4)*(10510/I35))-1),IF(I35&gt;$AW$5,SQRT(2)*SQRT(SQRT(1+(2/1.4)*($AV$5/I35))-1),$AS$5))</f>
        <v>0.82</v>
      </c>
      <c r="CX35" s="22" t="str">
        <f>IF(B35&gt;CW35,"no","")</f>
        <v/>
      </c>
    </row>
    <row r="36" spans="1:102" x14ac:dyDescent="0.2">
      <c r="A36">
        <v>58800</v>
      </c>
      <c r="B36" s="1">
        <v>0.75270000000000004</v>
      </c>
      <c r="C36" s="5">
        <v>349.5</v>
      </c>
      <c r="D36" s="1">
        <v>0</v>
      </c>
      <c r="E36" s="1">
        <v>0</v>
      </c>
      <c r="G36">
        <f t="shared" si="1"/>
        <v>34950</v>
      </c>
      <c r="H36" s="9">
        <f t="shared" si="2"/>
        <v>10652.76000004261</v>
      </c>
      <c r="I36" s="5">
        <f t="shared" si="17"/>
        <v>23899.051943291579</v>
      </c>
      <c r="J36" s="5">
        <v>0</v>
      </c>
      <c r="K36" s="6">
        <f t="shared" si="18"/>
        <v>218.907059999723</v>
      </c>
      <c r="L36" s="5">
        <f t="shared" si="19"/>
        <v>296.6010455175246</v>
      </c>
      <c r="M36" s="10">
        <f t="shared" si="20"/>
        <v>1.4339900396319084E-5</v>
      </c>
      <c r="O36" s="6">
        <f>B36*L36</f>
        <v>223.25160696104078</v>
      </c>
      <c r="P36" s="1">
        <f>IF(E36=0,0,E36/9.80665)</f>
        <v>0</v>
      </c>
      <c r="Q36" s="7">
        <f>IF(D36=0,0,(D36/O36))</f>
        <v>0</v>
      </c>
      <c r="R36" s="19">
        <f t="shared" si="21"/>
        <v>1</v>
      </c>
      <c r="S36" s="19">
        <f t="shared" si="22"/>
        <v>0</v>
      </c>
      <c r="T36" s="19">
        <f t="shared" si="23"/>
        <v>0</v>
      </c>
      <c r="U36" s="19"/>
      <c r="V36" s="19"/>
      <c r="W36" s="6"/>
      <c r="X36" s="1">
        <f>(A36*9.80665*R36)/(0.7*I36*B36*B36*$N$5)</f>
        <v>0.49704308779539558</v>
      </c>
      <c r="Y36" s="10">
        <f>(SQRT($N$5)*B36)*(I36/M36)*SQRT(1.4/(287.05*K36))</f>
        <v>65509234.027028263</v>
      </c>
      <c r="Z36" s="10">
        <f t="shared" si="24"/>
        <v>2.1650599531614265E-3</v>
      </c>
      <c r="AA36" s="3">
        <f t="shared" si="25"/>
        <v>1.8176301003868245E-2</v>
      </c>
      <c r="AB36" s="3">
        <f t="shared" si="26"/>
        <v>7.5563519487227655E-3</v>
      </c>
      <c r="AC36" s="3">
        <f>IF($E$5="no",(1/((1+0.03+$Q$5)+AB36*3.141593*$S$5)),(1.075/((1+0.03+$Q$5)+AB36*3.141593*$S$5)))</f>
        <v>0.77981336040602978</v>
      </c>
      <c r="AD36" s="3">
        <f t="shared" si="27"/>
        <v>4.2966706735285777E-2</v>
      </c>
      <c r="AE36" s="1">
        <f t="shared" si="28"/>
        <v>0.68907222529409573</v>
      </c>
      <c r="AF36" s="1">
        <f>B36*$R$5/AE36</f>
        <v>0.98999470731316708</v>
      </c>
      <c r="AG36" s="8">
        <f t="shared" si="29"/>
        <v>7.9893950547516783E-4</v>
      </c>
      <c r="AH36" s="8"/>
      <c r="AI36" s="3">
        <f t="shared" si="30"/>
        <v>2.9590244085714423E-2</v>
      </c>
      <c r="AJ36" s="1">
        <f t="shared" si="31"/>
        <v>16.797532536588911</v>
      </c>
      <c r="AK36" s="1"/>
      <c r="AL36" s="1">
        <f t="shared" si="32"/>
        <v>5.9532553237909722E-2</v>
      </c>
      <c r="AM36" s="8">
        <f>AL36*(A36*9.80665)/(0.7*I36*B36*B36*$N$5)</f>
        <v>2.959024408571442E-2</v>
      </c>
      <c r="AN36" s="1">
        <f>B36/$AI$5</f>
        <v>1</v>
      </c>
      <c r="AO36" s="1">
        <f>IF(B36&lt;0.4,1.3*(0.4-B36),0)</f>
        <v>0</v>
      </c>
      <c r="AP36" s="1">
        <f t="shared" si="33"/>
        <v>-0.43</v>
      </c>
      <c r="AQ36" s="1">
        <f t="shared" si="34"/>
        <v>0</v>
      </c>
      <c r="AR36" s="1">
        <f t="shared" si="3"/>
        <v>1</v>
      </c>
      <c r="AS36" s="1">
        <f t="shared" si="4"/>
        <v>0.30867472713898642</v>
      </c>
      <c r="AT36" s="1">
        <f>(((1+0.55*B36)/(1+0.55*$AI$5))/(AN36^2))</f>
        <v>1</v>
      </c>
      <c r="AU36" s="1">
        <f t="shared" si="5"/>
        <v>3.465254791234245E-2</v>
      </c>
      <c r="AV36" s="8">
        <f t="shared" si="35"/>
        <v>0.8539125076911025</v>
      </c>
      <c r="AW36" s="8">
        <f t="shared" si="36"/>
        <v>0.99082313117408605</v>
      </c>
      <c r="AX36" s="8"/>
      <c r="AY36" s="4"/>
      <c r="AZ36" s="1">
        <f t="shared" si="37"/>
        <v>0.30584205965815714</v>
      </c>
      <c r="BA36" s="14">
        <f t="shared" si="38"/>
        <v>0.29819600816670322</v>
      </c>
      <c r="BB36" s="1"/>
      <c r="BC36" s="14">
        <f t="shared" si="39"/>
        <v>5.0089571494611302</v>
      </c>
      <c r="BD36" s="14">
        <f>IF(0.7*(AM36*(B36^3)/BA36)*(I36*L36*$N$5/43000000)&lt;$AH$5*(1-0.178*(C36/100)+0.0085*((C36/100)^2)),$AH$5*(1-0.178*(C36/100)+0.0085*((C36/100)^2)),0.7*(AM36*(B36^3)/BA36)*(I36*L36*$N$5/43000000))</f>
        <v>0.5976911472292048</v>
      </c>
      <c r="BE36" s="4">
        <f t="shared" si="6"/>
        <v>2.6772087124707989E-3</v>
      </c>
      <c r="BF36" s="4"/>
      <c r="BG36" s="1">
        <f t="shared" si="7"/>
        <v>0.94156500307644087</v>
      </c>
      <c r="BH36" s="1">
        <f>0.6*$AN$5*(1-0.53*((B36-$AM$5)^2))*(1+((2/3)*AV36))</f>
        <v>5.2548397298678191</v>
      </c>
      <c r="BJ36" s="1">
        <f t="shared" si="8"/>
        <v>6.2588284626234936</v>
      </c>
      <c r="BK36" s="5">
        <f t="shared" si="9"/>
        <v>21.322788788358253</v>
      </c>
      <c r="BL36" s="5">
        <f t="shared" si="40"/>
        <v>1.5033583799621917</v>
      </c>
      <c r="BM36" s="5">
        <f t="shared" si="41"/>
        <v>2.7649284103807923</v>
      </c>
      <c r="BN36" s="1">
        <f t="shared" si="42"/>
        <v>1.1451237018666958</v>
      </c>
      <c r="BO36" s="1">
        <f t="shared" si="43"/>
        <v>3.0951942877002301</v>
      </c>
      <c r="BP36" s="9">
        <f>(1+0.2*B36*B36)*K36</f>
        <v>243.71173813478512</v>
      </c>
      <c r="BQ36" s="9">
        <f t="shared" si="53"/>
        <v>673.8455087121514</v>
      </c>
      <c r="BR36" s="9">
        <f t="shared" si="54"/>
        <v>1280.666124185811</v>
      </c>
      <c r="BS36" s="9">
        <f t="shared" si="46"/>
        <v>754.33517972028119</v>
      </c>
      <c r="BU36" s="9">
        <f>((1+0.2*B36*B36)^3.5)*I36</f>
        <v>34796.779318953224</v>
      </c>
      <c r="BV36" s="9">
        <f t="shared" si="47"/>
        <v>741964.37593315216</v>
      </c>
      <c r="BX36" s="3">
        <f t="shared" si="10"/>
        <v>2.0476991346688903E-2</v>
      </c>
      <c r="BZ36" s="3">
        <f t="shared" si="11"/>
        <v>3.2983248400941467E-2</v>
      </c>
      <c r="CA36" s="8"/>
      <c r="CB36" s="14">
        <f>$CB$12*($AO$5/K36)/($AN$5*(1-0.53*((B36-$AM$5)^2))*(1+0.2*B36*B36))</f>
        <v>1.3489100165444621</v>
      </c>
      <c r="CC36" s="1">
        <f t="shared" si="48"/>
        <v>1.8722750413611551</v>
      </c>
      <c r="CD36" s="3">
        <f t="shared" si="12"/>
        <v>6.4879100575850362E-2</v>
      </c>
      <c r="CE36" s="6">
        <f t="shared" si="13"/>
        <v>1.9670318637869055</v>
      </c>
      <c r="CF36" s="22" t="str">
        <f t="shared" si="49"/>
        <v/>
      </c>
      <c r="CG36" s="22"/>
      <c r="CH36" s="7">
        <f t="shared" si="14"/>
        <v>1.0336144441026671</v>
      </c>
      <c r="CI36" s="23">
        <f>CH36*(0.7*I36*B36*B36)*$N$5/9.80665</f>
        <v>122276.1784754063</v>
      </c>
      <c r="CK36" s="1">
        <f>B36/$AI$5</f>
        <v>1</v>
      </c>
      <c r="CL36" s="14">
        <f t="shared" si="50"/>
        <v>1.4515200000000053</v>
      </c>
      <c r="CM36" s="1">
        <f t="shared" si="51"/>
        <v>0.8569758833631711</v>
      </c>
      <c r="CN36" s="14">
        <f>SQRT((A36*9.80665)/(0.7*I36*$N$5*CM36))</f>
        <v>0.57323755524265962</v>
      </c>
      <c r="CO36" s="1">
        <f t="shared" si="15"/>
        <v>0.57999658735408965</v>
      </c>
      <c r="CP36" s="29" t="str">
        <f>IF(C36&lt;30,"",IF(CO36&gt;1,"no",""))</f>
        <v/>
      </c>
      <c r="CQ36" s="22"/>
      <c r="CR36" s="23">
        <f>CM36*(0.7*I36*B36*B36)*$N$5/9.80665</f>
        <v>101379.90685124916</v>
      </c>
      <c r="CS36"/>
      <c r="CT36" s="6">
        <f t="shared" si="16"/>
        <v>0.85243902439024399</v>
      </c>
      <c r="CU36" s="22" t="str">
        <f t="shared" si="52"/>
        <v/>
      </c>
      <c r="CV36" s="5"/>
      <c r="CW36" s="6">
        <f>IF(C36&lt;100,SQRT(2)*SQRT(SQRT(1+(2/1.4)*(10510/I36))-1),IF(I36&gt;$AW$5,SQRT(2)*SQRT(SQRT(1+(2/1.4)*($AV$5/I36))-1),$AS$5))</f>
        <v>0.82</v>
      </c>
      <c r="CX36" s="22" t="str">
        <f>IF(B36&gt;CW36,"no","")</f>
        <v/>
      </c>
    </row>
    <row r="37" spans="1:102" x14ac:dyDescent="0.2">
      <c r="A37">
        <v>58800</v>
      </c>
      <c r="B37" s="1">
        <v>0.75270000000000004</v>
      </c>
      <c r="C37" s="5">
        <v>350</v>
      </c>
      <c r="D37" s="1">
        <v>0</v>
      </c>
      <c r="E37" s="1">
        <v>0</v>
      </c>
      <c r="G37">
        <f t="shared" si="1"/>
        <v>35000</v>
      </c>
      <c r="H37" s="9">
        <f t="shared" si="2"/>
        <v>10668.000000042672</v>
      </c>
      <c r="I37" s="5">
        <f t="shared" si="17"/>
        <v>23842.265251324054</v>
      </c>
      <c r="J37" s="5">
        <v>0</v>
      </c>
      <c r="K37" s="6">
        <f t="shared" si="18"/>
        <v>218.8079999997226</v>
      </c>
      <c r="L37" s="5">
        <f t="shared" si="19"/>
        <v>296.53392885113249</v>
      </c>
      <c r="M37" s="10">
        <f t="shared" si="20"/>
        <v>1.4334479847217892E-5</v>
      </c>
      <c r="O37" s="6">
        <f>B37*L37</f>
        <v>223.20108824624742</v>
      </c>
      <c r="P37" s="1">
        <f>IF(E37=0,0,E37/9.80665)</f>
        <v>0</v>
      </c>
      <c r="Q37" s="7">
        <f>IF(D37=0,0,(D37/O37))</f>
        <v>0</v>
      </c>
      <c r="R37" s="19">
        <f t="shared" si="21"/>
        <v>1</v>
      </c>
      <c r="S37" s="19">
        <f t="shared" si="22"/>
        <v>0</v>
      </c>
      <c r="T37" s="19">
        <f t="shared" si="23"/>
        <v>0</v>
      </c>
      <c r="U37" s="19"/>
      <c r="V37" s="19"/>
      <c r="W37" s="6"/>
      <c r="X37" s="1">
        <f>(A37*9.80665*R37)/(0.7*I37*B37*B37*$N$5)</f>
        <v>0.49822692802297863</v>
      </c>
      <c r="Y37" s="10">
        <f>(SQRT($N$5)*B37)*(I37/M37)*SQRT(1.4/(287.05*K37))</f>
        <v>65393087.951055594</v>
      </c>
      <c r="Z37" s="10">
        <f t="shared" si="24"/>
        <v>2.165597899817324E-3</v>
      </c>
      <c r="AA37" s="3">
        <f t="shared" si="25"/>
        <v>1.8180817220764381E-2</v>
      </c>
      <c r="AB37" s="3">
        <f t="shared" si="26"/>
        <v>7.558229455281262E-3</v>
      </c>
      <c r="AC37" s="3">
        <f>IF($E$5="no",(1/((1+0.03+$Q$5)+AB37*3.141593*$S$5)),(1.075/((1+0.03+$Q$5)+AB37*3.141593*$S$5)))</f>
        <v>0.77977928656523654</v>
      </c>
      <c r="AD37" s="3">
        <f t="shared" si="27"/>
        <v>4.2968584241844278E-2</v>
      </c>
      <c r="AE37" s="1">
        <f t="shared" si="28"/>
        <v>0.68892809950769196</v>
      </c>
      <c r="AF37" s="1">
        <f>B37*$R$5/AE37</f>
        <v>0.99020181712016875</v>
      </c>
      <c r="AG37" s="8">
        <f t="shared" si="29"/>
        <v>8.0167479333447477E-4</v>
      </c>
      <c r="AH37" s="8"/>
      <c r="AI37" s="3">
        <f t="shared" si="30"/>
        <v>2.9648586765906201E-2</v>
      </c>
      <c r="AJ37" s="1">
        <f t="shared" si="31"/>
        <v>16.804407304698405</v>
      </c>
      <c r="AK37" s="1"/>
      <c r="AL37" s="1">
        <f t="shared" si="32"/>
        <v>5.9508198168965257E-2</v>
      </c>
      <c r="AM37" s="8">
        <f>AL37*(A37*9.80665)/(0.7*I37*B37*B37*$N$5)</f>
        <v>2.9648586765906201E-2</v>
      </c>
      <c r="AN37" s="1">
        <f>B37/$AI$5</f>
        <v>1</v>
      </c>
      <c r="AO37" s="1">
        <f>IF(B37&lt;0.4,1.3*(0.4-B37),0)</f>
        <v>0</v>
      </c>
      <c r="AP37" s="1">
        <f t="shared" si="33"/>
        <v>-0.43</v>
      </c>
      <c r="AQ37" s="1">
        <f t="shared" si="34"/>
        <v>0</v>
      </c>
      <c r="AR37" s="1">
        <f t="shared" si="3"/>
        <v>1</v>
      </c>
      <c r="AS37" s="1">
        <f t="shared" si="4"/>
        <v>0.30867472713898642</v>
      </c>
      <c r="AT37" s="1">
        <f>(((1+0.55*B37)/(1+0.55*$AI$5))/(AN37^2))</f>
        <v>1</v>
      </c>
      <c r="AU37" s="1">
        <f t="shared" si="5"/>
        <v>3.465254791234245E-2</v>
      </c>
      <c r="AV37" s="8">
        <f t="shared" si="35"/>
        <v>0.85559615532184419</v>
      </c>
      <c r="AW37" s="8">
        <f t="shared" si="36"/>
        <v>0.99103343774613184</v>
      </c>
      <c r="AX37" s="8"/>
      <c r="AY37" s="4"/>
      <c r="AZ37" s="1">
        <f t="shared" si="37"/>
        <v>0.30590697598189892</v>
      </c>
      <c r="BA37" s="14">
        <f t="shared" si="38"/>
        <v>0.29825930158235142</v>
      </c>
      <c r="BB37" s="1"/>
      <c r="BC37" s="14">
        <f t="shared" si="39"/>
        <v>5.0120707862047107</v>
      </c>
      <c r="BD37" s="14">
        <f>IF(0.7*(AM37*(B37^3)/BA37)*(I37*L37*$N$5/43000000)&lt;$AH$5*(1-0.178*(C37/100)+0.0085*((C37/100)^2)),$AH$5*(1-0.178*(C37/100)+0.0085*((C37/100)^2)),0.7*(AM37*(B37^3)/BA37)*(I37*L37*$N$5/43000000))</f>
        <v>0.59718467986484869</v>
      </c>
      <c r="BE37" s="4">
        <f t="shared" si="6"/>
        <v>2.6755455565073342E-3</v>
      </c>
      <c r="BF37" s="4"/>
      <c r="BG37" s="1">
        <f t="shared" si="7"/>
        <v>0.94223846212873763</v>
      </c>
      <c r="BH37" s="1">
        <f>0.6*$AN$5*(1-0.53*((B37-$AM$5)^2))*(1+((2/3)*AV37))</f>
        <v>5.2585982801249811</v>
      </c>
      <c r="BJ37" s="1">
        <f t="shared" si="8"/>
        <v>6.2537736893815259</v>
      </c>
      <c r="BK37" s="5">
        <f t="shared" si="9"/>
        <v>21.360937321148246</v>
      </c>
      <c r="BL37" s="5">
        <f t="shared" si="40"/>
        <v>1.5044336645219656</v>
      </c>
      <c r="BM37" s="5">
        <f t="shared" si="41"/>
        <v>2.7665716318347946</v>
      </c>
      <c r="BN37" s="1">
        <f t="shared" si="42"/>
        <v>1.1453958762118672</v>
      </c>
      <c r="BO37" s="1">
        <f t="shared" si="43"/>
        <v>3.0968428462678199</v>
      </c>
      <c r="BP37" s="9">
        <f>(1+0.2*B37*B37)*K37</f>
        <v>243.60145350175517</v>
      </c>
      <c r="BQ37" s="9">
        <f t="shared" si="53"/>
        <v>673.94087073167861</v>
      </c>
      <c r="BR37" s="9">
        <f t="shared" si="54"/>
        <v>1281.0021844202754</v>
      </c>
      <c r="BS37" s="9">
        <f t="shared" si="46"/>
        <v>754.39541861735347</v>
      </c>
      <c r="BU37" s="9">
        <f>((1+0.2*B37*B37)^3.5)*I37</f>
        <v>34714.098466451789</v>
      </c>
      <c r="BV37" s="9">
        <f t="shared" si="47"/>
        <v>741525.68150204513</v>
      </c>
      <c r="BX37" s="3">
        <f t="shared" si="10"/>
        <v>2.0485116915676147E-2</v>
      </c>
      <c r="BZ37" s="3">
        <f t="shared" si="11"/>
        <v>3.3050442215057603E-2</v>
      </c>
      <c r="CA37" s="8"/>
      <c r="CB37" s="14">
        <f>$CB$12*($AO$5/K37)/($AN$5*(1-0.53*((B37-$AM$5)^2))*(1+0.2*B37*B37))</f>
        <v>1.3495207027453304</v>
      </c>
      <c r="CC37" s="1">
        <f t="shared" si="48"/>
        <v>1.8738017568633261</v>
      </c>
      <c r="CD37" s="3">
        <f t="shared" si="12"/>
        <v>6.4932005157937872E-2</v>
      </c>
      <c r="CE37" s="6">
        <f t="shared" si="13"/>
        <v>1.9646334755652741</v>
      </c>
      <c r="CF37" s="22" t="str">
        <f t="shared" si="49"/>
        <v/>
      </c>
      <c r="CG37" s="22"/>
      <c r="CH37" s="7">
        <f t="shared" si="14"/>
        <v>1.0341057068685473</v>
      </c>
      <c r="CI37" s="23">
        <f>CH37*(0.7*I37*B37*B37)*$N$5/9.80665</f>
        <v>122043.61535646704</v>
      </c>
      <c r="CK37" s="1">
        <f>B37/$AI$5</f>
        <v>1</v>
      </c>
      <c r="CL37" s="14">
        <f t="shared" si="50"/>
        <v>1.4515200000000053</v>
      </c>
      <c r="CM37" s="1">
        <f t="shared" si="51"/>
        <v>0.8569758833631711</v>
      </c>
      <c r="CN37" s="14">
        <f>SQRT((A37*9.80665)/(0.7*I37*$N$5*CM37))</f>
        <v>0.57391980804481235</v>
      </c>
      <c r="CO37" s="1">
        <f t="shared" si="15"/>
        <v>0.58137800338990275</v>
      </c>
      <c r="CP37" s="29" t="str">
        <f>IF(C37&lt;30,"",IF(CO37&gt;1,"no",""))</f>
        <v/>
      </c>
      <c r="CQ37" s="22"/>
      <c r="CR37" s="23">
        <f>CM37*(0.7*I37*B37*B37)*$N$5/9.80665</f>
        <v>101139.01739857471</v>
      </c>
      <c r="CS37"/>
      <c r="CT37" s="6">
        <f t="shared" si="16"/>
        <v>0.85365853658536595</v>
      </c>
      <c r="CU37" s="22" t="str">
        <f t="shared" si="52"/>
        <v/>
      </c>
      <c r="CV37" s="5"/>
      <c r="CW37" s="6">
        <f>IF(C37&lt;100,SQRT(2)*SQRT(SQRT(1+(2/1.4)*(10510/I37))-1),IF(I37&gt;$AW$5,SQRT(2)*SQRT(SQRT(1+(2/1.4)*($AV$5/I37))-1),$AS$5))</f>
        <v>0.82</v>
      </c>
      <c r="CX37" s="22" t="str">
        <f>IF(B37&gt;CW37,"no","")</f>
        <v/>
      </c>
    </row>
    <row r="38" spans="1:102" x14ac:dyDescent="0.2">
      <c r="A38">
        <v>58800</v>
      </c>
      <c r="B38" s="1">
        <v>0.75270000000000004</v>
      </c>
      <c r="C38" s="5">
        <v>350.5</v>
      </c>
      <c r="D38" s="1">
        <v>0</v>
      </c>
      <c r="E38" s="1">
        <v>0</v>
      </c>
      <c r="G38">
        <f t="shared" si="1"/>
        <v>35050</v>
      </c>
      <c r="H38" s="9">
        <f t="shared" si="2"/>
        <v>10683.240000042733</v>
      </c>
      <c r="I38" s="5">
        <f t="shared" si="17"/>
        <v>23785.587867577317</v>
      </c>
      <c r="J38" s="5">
        <v>0</v>
      </c>
      <c r="K38" s="6">
        <f t="shared" si="18"/>
        <v>218.70893999972222</v>
      </c>
      <c r="L38" s="5">
        <f t="shared" si="19"/>
        <v>296.46679699030102</v>
      </c>
      <c r="M38" s="10">
        <f t="shared" si="20"/>
        <v>1.4329058239170427E-5</v>
      </c>
      <c r="O38" s="6">
        <f>B38*L38</f>
        <v>223.15055809459957</v>
      </c>
      <c r="P38" s="1">
        <f>IF(E38=0,0,E38/9.80665)</f>
        <v>0</v>
      </c>
      <c r="Q38" s="7">
        <f>IF(D38=0,0,(D38/O38))</f>
        <v>0</v>
      </c>
      <c r="R38" s="19">
        <f t="shared" si="21"/>
        <v>1</v>
      </c>
      <c r="S38" s="19">
        <f t="shared" si="22"/>
        <v>0</v>
      </c>
      <c r="T38" s="19">
        <f t="shared" si="23"/>
        <v>0</v>
      </c>
      <c r="U38" s="19"/>
      <c r="V38" s="19"/>
      <c r="W38" s="6"/>
      <c r="X38" s="1">
        <f>(A38*9.80665*R38)/(0.7*I38*B38*B38*$N$5)</f>
        <v>0.49941412587361533</v>
      </c>
      <c r="Y38" s="10">
        <f>(SQRT($N$5)*B38)*(I38/M38)*SQRT(1.4/(287.05*K38))</f>
        <v>65277098.327271812</v>
      </c>
      <c r="Z38" s="10">
        <f t="shared" si="24"/>
        <v>2.1661362099665423E-3</v>
      </c>
      <c r="AA38" s="3">
        <f t="shared" si="25"/>
        <v>1.8185336489291493E-2</v>
      </c>
      <c r="AB38" s="3">
        <f t="shared" si="26"/>
        <v>7.5601082304805932E-3</v>
      </c>
      <c r="AC38" s="3">
        <f>IF($E$5="no",(1/((1+0.03+$Q$5)+AB38*3.141593*$S$5)),(1.075/((1+0.03+$Q$5)+AB38*3.141593*$S$5)))</f>
        <v>0.77974519268116627</v>
      </c>
      <c r="AD38" s="3">
        <f t="shared" si="27"/>
        <v>4.2970463017043603E-2</v>
      </c>
      <c r="AE38" s="1">
        <f t="shared" si="28"/>
        <v>0.68878356494985793</v>
      </c>
      <c r="AF38" s="1">
        <f>B38*$R$5/AE38</f>
        <v>0.99040960137793388</v>
      </c>
      <c r="AG38" s="8">
        <f t="shared" si="29"/>
        <v>8.0442368581923383E-4</v>
      </c>
      <c r="AH38" s="8"/>
      <c r="AI38" s="3">
        <f t="shared" si="30"/>
        <v>2.9707215396437801E-2</v>
      </c>
      <c r="AJ38" s="1">
        <f t="shared" si="31"/>
        <v>16.811206274604256</v>
      </c>
      <c r="AK38" s="1"/>
      <c r="AL38" s="1">
        <f t="shared" si="32"/>
        <v>5.9484131219699789E-2</v>
      </c>
      <c r="AM38" s="8">
        <f>AL38*(A38*9.80665)/(0.7*I38*B38*B38*$N$5)</f>
        <v>2.9707215396437801E-2</v>
      </c>
      <c r="AN38" s="1">
        <f>B38/$AI$5</f>
        <v>1</v>
      </c>
      <c r="AO38" s="1">
        <f>IF(B38&lt;0.4,1.3*(0.4-B38),0)</f>
        <v>0</v>
      </c>
      <c r="AP38" s="1">
        <f t="shared" si="33"/>
        <v>-0.43</v>
      </c>
      <c r="AQ38" s="1">
        <f t="shared" si="34"/>
        <v>0</v>
      </c>
      <c r="AR38" s="1">
        <f t="shared" si="3"/>
        <v>1</v>
      </c>
      <c r="AS38" s="1">
        <f t="shared" si="4"/>
        <v>0.30867472713898642</v>
      </c>
      <c r="AT38" s="1">
        <f>(((1+0.55*B38)/(1+0.55*$AI$5))/(AN38^2))</f>
        <v>1</v>
      </c>
      <c r="AU38" s="1">
        <f t="shared" si="5"/>
        <v>3.465254791234245E-2</v>
      </c>
      <c r="AV38" s="8">
        <f t="shared" si="35"/>
        <v>0.85728805488085813</v>
      </c>
      <c r="AW38" s="8">
        <f t="shared" si="36"/>
        <v>0.99124231930973372</v>
      </c>
      <c r="AX38" s="8"/>
      <c r="AY38" s="4"/>
      <c r="AZ38" s="1">
        <f t="shared" si="37"/>
        <v>0.30597145244154811</v>
      </c>
      <c r="BA38" s="14">
        <f t="shared" si="38"/>
        <v>0.29832216613050938</v>
      </c>
      <c r="BB38" s="1"/>
      <c r="BC38" s="14">
        <f t="shared" si="39"/>
        <v>5.0151554711067527</v>
      </c>
      <c r="BD38" s="14">
        <f>IF(0.7*(AM38*(B38^3)/BA38)*(I38*L38*$N$5/43000000)&lt;$AH$5*(1-0.178*(C38/100)+0.0085*((C38/100)^2)),$AH$5*(1-0.178*(C38/100)+0.0085*((C38/100)^2)),0.7*(AM38*(B38^3)/BA38)*(I38*L38*$N$5/43000000))</f>
        <v>0.59668225534133268</v>
      </c>
      <c r="BE38" s="4">
        <f t="shared" si="6"/>
        <v>2.6738999016456991E-3</v>
      </c>
      <c r="BF38" s="4"/>
      <c r="BG38" s="1">
        <f t="shared" si="7"/>
        <v>0.94291522195234312</v>
      </c>
      <c r="BH38" s="1">
        <f>0.6*$AN$5*(1-0.53*((B38-$AM$5)^2))*(1+((2/3)*AV38))</f>
        <v>5.2623752518656906</v>
      </c>
      <c r="BJ38" s="1">
        <f t="shared" si="8"/>
        <v>6.2487018877322429</v>
      </c>
      <c r="BK38" s="5">
        <f t="shared" si="9"/>
        <v>21.399314051244406</v>
      </c>
      <c r="BL38" s="5">
        <f t="shared" si="40"/>
        <v>1.5055142192884605</v>
      </c>
      <c r="BM38" s="5">
        <f t="shared" si="41"/>
        <v>2.768222707089568</v>
      </c>
      <c r="BN38" s="1">
        <f t="shared" si="42"/>
        <v>1.145669253743588</v>
      </c>
      <c r="BO38" s="1">
        <f t="shared" si="43"/>
        <v>3.0985016343565412</v>
      </c>
      <c r="BP38" s="9">
        <f>(1+0.2*B38*B38)*K38</f>
        <v>243.49116886872528</v>
      </c>
      <c r="BQ38" s="9">
        <f t="shared" si="53"/>
        <v>674.03778263818583</v>
      </c>
      <c r="BR38" s="9">
        <f t="shared" si="54"/>
        <v>1281.3419011026297</v>
      </c>
      <c r="BS38" s="9">
        <f t="shared" si="46"/>
        <v>754.45778469112986</v>
      </c>
      <c r="BU38" s="9">
        <f>((1+0.2*B38*B38)^3.5)*I38</f>
        <v>34631.576765620703</v>
      </c>
      <c r="BV38" s="9">
        <f t="shared" si="47"/>
        <v>741091.98729729641</v>
      </c>
      <c r="BX38" s="3">
        <f t="shared" si="10"/>
        <v>2.049331747919356E-2</v>
      </c>
      <c r="BZ38" s="3">
        <f t="shared" si="11"/>
        <v>3.3117949092692937E-2</v>
      </c>
      <c r="CA38" s="8"/>
      <c r="CB38" s="14">
        <f>$CB$12*($AO$5/K38)/($AN$5*(1-0.53*((B38-$AM$5)^2))*(1+0.2*B38*B38))</f>
        <v>1.3501319421432934</v>
      </c>
      <c r="CC38" s="1">
        <f t="shared" si="48"/>
        <v>1.8753298553582334</v>
      </c>
      <c r="CD38" s="3">
        <f t="shared" si="12"/>
        <v>6.4984957664247417E-2</v>
      </c>
      <c r="CE38" s="6">
        <f t="shared" si="13"/>
        <v>1.9622277177358649</v>
      </c>
      <c r="CF38" s="22" t="str">
        <f t="shared" si="49"/>
        <v/>
      </c>
      <c r="CG38" s="22"/>
      <c r="CH38" s="7">
        <f t="shared" si="14"/>
        <v>1.0345970298587506</v>
      </c>
      <c r="CI38" s="23">
        <f>CH38*(0.7*I38*B38*B38)*$N$5/9.80665</f>
        <v>121811.3429396461</v>
      </c>
      <c r="CK38" s="1">
        <f>B38/$AI$5</f>
        <v>1</v>
      </c>
      <c r="CL38" s="14">
        <f t="shared" si="50"/>
        <v>1.4515200000000053</v>
      </c>
      <c r="CM38" s="1">
        <f t="shared" si="51"/>
        <v>0.8569758833631711</v>
      </c>
      <c r="CN38" s="14">
        <f>SQRT((A38*9.80665)/(0.7*I38*$N$5*CM38))</f>
        <v>0.57460318234210805</v>
      </c>
      <c r="CO38" s="1">
        <f t="shared" si="15"/>
        <v>0.58276333741584718</v>
      </c>
      <c r="CP38" s="29" t="str">
        <f>IF(C38&lt;30,"",IF(CO38&gt;1,"no",""))</f>
        <v/>
      </c>
      <c r="CQ38" s="22"/>
      <c r="CR38" s="23">
        <f>CM38*(0.7*I38*B38*B38)*$N$5/9.80665</f>
        <v>100898.59163196059</v>
      </c>
      <c r="CS38"/>
      <c r="CT38" s="6">
        <f t="shared" si="16"/>
        <v>0.8548780487804879</v>
      </c>
      <c r="CU38" s="22" t="str">
        <f t="shared" si="52"/>
        <v/>
      </c>
      <c r="CV38" s="5"/>
      <c r="CW38" s="6">
        <f>IF(C38&lt;100,SQRT(2)*SQRT(SQRT(1+(2/1.4)*(10510/I38))-1),IF(I38&gt;$AW$5,SQRT(2)*SQRT(SQRT(1+(2/1.4)*($AV$5/I38))-1),$AS$5))</f>
        <v>0.82</v>
      </c>
      <c r="CX38" s="22" t="str">
        <f>IF(B38&gt;CW38,"no","")</f>
        <v/>
      </c>
    </row>
    <row r="39" spans="1:102" x14ac:dyDescent="0.2">
      <c r="A39">
        <v>58800</v>
      </c>
      <c r="B39" s="1">
        <v>0.75270000000000004</v>
      </c>
      <c r="C39" s="5">
        <v>351</v>
      </c>
      <c r="D39" s="1">
        <v>0</v>
      </c>
      <c r="E39" s="1">
        <v>0</v>
      </c>
      <c r="G39">
        <f t="shared" si="1"/>
        <v>35100</v>
      </c>
      <c r="H39" s="9">
        <f t="shared" si="2"/>
        <v>10698.480000042793</v>
      </c>
      <c r="I39" s="5">
        <f t="shared" si="17"/>
        <v>23729.019631011062</v>
      </c>
      <c r="J39" s="5">
        <v>0</v>
      </c>
      <c r="K39" s="6">
        <f t="shared" si="18"/>
        <v>218.60987999972184</v>
      </c>
      <c r="L39" s="5">
        <f t="shared" si="19"/>
        <v>296.3996499247059</v>
      </c>
      <c r="M39" s="10">
        <f t="shared" si="20"/>
        <v>1.432363557171946E-5</v>
      </c>
      <c r="O39" s="6">
        <f>B39*L39</f>
        <v>223.10001649832614</v>
      </c>
      <c r="P39" s="1">
        <f>IF(E39=0,0,E39/9.80665)</f>
        <v>0</v>
      </c>
      <c r="Q39" s="7">
        <f>IF(D39=0,0,(D39/O39))</f>
        <v>0</v>
      </c>
      <c r="R39" s="19">
        <f t="shared" si="21"/>
        <v>1</v>
      </c>
      <c r="S39" s="19">
        <f t="shared" si="22"/>
        <v>0</v>
      </c>
      <c r="T39" s="19">
        <f t="shared" si="23"/>
        <v>0</v>
      </c>
      <c r="U39" s="19"/>
      <c r="V39" s="19"/>
      <c r="W39" s="6"/>
      <c r="X39" s="1">
        <f>(A39*9.80665*R39)/(0.7*I39*B39*B39*$N$5)</f>
        <v>0.50060469239748573</v>
      </c>
      <c r="Y39" s="10">
        <f>(SQRT($N$5)*B39)*(I39/M39)*SQRT(1.4/(287.05*K39))</f>
        <v>65161265.010875814</v>
      </c>
      <c r="Z39" s="10">
        <f t="shared" si="24"/>
        <v>2.1666748840136287E-3</v>
      </c>
      <c r="AA39" s="3">
        <f t="shared" si="25"/>
        <v>1.8189858812845867E-2</v>
      </c>
      <c r="AB39" s="3">
        <f t="shared" si="26"/>
        <v>7.5619882757326819E-3</v>
      </c>
      <c r="AC39" s="3">
        <f>IF($E$5="no",(1/((1+0.03+$Q$5)+AB39*3.141593*$S$5)),(1.075/((1+0.03+$Q$5)+AB39*3.141593*$S$5)))</f>
        <v>0.77971107873384859</v>
      </c>
      <c r="AD39" s="3">
        <f t="shared" si="27"/>
        <v>4.29723430622957E-2</v>
      </c>
      <c r="AE39" s="1">
        <f t="shared" si="28"/>
        <v>0.68863862027529721</v>
      </c>
      <c r="AF39" s="1">
        <f>B39*$R$5/AE39</f>
        <v>0.99061806281638198</v>
      </c>
      <c r="AG39" s="8">
        <f t="shared" si="29"/>
        <v>8.0718626495243011E-4</v>
      </c>
      <c r="AH39" s="8"/>
      <c r="AI39" s="3">
        <f t="shared" si="30"/>
        <v>2.9766131605485809E-2</v>
      </c>
      <c r="AJ39" s="1">
        <f t="shared" si="31"/>
        <v>16.817929149558211</v>
      </c>
      <c r="AK39" s="1"/>
      <c r="AL39" s="1">
        <f t="shared" si="32"/>
        <v>5.9460352764434669E-2</v>
      </c>
      <c r="AM39" s="8">
        <f>AL39*(A39*9.80665)/(0.7*I39*B39*B39*$N$5)</f>
        <v>2.9766131605485809E-2</v>
      </c>
      <c r="AN39" s="1">
        <f>B39/$AI$5</f>
        <v>1</v>
      </c>
      <c r="AO39" s="1">
        <f>IF(B39&lt;0.4,1.3*(0.4-B39),0)</f>
        <v>0</v>
      </c>
      <c r="AP39" s="1">
        <f t="shared" si="33"/>
        <v>-0.43</v>
      </c>
      <c r="AQ39" s="1">
        <f t="shared" si="34"/>
        <v>0</v>
      </c>
      <c r="AR39" s="1">
        <f t="shared" si="3"/>
        <v>1</v>
      </c>
      <c r="AS39" s="1">
        <f t="shared" si="4"/>
        <v>0.30867472713898642</v>
      </c>
      <c r="AT39" s="1">
        <f>(((1+0.55*B39)/(1+0.55*$AI$5))/(AN39^2))</f>
        <v>1</v>
      </c>
      <c r="AU39" s="1">
        <f t="shared" si="5"/>
        <v>3.465254791234245E-2</v>
      </c>
      <c r="AV39" s="8">
        <f t="shared" si="35"/>
        <v>0.85898825335391249</v>
      </c>
      <c r="AW39" s="8">
        <f t="shared" si="36"/>
        <v>0.99144974554236243</v>
      </c>
      <c r="AX39" s="8"/>
      <c r="AY39" s="4"/>
      <c r="AZ39" s="1">
        <f t="shared" si="37"/>
        <v>0.30603547967730621</v>
      </c>
      <c r="BA39" s="14">
        <f t="shared" si="38"/>
        <v>0.29838459268537354</v>
      </c>
      <c r="BB39" s="1"/>
      <c r="BC39" s="14">
        <f t="shared" si="39"/>
        <v>5.0182109391023975</v>
      </c>
      <c r="BD39" s="14">
        <f>IF(0.7*(AM39*(B39^3)/BA39)*(I39*L39*$N$5/43000000)&lt;$AH$5*(1-0.178*(C39/100)+0.0085*((C39/100)^2)),$AH$5*(1-0.178*(C39/100)+0.0085*((C39/100)^2)),0.7*(AM39*(B39^3)/BA39)*(I39*L39*$N$5/43000000))</f>
        <v>0.59618388897729679</v>
      </c>
      <c r="BE39" s="4">
        <f t="shared" si="6"/>
        <v>2.6722718282800747E-3</v>
      </c>
      <c r="BF39" s="4"/>
      <c r="BG39" s="1">
        <f t="shared" si="7"/>
        <v>0.943595301341565</v>
      </c>
      <c r="BH39" s="1">
        <f>0.6*$AN$5*(1-0.53*((B39-$AM$5)^2))*(1+((2/3)*AV39))</f>
        <v>5.2661707499802874</v>
      </c>
      <c r="BJ39" s="1">
        <f t="shared" si="8"/>
        <v>6.2436130132099352</v>
      </c>
      <c r="BK39" s="5">
        <f t="shared" si="9"/>
        <v>21.437920665727898</v>
      </c>
      <c r="BL39" s="5">
        <f t="shared" si="40"/>
        <v>1.5066000742697796</v>
      </c>
      <c r="BM39" s="5">
        <f t="shared" si="41"/>
        <v>2.7698816792248144</v>
      </c>
      <c r="BN39" s="1">
        <f t="shared" si="42"/>
        <v>1.1459438402878706</v>
      </c>
      <c r="BO39" s="1">
        <f t="shared" si="43"/>
        <v>3.100170723981722</v>
      </c>
      <c r="BP39" s="9">
        <f>(1+0.2*B39*B39)*K39</f>
        <v>243.38088423569539</v>
      </c>
      <c r="BQ39" s="9">
        <f t="shared" si="53"/>
        <v>674.13625231798812</v>
      </c>
      <c r="BR39" s="9">
        <f t="shared" si="54"/>
        <v>1281.6852936663574</v>
      </c>
      <c r="BS39" s="9">
        <f t="shared" si="46"/>
        <v>754.52229208428741</v>
      </c>
      <c r="BU39" s="9">
        <f>((1+0.2*B39*B39)^3.5)*I39</f>
        <v>34549.213981986904</v>
      </c>
      <c r="BV39" s="9">
        <f t="shared" si="47"/>
        <v>740663.30840909225</v>
      </c>
      <c r="BX39" s="3">
        <f t="shared" si="10"/>
        <v>2.0501593449229812E-2</v>
      </c>
      <c r="BZ39" s="3">
        <f t="shared" si="11"/>
        <v>3.3185770757415196E-2</v>
      </c>
      <c r="CA39" s="8"/>
      <c r="CB39" s="14">
        <f>$CB$12*($AO$5/K39)/($AN$5*(1-0.53*((B39-$AM$5)^2))*(1+0.2*B39*B39))</f>
        <v>1.3507437354903706</v>
      </c>
      <c r="CC39" s="1">
        <f t="shared" si="48"/>
        <v>1.8768593387259265</v>
      </c>
      <c r="CD39" s="3">
        <f t="shared" si="12"/>
        <v>6.5037958159927536E-2</v>
      </c>
      <c r="CE39" s="6">
        <f t="shared" si="13"/>
        <v>1.9598146035344117</v>
      </c>
      <c r="CF39" s="22" t="str">
        <f t="shared" si="49"/>
        <v/>
      </c>
      <c r="CG39" s="22"/>
      <c r="CH39" s="7">
        <f t="shared" si="14"/>
        <v>1.035088412660689</v>
      </c>
      <c r="CI39" s="23">
        <f>CH39*(0.7*I39*B39*B39)*$N$5/9.80665</f>
        <v>121579.3610982025</v>
      </c>
      <c r="CK39" s="1">
        <f>B39/$AI$5</f>
        <v>1</v>
      </c>
      <c r="CL39" s="14">
        <f t="shared" si="50"/>
        <v>1.4515200000000053</v>
      </c>
      <c r="CM39" s="1">
        <f t="shared" si="51"/>
        <v>0.8569758833631711</v>
      </c>
      <c r="CN39" s="14">
        <f>SQRT((A39*9.80665)/(0.7*I39*$N$5*CM39))</f>
        <v>0.57528768048728685</v>
      </c>
      <c r="CO39" s="1">
        <f t="shared" si="15"/>
        <v>0.58415260232631117</v>
      </c>
      <c r="CP39" s="29" t="str">
        <f>IF(C39&lt;30,"",IF(CO39&gt;1,"no",""))</f>
        <v/>
      </c>
      <c r="CQ39" s="22"/>
      <c r="CR39" s="23">
        <f>CM39*(0.7*I39*B39*B39)*$N$5/9.80665</f>
        <v>100658.62886827295</v>
      </c>
      <c r="CS39"/>
      <c r="CT39" s="6">
        <f t="shared" si="16"/>
        <v>0.85609756097560985</v>
      </c>
      <c r="CU39" s="22" t="str">
        <f t="shared" si="52"/>
        <v/>
      </c>
      <c r="CV39" s="5"/>
      <c r="CW39" s="6">
        <f>IF(C39&lt;100,SQRT(2)*SQRT(SQRT(1+(2/1.4)*(10510/I39))-1),IF(I39&gt;$AW$5,SQRT(2)*SQRT(SQRT(1+(2/1.4)*($AV$5/I39))-1),$AS$5))</f>
        <v>0.82</v>
      </c>
      <c r="CX39" s="22" t="str">
        <f>IF(B39&gt;CW39,"no","")</f>
        <v/>
      </c>
    </row>
    <row r="40" spans="1:102" x14ac:dyDescent="0.2">
      <c r="A40">
        <v>58800</v>
      </c>
      <c r="B40" s="1">
        <v>0.75270000000000004</v>
      </c>
      <c r="C40" s="5">
        <v>351.5</v>
      </c>
      <c r="D40" s="1">
        <v>0</v>
      </c>
      <c r="E40" s="1">
        <v>0</v>
      </c>
      <c r="G40">
        <f t="shared" si="1"/>
        <v>35150</v>
      </c>
      <c r="H40" s="9">
        <f t="shared" si="2"/>
        <v>10713.720000042855</v>
      </c>
      <c r="I40" s="5">
        <f t="shared" si="17"/>
        <v>23672.560380749444</v>
      </c>
      <c r="J40" s="5">
        <v>0</v>
      </c>
      <c r="K40" s="6">
        <f t="shared" si="18"/>
        <v>218.51081999972143</v>
      </c>
      <c r="L40" s="5">
        <f t="shared" si="19"/>
        <v>296.33248764401122</v>
      </c>
      <c r="M40" s="10">
        <f t="shared" si="20"/>
        <v>1.4318211844407594E-5</v>
      </c>
      <c r="O40" s="6">
        <f>B40*L40</f>
        <v>223.04946344964725</v>
      </c>
      <c r="P40" s="1">
        <f>IF(E40=0,0,E40/9.80665)</f>
        <v>0</v>
      </c>
      <c r="Q40" s="7">
        <f>IF(D40=0,0,(D40/O40))</f>
        <v>0</v>
      </c>
      <c r="R40" s="19">
        <f t="shared" si="21"/>
        <v>1</v>
      </c>
      <c r="S40" s="19">
        <f t="shared" si="22"/>
        <v>0</v>
      </c>
      <c r="T40" s="19">
        <f t="shared" si="23"/>
        <v>0</v>
      </c>
      <c r="U40" s="19"/>
      <c r="V40" s="19"/>
      <c r="W40" s="6"/>
      <c r="X40" s="1">
        <f>(A40*9.80665*R40)/(0.7*I40*B40*B40*$N$5)</f>
        <v>0.50179863868616836</v>
      </c>
      <c r="Y40" s="10">
        <f>(SQRT($N$5)*B40)*(I40/M40)*SQRT(1.4/(287.05*K40))</f>
        <v>65045587.857140198</v>
      </c>
      <c r="Z40" s="10">
        <f t="shared" si="24"/>
        <v>2.1672139223637586E-3</v>
      </c>
      <c r="AA40" s="3">
        <f t="shared" si="25"/>
        <v>1.819438419482907E-2</v>
      </c>
      <c r="AB40" s="3">
        <f t="shared" si="26"/>
        <v>7.5638695924516459E-3</v>
      </c>
      <c r="AC40" s="3">
        <f>IF($E$5="no",(1/((1+0.03+$Q$5)+AB40*3.141593*$S$5)),(1.075/((1+0.03+$Q$5)+AB40*3.141593*$S$5)))</f>
        <v>0.77967694470328541</v>
      </c>
      <c r="AD40" s="3">
        <f t="shared" si="27"/>
        <v>4.2974224379014665E-2</v>
      </c>
      <c r="AE40" s="1">
        <f t="shared" si="28"/>
        <v>0.68849326413367362</v>
      </c>
      <c r="AF40" s="1">
        <f>B40*$R$5/AE40</f>
        <v>0.99082720417902814</v>
      </c>
      <c r="AG40" s="8">
        <f t="shared" si="29"/>
        <v>8.0996261333525759E-4</v>
      </c>
      <c r="AH40" s="8"/>
      <c r="AI40" s="3">
        <f t="shared" si="30"/>
        <v>2.9825337031355734E-2</v>
      </c>
      <c r="AJ40" s="1">
        <f t="shared" si="31"/>
        <v>16.824575633751312</v>
      </c>
      <c r="AK40" s="1"/>
      <c r="AL40" s="1">
        <f t="shared" si="32"/>
        <v>5.9436863179712411E-2</v>
      </c>
      <c r="AM40" s="8">
        <f>AL40*(A40*9.80665)/(0.7*I40*B40*B40*$N$5)</f>
        <v>2.9825337031355727E-2</v>
      </c>
      <c r="AN40" s="1">
        <f>B40/$AI$5</f>
        <v>1</v>
      </c>
      <c r="AO40" s="1">
        <f>IF(B40&lt;0.4,1.3*(0.4-B40),0)</f>
        <v>0</v>
      </c>
      <c r="AP40" s="1">
        <f t="shared" si="33"/>
        <v>-0.43</v>
      </c>
      <c r="AQ40" s="1">
        <f t="shared" si="34"/>
        <v>0</v>
      </c>
      <c r="AR40" s="1">
        <f t="shared" si="3"/>
        <v>1</v>
      </c>
      <c r="AS40" s="1">
        <f t="shared" si="4"/>
        <v>0.30867472713898642</v>
      </c>
      <c r="AT40" s="1">
        <f>(((1+0.55*B40)/(1+0.55*$AI$5))/(AN40^2))</f>
        <v>1</v>
      </c>
      <c r="AU40" s="1">
        <f t="shared" si="5"/>
        <v>3.465254791234245E-2</v>
      </c>
      <c r="AV40" s="8">
        <f t="shared" si="35"/>
        <v>0.86069679801907495</v>
      </c>
      <c r="AW40" s="8">
        <f t="shared" si="36"/>
        <v>0.99165568570468043</v>
      </c>
      <c r="AX40" s="8"/>
      <c r="AY40" s="4"/>
      <c r="AZ40" s="1">
        <f t="shared" si="37"/>
        <v>0.30609904820071671</v>
      </c>
      <c r="BA40" s="14">
        <f t="shared" si="38"/>
        <v>0.2984465719956988</v>
      </c>
      <c r="BB40" s="1"/>
      <c r="BC40" s="14">
        <f t="shared" si="39"/>
        <v>5.021236923175441</v>
      </c>
      <c r="BD40" s="14">
        <f>IF(0.7*(AM40*(B40^3)/BA40)*(I40*L40*$N$5/43000000)&lt;$AH$5*(1-0.178*(C40/100)+0.0085*((C40/100)^2)),$AH$5*(1-0.178*(C40/100)+0.0085*((C40/100)^2)),0.7*(AM40*(B40^3)/BA40)*(I40*L40*$N$5/43000000))</f>
        <v>0.59568959632140861</v>
      </c>
      <c r="BE40" s="4">
        <f t="shared" si="6"/>
        <v>2.6706614179140753E-3</v>
      </c>
      <c r="BF40" s="4"/>
      <c r="BG40" s="1">
        <f t="shared" si="7"/>
        <v>0.94427871920762985</v>
      </c>
      <c r="BH40" s="1">
        <f>0.6*$AN$5*(1-0.53*((B40-$AM$5)^2))*(1+((2/3)*AV40))</f>
        <v>5.2699848800116342</v>
      </c>
      <c r="BJ40" s="1">
        <f t="shared" si="8"/>
        <v>6.2385070214353417</v>
      </c>
      <c r="BK40" s="5">
        <f t="shared" si="9"/>
        <v>21.476758866348586</v>
      </c>
      <c r="BL40" s="5">
        <f t="shared" si="40"/>
        <v>1.5076912596607057</v>
      </c>
      <c r="BM40" s="5">
        <f t="shared" si="41"/>
        <v>2.7715485915733438</v>
      </c>
      <c r="BN40" s="1">
        <f t="shared" si="42"/>
        <v>1.1462196416981969</v>
      </c>
      <c r="BO40" s="1">
        <f t="shared" si="43"/>
        <v>3.1018501876931444</v>
      </c>
      <c r="BP40" s="9">
        <f>(1+0.2*B40*B40)*K40</f>
        <v>243.27059960266544</v>
      </c>
      <c r="BQ40" s="9">
        <f t="shared" si="53"/>
        <v>674.23628769997026</v>
      </c>
      <c r="BR40" s="9">
        <f t="shared" si="54"/>
        <v>1282.0323816574112</v>
      </c>
      <c r="BS40" s="9">
        <f t="shared" si="46"/>
        <v>754.58895503775159</v>
      </c>
      <c r="BU40" s="9">
        <f>((1+0.2*B40*B40)^3.5)*I40</f>
        <v>34467.009881316771</v>
      </c>
      <c r="BV40" s="9">
        <f t="shared" si="47"/>
        <v>740239.66006509424</v>
      </c>
      <c r="BX40" s="3">
        <f t="shared" si="10"/>
        <v>2.0509945240291465E-2</v>
      </c>
      <c r="BZ40" s="3">
        <f t="shared" si="11"/>
        <v>3.3253908943300096E-2</v>
      </c>
      <c r="CA40" s="8"/>
      <c r="CB40" s="14">
        <f>$CB$12*($AO$5/K40)/($AN$5*(1-0.53*((B40-$AM$5)^2))*(1+0.2*B40*B40))</f>
        <v>1.3513560835399472</v>
      </c>
      <c r="CC40" s="1">
        <f t="shared" si="48"/>
        <v>1.8783902088498681</v>
      </c>
      <c r="CD40" s="3">
        <f t="shared" si="12"/>
        <v>6.5091006710244995E-2</v>
      </c>
      <c r="CE40" s="6">
        <f t="shared" si="13"/>
        <v>1.9573941463913025</v>
      </c>
      <c r="CF40" s="22" t="str">
        <f t="shared" si="49"/>
        <v/>
      </c>
      <c r="CG40" s="22"/>
      <c r="CH40" s="7">
        <f t="shared" si="14"/>
        <v>1.0355798548572348</v>
      </c>
      <c r="CI40" s="23">
        <f>CH40*(0.7*I40*B40*B40)*$N$5/9.80665</f>
        <v>121347.66970479599</v>
      </c>
      <c r="CK40" s="1">
        <f>B40/$AI$5</f>
        <v>1</v>
      </c>
      <c r="CL40" s="14">
        <f t="shared" si="50"/>
        <v>1.4515200000000053</v>
      </c>
      <c r="CM40" s="1">
        <f t="shared" si="51"/>
        <v>0.8569758833631711</v>
      </c>
      <c r="CN40" s="14">
        <f>SQRT((A40*9.80665)/(0.7*I40*$N$5*CM40))</f>
        <v>0.57597330483909315</v>
      </c>
      <c r="CO40" s="1">
        <f t="shared" si="15"/>
        <v>0.58554581106399117</v>
      </c>
      <c r="CP40" s="29" t="str">
        <f>IF(C40&lt;30,"",IF(CO40&gt;1,"no",""))</f>
        <v/>
      </c>
      <c r="CQ40" s="22"/>
      <c r="CR40" s="23">
        <f>CM40*(0.7*I40*B40*B40)*$N$5/9.80665</f>
        <v>100419.12842507563</v>
      </c>
      <c r="CS40"/>
      <c r="CT40" s="6">
        <f t="shared" si="16"/>
        <v>0.8573170731707318</v>
      </c>
      <c r="CU40" s="22" t="str">
        <f t="shared" si="52"/>
        <v/>
      </c>
      <c r="CV40" s="5"/>
      <c r="CW40" s="6">
        <f>IF(C40&lt;100,SQRT(2)*SQRT(SQRT(1+(2/1.4)*(10510/I40))-1),IF(I40&gt;$AW$5,SQRT(2)*SQRT(SQRT(1+(2/1.4)*($AV$5/I40))-1),$AS$5))</f>
        <v>0.82</v>
      </c>
      <c r="CX40" s="22" t="str">
        <f>IF(B40&gt;CW40,"no","")</f>
        <v/>
      </c>
    </row>
    <row r="41" spans="1:102" x14ac:dyDescent="0.2">
      <c r="A41">
        <v>58800</v>
      </c>
      <c r="B41" s="1">
        <v>0.75270000000000004</v>
      </c>
      <c r="C41" s="5">
        <v>352</v>
      </c>
      <c r="D41" s="1">
        <v>0</v>
      </c>
      <c r="E41" s="1">
        <v>0</v>
      </c>
      <c r="G41">
        <f t="shared" si="1"/>
        <v>35200</v>
      </c>
      <c r="H41" s="9">
        <f t="shared" si="2"/>
        <v>10728.960000042915</v>
      </c>
      <c r="I41" s="5">
        <f t="shared" si="17"/>
        <v>23616.209956080969</v>
      </c>
      <c r="J41" s="5">
        <v>0</v>
      </c>
      <c r="K41" s="6">
        <f t="shared" si="18"/>
        <v>218.41175999972103</v>
      </c>
      <c r="L41" s="5">
        <f t="shared" si="19"/>
        <v>296.26531013786933</v>
      </c>
      <c r="M41" s="10">
        <f t="shared" si="20"/>
        <v>1.4312787056777056E-5</v>
      </c>
      <c r="O41" s="6">
        <f>B41*L41</f>
        <v>222.99889894077427</v>
      </c>
      <c r="P41" s="1">
        <f>IF(E41=0,0,E41/9.80665)</f>
        <v>0</v>
      </c>
      <c r="Q41" s="7">
        <f>IF(D41=0,0,(D41/O41))</f>
        <v>0</v>
      </c>
      <c r="R41" s="19">
        <f t="shared" si="21"/>
        <v>1</v>
      </c>
      <c r="S41" s="19">
        <f t="shared" si="22"/>
        <v>0</v>
      </c>
      <c r="T41" s="19">
        <f t="shared" si="23"/>
        <v>0</v>
      </c>
      <c r="U41" s="19"/>
      <c r="V41" s="19"/>
      <c r="W41" s="6"/>
      <c r="X41" s="1">
        <f>(A41*9.80665*R41)/(0.7*I41*B41*B41*$N$5)</f>
        <v>0.50299597587281319</v>
      </c>
      <c r="Y41" s="10">
        <f>(SQRT($N$5)*B41)*(I41/M41)*SQRT(1.4/(287.05*K41))</f>
        <v>64930066.72141204</v>
      </c>
      <c r="Z41" s="10">
        <f t="shared" si="24"/>
        <v>2.1677533254227366E-3</v>
      </c>
      <c r="AA41" s="3">
        <f t="shared" si="25"/>
        <v>1.8198912638647948E-2</v>
      </c>
      <c r="AB41" s="3">
        <f t="shared" si="26"/>
        <v>7.5657521820537968E-3</v>
      </c>
      <c r="AC41" s="3">
        <f>IF($E$5="no",(1/((1+0.03+$Q$5)+AB41*3.141593*$S$5)),(1.075/((1+0.03+$Q$5)+AB41*3.141593*$S$5)))</f>
        <v>0.77964279056944996</v>
      </c>
      <c r="AD41" s="3">
        <f t="shared" si="27"/>
        <v>4.2976106968616812E-2</v>
      </c>
      <c r="AE41" s="1">
        <f t="shared" si="28"/>
        <v>0.6883474951695896</v>
      </c>
      <c r="AF41" s="1">
        <f>B41*$R$5/AE41</f>
        <v>0.9910370282230655</v>
      </c>
      <c r="AG41" s="8">
        <f t="shared" si="29"/>
        <v>8.1275281415178909E-4</v>
      </c>
      <c r="AH41" s="8"/>
      <c r="AI41" s="3">
        <f t="shared" si="30"/>
        <v>2.9884833322550087E-2</v>
      </c>
      <c r="AJ41" s="1">
        <f t="shared" si="31"/>
        <v>16.831145432331034</v>
      </c>
      <c r="AK41" s="1"/>
      <c r="AL41" s="1">
        <f t="shared" si="32"/>
        <v>5.941366284430618E-2</v>
      </c>
      <c r="AM41" s="8">
        <f>AL41*(A41*9.80665)/(0.7*I41*B41*B41*$N$5)</f>
        <v>2.9884833322550094E-2</v>
      </c>
      <c r="AN41" s="1">
        <f>B41/$AI$5</f>
        <v>1</v>
      </c>
      <c r="AO41" s="1">
        <f>IF(B41&lt;0.4,1.3*(0.4-B41),0)</f>
        <v>0</v>
      </c>
      <c r="AP41" s="1">
        <f t="shared" si="33"/>
        <v>-0.43</v>
      </c>
      <c r="AQ41" s="1">
        <f t="shared" si="34"/>
        <v>0</v>
      </c>
      <c r="AR41" s="1">
        <f t="shared" si="3"/>
        <v>1</v>
      </c>
      <c r="AS41" s="1">
        <f t="shared" si="4"/>
        <v>0.30867472713898642</v>
      </c>
      <c r="AT41" s="1">
        <f>(((1+0.55*B41)/(1+0.55*$AI$5))/(AN41^2))</f>
        <v>1</v>
      </c>
      <c r="AU41" s="1">
        <f t="shared" si="5"/>
        <v>3.465254791234245E-2</v>
      </c>
      <c r="AV41" s="8">
        <f t="shared" si="35"/>
        <v>0.86241373644867814</v>
      </c>
      <c r="AW41" s="8">
        <f t="shared" si="36"/>
        <v>0.99186010863525409</v>
      </c>
      <c r="AX41" s="8"/>
      <c r="AY41" s="4"/>
      <c r="AZ41" s="1">
        <f t="shared" si="37"/>
        <v>0.30616214839303246</v>
      </c>
      <c r="BA41" s="14">
        <f t="shared" si="38"/>
        <v>0.29850809468320666</v>
      </c>
      <c r="BB41" s="1"/>
      <c r="BC41" s="14">
        <f t="shared" si="39"/>
        <v>5.0242331543410934</v>
      </c>
      <c r="BD41" s="14">
        <f>IF(0.7*(AM41*(B41^3)/BA41)*(I41*L41*$N$5/43000000)&lt;$AH$5*(1-0.178*(C41/100)+0.0085*((C41/100)^2)),$AH$5*(1-0.178*(C41/100)+0.0085*((C41/100)^2)),0.7*(AM41*(B41^3)/BA41)*(I41*L41*$N$5/43000000))</f>
        <v>0.5951993931558075</v>
      </c>
      <c r="BE41" s="4">
        <f t="shared" si="6"/>
        <v>2.6690687531774992E-3</v>
      </c>
      <c r="BF41" s="4"/>
      <c r="BG41" s="1">
        <f t="shared" si="7"/>
        <v>0.94496549457947121</v>
      </c>
      <c r="BH41" s="1">
        <f>0.6*$AN$5*(1-0.53*((B41-$AM$5)^2))*(1+((2/3)*AV41))</f>
        <v>5.2738177481595105</v>
      </c>
      <c r="BJ41" s="1">
        <f t="shared" si="8"/>
        <v>6.2333838681182785</v>
      </c>
      <c r="BK41" s="5">
        <f t="shared" si="9"/>
        <v>21.515830369671747</v>
      </c>
      <c r="BL41" s="5">
        <f t="shared" si="40"/>
        <v>1.5087878058439601</v>
      </c>
      <c r="BM41" s="5">
        <f t="shared" si="41"/>
        <v>2.7732234877226332</v>
      </c>
      <c r="BN41" s="1">
        <f t="shared" si="42"/>
        <v>1.1464966638556291</v>
      </c>
      <c r="BO41" s="1">
        <f t="shared" si="43"/>
        <v>3.1035400985790247</v>
      </c>
      <c r="BP41" s="9">
        <f>(1+0.2*B41*B41)*K41</f>
        <v>243.16031496963552</v>
      </c>
      <c r="BQ41" s="9">
        <f t="shared" si="53"/>
        <v>674.33789675582659</v>
      </c>
      <c r="BR41" s="9">
        <f t="shared" si="54"/>
        <v>1282.3831847349206</v>
      </c>
      <c r="BS41" s="9">
        <f t="shared" si="46"/>
        <v>754.65778789136937</v>
      </c>
      <c r="BU41" s="9">
        <f>((1+0.2*B41*B41)^3.5)*I41</f>
        <v>34384.964229615987</v>
      </c>
      <c r="BV41" s="9">
        <f t="shared" si="47"/>
        <v>739821.05763164838</v>
      </c>
      <c r="BX41" s="3">
        <f t="shared" si="10"/>
        <v>2.0518373269420187E-2</v>
      </c>
      <c r="BZ41" s="3">
        <f t="shared" si="11"/>
        <v>3.3322365395001073E-2</v>
      </c>
      <c r="CA41" s="8"/>
      <c r="CB41" s="14">
        <f>$CB$12*($AO$5/K41)/($AN$5*(1-0.53*((B41-$AM$5)^2))*(1+0.2*B41*B41))</f>
        <v>1.3519689870467739</v>
      </c>
      <c r="CC41" s="1">
        <f t="shared" si="48"/>
        <v>1.8799224676169348</v>
      </c>
      <c r="CD41" s="3">
        <f t="shared" si="12"/>
        <v>6.5144103380584878E-2</v>
      </c>
      <c r="CE41" s="6">
        <f t="shared" si="13"/>
        <v>1.9549663599318676</v>
      </c>
      <c r="CF41" s="22" t="str">
        <f t="shared" si="49"/>
        <v/>
      </c>
      <c r="CG41" s="22"/>
      <c r="CH41" s="7">
        <f t="shared" si="14"/>
        <v>1.0360713560266803</v>
      </c>
      <c r="CI41" s="23">
        <f>CH41*(0.7*I41*B41*B41)*$N$5/9.80665</f>
        <v>121116.2686314874</v>
      </c>
      <c r="CK41" s="1">
        <f>B41/$AI$5</f>
        <v>1</v>
      </c>
      <c r="CL41" s="14">
        <f t="shared" si="50"/>
        <v>1.4515200000000053</v>
      </c>
      <c r="CM41" s="1">
        <f t="shared" si="51"/>
        <v>0.8569758833631711</v>
      </c>
      <c r="CN41" s="14">
        <f>SQRT((A41*9.80665)/(0.7*I41*$N$5*CM41))</f>
        <v>0.5766600577622949</v>
      </c>
      <c r="CO41" s="1">
        <f t="shared" si="15"/>
        <v>0.58694297662009287</v>
      </c>
      <c r="CP41" s="29" t="str">
        <f>IF(C41&lt;30,"",IF(CO41&gt;1,"no",""))</f>
        <v/>
      </c>
      <c r="CQ41" s="22"/>
      <c r="CR41" s="23">
        <f>CM41*(0.7*I41*B41*B41)*$N$5/9.80665</f>
        <v>100180.08962062957</v>
      </c>
      <c r="CS41"/>
      <c r="CT41" s="6">
        <f t="shared" si="16"/>
        <v>0.85853658536585375</v>
      </c>
      <c r="CU41" s="22" t="str">
        <f t="shared" si="52"/>
        <v/>
      </c>
      <c r="CV41" s="5"/>
      <c r="CW41" s="6">
        <f>IF(C41&lt;100,SQRT(2)*SQRT(SQRT(1+(2/1.4)*(10510/I41))-1),IF(I41&gt;$AW$5,SQRT(2)*SQRT(SQRT(1+(2/1.4)*($AV$5/I41))-1),$AS$5))</f>
        <v>0.82</v>
      </c>
      <c r="CX41" s="22" t="str">
        <f>IF(B41&gt;CW41,"no","")</f>
        <v/>
      </c>
    </row>
    <row r="42" spans="1:102" x14ac:dyDescent="0.2">
      <c r="A42">
        <v>58800</v>
      </c>
      <c r="B42" s="1">
        <v>0.75270000000000004</v>
      </c>
      <c r="C42" s="5">
        <v>352.5</v>
      </c>
      <c r="D42" s="1">
        <v>0</v>
      </c>
      <c r="E42" s="1">
        <v>0</v>
      </c>
      <c r="G42">
        <f t="shared" si="1"/>
        <v>35250</v>
      </c>
      <c r="H42" s="9">
        <f t="shared" si="2"/>
        <v>10744.200000042976</v>
      </c>
      <c r="I42" s="5">
        <f t="shared" si="17"/>
        <v>23559.968196458423</v>
      </c>
      <c r="J42" s="5">
        <v>0</v>
      </c>
      <c r="K42" s="6">
        <f t="shared" si="18"/>
        <v>218.31269999972062</v>
      </c>
      <c r="L42" s="5">
        <f t="shared" si="19"/>
        <v>296.19811739592086</v>
      </c>
      <c r="M42" s="10">
        <f t="shared" si="20"/>
        <v>1.43073612083701E-5</v>
      </c>
      <c r="O42" s="6">
        <f>B42*L42</f>
        <v>222.94832296390965</v>
      </c>
      <c r="P42" s="1">
        <f>IF(E42=0,0,E42/9.80665)</f>
        <v>0</v>
      </c>
      <c r="Q42" s="7">
        <f>IF(D42=0,0,(D42/O42))</f>
        <v>0</v>
      </c>
      <c r="R42" s="19">
        <f t="shared" si="21"/>
        <v>1</v>
      </c>
      <c r="S42" s="19">
        <f t="shared" si="22"/>
        <v>0</v>
      </c>
      <c r="T42" s="19">
        <f t="shared" si="23"/>
        <v>0</v>
      </c>
      <c r="U42" s="19"/>
      <c r="V42" s="19"/>
      <c r="W42" s="6"/>
      <c r="X42" s="1">
        <f>(A42*9.80665*R42)/(0.7*I42*B42*B42*$N$5)</f>
        <v>0.5041967151323169</v>
      </c>
      <c r="Y42" s="10">
        <f>(SQRT($N$5)*B42)*(I42/M42)*SQRT(1.4/(287.05*K42))</f>
        <v>64814701.459111236</v>
      </c>
      <c r="Z42" s="10">
        <f t="shared" si="24"/>
        <v>2.1682930935970029E-3</v>
      </c>
      <c r="AA42" s="3">
        <f t="shared" si="25"/>
        <v>1.820344414771468E-2</v>
      </c>
      <c r="AB42" s="3">
        <f t="shared" si="26"/>
        <v>7.5676360459576665E-3</v>
      </c>
      <c r="AC42" s="3">
        <f>IF($E$5="no",(1/((1+0.03+$Q$5)+AB42*3.141593*$S$5)),(1.075/((1+0.03+$Q$5)+AB42*3.141593*$S$5)))</f>
        <v>0.77960861631228673</v>
      </c>
      <c r="AD42" s="3">
        <f t="shared" si="27"/>
        <v>4.2977990832520692E-2</v>
      </c>
      <c r="AE42" s="1">
        <f t="shared" si="28"/>
        <v>0.6882013120225654</v>
      </c>
      <c r="AF42" s="1">
        <f>B42*$R$5/AE42</f>
        <v>0.99124753771944729</v>
      </c>
      <c r="AG42" s="8">
        <f t="shared" si="29"/>
        <v>8.1555695117367644E-4</v>
      </c>
      <c r="AH42" s="8"/>
      <c r="AI42" s="3">
        <f t="shared" si="30"/>
        <v>2.9944622137837069E-2</v>
      </c>
      <c r="AJ42" s="1">
        <f t="shared" si="31"/>
        <v>16.83763825141844</v>
      </c>
      <c r="AK42" s="1"/>
      <c r="AL42" s="1">
        <f t="shared" si="32"/>
        <v>5.9390752139229369E-2</v>
      </c>
      <c r="AM42" s="8">
        <f>AL42*(A42*9.80665)/(0.7*I42*B42*B42*$N$5)</f>
        <v>2.9944622137837076E-2</v>
      </c>
      <c r="AN42" s="1">
        <f>B42/$AI$5</f>
        <v>1</v>
      </c>
      <c r="AO42" s="1">
        <f>IF(B42&lt;0.4,1.3*(0.4-B42),0)</f>
        <v>0</v>
      </c>
      <c r="AP42" s="1">
        <f t="shared" si="33"/>
        <v>-0.43</v>
      </c>
      <c r="AQ42" s="1">
        <f t="shared" si="34"/>
        <v>0</v>
      </c>
      <c r="AR42" s="1">
        <f t="shared" si="3"/>
        <v>1</v>
      </c>
      <c r="AS42" s="1">
        <f t="shared" si="4"/>
        <v>0.30867472713898642</v>
      </c>
      <c r="AT42" s="1">
        <f>(((1+0.55*B42)/(1+0.55*$AI$5))/(AN42^2))</f>
        <v>1</v>
      </c>
      <c r="AU42" s="1">
        <f t="shared" si="5"/>
        <v>3.465254791234245E-2</v>
      </c>
      <c r="AV42" s="8">
        <f t="shared" si="35"/>
        <v>0.86413911651129938</v>
      </c>
      <c r="AW42" s="8">
        <f t="shared" si="36"/>
        <v>0.992062982745198</v>
      </c>
      <c r="AX42" s="8"/>
      <c r="AY42" s="4"/>
      <c r="AZ42" s="1">
        <f t="shared" si="37"/>
        <v>0.306224770503563</v>
      </c>
      <c r="BA42" s="14">
        <f t="shared" si="38"/>
        <v>0.29856915124097394</v>
      </c>
      <c r="BB42" s="1"/>
      <c r="BC42" s="14">
        <f t="shared" si="39"/>
        <v>5.0271993616285604</v>
      </c>
      <c r="BD42" s="14">
        <f>IF(0.7*(AM42*(B42^3)/BA42)*(I42*L42*$N$5/43000000)&lt;$AH$5*(1-0.178*(C42/100)+0.0085*((C42/100)^2)),$AH$5*(1-0.178*(C42/100)+0.0085*((C42/100)^2)),0.7*(AM42*(B42^3)/BA42)*(I42*L42*$N$5/43000000))</f>
        <v>0.59471329549960728</v>
      </c>
      <c r="BE42" s="4">
        <f t="shared" si="6"/>
        <v>2.6674939178433655E-3</v>
      </c>
      <c r="BF42" s="4"/>
      <c r="BG42" s="1">
        <f t="shared" si="7"/>
        <v>0.94565564660451973</v>
      </c>
      <c r="BH42" s="1">
        <f>0.6*$AN$5*(1-0.53*((B42-$AM$5)^2))*(1+((2/3)*AV42))</f>
        <v>5.2776694612850239</v>
      </c>
      <c r="BJ42" s="1">
        <f t="shared" si="8"/>
        <v>6.2282435090602979</v>
      </c>
      <c r="BK42" s="5">
        <f t="shared" si="9"/>
        <v>21.555136907226522</v>
      </c>
      <c r="BL42" s="5">
        <f t="shared" si="40"/>
        <v>1.5098897433914631</v>
      </c>
      <c r="BM42" s="5">
        <f t="shared" si="41"/>
        <v>2.7749064115163948</v>
      </c>
      <c r="BN42" s="1">
        <f t="shared" si="42"/>
        <v>1.1467749126689202</v>
      </c>
      <c r="BO42" s="1">
        <f t="shared" si="43"/>
        <v>3.1052405302700028</v>
      </c>
      <c r="BP42" s="9">
        <f>(1+0.2*B42*B42)*K42</f>
        <v>243.05003033660557</v>
      </c>
      <c r="BQ42" s="9">
        <f t="shared" si="53"/>
        <v>674.44108750030102</v>
      </c>
      <c r="BR42" s="9">
        <f t="shared" si="54"/>
        <v>1282.7377226719018</v>
      </c>
      <c r="BS42" s="9">
        <f t="shared" si="46"/>
        <v>754.72880508458138</v>
      </c>
      <c r="BU42" s="9">
        <f>((1+0.2*B42*B42)^3.5)*I42</f>
        <v>34303.076793129425</v>
      </c>
      <c r="BV42" s="9">
        <f t="shared" si="47"/>
        <v>739407.51661500963</v>
      </c>
      <c r="BX42" s="3">
        <f t="shared" si="10"/>
        <v>2.0526877956209968E-2</v>
      </c>
      <c r="BZ42" s="3">
        <f t="shared" si="11"/>
        <v>3.339114186781969E-2</v>
      </c>
      <c r="CA42" s="8"/>
      <c r="CB42" s="14">
        <f>$CB$12*($AO$5/K42)/($AN$5*(1-0.53*((B42-$AM$5)^2))*(1+0.2*B42*B42))</f>
        <v>1.3525824467669716</v>
      </c>
      <c r="CC42" s="1">
        <f t="shared" si="48"/>
        <v>1.8814561169174291</v>
      </c>
      <c r="CD42" s="3">
        <f t="shared" si="12"/>
        <v>6.5197248236450997E-2</v>
      </c>
      <c r="CE42" s="6">
        <f t="shared" si="13"/>
        <v>1.9525312579766569</v>
      </c>
      <c r="CF42" s="22" t="str">
        <f t="shared" si="49"/>
        <v/>
      </c>
      <c r="CG42" s="22"/>
      <c r="CH42" s="7">
        <f t="shared" si="14"/>
        <v>1.0365629157427014</v>
      </c>
      <c r="CI42" s="23">
        <f>CH42*(0.7*I42*B42*B42)*$N$5/9.80665</f>
        <v>120885.15774973998</v>
      </c>
      <c r="CK42" s="1">
        <f>B42/$AI$5</f>
        <v>1</v>
      </c>
      <c r="CL42" s="14">
        <f t="shared" si="50"/>
        <v>1.4515200000000053</v>
      </c>
      <c r="CM42" s="1">
        <f t="shared" si="51"/>
        <v>0.8569758833631711</v>
      </c>
      <c r="CN42" s="14">
        <f>SQRT((A42*9.80665)/(0.7*I42*$N$5*CM42))</f>
        <v>0.57734794162770087</v>
      </c>
      <c r="CO42" s="1">
        <f t="shared" si="15"/>
        <v>0.58834411203453585</v>
      </c>
      <c r="CP42" s="29" t="str">
        <f>IF(C42&lt;30,"",IF(CO42&gt;1,"no",""))</f>
        <v/>
      </c>
      <c r="CQ42" s="22"/>
      <c r="CR42" s="23">
        <f>CM42*(0.7*I42*B42*B42)*$N$5/9.80665</f>
        <v>99941.511773892678</v>
      </c>
      <c r="CS42"/>
      <c r="CT42" s="6">
        <f t="shared" si="16"/>
        <v>0.85975609756097571</v>
      </c>
      <c r="CU42" s="22" t="str">
        <f t="shared" si="52"/>
        <v/>
      </c>
      <c r="CV42" s="5"/>
      <c r="CW42" s="6">
        <f>IF(C42&lt;100,SQRT(2)*SQRT(SQRT(1+(2/1.4)*(10510/I42))-1),IF(I42&gt;$AW$5,SQRT(2)*SQRT(SQRT(1+(2/1.4)*($AV$5/I42))-1),$AS$5))</f>
        <v>0.82</v>
      </c>
      <c r="CX42" s="22" t="str">
        <f>IF(B42&gt;CW42,"no","")</f>
        <v/>
      </c>
    </row>
    <row r="43" spans="1:102" x14ac:dyDescent="0.2">
      <c r="A43">
        <v>58800</v>
      </c>
      <c r="B43" s="1">
        <v>0.75270000000000004</v>
      </c>
      <c r="C43" s="5">
        <v>353</v>
      </c>
      <c r="D43" s="1">
        <v>0</v>
      </c>
      <c r="E43" s="1">
        <v>0</v>
      </c>
      <c r="G43">
        <f t="shared" si="1"/>
        <v>35300</v>
      </c>
      <c r="H43" s="9">
        <f t="shared" si="2"/>
        <v>10759.440000043038</v>
      </c>
      <c r="I43" s="5">
        <f t="shared" si="17"/>
        <v>23503.834941498779</v>
      </c>
      <c r="J43" s="5">
        <v>0</v>
      </c>
      <c r="K43" s="6">
        <f t="shared" si="18"/>
        <v>218.21363999972021</v>
      </c>
      <c r="L43" s="5">
        <f t="shared" si="19"/>
        <v>296.13090940779477</v>
      </c>
      <c r="M43" s="10">
        <f t="shared" si="20"/>
        <v>1.4301934298728538E-5</v>
      </c>
      <c r="O43" s="6">
        <f>B43*L43</f>
        <v>222.89773551124713</v>
      </c>
      <c r="P43" s="1">
        <f>IF(E43=0,0,E43/9.80665)</f>
        <v>0</v>
      </c>
      <c r="Q43" s="7">
        <f>IF(D43=0,0,(D43/O43))</f>
        <v>0</v>
      </c>
      <c r="R43" s="19">
        <f t="shared" si="21"/>
        <v>1</v>
      </c>
      <c r="S43" s="19">
        <f t="shared" si="22"/>
        <v>0</v>
      </c>
      <c r="T43" s="19">
        <f t="shared" si="23"/>
        <v>0</v>
      </c>
      <c r="U43" s="19"/>
      <c r="V43" s="19"/>
      <c r="W43" s="6"/>
      <c r="X43" s="1">
        <f>(A43*9.80665*R43)/(0.7*I43*B43*B43*$N$5)</f>
        <v>0.50540086768149795</v>
      </c>
      <c r="Y43" s="10">
        <f>(SQRT($N$5)*B43)*(I43/M43)*SQRT(1.4/(287.05*K43))</f>
        <v>64699491.925732546</v>
      </c>
      <c r="Z43" s="10">
        <f t="shared" si="24"/>
        <v>2.1688332272936334E-3</v>
      </c>
      <c r="AA43" s="3">
        <f t="shared" si="25"/>
        <v>1.8207978725446789E-2</v>
      </c>
      <c r="AB43" s="3">
        <f t="shared" si="26"/>
        <v>7.5695211855840057E-3</v>
      </c>
      <c r="AC43" s="3">
        <f>IF($E$5="no",(1/((1+0.03+$Q$5)+AB43*3.141593*$S$5)),(1.075/((1+0.03+$Q$5)+AB43*3.141593*$S$5)))</f>
        <v>0.77957442191171189</v>
      </c>
      <c r="AD43" s="3">
        <f t="shared" si="27"/>
        <v>4.297987597214703E-2</v>
      </c>
      <c r="AE43" s="1">
        <f t="shared" si="28"/>
        <v>0.68805471332701751</v>
      </c>
      <c r="AF43" s="1">
        <f>B43*$R$5/AE43</f>
        <v>0.9914587354529707</v>
      </c>
      <c r="AG43" s="8">
        <f t="shared" si="29"/>
        <v>8.1837510876490841E-4</v>
      </c>
      <c r="AH43" s="8"/>
      <c r="AI43" s="3">
        <f t="shared" si="30"/>
        <v>3.000470514631963E-2</v>
      </c>
      <c r="AJ43" s="1">
        <f t="shared" si="31"/>
        <v>16.844053798125401</v>
      </c>
      <c r="AK43" s="1"/>
      <c r="AL43" s="1">
        <f t="shared" si="32"/>
        <v>5.9368131447745165E-2</v>
      </c>
      <c r="AM43" s="8">
        <f>AL43*(A43*9.80665)/(0.7*I43*B43*B43*$N$5)</f>
        <v>3.0004705146319633E-2</v>
      </c>
      <c r="AN43" s="1">
        <f>B43/$AI$5</f>
        <v>1</v>
      </c>
      <c r="AO43" s="1">
        <f>IF(B43&lt;0.4,1.3*(0.4-B43),0)</f>
        <v>0</v>
      </c>
      <c r="AP43" s="1">
        <f t="shared" si="33"/>
        <v>-0.43</v>
      </c>
      <c r="AQ43" s="1">
        <f t="shared" si="34"/>
        <v>0</v>
      </c>
      <c r="AR43" s="1">
        <f t="shared" si="3"/>
        <v>1</v>
      </c>
      <c r="AS43" s="1">
        <f t="shared" si="4"/>
        <v>0.30867472713898642</v>
      </c>
      <c r="AT43" s="1">
        <f>(((1+0.55*B43)/(1+0.55*$AI$5))/(AN43^2))</f>
        <v>1</v>
      </c>
      <c r="AU43" s="1">
        <f t="shared" si="5"/>
        <v>3.465254791234245E-2</v>
      </c>
      <c r="AV43" s="8">
        <f t="shared" si="35"/>
        <v>0.86587298637375631</v>
      </c>
      <c r="AW43" s="8">
        <f t="shared" si="36"/>
        <v>0.99226427601275335</v>
      </c>
      <c r="AX43" s="8"/>
      <c r="AY43" s="4"/>
      <c r="AZ43" s="1">
        <f t="shared" si="37"/>
        <v>0.30628690464800057</v>
      </c>
      <c r="BA43" s="14">
        <f t="shared" si="38"/>
        <v>0.29862973203180054</v>
      </c>
      <c r="BB43" s="1"/>
      <c r="BC43" s="14">
        <f t="shared" si="39"/>
        <v>5.0301352720634203</v>
      </c>
      <c r="BD43" s="14">
        <f>IF(0.7*(AM43*(B43^3)/BA43)*(I43*L43*$N$5/43000000)&lt;$AH$5*(1-0.178*(C43/100)+0.0085*((C43/100)^2)),$AH$5*(1-0.178*(C43/100)+0.0085*((C43/100)^2)),0.7*(AM43*(B43^3)/BA43)*(I43*L43*$N$5/43000000))</f>
        <v>0.594231319612466</v>
      </c>
      <c r="BE43" s="4">
        <f t="shared" si="6"/>
        <v>2.6659369968452724E-3</v>
      </c>
      <c r="BF43" s="4"/>
      <c r="BG43" s="1">
        <f t="shared" si="7"/>
        <v>0.9463491945495025</v>
      </c>
      <c r="BH43" s="1">
        <f>0.6*$AN$5*(1-0.53*((B43-$AM$5)^2))*(1+((2/3)*AV43))</f>
        <v>5.2815401269150719</v>
      </c>
      <c r="BJ43" s="1">
        <f t="shared" si="8"/>
        <v>6.2230859001573418</v>
      </c>
      <c r="BK43" s="5">
        <f t="shared" si="9"/>
        <v>21.594680225656148</v>
      </c>
      <c r="BL43" s="5">
        <f t="shared" si="40"/>
        <v>1.5109971030656106</v>
      </c>
      <c r="BM43" s="5">
        <f t="shared" si="41"/>
        <v>2.7765974070561725</v>
      </c>
      <c r="BN43" s="1">
        <f t="shared" si="42"/>
        <v>1.1470543940746256</v>
      </c>
      <c r="BO43" s="1">
        <f t="shared" si="43"/>
        <v>3.1069515569431689</v>
      </c>
      <c r="BP43" s="9">
        <f>(1+0.2*B43*B43)*K43</f>
        <v>242.93974570357565</v>
      </c>
      <c r="BQ43" s="9">
        <f t="shared" si="53"/>
        <v>674.54586799143408</v>
      </c>
      <c r="BR43" s="9">
        <f t="shared" si="54"/>
        <v>1283.0960153559784</v>
      </c>
      <c r="BS43" s="9">
        <f t="shared" si="46"/>
        <v>754.80202115710188</v>
      </c>
      <c r="BU43" s="9">
        <f>((1+0.2*B43*B43)^3.5)*I43</f>
        <v>34221.347338341009</v>
      </c>
      <c r="BV43" s="9">
        <f t="shared" si="47"/>
        <v>738999.0526625833</v>
      </c>
      <c r="BX43" s="3">
        <f t="shared" si="10"/>
        <v>2.053545972282449E-2</v>
      </c>
      <c r="BZ43" s="3">
        <f t="shared" si="11"/>
        <v>3.3460240127776354E-2</v>
      </c>
      <c r="CA43" s="8"/>
      <c r="CB43" s="14">
        <f>$CB$12*($AO$5/K43)/($AN$5*(1-0.53*((B43-$AM$5)^2))*(1+0.2*B43*B43))</f>
        <v>1.3531964634580336</v>
      </c>
      <c r="CC43" s="1">
        <f t="shared" si="48"/>
        <v>1.8829911586450838</v>
      </c>
      <c r="CD43" s="3">
        <f t="shared" si="12"/>
        <v>6.5250441343465998E-2</v>
      </c>
      <c r="CE43" s="6">
        <f t="shared" si="13"/>
        <v>1.9500888545417114</v>
      </c>
      <c r="CF43" s="22" t="str">
        <f t="shared" si="49"/>
        <v/>
      </c>
      <c r="CG43" s="22"/>
      <c r="CH43" s="7">
        <f t="shared" si="14"/>
        <v>1.0370545335743171</v>
      </c>
      <c r="CI43" s="23">
        <f>CH43*(0.7*I43*B43*B43)*$N$5/9.80665</f>
        <v>120654.33693041954</v>
      </c>
      <c r="CK43" s="1">
        <f>B43/$AI$5</f>
        <v>1</v>
      </c>
      <c r="CL43" s="14">
        <f t="shared" si="50"/>
        <v>1.4515200000000053</v>
      </c>
      <c r="CM43" s="1">
        <f t="shared" si="51"/>
        <v>0.8569758833631711</v>
      </c>
      <c r="CN43" s="14">
        <f>SQRT((A43*9.80665)/(0.7*I43*$N$5*CM43))</f>
        <v>0.57803695881217931</v>
      </c>
      <c r="CO43" s="1">
        <f t="shared" si="15"/>
        <v>0.58974923039615812</v>
      </c>
      <c r="CP43" s="29" t="str">
        <f>IF(C43&lt;30,"",IF(CO43&gt;1,"no",""))</f>
        <v/>
      </c>
      <c r="CQ43" s="22"/>
      <c r="CR43" s="23">
        <f>CM43*(0.7*I43*B43*B43)*$N$5/9.80665</f>
        <v>99703.394204519223</v>
      </c>
      <c r="CS43"/>
      <c r="CT43" s="6">
        <f t="shared" si="16"/>
        <v>0.86097560975609766</v>
      </c>
      <c r="CU43" s="22" t="str">
        <f t="shared" si="52"/>
        <v/>
      </c>
      <c r="CV43" s="5"/>
      <c r="CW43" s="6">
        <f>IF(C43&lt;100,SQRT(2)*SQRT(SQRT(1+(2/1.4)*(10510/I43))-1),IF(I43&gt;$AW$5,SQRT(2)*SQRT(SQRT(1+(2/1.4)*($AV$5/I43))-1),$AS$5))</f>
        <v>0.82</v>
      </c>
      <c r="CX43" s="22" t="str">
        <f>IF(B43&gt;CW43,"no","")</f>
        <v/>
      </c>
    </row>
    <row r="44" spans="1:102" x14ac:dyDescent="0.2">
      <c r="A44">
        <v>58800</v>
      </c>
      <c r="B44" s="1">
        <v>0.75270000000000004</v>
      </c>
      <c r="C44" s="5">
        <v>353.5</v>
      </c>
      <c r="D44" s="1">
        <v>0</v>
      </c>
      <c r="E44" s="1">
        <v>0</v>
      </c>
      <c r="G44">
        <f t="shared" si="1"/>
        <v>35350</v>
      </c>
      <c r="H44" s="9">
        <f t="shared" si="2"/>
        <v>10774.680000043098</v>
      </c>
      <c r="I44" s="5">
        <f t="shared" si="17"/>
        <v>23447.810030983088</v>
      </c>
      <c r="J44" s="5">
        <v>0</v>
      </c>
      <c r="K44" s="6">
        <f t="shared" si="18"/>
        <v>218.11457999971987</v>
      </c>
      <c r="L44" s="5">
        <f t="shared" si="19"/>
        <v>296.06368616310817</v>
      </c>
      <c r="M44" s="10">
        <f t="shared" si="20"/>
        <v>1.4296506327394127E-5</v>
      </c>
      <c r="O44" s="6">
        <f>B44*L44</f>
        <v>222.84713657497153</v>
      </c>
      <c r="P44" s="1">
        <f>IF(E44=0,0,E44/9.80665)</f>
        <v>0</v>
      </c>
      <c r="Q44" s="7">
        <f>IF(D44=0,0,(D44/O44))</f>
        <v>0</v>
      </c>
      <c r="R44" s="19">
        <f t="shared" si="21"/>
        <v>1</v>
      </c>
      <c r="S44" s="19">
        <f t="shared" si="22"/>
        <v>0</v>
      </c>
      <c r="T44" s="19">
        <f t="shared" si="23"/>
        <v>0</v>
      </c>
      <c r="U44" s="19"/>
      <c r="V44" s="19"/>
      <c r="W44" s="6"/>
      <c r="X44" s="1">
        <f>(A44*9.80665*R44)/(0.7*I44*B44*B44*$N$5)</f>
        <v>0.50660844477927369</v>
      </c>
      <c r="Y44" s="10">
        <f>(SQRT($N$5)*B44)*(I44/M44)*SQRT(1.4/(287.05*K44))</f>
        <v>64584437.976843819</v>
      </c>
      <c r="Z44" s="10">
        <f t="shared" si="24"/>
        <v>2.1693737269203339E-3</v>
      </c>
      <c r="AA44" s="3">
        <f t="shared" si="25"/>
        <v>1.8212516375267083E-2</v>
      </c>
      <c r="AB44" s="3">
        <f t="shared" si="26"/>
        <v>7.5714076023557621E-3</v>
      </c>
      <c r="AC44" s="3">
        <f>IF($E$5="no",(1/((1+0.03+$Q$5)+AB44*3.141593*$S$5)),(1.075/((1+0.03+$Q$5)+AB44*3.141593*$S$5)))</f>
        <v>0.77954020734761342</v>
      </c>
      <c r="AD44" s="3">
        <f t="shared" si="27"/>
        <v>4.2981762388918779E-2</v>
      </c>
      <c r="AE44" s="1">
        <f t="shared" si="28"/>
        <v>0.68790769771223681</v>
      </c>
      <c r="AF44" s="1">
        <f>B44*$R$5/AE44</f>
        <v>0.99167062422236085</v>
      </c>
      <c r="AG44" s="8">
        <f t="shared" si="29"/>
        <v>8.2120737188660757E-4</v>
      </c>
      <c r="AH44" s="8"/>
      <c r="AI44" s="3">
        <f t="shared" si="30"/>
        <v>3.0065084027505046E-2</v>
      </c>
      <c r="AJ44" s="1">
        <f t="shared" si="31"/>
        <v>16.850391780571872</v>
      </c>
      <c r="AK44" s="1"/>
      <c r="AL44" s="1">
        <f t="shared" si="32"/>
        <v>5.9345801155375973E-2</v>
      </c>
      <c r="AM44" s="8">
        <f>AL44*(A44*9.80665)/(0.7*I44*B44*B44*$N$5)</f>
        <v>3.0065084027505039E-2</v>
      </c>
      <c r="AN44" s="1">
        <f>B44/$AI$5</f>
        <v>1</v>
      </c>
      <c r="AO44" s="1">
        <f>IF(B44&lt;0.4,1.3*(0.4-B44),0)</f>
        <v>0</v>
      </c>
      <c r="AP44" s="1">
        <f t="shared" si="33"/>
        <v>-0.43</v>
      </c>
      <c r="AQ44" s="1">
        <f t="shared" si="34"/>
        <v>0</v>
      </c>
      <c r="AR44" s="1">
        <f t="shared" si="3"/>
        <v>1</v>
      </c>
      <c r="AS44" s="1">
        <f t="shared" si="4"/>
        <v>0.30867472713898642</v>
      </c>
      <c r="AT44" s="1">
        <f>(((1+0.55*B44)/(1+0.55*$AI$5))/(AN44^2))</f>
        <v>1</v>
      </c>
      <c r="AU44" s="1">
        <f t="shared" si="5"/>
        <v>3.465254791234245E-2</v>
      </c>
      <c r="AV44" s="8">
        <f t="shared" si="35"/>
        <v>0.86761539450311354</v>
      </c>
      <c r="AW44" s="8">
        <f t="shared" si="36"/>
        <v>0.99246395597779646</v>
      </c>
      <c r="AX44" s="8"/>
      <c r="AY44" s="4"/>
      <c r="AZ44" s="1">
        <f t="shared" si="37"/>
        <v>0.30634854080672536</v>
      </c>
      <c r="BA44" s="14">
        <f t="shared" si="38"/>
        <v>0.29868982728655724</v>
      </c>
      <c r="BB44" s="1"/>
      <c r="BC44" s="14">
        <f t="shared" si="39"/>
        <v>5.0330406106498362</v>
      </c>
      <c r="BD44" s="14">
        <f>IF(0.7*(AM44*(B44^3)/BA44)*(I44*L44*$N$5/43000000)&lt;$AH$5*(1-0.178*(C44/100)+0.0085*((C44/100)^2)),$AH$5*(1-0.178*(C44/100)+0.0085*((C44/100)^2)),0.7*(AM44*(B44^3)/BA44)*(I44*L44*$N$5/43000000))</f>
        <v>0.59375348199821198</v>
      </c>
      <c r="BE44" s="4">
        <f t="shared" si="6"/>
        <v>2.664398076295039E-3</v>
      </c>
      <c r="BF44" s="4"/>
      <c r="BG44" s="1">
        <f t="shared" si="7"/>
        <v>0.94704615780124524</v>
      </c>
      <c r="BH44" s="1">
        <f>0.6*$AN$5*(1-0.53*((B44-$AM$5)^2))*(1+((2/3)*AV44))</f>
        <v>5.2854298532468169</v>
      </c>
      <c r="BJ44" s="1">
        <f t="shared" si="8"/>
        <v>6.2179109974024662</v>
      </c>
      <c r="BK44" s="5">
        <f t="shared" si="9"/>
        <v>21.634462086869732</v>
      </c>
      <c r="BL44" s="5">
        <f t="shared" si="40"/>
        <v>1.5121099158205555</v>
      </c>
      <c r="BM44" s="5">
        <f t="shared" si="41"/>
        <v>2.7782965187029278</v>
      </c>
      <c r="BN44" s="1">
        <f t="shared" si="42"/>
        <v>1.1473351140372137</v>
      </c>
      <c r="BO44" s="1">
        <f t="shared" si="43"/>
        <v>3.1086732533261117</v>
      </c>
      <c r="BP44" s="9">
        <f>(1+0.2*B44*B44)*K44</f>
        <v>242.82946107054579</v>
      </c>
      <c r="BQ44" s="9">
        <f t="shared" si="53"/>
        <v>674.6522463308055</v>
      </c>
      <c r="BR44" s="9">
        <f t="shared" si="54"/>
        <v>1283.4580827900984</v>
      </c>
      <c r="BS44" s="9">
        <f t="shared" si="46"/>
        <v>754.87745074959992</v>
      </c>
      <c r="BU44" s="9">
        <f>((1+0.2*B44*B44)^3.5)*I44</f>
        <v>34139.775631973556</v>
      </c>
      <c r="BV44" s="9">
        <f t="shared" si="47"/>
        <v>738595.6815641711</v>
      </c>
      <c r="BX44" s="3">
        <f t="shared" si="10"/>
        <v>2.0544118994014673E-2</v>
      </c>
      <c r="BZ44" s="3">
        <f t="shared" si="11"/>
        <v>3.3529661951681639E-2</v>
      </c>
      <c r="CA44" s="8"/>
      <c r="CB44" s="14">
        <f>$CB$12*($AO$5/K44)/($AN$5*(1-0.53*((B44-$AM$5)^2))*(1+0.2*B44*B44))</f>
        <v>1.3538110378788306</v>
      </c>
      <c r="CC44" s="1">
        <f t="shared" si="48"/>
        <v>1.8845275946970765</v>
      </c>
      <c r="CD44" s="3">
        <f t="shared" si="12"/>
        <v>6.5303682767371918E-2</v>
      </c>
      <c r="CE44" s="6">
        <f t="shared" si="13"/>
        <v>1.9476391638388317</v>
      </c>
      <c r="CF44" s="22" t="str">
        <f t="shared" si="49"/>
        <v/>
      </c>
      <c r="CG44" s="22"/>
      <c r="CH44" s="7">
        <f t="shared" si="14"/>
        <v>1.0375462090858556</v>
      </c>
      <c r="CI44" s="23">
        <f>CH44*(0.7*I44*B44*B44)*$N$5/9.80665</f>
        <v>120423.80604379586</v>
      </c>
      <c r="CK44" s="1">
        <f>B44/$AI$5</f>
        <v>1</v>
      </c>
      <c r="CL44" s="14">
        <f t="shared" si="50"/>
        <v>1.4515200000000053</v>
      </c>
      <c r="CM44" s="1">
        <f t="shared" si="51"/>
        <v>0.8569758833631711</v>
      </c>
      <c r="CN44" s="14">
        <f>SQRT((A44*9.80665)/(0.7*I44*$N$5*CM44))</f>
        <v>0.57872711169867597</v>
      </c>
      <c r="CO44" s="1">
        <f t="shared" si="15"/>
        <v>0.59115834484292262</v>
      </c>
      <c r="CP44" s="29" t="str">
        <f>IF(C44&lt;30,"",IF(CO44&gt;1,"no",""))</f>
        <v/>
      </c>
      <c r="CQ44" s="22"/>
      <c r="CR44" s="23">
        <f>CM44*(0.7*I44*B44*B44)*$N$5/9.80665</f>
        <v>99465.736232859621</v>
      </c>
      <c r="CS44"/>
      <c r="CT44" s="6">
        <f t="shared" si="16"/>
        <v>0.86219512195121961</v>
      </c>
      <c r="CU44" s="22" t="str">
        <f t="shared" si="52"/>
        <v/>
      </c>
      <c r="CV44" s="5"/>
      <c r="CW44" s="6">
        <f>IF(C44&lt;100,SQRT(2)*SQRT(SQRT(1+(2/1.4)*(10510/I44))-1),IF(I44&gt;$AW$5,SQRT(2)*SQRT(SQRT(1+(2/1.4)*($AV$5/I44))-1),$AS$5))</f>
        <v>0.82</v>
      </c>
      <c r="CX44" s="22" t="str">
        <f>IF(B44&gt;CW44,"no","")</f>
        <v/>
      </c>
    </row>
    <row r="45" spans="1:102" x14ac:dyDescent="0.2">
      <c r="A45">
        <v>58800</v>
      </c>
      <c r="B45" s="1">
        <v>0.75270000000000004</v>
      </c>
      <c r="C45" s="5">
        <v>354</v>
      </c>
      <c r="D45" s="1">
        <v>0</v>
      </c>
      <c r="E45" s="1">
        <v>0</v>
      </c>
      <c r="G45">
        <f t="shared" si="1"/>
        <v>35400</v>
      </c>
      <c r="H45" s="9">
        <f t="shared" si="2"/>
        <v>10789.920000043159</v>
      </c>
      <c r="I45" s="5">
        <f t="shared" si="17"/>
        <v>23391.89330485637</v>
      </c>
      <c r="J45" s="5">
        <v>0</v>
      </c>
      <c r="K45" s="6">
        <f t="shared" si="18"/>
        <v>218.01551999971946</v>
      </c>
      <c r="L45" s="5">
        <f t="shared" si="19"/>
        <v>295.99644765146633</v>
      </c>
      <c r="M45" s="10">
        <f t="shared" si="20"/>
        <v>1.4291077293908371E-5</v>
      </c>
      <c r="O45" s="6">
        <f>B45*L45</f>
        <v>222.7965261472587</v>
      </c>
      <c r="P45" s="1">
        <f>IF(E45=0,0,E45/9.80665)</f>
        <v>0</v>
      </c>
      <c r="Q45" s="7">
        <f>IF(D45=0,0,(D45/O45))</f>
        <v>0</v>
      </c>
      <c r="R45" s="19">
        <f t="shared" si="21"/>
        <v>1</v>
      </c>
      <c r="S45" s="19">
        <f t="shared" si="22"/>
        <v>0</v>
      </c>
      <c r="T45" s="19">
        <f t="shared" si="23"/>
        <v>0</v>
      </c>
      <c r="U45" s="19"/>
      <c r="V45" s="19"/>
      <c r="W45" s="6"/>
      <c r="X45" s="1">
        <f>(A45*9.80665*R45)/(0.7*I45*B45*B45*$N$5)</f>
        <v>0.50781945772683712</v>
      </c>
      <c r="Y45" s="10">
        <f>(SQRT($N$5)*B45)*(I45/M45)*SQRT(1.4/(287.05*K45))</f>
        <v>64469539.468086861</v>
      </c>
      <c r="Z45" s="10">
        <f t="shared" si="24"/>
        <v>2.1699145928854523E-3</v>
      </c>
      <c r="AA45" s="3">
        <f t="shared" si="25"/>
        <v>1.8217057100603756E-2</v>
      </c>
      <c r="AB45" s="3">
        <f t="shared" si="26"/>
        <v>7.5732952976981256E-3</v>
      </c>
      <c r="AC45" s="3">
        <f>IF($E$5="no",(1/((1+0.03+$Q$5)+AB45*3.141593*$S$5)),(1.075/((1+0.03+$Q$5)+AB45*3.141593*$S$5)))</f>
        <v>0.77950597259984977</v>
      </c>
      <c r="AD45" s="3">
        <f t="shared" si="27"/>
        <v>4.2983650084261145E-2</v>
      </c>
      <c r="AE45" s="1">
        <f t="shared" si="28"/>
        <v>0.68776026380236788</v>
      </c>
      <c r="AF45" s="1">
        <f>B45*$R$5/AE45</f>
        <v>0.9918832068403548</v>
      </c>
      <c r="AG45" s="8">
        <f t="shared" si="29"/>
        <v>8.240538261018609E-4</v>
      </c>
      <c r="AH45" s="8"/>
      <c r="AI45" s="3">
        <f t="shared" si="30"/>
        <v>3.0125760471375117E-2</v>
      </c>
      <c r="AJ45" s="1">
        <f t="shared" si="31"/>
        <v>16.8566519079031</v>
      </c>
      <c r="AK45" s="1"/>
      <c r="AL45" s="1">
        <f t="shared" si="32"/>
        <v>5.9323761649913313E-2</v>
      </c>
      <c r="AM45" s="8">
        <f>AL45*(A45*9.80665)/(0.7*I45*B45*B45*$N$5)</f>
        <v>3.0125760471375121E-2</v>
      </c>
      <c r="AN45" s="1">
        <f>B45/$AI$5</f>
        <v>1</v>
      </c>
      <c r="AO45" s="1">
        <f>IF(B45&lt;0.4,1.3*(0.4-B45),0)</f>
        <v>0</v>
      </c>
      <c r="AP45" s="1">
        <f t="shared" si="33"/>
        <v>-0.43</v>
      </c>
      <c r="AQ45" s="1">
        <f t="shared" si="34"/>
        <v>0</v>
      </c>
      <c r="AR45" s="1">
        <f t="shared" si="3"/>
        <v>1</v>
      </c>
      <c r="AS45" s="1">
        <f t="shared" si="4"/>
        <v>0.30867472713898642</v>
      </c>
      <c r="AT45" s="1">
        <f>(((1+0.55*B45)/(1+0.55*$AI$5))/(AN45^2))</f>
        <v>1</v>
      </c>
      <c r="AU45" s="1">
        <f t="shared" si="5"/>
        <v>3.465254791234245E-2</v>
      </c>
      <c r="AV45" s="8">
        <f t="shared" si="35"/>
        <v>0.86936638966870916</v>
      </c>
      <c r="AW45" s="8">
        <f t="shared" si="36"/>
        <v>0.99266198973627939</v>
      </c>
      <c r="AX45" s="8"/>
      <c r="AY45" s="4"/>
      <c r="AZ45" s="1">
        <f t="shared" si="37"/>
        <v>0.3064096688230894</v>
      </c>
      <c r="BA45" s="14">
        <f t="shared" si="38"/>
        <v>0.29874942710251218</v>
      </c>
      <c r="BB45" s="1"/>
      <c r="BC45" s="14">
        <f t="shared" si="39"/>
        <v>5.0359151003525202</v>
      </c>
      <c r="BD45" s="14">
        <f>IF(0.7*(AM45*(B45^3)/BA45)*(I45*L45*$N$5/43000000)&lt;$AH$5*(1-0.178*(C45/100)+0.0085*((C45/100)^2)),$AH$5*(1-0.178*(C45/100)+0.0085*((C45/100)^2)),0.7*(AM45*(B45^3)/BA45)*(I45*L45*$N$5/43000000))</f>
        <v>0.59327979940854236</v>
      </c>
      <c r="BE45" s="4">
        <f t="shared" si="6"/>
        <v>2.6628772435006933E-3</v>
      </c>
      <c r="BF45" s="4"/>
      <c r="BG45" s="1">
        <f t="shared" si="7"/>
        <v>0.94774655586748358</v>
      </c>
      <c r="BH45" s="1">
        <f>0.6*$AN$5*(1-0.53*((B45-$AM$5)^2))*(1+((2/3)*AV45))</f>
        <v>5.2893387491522148</v>
      </c>
      <c r="BJ45" s="1">
        <f t="shared" si="8"/>
        <v>6.2127187568885338</v>
      </c>
      <c r="BK45" s="5">
        <f t="shared" si="9"/>
        <v>21.674484268195851</v>
      </c>
      <c r="BL45" s="5">
        <f t="shared" si="40"/>
        <v>1.5132282128035024</v>
      </c>
      <c r="BM45" s="5">
        <f t="shared" si="41"/>
        <v>2.7800037910786508</v>
      </c>
      <c r="BN45" s="1">
        <f t="shared" si="42"/>
        <v>1.1476170785491793</v>
      </c>
      <c r="BO45" s="1">
        <f t="shared" si="43"/>
        <v>3.1104056947009959</v>
      </c>
      <c r="BP45" s="9">
        <f>(1+0.2*B45*B45)*K45</f>
        <v>242.71917643751584</v>
      </c>
      <c r="BQ45" s="9">
        <f t="shared" si="53"/>
        <v>674.76023066378195</v>
      </c>
      <c r="BR45" s="9">
        <f t="shared" si="54"/>
        <v>1283.8239450932658</v>
      </c>
      <c r="BS45" s="9">
        <f t="shared" si="46"/>
        <v>754.95510860438503</v>
      </c>
      <c r="BU45" s="9">
        <f>((1+0.2*B45*B45)^3.5)*I45</f>
        <v>34058.361440988636</v>
      </c>
      <c r="BV45" s="9">
        <f t="shared" si="47"/>
        <v>738197.41925323638</v>
      </c>
      <c r="BX45" s="3">
        <f t="shared" si="10"/>
        <v>2.0552856197136305E-2</v>
      </c>
      <c r="BZ45" s="3">
        <f t="shared" si="11"/>
        <v>3.3599409127208178E-2</v>
      </c>
      <c r="CA45" s="8"/>
      <c r="CB45" s="14">
        <f>$CB$12*($AO$5/K45)/($AN$5*(1-0.53*((B45-$AM$5)^2))*(1+0.2*B45*B45))</f>
        <v>1.3544261707896113</v>
      </c>
      <c r="CC45" s="1">
        <f t="shared" si="48"/>
        <v>1.886065426974028</v>
      </c>
      <c r="CD45" s="3">
        <f t="shared" si="12"/>
        <v>6.5356972574030128E-2</v>
      </c>
      <c r="CE45" s="6">
        <f t="shared" si="13"/>
        <v>1.9451822002758157</v>
      </c>
      <c r="CF45" s="22" t="str">
        <f t="shared" si="49"/>
        <v/>
      </c>
      <c r="CG45" s="22"/>
      <c r="CH45" s="7">
        <f t="shared" si="14"/>
        <v>1.0380379418369099</v>
      </c>
      <c r="CI45" s="23">
        <f>CH45*(0.7*I45*B45*B45)*$N$5/9.80665</f>
        <v>120193.56495954259</v>
      </c>
      <c r="CK45" s="1">
        <f>B45/$AI$5</f>
        <v>1</v>
      </c>
      <c r="CL45" s="14">
        <f t="shared" si="50"/>
        <v>1.4515200000000053</v>
      </c>
      <c r="CM45" s="1">
        <f t="shared" si="51"/>
        <v>0.8569758833631711</v>
      </c>
      <c r="CN45" s="14">
        <f>SQRT((A45*9.80665)/(0.7*I45*$N$5*CM45))</f>
        <v>0.57941840267623257</v>
      </c>
      <c r="CO45" s="1">
        <f t="shared" si="15"/>
        <v>0.59257146856212317</v>
      </c>
      <c r="CP45" s="29" t="str">
        <f>IF(C45&lt;30,"",IF(CO45&gt;1,"no",""))</f>
        <v/>
      </c>
      <c r="CQ45" s="22"/>
      <c r="CR45" s="23">
        <f>CM45*(0.7*I45*B45*B45)*$N$5/9.80665</f>
        <v>99228.537179959749</v>
      </c>
      <c r="CS45"/>
      <c r="CT45" s="6">
        <f t="shared" si="16"/>
        <v>0.86341463414634156</v>
      </c>
      <c r="CU45" s="22" t="str">
        <f t="shared" si="52"/>
        <v/>
      </c>
      <c r="CV45" s="5"/>
      <c r="CW45" s="6">
        <f>IF(C45&lt;100,SQRT(2)*SQRT(SQRT(1+(2/1.4)*(10510/I45))-1),IF(I45&gt;$AW$5,SQRT(2)*SQRT(SQRT(1+(2/1.4)*($AV$5/I45))-1),$AS$5))</f>
        <v>0.82</v>
      </c>
      <c r="CX45" s="22" t="str">
        <f>IF(B45&gt;CW45,"no","")</f>
        <v/>
      </c>
    </row>
    <row r="46" spans="1:102" x14ac:dyDescent="0.2">
      <c r="A46">
        <v>58800</v>
      </c>
      <c r="B46" s="1">
        <v>0.75270000000000004</v>
      </c>
      <c r="C46" s="5">
        <v>354.5</v>
      </c>
      <c r="D46" s="1">
        <v>0</v>
      </c>
      <c r="E46" s="1">
        <v>0</v>
      </c>
      <c r="G46">
        <f t="shared" si="1"/>
        <v>35450</v>
      </c>
      <c r="H46" s="9">
        <f t="shared" si="2"/>
        <v>10805.160000043221</v>
      </c>
      <c r="I46" s="5">
        <f t="shared" si="17"/>
        <v>23336.084603227599</v>
      </c>
      <c r="J46" s="5">
        <v>0</v>
      </c>
      <c r="K46" s="6">
        <f t="shared" si="18"/>
        <v>217.91645999971905</v>
      </c>
      <c r="L46" s="5">
        <f t="shared" si="19"/>
        <v>295.9291938624628</v>
      </c>
      <c r="M46" s="10">
        <f t="shared" si="20"/>
        <v>1.4285647197812527E-5</v>
      </c>
      <c r="O46" s="6">
        <f>B46*L46</f>
        <v>222.74590422027575</v>
      </c>
      <c r="P46" s="1">
        <f>IF(E46=0,0,E46/9.80665)</f>
        <v>0</v>
      </c>
      <c r="Q46" s="7">
        <f>IF(D46=0,0,(D46/O46))</f>
        <v>0</v>
      </c>
      <c r="R46" s="19">
        <f t="shared" si="21"/>
        <v>1</v>
      </c>
      <c r="S46" s="19">
        <f t="shared" si="22"/>
        <v>0</v>
      </c>
      <c r="T46" s="19">
        <f t="shared" si="23"/>
        <v>0</v>
      </c>
      <c r="U46" s="19"/>
      <c r="V46" s="19"/>
      <c r="W46" s="6"/>
      <c r="X46" s="1">
        <f>(A46*9.80665*R46)/(0.7*I46*B46*B46*$N$5)</f>
        <v>0.50903391786783447</v>
      </c>
      <c r="Y46" s="10">
        <f>(SQRT($N$5)*B46)*(I46/M46)*SQRT(1.4/(287.05*K46))</f>
        <v>64354796.25517755</v>
      </c>
      <c r="Z46" s="10">
        <f t="shared" si="24"/>
        <v>2.1704558255979671E-3</v>
      </c>
      <c r="AA46" s="3">
        <f t="shared" si="25"/>
        <v>1.8221600904890306E-2</v>
      </c>
      <c r="AB46" s="3">
        <f t="shared" si="26"/>
        <v>7.5751842730384863E-3</v>
      </c>
      <c r="AC46" s="3">
        <f>IF($E$5="no",(1/((1+0.03+$Q$5)+AB46*3.141593*$S$5)),(1.075/((1+0.03+$Q$5)+AB46*3.141593*$S$5)))</f>
        <v>0.77947171764825163</v>
      </c>
      <c r="AD46" s="3">
        <f t="shared" si="27"/>
        <v>4.2985539059601507E-2</v>
      </c>
      <c r="AE46" s="1">
        <f t="shared" si="28"/>
        <v>0.6876124102163863</v>
      </c>
      <c r="AF46" s="1">
        <f>B46*$R$5/AE46</f>
        <v>0.99209648613378709</v>
      </c>
      <c r="AG46" s="8">
        <f t="shared" si="29"/>
        <v>8.2691455758060906E-4</v>
      </c>
      <c r="AH46" s="8"/>
      <c r="AI46" s="3">
        <f t="shared" si="30"/>
        <v>3.0186736178456634E-2</v>
      </c>
      <c r="AJ46" s="1">
        <f t="shared" si="31"/>
        <v>16.862833890306984</v>
      </c>
      <c r="AK46" s="1"/>
      <c r="AL46" s="1">
        <f t="shared" si="32"/>
        <v>5.9302013321427267E-2</v>
      </c>
      <c r="AM46" s="8">
        <f>AL46*(A46*9.80665)/(0.7*I46*B46*B46*$N$5)</f>
        <v>3.0186736178456634E-2</v>
      </c>
      <c r="AN46" s="1">
        <f>B46/$AI$5</f>
        <v>1</v>
      </c>
      <c r="AO46" s="1">
        <f>IF(B46&lt;0.4,1.3*(0.4-B46),0)</f>
        <v>0</v>
      </c>
      <c r="AP46" s="1">
        <f t="shared" si="33"/>
        <v>-0.43</v>
      </c>
      <c r="AQ46" s="1">
        <f t="shared" si="34"/>
        <v>0</v>
      </c>
      <c r="AR46" s="1">
        <f t="shared" si="3"/>
        <v>1</v>
      </c>
      <c r="AS46" s="1">
        <f t="shared" si="4"/>
        <v>0.30867472713898642</v>
      </c>
      <c r="AT46" s="1">
        <f>(((1+0.55*B46)/(1+0.55*$AI$5))/(AN46^2))</f>
        <v>1</v>
      </c>
      <c r="AU46" s="1">
        <f t="shared" si="5"/>
        <v>3.465254791234245E-2</v>
      </c>
      <c r="AV46" s="8">
        <f t="shared" si="35"/>
        <v>0.8711260209441859</v>
      </c>
      <c r="AW46" s="8">
        <f t="shared" si="36"/>
        <v>0.99285834393459826</v>
      </c>
      <c r="AX46" s="8"/>
      <c r="AY46" s="4"/>
      <c r="AZ46" s="1">
        <f t="shared" si="37"/>
        <v>0.30647027840167806</v>
      </c>
      <c r="BA46" s="14">
        <f t="shared" si="38"/>
        <v>0.29880852144163611</v>
      </c>
      <c r="BB46" s="1"/>
      <c r="BC46" s="14">
        <f t="shared" si="39"/>
        <v>5.0387584620785422</v>
      </c>
      <c r="BD46" s="14">
        <f>IF(0.7*(AM46*(B46^3)/BA46)*(I46*L46*$N$5/43000000)&lt;$AH$5*(1-0.178*(C46/100)+0.0085*((C46/100)^2)),$AH$5*(1-0.178*(C46/100)+0.0085*((C46/100)^2)),0.7*(AM46*(B46^3)/BA46)*(I46*L46*$N$5/43000000))</f>
        <v>0.59281028884678288</v>
      </c>
      <c r="BE46" s="4">
        <f t="shared" si="6"/>
        <v>2.6613745869847583E-3</v>
      </c>
      <c r="BF46" s="4"/>
      <c r="BG46" s="1">
        <f t="shared" si="7"/>
        <v>0.94845040837767436</v>
      </c>
      <c r="BH46" s="1">
        <f>0.6*$AN$5*(1-0.53*((B46-$AM$5)^2))*(1+((2/3)*AV46))</f>
        <v>5.2932669241825447</v>
      </c>
      <c r="BJ46" s="1">
        <f t="shared" si="8"/>
        <v>6.207509134810981</v>
      </c>
      <c r="BK46" s="5">
        <f t="shared" si="9"/>
        <v>21.71474856253775</v>
      </c>
      <c r="BL46" s="5">
        <f t="shared" si="40"/>
        <v>1.514352025356003</v>
      </c>
      <c r="BM46" s="5">
        <f t="shared" si="41"/>
        <v>2.7817192690679708</v>
      </c>
      <c r="BN46" s="1">
        <f t="shared" si="42"/>
        <v>1.1479002936311522</v>
      </c>
      <c r="BO46" s="1">
        <f t="shared" si="43"/>
        <v>3.1121489569086722</v>
      </c>
      <c r="BP46" s="9">
        <f>(1+0.2*B46*B46)*K46</f>
        <v>242.60889180448592</v>
      </c>
      <c r="BQ46" s="9">
        <f t="shared" si="53"/>
        <v>674.86982917976502</v>
      </c>
      <c r="BR46" s="9">
        <f t="shared" si="54"/>
        <v>1284.1936225012669</v>
      </c>
      <c r="BS46" s="9">
        <f t="shared" si="46"/>
        <v>755.0350095660998</v>
      </c>
      <c r="BU46" s="9">
        <f>((1+0.2*B46*B46)^3.5)*I46</f>
        <v>33977.104532586513</v>
      </c>
      <c r="BV46" s="9">
        <f t="shared" si="47"/>
        <v>737804.28180817782</v>
      </c>
      <c r="BX46" s="3">
        <f t="shared" si="10"/>
        <v>2.0561671762167815E-2</v>
      </c>
      <c r="BZ46" s="3">
        <f t="shared" si="11"/>
        <v>3.3669483452962813E-2</v>
      </c>
      <c r="CA46" s="8"/>
      <c r="CB46" s="14">
        <f>$CB$12*($AO$5/K46)/($AN$5*(1-0.53*((B46-$AM$5)^2))*(1+0.2*B46*B46))</f>
        <v>1.3550418629520076</v>
      </c>
      <c r="CC46" s="1">
        <f t="shared" si="48"/>
        <v>1.8876046573800189</v>
      </c>
      <c r="CD46" s="3">
        <f t="shared" si="12"/>
        <v>6.5410310829421864E-2</v>
      </c>
      <c r="CE46" s="6">
        <f t="shared" si="13"/>
        <v>1.942717978456719</v>
      </c>
      <c r="CF46" s="22" t="str">
        <f t="shared" si="49"/>
        <v/>
      </c>
      <c r="CG46" s="22"/>
      <c r="CH46" s="7">
        <f t="shared" si="14"/>
        <v>1.0385297313823034</v>
      </c>
      <c r="CI46" s="23">
        <f>CH46*(0.7*I46*B46*B46)*$N$5/9.80665</f>
        <v>119963.61354673914</v>
      </c>
      <c r="CK46" s="1">
        <f>B46/$AI$5</f>
        <v>1</v>
      </c>
      <c r="CL46" s="14">
        <f t="shared" si="50"/>
        <v>1.4515200000000053</v>
      </c>
      <c r="CM46" s="1">
        <f t="shared" si="51"/>
        <v>0.8569758833631711</v>
      </c>
      <c r="CN46" s="14">
        <f>SQRT((A46*9.80665)/(0.7*I46*$N$5*CM46))</f>
        <v>0.58011083414000475</v>
      </c>
      <c r="CO46" s="1">
        <f t="shared" si="15"/>
        <v>0.59398861479059262</v>
      </c>
      <c r="CP46" s="29" t="str">
        <f>IF(C46&lt;30,"",IF(CO46&gt;1,"no",""))</f>
        <v/>
      </c>
      <c r="CQ46" s="22"/>
      <c r="CR46" s="23">
        <f>CM46*(0.7*I46*B46*B46)*$N$5/9.80665</f>
        <v>98991.796367561037</v>
      </c>
      <c r="CS46"/>
      <c r="CT46" s="6">
        <f t="shared" si="16"/>
        <v>0.86463414634146352</v>
      </c>
      <c r="CU46" s="22" t="str">
        <f t="shared" si="52"/>
        <v/>
      </c>
      <c r="CV46" s="5"/>
      <c r="CW46" s="6">
        <f>IF(C46&lt;100,SQRT(2)*SQRT(SQRT(1+(2/1.4)*(10510/I46))-1),IF(I46&gt;$AW$5,SQRT(2)*SQRT(SQRT(1+(2/1.4)*($AV$5/I46))-1),$AS$5))</f>
        <v>0.82</v>
      </c>
      <c r="CX46" s="22" t="str">
        <f>IF(B46&gt;CW46,"no","")</f>
        <v/>
      </c>
    </row>
    <row r="47" spans="1:102" x14ac:dyDescent="0.2">
      <c r="A47">
        <v>58800</v>
      </c>
      <c r="B47" s="1">
        <v>0.75270000000000004</v>
      </c>
      <c r="C47" s="5">
        <v>355</v>
      </c>
      <c r="D47" s="1">
        <v>0</v>
      </c>
      <c r="E47" s="1">
        <v>0</v>
      </c>
      <c r="G47">
        <f t="shared" si="1"/>
        <v>35500</v>
      </c>
      <c r="H47" s="9">
        <f t="shared" si="2"/>
        <v>10820.400000043281</v>
      </c>
      <c r="I47" s="5">
        <f t="shared" si="17"/>
        <v>23280.383766369512</v>
      </c>
      <c r="J47" s="5">
        <v>0</v>
      </c>
      <c r="K47" s="6">
        <f t="shared" si="18"/>
        <v>217.81739999971865</v>
      </c>
      <c r="L47" s="5">
        <f t="shared" si="19"/>
        <v>295.86192478567926</v>
      </c>
      <c r="M47" s="10">
        <f t="shared" si="20"/>
        <v>1.4280216038647652E-5</v>
      </c>
      <c r="O47" s="6">
        <f>B47*L47</f>
        <v>222.6952707861808</v>
      </c>
      <c r="P47" s="1">
        <f>IF(E47=0,0,E47/9.80665)</f>
        <v>0</v>
      </c>
      <c r="Q47" s="7">
        <f>IF(D47=0,0,(D47/O47))</f>
        <v>0</v>
      </c>
      <c r="R47" s="19">
        <f t="shared" si="21"/>
        <v>1</v>
      </c>
      <c r="S47" s="19">
        <f t="shared" si="22"/>
        <v>0</v>
      </c>
      <c r="T47" s="19">
        <f t="shared" si="23"/>
        <v>0</v>
      </c>
      <c r="U47" s="19"/>
      <c r="V47" s="19"/>
      <c r="W47" s="6"/>
      <c r="X47" s="1">
        <f>(A47*9.80665*R47)/(0.7*I47*B47*B47*$N$5)</f>
        <v>0.51025183658854523</v>
      </c>
      <c r="Y47" s="10">
        <f>(SQRT($N$5)*B47)*(I47/M47)*SQRT(1.4/(287.05*K47))</f>
        <v>64240208.193905443</v>
      </c>
      <c r="Z47" s="10">
        <f t="shared" si="24"/>
        <v>2.170997425467502E-3</v>
      </c>
      <c r="AA47" s="3">
        <f t="shared" si="25"/>
        <v>1.8226147791565638E-2</v>
      </c>
      <c r="AB47" s="3">
        <f t="shared" si="26"/>
        <v>7.5770745298064856E-3</v>
      </c>
      <c r="AC47" s="3">
        <f>IF($E$5="no",(1/((1+0.03+$Q$5)+AB47*3.141593*$S$5)),(1.075/((1+0.03+$Q$5)+AB47*3.141593*$S$5)))</f>
        <v>0.77943744247262059</v>
      </c>
      <c r="AD47" s="3">
        <f t="shared" si="27"/>
        <v>4.2987429316369501E-2</v>
      </c>
      <c r="AE47" s="1">
        <f t="shared" si="28"/>
        <v>0.68746413556807784</v>
      </c>
      <c r="AF47" s="1">
        <f>B47*$R$5/AE47</f>
        <v>0.99231046494367514</v>
      </c>
      <c r="AG47" s="8">
        <f t="shared" si="29"/>
        <v>8.2978965310456961E-4</v>
      </c>
      <c r="AH47" s="8"/>
      <c r="AI47" s="3">
        <f t="shared" si="30"/>
        <v>3.0248012859892703E-2</v>
      </c>
      <c r="AJ47" s="1">
        <f t="shared" si="31"/>
        <v>16.868937439031331</v>
      </c>
      <c r="AK47" s="1"/>
      <c r="AL47" s="1">
        <f t="shared" si="32"/>
        <v>5.9280556562276467E-2</v>
      </c>
      <c r="AM47" s="8">
        <f>AL47*(A47*9.80665)/(0.7*I47*B47*B47*$N$5)</f>
        <v>3.0248012859892703E-2</v>
      </c>
      <c r="AN47" s="1">
        <f>B47/$AI$5</f>
        <v>1</v>
      </c>
      <c r="AO47" s="1">
        <f>IF(B47&lt;0.4,1.3*(0.4-B47),0)</f>
        <v>0</v>
      </c>
      <c r="AP47" s="1">
        <f t="shared" si="33"/>
        <v>-0.43</v>
      </c>
      <c r="AQ47" s="1">
        <f t="shared" si="34"/>
        <v>0</v>
      </c>
      <c r="AR47" s="1">
        <f t="shared" si="3"/>
        <v>1</v>
      </c>
      <c r="AS47" s="1">
        <f t="shared" si="4"/>
        <v>0.30867472713898642</v>
      </c>
      <c r="AT47" s="1">
        <f>(((1+0.55*B47)/(1+0.55*$AI$5))/(AN47^2))</f>
        <v>1</v>
      </c>
      <c r="AU47" s="1">
        <f t="shared" si="5"/>
        <v>3.465254791234245E-2</v>
      </c>
      <c r="AV47" s="8">
        <f t="shared" si="35"/>
        <v>0.8728943377095526</v>
      </c>
      <c r="AW47" s="8">
        <f t="shared" si="36"/>
        <v>0.99305298476389392</v>
      </c>
      <c r="AX47" s="8"/>
      <c r="AY47" s="4"/>
      <c r="AZ47" s="1">
        <f t="shared" si="37"/>
        <v>0.30653035910655096</v>
      </c>
      <c r="BA47" s="14">
        <f t="shared" si="38"/>
        <v>0.29886710012888718</v>
      </c>
      <c r="BB47" s="1"/>
      <c r="BC47" s="14">
        <f t="shared" si="39"/>
        <v>5.0415704146589109</v>
      </c>
      <c r="BD47" s="14">
        <f>IF(0.7*(AM47*(B47^3)/BA47)*(I47*L47*$N$5/43000000)&lt;$AH$5*(1-0.178*(C47/100)+0.0085*((C47/100)^2)),$AH$5*(1-0.178*(C47/100)+0.0085*((C47/100)^2)),0.7*(AM47*(B47^3)/BA47)*(I47*L47*$N$5/43000000))</f>
        <v>0.59234496757171839</v>
      </c>
      <c r="BE47" s="4">
        <f t="shared" si="6"/>
        <v>2.6598901965028884E-3</v>
      </c>
      <c r="BF47" s="4"/>
      <c r="BG47" s="1">
        <f t="shared" si="7"/>
        <v>0.94915773508382095</v>
      </c>
      <c r="BH47" s="1">
        <f>0.6*$AN$5*(1-0.53*((B47-$AM$5)^2))*(1+((2/3)*AV47))</f>
        <v>5.2972144885730135</v>
      </c>
      <c r="BJ47" s="1">
        <f t="shared" si="8"/>
        <v>6.2022820874705706</v>
      </c>
      <c r="BK47" s="5">
        <f t="shared" si="9"/>
        <v>21.755256778530516</v>
      </c>
      <c r="BL47" s="5">
        <f t="shared" si="40"/>
        <v>1.5154813850152749</v>
      </c>
      <c r="BM47" s="5">
        <f t="shared" si="41"/>
        <v>2.7834429978197872</v>
      </c>
      <c r="BN47" s="1">
        <f t="shared" si="42"/>
        <v>1.1481847653320127</v>
      </c>
      <c r="BO47" s="1">
        <f t="shared" si="43"/>
        <v>3.1139031163528101</v>
      </c>
      <c r="BP47" s="9">
        <f>(1+0.2*B47*B47)*K47</f>
        <v>242.49860717145597</v>
      </c>
      <c r="BQ47" s="9">
        <f t="shared" si="53"/>
        <v>674.98105011244036</v>
      </c>
      <c r="BR47" s="9">
        <f t="shared" si="54"/>
        <v>1284.5671353674122</v>
      </c>
      <c r="BS47" s="9">
        <f t="shared" si="46"/>
        <v>755.11716858241266</v>
      </c>
      <c r="BU47" s="9">
        <f>((1+0.2*B47*B47)^3.5)*I47</f>
        <v>33896.004674205898</v>
      </c>
      <c r="BV47" s="9">
        <f t="shared" si="47"/>
        <v>737416.2854536199</v>
      </c>
      <c r="BX47" s="3">
        <f t="shared" si="10"/>
        <v>2.057056612172822E-2</v>
      </c>
      <c r="BZ47" s="3">
        <f t="shared" si="11"/>
        <v>3.3739886738559724E-2</v>
      </c>
      <c r="CA47" s="8"/>
      <c r="CB47" s="14">
        <f>$CB$12*($AO$5/K47)/($AN$5*(1-0.53*((B47-$AM$5)^2))*(1+0.2*B47*B47))</f>
        <v>1.3556581151290363</v>
      </c>
      <c r="CC47" s="1">
        <f t="shared" si="48"/>
        <v>1.8891452878225907</v>
      </c>
      <c r="CD47" s="3">
        <f t="shared" si="12"/>
        <v>6.5463697599648291E-2</v>
      </c>
      <c r="CE47" s="6">
        <f t="shared" si="13"/>
        <v>1.9402465131820648</v>
      </c>
      <c r="CF47" s="22" t="str">
        <f t="shared" si="49"/>
        <v/>
      </c>
      <c r="CG47" s="22"/>
      <c r="CH47" s="7">
        <f t="shared" si="14"/>
        <v>1.0390215772720468</v>
      </c>
      <c r="CI47" s="23">
        <f>CH47*(0.7*I47*B47*B47)*$N$5/9.80665</f>
        <v>119733.95167387016</v>
      </c>
      <c r="CK47" s="1">
        <f>B47/$AI$5</f>
        <v>1</v>
      </c>
      <c r="CL47" s="14">
        <f t="shared" si="50"/>
        <v>1.4515200000000053</v>
      </c>
      <c r="CM47" s="1">
        <f t="shared" si="51"/>
        <v>0.8569758833631711</v>
      </c>
      <c r="CN47" s="14">
        <f>SQRT((A47*9.80665)/(0.7*I47*$N$5*CM47))</f>
        <v>0.58080440849128123</v>
      </c>
      <c r="CO47" s="1">
        <f t="shared" si="15"/>
        <v>0.5954097968149118</v>
      </c>
      <c r="CP47" s="29" t="str">
        <f>IF(C47&lt;30,"",IF(CO47&gt;1,"no",""))</f>
        <v/>
      </c>
      <c r="CQ47" s="22"/>
      <c r="CR47" s="23">
        <f>CM47*(0.7*I47*B47*B47)*$N$5/9.80665</f>
        <v>98755.513118099567</v>
      </c>
      <c r="CS47"/>
      <c r="CT47" s="6">
        <f t="shared" si="16"/>
        <v>0.86585365853658547</v>
      </c>
      <c r="CU47" s="22" t="str">
        <f t="shared" si="52"/>
        <v/>
      </c>
      <c r="CV47" s="5"/>
      <c r="CW47" s="6">
        <f>IF(C47&lt;100,SQRT(2)*SQRT(SQRT(1+(2/1.4)*(10510/I47))-1),IF(I47&gt;$AW$5,SQRT(2)*SQRT(SQRT(1+(2/1.4)*($AV$5/I47))-1),$AS$5))</f>
        <v>0.82</v>
      </c>
      <c r="CX47" s="22" t="str">
        <f>IF(B47&gt;CW47,"no","")</f>
        <v/>
      </c>
    </row>
    <row r="48" spans="1:102" x14ac:dyDescent="0.2">
      <c r="A48">
        <v>58800</v>
      </c>
      <c r="B48" s="1">
        <v>0.75270000000000004</v>
      </c>
      <c r="C48" s="5">
        <v>355.5</v>
      </c>
      <c r="D48" s="1">
        <v>0</v>
      </c>
      <c r="E48" s="1">
        <v>0</v>
      </c>
      <c r="G48">
        <f t="shared" si="1"/>
        <v>35550</v>
      </c>
      <c r="H48" s="9">
        <f t="shared" si="2"/>
        <v>10835.640000043342</v>
      </c>
      <c r="I48" s="5">
        <f t="shared" si="17"/>
        <v>23224.790634718556</v>
      </c>
      <c r="J48" s="5">
        <v>0</v>
      </c>
      <c r="K48" s="6">
        <f t="shared" si="18"/>
        <v>217.71833999971824</v>
      </c>
      <c r="L48" s="5">
        <f t="shared" si="19"/>
        <v>295.79464041068553</v>
      </c>
      <c r="M48" s="10">
        <f t="shared" si="20"/>
        <v>1.4274783815954661E-5</v>
      </c>
      <c r="O48" s="6">
        <f>B48*L48</f>
        <v>222.64462583712302</v>
      </c>
      <c r="P48" s="1">
        <f>IF(E48=0,0,E48/9.80665)</f>
        <v>0</v>
      </c>
      <c r="Q48" s="7">
        <f>IF(D48=0,0,(D48/O48))</f>
        <v>0</v>
      </c>
      <c r="R48" s="19">
        <f t="shared" si="21"/>
        <v>1</v>
      </c>
      <c r="S48" s="19">
        <f t="shared" si="22"/>
        <v>0</v>
      </c>
      <c r="T48" s="19">
        <f t="shared" si="23"/>
        <v>0</v>
      </c>
      <c r="U48" s="19"/>
      <c r="V48" s="19"/>
      <c r="W48" s="6"/>
      <c r="X48" s="1">
        <f>(A48*9.80665*R48)/(0.7*I48*B48*B48*$N$5)</f>
        <v>0.51147322531806083</v>
      </c>
      <c r="Y48" s="10">
        <f>(SQRT($N$5)*B48)*(I48/M48)*SQRT(1.4/(287.05*K48))</f>
        <v>64125775.140133522</v>
      </c>
      <c r="Z48" s="10">
        <f t="shared" si="24"/>
        <v>2.1715393929043186E-3</v>
      </c>
      <c r="AA48" s="3">
        <f t="shared" si="25"/>
        <v>1.8230697764074013E-2</v>
      </c>
      <c r="AB48" s="3">
        <f t="shared" si="26"/>
        <v>7.5789660694339919E-3</v>
      </c>
      <c r="AC48" s="3">
        <f>IF($E$5="no",(1/((1+0.03+$Q$5)+AB48*3.141593*$S$5)),(1.075/((1+0.03+$Q$5)+AB48*3.141593*$S$5)))</f>
        <v>0.77940314705272928</v>
      </c>
      <c r="AD48" s="3">
        <f t="shared" si="27"/>
        <v>4.2989320855997007E-2</v>
      </c>
      <c r="AE48" s="1">
        <f t="shared" si="28"/>
        <v>0.68731543846601573</v>
      </c>
      <c r="AF48" s="1">
        <f>B48*$R$5/AE48</f>
        <v>0.99252514612530596</v>
      </c>
      <c r="AG48" s="8">
        <f t="shared" si="29"/>
        <v>8.3267920007221402E-4</v>
      </c>
      <c r="AH48" s="8"/>
      <c r="AI48" s="3">
        <f t="shared" si="30"/>
        <v>3.0309592237514258E-2</v>
      </c>
      <c r="AJ48" s="1">
        <f t="shared" si="31"/>
        <v>16.874962266401234</v>
      </c>
      <c r="AK48" s="1"/>
      <c r="AL48" s="1">
        <f t="shared" si="32"/>
        <v>5.9259391767117753E-2</v>
      </c>
      <c r="AM48" s="8">
        <f>AL48*(A48*9.80665)/(0.7*I48*B48*B48*$N$5)</f>
        <v>3.0309592237514262E-2</v>
      </c>
      <c r="AN48" s="1">
        <f>B48/$AI$5</f>
        <v>1</v>
      </c>
      <c r="AO48" s="1">
        <f>IF(B48&lt;0.4,1.3*(0.4-B48),0)</f>
        <v>0</v>
      </c>
      <c r="AP48" s="1">
        <f t="shared" si="33"/>
        <v>-0.43</v>
      </c>
      <c r="AQ48" s="1">
        <f t="shared" si="34"/>
        <v>0</v>
      </c>
      <c r="AR48" s="1">
        <f t="shared" si="3"/>
        <v>1</v>
      </c>
      <c r="AS48" s="1">
        <f t="shared" si="4"/>
        <v>0.30867472713898642</v>
      </c>
      <c r="AT48" s="1">
        <f>(((1+0.55*B48)/(1+0.55*$AI$5))/(AN48^2))</f>
        <v>1</v>
      </c>
      <c r="AU48" s="1">
        <f t="shared" si="5"/>
        <v>3.465254791234245E-2</v>
      </c>
      <c r="AV48" s="8">
        <f t="shared" si="35"/>
        <v>0.87467138965324609</v>
      </c>
      <c r="AW48" s="8">
        <f t="shared" si="36"/>
        <v>0.99324587795427721</v>
      </c>
      <c r="AX48" s="8"/>
      <c r="AY48" s="4"/>
      <c r="AZ48" s="1">
        <f t="shared" si="37"/>
        <v>0.30658990035945954</v>
      </c>
      <c r="BA48" s="14">
        <f t="shared" si="38"/>
        <v>0.29892515285047305</v>
      </c>
      <c r="BB48" s="1"/>
      <c r="BC48" s="14">
        <f t="shared" si="39"/>
        <v>5.0443506748299543</v>
      </c>
      <c r="BD48" s="14">
        <f>IF(0.7*(AM48*(B48^3)/BA48)*(I48*L48*$N$5/43000000)&lt;$AH$5*(1-0.178*(C48/100)+0.0085*((C48/100)^2)),$AH$5*(1-0.178*(C48/100)+0.0085*((C48/100)^2)),0.7*(AM48*(B48^3)/BA48)*(I48*L48*$N$5/43000000))</f>
        <v>0.59188385310149039</v>
      </c>
      <c r="BE48" s="4">
        <f t="shared" si="6"/>
        <v>2.6584241630628288E-3</v>
      </c>
      <c r="BF48" s="4"/>
      <c r="BG48" s="1">
        <f t="shared" si="7"/>
        <v>0.94986855586129826</v>
      </c>
      <c r="BH48" s="1">
        <f>0.6*$AN$5*(1-0.53*((B48-$AM$5)^2))*(1+((2/3)*AV48))</f>
        <v>5.3011815532473578</v>
      </c>
      <c r="BJ48" s="1">
        <f t="shared" si="8"/>
        <v>6.1970375712761827</v>
      </c>
      <c r="BK48" s="5">
        <f t="shared" si="9"/>
        <v>21.79601074069981</v>
      </c>
      <c r="BL48" s="5">
        <f t="shared" si="40"/>
        <v>1.5166163235155168</v>
      </c>
      <c r="BM48" s="5">
        <f t="shared" si="41"/>
        <v>2.7851750227489025</v>
      </c>
      <c r="BN48" s="1">
        <f t="shared" si="42"/>
        <v>1.1484704997290016</v>
      </c>
      <c r="BO48" s="1">
        <f t="shared" si="43"/>
        <v>3.1156682500040667</v>
      </c>
      <c r="BP48" s="9">
        <f>(1+0.2*B48*B48)*K48</f>
        <v>242.38832253842605</v>
      </c>
      <c r="BQ48" s="9">
        <f t="shared" si="53"/>
        <v>675.09390174002908</v>
      </c>
      <c r="BR48" s="9">
        <f t="shared" si="54"/>
        <v>1284.944504163275</v>
      </c>
      <c r="BS48" s="9">
        <f t="shared" si="46"/>
        <v>755.20160070471911</v>
      </c>
      <c r="BU48" s="9">
        <f>((1+0.2*B48*B48)^3.5)*I48</f>
        <v>33815.061633523866</v>
      </c>
      <c r="BV48" s="9">
        <f t="shared" si="47"/>
        <v>737033.44656171231</v>
      </c>
      <c r="BX48" s="3">
        <f t="shared" si="10"/>
        <v>2.0579539711095156E-2</v>
      </c>
      <c r="BZ48" s="3">
        <f t="shared" si="11"/>
        <v>3.3810620804693603E-2</v>
      </c>
      <c r="CA48" s="8"/>
      <c r="CB48" s="14">
        <f>$CB$12*($AO$5/K48)/($AN$5*(1-0.53*((B48-$AM$5)^2))*(1+0.2*B48*B48))</f>
        <v>1.3562749280851034</v>
      </c>
      <c r="CC48" s="1">
        <f t="shared" si="48"/>
        <v>1.8906873202127585</v>
      </c>
      <c r="CD48" s="3">
        <f t="shared" si="12"/>
        <v>6.5517132950930965E-2</v>
      </c>
      <c r="CE48" s="6">
        <f t="shared" si="13"/>
        <v>1.9377678194490842</v>
      </c>
      <c r="CF48" s="22" t="str">
        <f t="shared" si="49"/>
        <v/>
      </c>
      <c r="CG48" s="22"/>
      <c r="CH48" s="7">
        <f t="shared" si="14"/>
        <v>1.0395134790512992</v>
      </c>
      <c r="CI48" s="23">
        <f>CH48*(0.7*I48*B48*B48)*$N$5/9.80665</f>
        <v>119504.57920882695</v>
      </c>
      <c r="CK48" s="1">
        <f>B48/$AI$5</f>
        <v>1</v>
      </c>
      <c r="CL48" s="14">
        <f t="shared" si="50"/>
        <v>1.4515200000000053</v>
      </c>
      <c r="CM48" s="1">
        <f t="shared" si="51"/>
        <v>0.8569758833631711</v>
      </c>
      <c r="CN48" s="14">
        <f>SQRT((A48*9.80665)/(0.7*I48*$N$5*CM48))</f>
        <v>0.5814991281375016</v>
      </c>
      <c r="CO48" s="1">
        <f t="shared" si="15"/>
        <v>0.59683502797161869</v>
      </c>
      <c r="CP48" s="29" t="str">
        <f>IF(C48&lt;30,"",IF(CO48&gt;1,"no",""))</f>
        <v/>
      </c>
      <c r="CQ48" s="22"/>
      <c r="CR48" s="23">
        <f>CM48*(0.7*I48*B48*B48)*$N$5/9.80665</f>
        <v>98519.686754705894</v>
      </c>
      <c r="CS48"/>
      <c r="CT48" s="6">
        <f t="shared" si="16"/>
        <v>0.86707317073170742</v>
      </c>
      <c r="CU48" s="22" t="str">
        <f t="shared" si="52"/>
        <v/>
      </c>
      <c r="CV48" s="5"/>
      <c r="CW48" s="6">
        <f>IF(C48&lt;100,SQRT(2)*SQRT(SQRT(1+(2/1.4)*(10510/I48))-1),IF(I48&gt;$AW$5,SQRT(2)*SQRT(SQRT(1+(2/1.4)*($AV$5/I48))-1),$AS$5))</f>
        <v>0.82</v>
      </c>
      <c r="CX48" s="22" t="str">
        <f>IF(B48&gt;CW48,"no","")</f>
        <v/>
      </c>
    </row>
    <row r="49" spans="1:102" x14ac:dyDescent="0.2">
      <c r="A49">
        <v>58800</v>
      </c>
      <c r="B49" s="1">
        <v>0.75270000000000004</v>
      </c>
      <c r="C49" s="5">
        <v>356</v>
      </c>
      <c r="D49" s="1">
        <v>0</v>
      </c>
      <c r="E49" s="1">
        <v>0</v>
      </c>
      <c r="G49">
        <f t="shared" si="1"/>
        <v>35600</v>
      </c>
      <c r="H49" s="9">
        <f t="shared" si="2"/>
        <v>10850.880000043402</v>
      </c>
      <c r="I49" s="5">
        <f t="shared" si="17"/>
        <v>23169.30504887483</v>
      </c>
      <c r="J49" s="5">
        <v>0</v>
      </c>
      <c r="K49" s="6">
        <f t="shared" si="18"/>
        <v>217.61927999971786</v>
      </c>
      <c r="L49" s="5">
        <f t="shared" si="19"/>
        <v>295.72734072703969</v>
      </c>
      <c r="M49" s="10">
        <f t="shared" si="20"/>
        <v>1.4269350529274167E-5</v>
      </c>
      <c r="O49" s="6">
        <f>B49*L49</f>
        <v>222.59396936524277</v>
      </c>
      <c r="P49" s="1">
        <f>IF(E49=0,0,E49/9.80665)</f>
        <v>0</v>
      </c>
      <c r="Q49" s="7">
        <f>IF(D49=0,0,(D49/O49))</f>
        <v>0</v>
      </c>
      <c r="R49" s="19">
        <f t="shared" si="21"/>
        <v>1</v>
      </c>
      <c r="S49" s="19">
        <f t="shared" si="22"/>
        <v>0</v>
      </c>
      <c r="T49" s="19">
        <f t="shared" si="23"/>
        <v>0</v>
      </c>
      <c r="U49" s="19"/>
      <c r="V49" s="19"/>
      <c r="W49" s="6"/>
      <c r="X49" s="1">
        <f>(A49*9.80665*R49)/(0.7*I49*B49*B49*$N$5)</f>
        <v>0.5126980955284659</v>
      </c>
      <c r="Y49" s="10">
        <f>(SQRT($N$5)*B49)*(I49/M49)*SQRT(1.4/(287.05*K49))</f>
        <v>64011496.949799031</v>
      </c>
      <c r="Z49" s="10">
        <f t="shared" si="24"/>
        <v>2.1720817283193182E-3</v>
      </c>
      <c r="AA49" s="3">
        <f t="shared" ref="AA49:AA80" si="55">$U$5*Z49</f>
        <v>1.8235250825865072E-2</v>
      </c>
      <c r="AB49" s="3">
        <f t="shared" ref="AB49:AB80" si="56">0.8*(1-0.53*$R$5)*AA49</f>
        <v>7.580858893355108E-3</v>
      </c>
      <c r="AC49" s="3">
        <f>IF($E$5="no",(1/((1+0.03+$Q$5)+AB49*3.141593*$S$5)),(1.075/((1+0.03+$Q$5)+AB49*3.141593*$S$5)))</f>
        <v>0.77936883136832169</v>
      </c>
      <c r="AD49" s="3">
        <f t="shared" ref="AD49:AD80" si="57">1/(3.141593*$S$5*AC49)</f>
        <v>4.2991213679918129E-2</v>
      </c>
      <c r="AE49" s="1">
        <f t="shared" ref="AE49:AE80" si="58">$W$5-0.1*(X49/($R$5*$R$5))</f>
        <v>0.68716631751353918</v>
      </c>
      <c r="AF49" s="1">
        <f>B49*$R$5/AE49</f>
        <v>0.99274053254832317</v>
      </c>
      <c r="AG49" s="8">
        <f t="shared" si="29"/>
        <v>8.3558328650378693E-4</v>
      </c>
      <c r="AH49" s="8"/>
      <c r="AI49" s="3">
        <f t="shared" si="30"/>
        <v>3.0371476043912264E-2</v>
      </c>
      <c r="AJ49" s="1">
        <f t="shared" si="31"/>
        <v>16.880908085836428</v>
      </c>
      <c r="AK49" s="1"/>
      <c r="AL49" s="1">
        <f t="shared" si="32"/>
        <v>5.9238519332916045E-2</v>
      </c>
      <c r="AM49" s="8">
        <f>AL49*(A49*9.80665)/(0.7*I49*B49*B49*$N$5)</f>
        <v>3.0371476043912264E-2</v>
      </c>
      <c r="AN49" s="1">
        <f>B49/$AI$5</f>
        <v>1</v>
      </c>
      <c r="AO49" s="1">
        <f>IF(B49&lt;0.4,1.3*(0.4-B49),0)</f>
        <v>0</v>
      </c>
      <c r="AP49" s="1">
        <f t="shared" si="33"/>
        <v>-0.43</v>
      </c>
      <c r="AQ49" s="1">
        <f t="shared" si="34"/>
        <v>0</v>
      </c>
      <c r="AR49" s="1">
        <f t="shared" ref="AR49:AR80" si="59">AN49^$AL$5</f>
        <v>1</v>
      </c>
      <c r="AS49" s="1">
        <f t="shared" ref="AS49:AS80" si="60">AR49*$AK$5*($AI$5^$AL$5)</f>
        <v>0.30867472713898642</v>
      </c>
      <c r="AT49" s="1">
        <f>(((1+0.55*B49)/(1+0.55*$AI$5))/(AN49^2))</f>
        <v>1</v>
      </c>
      <c r="AU49" s="1">
        <f t="shared" ref="AU49:AU80" si="61">AT49*$AJ$5</f>
        <v>3.465254791234245E-2</v>
      </c>
      <c r="AV49" s="8">
        <f t="shared" ref="AV49:AV80" si="62">AM49/AU49</f>
        <v>0.87645722677421456</v>
      </c>
      <c r="AW49" s="8">
        <f t="shared" si="36"/>
        <v>0.99343698876898334</v>
      </c>
      <c r="AX49" s="8"/>
      <c r="AY49" s="4"/>
      <c r="AZ49" s="1">
        <f t="shared" ref="AZ49:AZ80" si="63">AW49*AS49</f>
        <v>0.30664889143804225</v>
      </c>
      <c r="BA49" s="14">
        <f t="shared" si="38"/>
        <v>0.29898266915209121</v>
      </c>
      <c r="BB49" s="1"/>
      <c r="BC49" s="14">
        <f t="shared" si="39"/>
        <v>5.0470989572144935</v>
      </c>
      <c r="BD49" s="14">
        <f>IF(0.7*(AM49*(B49^3)/BA49)*(I49*L49*$N$5/43000000)&lt;$AH$5*(1-0.178*(C49/100)+0.0085*((C49/100)^2)),$AH$5*(1-0.178*(C49/100)+0.0085*((C49/100)^2)),0.7*(AM49*(B49^3)/BA49)*(I49*L49*$N$5/43000000))</f>
        <v>0.59142696321756838</v>
      </c>
      <c r="BE49" s="4">
        <f t="shared" ref="BE49:BE80" si="64">BD49/O49</f>
        <v>2.6569765789437308E-3</v>
      </c>
      <c r="BF49" s="4"/>
      <c r="BG49" s="1">
        <f t="shared" ref="BG49:BG80" si="65">0.6*(1+(2/3)*AV49)</f>
        <v>0.95058289070968571</v>
      </c>
      <c r="BH49" s="1">
        <f>0.6*$AN$5*(1-0.53*((B49-$AM$5)^2))*(1+((2/3)*AV49))</f>
        <v>5.3051682298224963</v>
      </c>
      <c r="BJ49" s="1">
        <f t="shared" ref="BJ49:BJ80" si="66">$AD$5*($AP$5^1.13)/(BH49^1.13)</f>
        <v>6.1917755427476378</v>
      </c>
      <c r="BK49" s="5">
        <f t="shared" ref="BK49:BK80" si="67">($AC$5/($AP$5^2.5))*(BH49^2.5)</f>
        <v>21.837012289622564</v>
      </c>
      <c r="BL49" s="5">
        <f t="shared" si="40"/>
        <v>1.5177568727892401</v>
      </c>
      <c r="BM49" s="5">
        <f t="shared" si="41"/>
        <v>2.7869153895376719</v>
      </c>
      <c r="BN49" s="1">
        <f t="shared" si="42"/>
        <v>1.1487575029278332</v>
      </c>
      <c r="BO49" s="1">
        <f t="shared" ref="BO49:BO80" si="68">BH49-(1005/1244)*(BJ49*(BN49-1)+(BM49-1))</f>
        <v>3.1174444354042712</v>
      </c>
      <c r="BP49" s="9">
        <f>(1+0.2*B49*B49)*K49</f>
        <v>242.27803790539616</v>
      </c>
      <c r="BQ49" s="9">
        <f t="shared" si="53"/>
        <v>675.20839238554004</v>
      </c>
      <c r="BR49" s="9">
        <f t="shared" si="54"/>
        <v>1285.3257494794382</v>
      </c>
      <c r="BS49" s="9">
        <f t="shared" si="46"/>
        <v>755.28832108884239</v>
      </c>
      <c r="BU49" s="9">
        <f>((1+0.2*B49*B49)^3.5)*I49</f>
        <v>33734.275178455762</v>
      </c>
      <c r="BV49" s="9">
        <f t="shared" si="47"/>
        <v>736655.78165344789</v>
      </c>
      <c r="BX49" s="3">
        <f t="shared" ref="BX49:BX80" si="69">(($BX$10*(BH49-(298/BP49))-(BM49-(298/BP49)))/(($BX$13/($BX$9*BP49))-$BX$10*(BH49-(298/BP49))+$BX$12*(1-(298/BP49))))/$BX$14</f>
        <v>2.0588592968223084E-2</v>
      </c>
      <c r="BZ49" s="3">
        <f t="shared" ref="BZ49:BZ80" si="70">IF(AM49&gt;(X49*((1/AJ49)+(1.524/O49))),AM49,(X49*((1/AJ49)+(1.524/O49))))</f>
        <v>3.3881687483213671E-2</v>
      </c>
      <c r="CA49" s="8"/>
      <c r="CB49" s="14">
        <f>$CB$12*($AO$5/K49)/($AN$5*(1-0.53*((B49-$AM$5)^2))*(1+0.2*B49*B49))</f>
        <v>1.356892302586006</v>
      </c>
      <c r="CC49" s="1">
        <f t="shared" si="48"/>
        <v>1.8922307564650152</v>
      </c>
      <c r="CD49" s="3">
        <f t="shared" ref="CD49:CD80" si="71">CC49*AU49</f>
        <v>6.5570616949611943E-2</v>
      </c>
      <c r="CE49" s="6">
        <f t="shared" ref="CE49:CE80" si="72">CD49/BZ49</f>
        <v>1.9352819124519174</v>
      </c>
      <c r="CF49" s="22" t="str">
        <f t="shared" si="49"/>
        <v/>
      </c>
      <c r="CG49" s="22"/>
      <c r="CH49" s="7">
        <f t="shared" ref="CH49:CH80" si="73">SQRT(((CD49-AA49-AG49)/AD49)+(((Q49+P49)/(2*AD49))^2))-((Q49+P49)/(2*AD49))</f>
        <v>1.0400054362603282</v>
      </c>
      <c r="CI49" s="23">
        <f>CH49*(0.7*I49*B49*B49)*$N$5/9.80665</f>
        <v>119275.49601890812</v>
      </c>
      <c r="CK49" s="1">
        <f>B49/$AI$5</f>
        <v>1</v>
      </c>
      <c r="CL49" s="14">
        <f t="shared" si="50"/>
        <v>1.4515200000000053</v>
      </c>
      <c r="CM49" s="1">
        <f t="shared" ref="CM49:CM80" si="74">CL49*$Z$5</f>
        <v>0.8569758833631711</v>
      </c>
      <c r="CN49" s="14">
        <f>SQRT((A49*9.80665)/(0.7*I49*$N$5*CM49))</f>
        <v>0.58219499549227538</v>
      </c>
      <c r="CO49" s="1">
        <f t="shared" ref="CO49:CO80" si="75">X49/CM49</f>
        <v>0.59826432164741983</v>
      </c>
      <c r="CP49" s="29" t="str">
        <f>IF(C49&lt;30,"",IF(CO49&gt;1,"no",""))</f>
        <v/>
      </c>
      <c r="CQ49" s="22"/>
      <c r="CR49" s="23">
        <f>CM49*(0.7*I49*B49*B49)*$N$5/9.80665</f>
        <v>98284.316601204759</v>
      </c>
      <c r="CS49"/>
      <c r="CT49" s="6">
        <f t="shared" ref="CT49:CT80" si="76">C49/$AT$5</f>
        <v>0.86829268292682937</v>
      </c>
      <c r="CU49" s="22" t="str">
        <f t="shared" si="52"/>
        <v/>
      </c>
      <c r="CV49" s="5"/>
      <c r="CW49" s="6">
        <f>IF(C49&lt;100,SQRT(2)*SQRT(SQRT(1+(2/1.4)*(10510/I49))-1),IF(I49&gt;$AW$5,SQRT(2)*SQRT(SQRT(1+(2/1.4)*($AV$5/I49))-1),$AS$5))</f>
        <v>0.82</v>
      </c>
      <c r="CX49" s="22" t="str">
        <f>IF(B49&gt;CW49,"no","")</f>
        <v/>
      </c>
    </row>
    <row r="50" spans="1:102" x14ac:dyDescent="0.2">
      <c r="A50">
        <v>58800</v>
      </c>
      <c r="B50" s="1">
        <v>0.75270000000000004</v>
      </c>
      <c r="C50" s="5">
        <v>356.5</v>
      </c>
      <c r="D50" s="1">
        <v>0</v>
      </c>
      <c r="E50" s="1">
        <v>0</v>
      </c>
      <c r="G50">
        <f t="shared" si="1"/>
        <v>35650</v>
      </c>
      <c r="H50" s="9">
        <f t="shared" si="2"/>
        <v>10866.120000043464</v>
      </c>
      <c r="I50" s="5">
        <f t="shared" si="17"/>
        <v>23113.926849601936</v>
      </c>
      <c r="J50" s="5">
        <v>0</v>
      </c>
      <c r="K50" s="6">
        <f t="shared" si="18"/>
        <v>217.52021999971748</v>
      </c>
      <c r="L50" s="5">
        <f t="shared" si="19"/>
        <v>295.66002572428772</v>
      </c>
      <c r="M50" s="10">
        <f t="shared" si="20"/>
        <v>1.4263916178146637E-5</v>
      </c>
      <c r="O50" s="6">
        <f>B50*L50</f>
        <v>222.54330136267137</v>
      </c>
      <c r="P50" s="1">
        <f>IF(E50=0,0,E50/9.80665)</f>
        <v>0</v>
      </c>
      <c r="Q50" s="7">
        <f>IF(D50=0,0,(D50/O50))</f>
        <v>0</v>
      </c>
      <c r="R50" s="19">
        <f t="shared" si="21"/>
        <v>1</v>
      </c>
      <c r="S50" s="19">
        <f t="shared" si="22"/>
        <v>0</v>
      </c>
      <c r="T50" s="19">
        <f t="shared" si="23"/>
        <v>0</v>
      </c>
      <c r="U50" s="19"/>
      <c r="V50" s="19"/>
      <c r="W50" s="6"/>
      <c r="X50" s="1">
        <f>(A50*9.80665*R50)/(0.7*I50*B50*B50*$N$5)</f>
        <v>0.51392645873501885</v>
      </c>
      <c r="Y50" s="10">
        <f>(SQRT($N$5)*B50)*(I50/M50)*SQRT(1.4/(287.05*K50))</f>
        <v>63897373.478912681</v>
      </c>
      <c r="Z50" s="10">
        <f t="shared" si="24"/>
        <v>2.1726244321240507E-3</v>
      </c>
      <c r="AA50" s="3">
        <f t="shared" si="55"/>
        <v>1.8239806980393892E-2</v>
      </c>
      <c r="AB50" s="3">
        <f t="shared" si="56"/>
        <v>7.5827530030061971E-3</v>
      </c>
      <c r="AC50" s="3">
        <f>IF($E$5="no",(1/((1+0.03+$Q$5)+AB50*3.141593*$S$5)),(1.075/((1+0.03+$Q$5)+AB50*3.141593*$S$5)))</f>
        <v>0.77933449539911293</v>
      </c>
      <c r="AD50" s="3">
        <f t="shared" si="57"/>
        <v>4.2993107789569211E-2</v>
      </c>
      <c r="AE50" s="1">
        <f t="shared" si="58"/>
        <v>0.68701677130873129</v>
      </c>
      <c r="AF50" s="1">
        <f>B50*$R$5/AE50</f>
        <v>0.99295662709681398</v>
      </c>
      <c r="AG50" s="8">
        <f t="shared" si="29"/>
        <v>8.3850200104636241E-4</v>
      </c>
      <c r="AH50" s="8"/>
      <c r="AI50" s="3">
        <f t="shared" si="30"/>
        <v>3.0433666022510443E-2</v>
      </c>
      <c r="AJ50" s="1">
        <f t="shared" si="31"/>
        <v>16.886774611868649</v>
      </c>
      <c r="AK50" s="1"/>
      <c r="AL50" s="1">
        <f t="shared" si="32"/>
        <v>5.9217939658954354E-2</v>
      </c>
      <c r="AM50" s="8">
        <f>AL50*(A50*9.80665)/(0.7*I50*B50*B50*$N$5)</f>
        <v>3.043366602251044E-2</v>
      </c>
      <c r="AN50" s="1">
        <f>B50/$AI$5</f>
        <v>1</v>
      </c>
      <c r="AO50" s="1">
        <f>IF(B50&lt;0.4,1.3*(0.4-B50),0)</f>
        <v>0</v>
      </c>
      <c r="AP50" s="1">
        <f t="shared" si="33"/>
        <v>-0.43</v>
      </c>
      <c r="AQ50" s="1">
        <f t="shared" si="34"/>
        <v>0</v>
      </c>
      <c r="AR50" s="1">
        <f t="shared" si="59"/>
        <v>1</v>
      </c>
      <c r="AS50" s="1">
        <f t="shared" si="60"/>
        <v>0.30867472713898642</v>
      </c>
      <c r="AT50" s="1">
        <f>(((1+0.55*B50)/(1+0.55*$AI$5))/(AN50^2))</f>
        <v>1</v>
      </c>
      <c r="AU50" s="1">
        <f t="shared" si="61"/>
        <v>3.465254791234245E-2</v>
      </c>
      <c r="AV50" s="8">
        <f t="shared" si="62"/>
        <v>0.87825189938401782</v>
      </c>
      <c r="AW50" s="8">
        <f t="shared" si="36"/>
        <v>0.99362628199845227</v>
      </c>
      <c r="AX50" s="8"/>
      <c r="AY50" s="4"/>
      <c r="AZ50" s="1">
        <f t="shared" si="63"/>
        <v>0.30670732147399782</v>
      </c>
      <c r="BA50" s="14">
        <f t="shared" si="38"/>
        <v>0.29903963843714787</v>
      </c>
      <c r="BB50" s="1"/>
      <c r="BC50" s="14">
        <f t="shared" si="39"/>
        <v>5.0498149743028087</v>
      </c>
      <c r="BD50" s="14">
        <f>IF(0.7*(AM50*(B50^3)/BA50)*(I50*L50*$N$5/43000000)&lt;$AH$5*(1-0.178*(C50/100)+0.0085*((C50/100)^2)),$AH$5*(1-0.178*(C50/100)+0.0085*((C50/100)^2)),0.7*(AM50*(B50^3)/BA50)*(I50*L50*$N$5/43000000))</f>
        <v>0.59097431596878869</v>
      </c>
      <c r="BE50" s="4">
        <f t="shared" si="64"/>
        <v>2.6555475377158066E-3</v>
      </c>
      <c r="BF50" s="4"/>
      <c r="BG50" s="1">
        <f t="shared" si="65"/>
        <v>0.95130075975360695</v>
      </c>
      <c r="BH50" s="1">
        <f>0.6*$AN$5*(1-0.53*((B50-$AM$5)^2))*(1+((2/3)*AV50))</f>
        <v>5.3091746306132164</v>
      </c>
      <c r="BJ50" s="1">
        <f t="shared" si="66"/>
        <v>6.1864959585185151</v>
      </c>
      <c r="BK50" s="5">
        <f t="shared" si="67"/>
        <v>21.878263282089428</v>
      </c>
      <c r="BL50" s="5">
        <f t="shared" si="40"/>
        <v>1.5189030649686099</v>
      </c>
      <c r="BM50" s="5">
        <f t="shared" ref="BM50:BM81" si="77">BK50^(0.4/(1.4*$AQ$5))</f>
        <v>2.7886641441376598</v>
      </c>
      <c r="BN50" s="1">
        <f t="shared" si="42"/>
        <v>1.1490457810628079</v>
      </c>
      <c r="BO50" s="1">
        <f t="shared" si="68"/>
        <v>3.1192317506706595</v>
      </c>
      <c r="BP50" s="9">
        <f>(1+0.2*B50*B50)*K50</f>
        <v>242.16775327236624</v>
      </c>
      <c r="BQ50" s="9">
        <f t="shared" si="53"/>
        <v>675.3245304170232</v>
      </c>
      <c r="BR50" s="9">
        <f t="shared" si="54"/>
        <v>1285.7108920262476</v>
      </c>
      <c r="BS50" s="9">
        <f t="shared" si="46"/>
        <v>755.37734499574333</v>
      </c>
      <c r="BU50" s="9">
        <f>((1+0.2*B50*B50)^3.5)*I50</f>
        <v>33653.645077155001</v>
      </c>
      <c r="BV50" s="9">
        <f t="shared" si="47"/>
        <v>736283.30739998992</v>
      </c>
      <c r="BX50" s="3">
        <f t="shared" si="69"/>
        <v>2.0597726333761602E-2</v>
      </c>
      <c r="BZ50" s="3">
        <f t="shared" si="70"/>
        <v>3.3953088617198091E-2</v>
      </c>
      <c r="CA50" s="8"/>
      <c r="CB50" s="14">
        <f>$CB$12*($AO$5/K50)/($AN$5*(1-0.53*((B50-$AM$5)^2))*(1+0.2*B50*B50))</f>
        <v>1.3575102393989371</v>
      </c>
      <c r="CC50" s="1">
        <f t="shared" si="48"/>
        <v>1.8937755984973428</v>
      </c>
      <c r="CD50" s="3">
        <f t="shared" si="71"/>
        <v>6.5624149662154171E-2</v>
      </c>
      <c r="CE50" s="6">
        <f t="shared" si="72"/>
        <v>1.9327888075818203</v>
      </c>
      <c r="CF50" s="22" t="str">
        <f t="shared" si="49"/>
        <v/>
      </c>
      <c r="CG50" s="22"/>
      <c r="CH50" s="7">
        <f t="shared" si="73"/>
        <v>1.0404974484344685</v>
      </c>
      <c r="CI50" s="23">
        <f>CH50*(0.7*I50*B50*B50)*$N$5/9.80665</f>
        <v>119046.70197082007</v>
      </c>
      <c r="CK50" s="1">
        <f>B50/$AI$5</f>
        <v>1</v>
      </c>
      <c r="CL50" s="14">
        <f t="shared" si="50"/>
        <v>1.4515200000000053</v>
      </c>
      <c r="CM50" s="1">
        <f t="shared" si="74"/>
        <v>0.8569758833631711</v>
      </c>
      <c r="CN50" s="14">
        <f>SQRT((A50*9.80665)/(0.7*I50*$N$5*CM50))</f>
        <v>0.58289201297540016</v>
      </c>
      <c r="CO50" s="1">
        <f t="shared" si="75"/>
        <v>0.59969769127940087</v>
      </c>
      <c r="CP50" s="29" t="str">
        <f>IF(C50&lt;30,"",IF(CO50&gt;1,"no",""))</f>
        <v/>
      </c>
      <c r="CQ50" s="22"/>
      <c r="CR50" s="23">
        <f>CM50*(0.7*I50*B50*B50)*$N$5/9.80665</f>
        <v>98049.401982114548</v>
      </c>
      <c r="CS50"/>
      <c r="CT50" s="6">
        <f t="shared" si="76"/>
        <v>0.86951219512195133</v>
      </c>
      <c r="CU50" s="22" t="str">
        <f t="shared" si="52"/>
        <v/>
      </c>
      <c r="CV50" s="5"/>
      <c r="CW50" s="6">
        <f>IF(C50&lt;100,SQRT(2)*SQRT(SQRT(1+(2/1.4)*(10510/I50))-1),IF(I50&gt;$AW$5,SQRT(2)*SQRT(SQRT(1+(2/1.4)*($AV$5/I50))-1),$AS$5))</f>
        <v>0.82</v>
      </c>
      <c r="CX50" s="22" t="str">
        <f>IF(B50&gt;CW50,"no","")</f>
        <v/>
      </c>
    </row>
    <row r="51" spans="1:102" x14ac:dyDescent="0.2">
      <c r="A51">
        <v>58800</v>
      </c>
      <c r="B51" s="1">
        <v>0.75270000000000004</v>
      </c>
      <c r="C51" s="5">
        <v>357</v>
      </c>
      <c r="D51" s="1">
        <v>0</v>
      </c>
      <c r="E51" s="1">
        <v>0</v>
      </c>
      <c r="G51">
        <f t="shared" si="1"/>
        <v>35700</v>
      </c>
      <c r="H51" s="9">
        <f t="shared" si="2"/>
        <v>10881.360000043525</v>
      </c>
      <c r="I51" s="5">
        <f t="shared" si="17"/>
        <v>23058.655877826881</v>
      </c>
      <c r="J51" s="5">
        <v>0</v>
      </c>
      <c r="K51" s="6">
        <f t="shared" si="18"/>
        <v>217.42115999971708</v>
      </c>
      <c r="L51" s="5">
        <f t="shared" si="19"/>
        <v>295.59269539196379</v>
      </c>
      <c r="M51" s="10">
        <f t="shared" si="20"/>
        <v>1.4258480762112247E-5</v>
      </c>
      <c r="O51" s="6">
        <f>B51*L51</f>
        <v>222.49262182153115</v>
      </c>
      <c r="P51" s="1">
        <f>IF(E51=0,0,E51/9.80665)</f>
        <v>0</v>
      </c>
      <c r="Q51" s="7">
        <f>IF(D51=0,0,(D51/O51))</f>
        <v>0</v>
      </c>
      <c r="R51" s="19">
        <f t="shared" si="21"/>
        <v>1</v>
      </c>
      <c r="S51" s="19">
        <f t="shared" si="22"/>
        <v>0</v>
      </c>
      <c r="T51" s="19">
        <f t="shared" si="23"/>
        <v>0</v>
      </c>
      <c r="U51" s="19"/>
      <c r="V51" s="19"/>
      <c r="W51" s="6"/>
      <c r="X51" s="1">
        <f>(A51*9.80665*R51)/(0.7*I51*B51*B51*$N$5)</f>
        <v>0.51515832649633586</v>
      </c>
      <c r="Y51" s="10">
        <f>(SQRT($N$5)*B51)*(I51/M51)*SQRT(1.4/(287.05*K51))</f>
        <v>63783404.58355923</v>
      </c>
      <c r="Z51" s="10">
        <f t="shared" si="24"/>
        <v>2.1731675047307023E-3</v>
      </c>
      <c r="AA51" s="3">
        <f t="shared" si="55"/>
        <v>1.8244366231120895E-2</v>
      </c>
      <c r="AB51" s="3">
        <f t="shared" si="56"/>
        <v>7.5846483998258454E-3</v>
      </c>
      <c r="AC51" s="3">
        <f>IF($E$5="no",(1/((1+0.03+$Q$5)+AB51*3.141593*$S$5)),(1.075/((1+0.03+$Q$5)+AB51*3.141593*$S$5)))</f>
        <v>0.77930013912478924</v>
      </c>
      <c r="AD51" s="3">
        <f t="shared" si="57"/>
        <v>4.2995003186388867E-2</v>
      </c>
      <c r="AE51" s="1">
        <f t="shared" si="58"/>
        <v>0.68686679844439658</v>
      </c>
      <c r="AF51" s="1">
        <f>B51*$R$5/AE51</f>
        <v>0.99317343266939817</v>
      </c>
      <c r="AG51" s="8">
        <f t="shared" si="29"/>
        <v>8.4143543297896461E-4</v>
      </c>
      <c r="AH51" s="8"/>
      <c r="AI51" s="3">
        <f t="shared" si="30"/>
        <v>3.049616392763849E-2</v>
      </c>
      <c r="AJ51" s="1">
        <f t="shared" si="31"/>
        <v>16.892561560159077</v>
      </c>
      <c r="AK51" s="1"/>
      <c r="AL51" s="1">
        <f t="shared" si="32"/>
        <v>5.9197653146843589E-2</v>
      </c>
      <c r="AM51" s="8">
        <f>AL51*(A51*9.80665)/(0.7*I51*B51*B51*$N$5)</f>
        <v>3.0496163927638494E-2</v>
      </c>
      <c r="AN51" s="1">
        <f>B51/$AI$5</f>
        <v>1</v>
      </c>
      <c r="AO51" s="1">
        <f>IF(B51&lt;0.4,1.3*(0.4-B51),0)</f>
        <v>0</v>
      </c>
      <c r="AP51" s="1">
        <f t="shared" si="33"/>
        <v>-0.43</v>
      </c>
      <c r="AQ51" s="1">
        <f t="shared" si="34"/>
        <v>0</v>
      </c>
      <c r="AR51" s="1">
        <f t="shared" si="59"/>
        <v>1</v>
      </c>
      <c r="AS51" s="1">
        <f t="shared" si="60"/>
        <v>0.30867472713898642</v>
      </c>
      <c r="AT51" s="1">
        <f>(((1+0.55*B51)/(1+0.55*$AI$5))/(AN51^2))</f>
        <v>1</v>
      </c>
      <c r="AU51" s="1">
        <f t="shared" si="61"/>
        <v>3.465254791234245E-2</v>
      </c>
      <c r="AV51" s="8">
        <f t="shared" si="62"/>
        <v>0.88005545810893904</v>
      </c>
      <c r="AW51" s="8">
        <f t="shared" si="36"/>
        <v>0.99381372195433371</v>
      </c>
      <c r="AX51" s="8"/>
      <c r="AY51" s="4"/>
      <c r="AZ51" s="1">
        <f t="shared" si="63"/>
        <v>0.30676517945123449</v>
      </c>
      <c r="BA51" s="14">
        <f t="shared" si="38"/>
        <v>0.29909604996495365</v>
      </c>
      <c r="BB51" s="1"/>
      <c r="BC51" s="14">
        <f t="shared" si="39"/>
        <v>5.0524984364333942</v>
      </c>
      <c r="BD51" s="14">
        <f>IF(0.7*(AM51*(B51^3)/BA51)*(I51*L51*$N$5/43000000)&lt;$AH$5*(1-0.178*(C51/100)+0.0085*((C51/100)^2)),$AH$5*(1-0.178*(C51/100)+0.0085*((C51/100)^2)),0.7*(AM51*(B51^3)/BA51)*(I51*L51*$N$5/43000000))</f>
        <v>0.5905259296754708</v>
      </c>
      <c r="BE51" s="4">
        <f t="shared" si="64"/>
        <v>2.6541371342603515E-3</v>
      </c>
      <c r="BF51" s="4"/>
      <c r="BG51" s="1">
        <f t="shared" si="65"/>
        <v>0.95202218324357546</v>
      </c>
      <c r="BH51" s="1">
        <f>0.6*$AN$5*(1-0.53*((B51-$AM$5)^2))*(1+((2/3)*AV51))</f>
        <v>5.3132008686368897</v>
      </c>
      <c r="BJ51" s="1">
        <f t="shared" si="66"/>
        <v>6.1811987753390261</v>
      </c>
      <c r="BK51" s="5">
        <f t="shared" si="67"/>
        <v>21.919765591269041</v>
      </c>
      <c r="BL51" s="5">
        <f t="shared" si="40"/>
        <v>1.5200549323867936</v>
      </c>
      <c r="BM51" s="5">
        <f t="shared" si="77"/>
        <v>2.7904213327713085</v>
      </c>
      <c r="BN51" s="1">
        <f t="shared" si="42"/>
        <v>1.1493353402969255</v>
      </c>
      <c r="BO51" s="1">
        <f t="shared" si="68"/>
        <v>3.1210302745001144</v>
      </c>
      <c r="BP51" s="9">
        <f>(1+0.2*B51*B51)*K51</f>
        <v>242.05746863933632</v>
      </c>
      <c r="BQ51" s="9">
        <f t="shared" si="53"/>
        <v>675.44232424782604</v>
      </c>
      <c r="BR51" s="9">
        <f t="shared" si="54"/>
        <v>1286.0999526345684</v>
      </c>
      <c r="BS51" s="9">
        <f t="shared" si="46"/>
        <v>755.46868779223064</v>
      </c>
      <c r="BU51" s="9">
        <f>((1+0.2*B51*B51)^3.5)*I51</f>
        <v>33573.171098012885</v>
      </c>
      <c r="BV51" s="9">
        <f t="shared" si="47"/>
        <v>735916.04062401108</v>
      </c>
      <c r="BX51" s="3">
        <f t="shared" si="69"/>
        <v>2.060694025107395E-2</v>
      </c>
      <c r="BZ51" s="3">
        <f t="shared" si="70"/>
        <v>3.4024826061029016E-2</v>
      </c>
      <c r="CA51" s="8"/>
      <c r="CB51" s="14">
        <f>$CB$12*($AO$5/K51)/($AN$5*(1-0.53*((B51-$AM$5)^2))*(1+0.2*B51*B51))</f>
        <v>1.3581287392924875</v>
      </c>
      <c r="CC51" s="1">
        <f t="shared" si="48"/>
        <v>1.8953218482312186</v>
      </c>
      <c r="CD51" s="3">
        <f t="shared" si="71"/>
        <v>6.567773115514175E-2</v>
      </c>
      <c r="CE51" s="6">
        <f t="shared" si="72"/>
        <v>1.9302885204273532</v>
      </c>
      <c r="CF51" s="22" t="str">
        <f t="shared" si="49"/>
        <v/>
      </c>
      <c r="CG51" s="22"/>
      <c r="CH51" s="7">
        <f t="shared" si="73"/>
        <v>1.0409895151040818</v>
      </c>
      <c r="CI51" s="23">
        <f>CH51*(0.7*I51*B51*B51)*$N$5/9.80665</f>
        <v>118818.19693067775</v>
      </c>
      <c r="CK51" s="1">
        <f>B51/$AI$5</f>
        <v>1</v>
      </c>
      <c r="CL51" s="14">
        <f t="shared" si="50"/>
        <v>1.4515200000000053</v>
      </c>
      <c r="CM51" s="1">
        <f t="shared" si="74"/>
        <v>0.8569758833631711</v>
      </c>
      <c r="CN51" s="14">
        <f>SQRT((A51*9.80665)/(0.7*I51*$N$5*CM51))</f>
        <v>0.58359018301288124</v>
      </c>
      <c r="CO51" s="1">
        <f t="shared" si="75"/>
        <v>0.60113515035524157</v>
      </c>
      <c r="CP51" s="29" t="str">
        <f>IF(C51&lt;30,"",IF(CO51&gt;1,"no",""))</f>
        <v/>
      </c>
      <c r="CQ51" s="22"/>
      <c r="CR51" s="23">
        <f>CM51*(0.7*I51*B51*B51)*$N$5/9.80665</f>
        <v>97814.942222646714</v>
      </c>
      <c r="CS51"/>
      <c r="CT51" s="6">
        <f t="shared" si="76"/>
        <v>0.87073170731707328</v>
      </c>
      <c r="CU51" s="22" t="str">
        <f t="shared" si="52"/>
        <v/>
      </c>
      <c r="CV51" s="5"/>
      <c r="CW51" s="6">
        <f>IF(C51&lt;100,SQRT(2)*SQRT(SQRT(1+(2/1.4)*(10510/I51))-1),IF(I51&gt;$AW$5,SQRT(2)*SQRT(SQRT(1+(2/1.4)*($AV$5/I51))-1),$AS$5))</f>
        <v>0.82</v>
      </c>
      <c r="CX51" s="22" t="str">
        <f>IF(B51&gt;CW51,"no","")</f>
        <v/>
      </c>
    </row>
    <row r="52" spans="1:102" x14ac:dyDescent="0.2">
      <c r="A52">
        <v>58800</v>
      </c>
      <c r="B52" s="1">
        <v>0.75270000000000004</v>
      </c>
      <c r="C52" s="5">
        <v>357.5</v>
      </c>
      <c r="D52" s="1">
        <v>0</v>
      </c>
      <c r="E52" s="1">
        <v>0</v>
      </c>
      <c r="G52">
        <f t="shared" si="1"/>
        <v>35750</v>
      </c>
      <c r="H52" s="9">
        <f t="shared" si="2"/>
        <v>10896.600000043585</v>
      </c>
      <c r="I52" s="5">
        <f t="shared" si="17"/>
        <v>23003.491974640088</v>
      </c>
      <c r="J52" s="5">
        <v>0</v>
      </c>
      <c r="K52" s="6">
        <f t="shared" si="18"/>
        <v>217.32209999971667</v>
      </c>
      <c r="L52" s="5">
        <f t="shared" si="19"/>
        <v>295.52534971959028</v>
      </c>
      <c r="M52" s="10">
        <f t="shared" si="20"/>
        <v>1.4253044280711038E-5</v>
      </c>
      <c r="O52" s="6">
        <f>B52*L52</f>
        <v>222.44193073393561</v>
      </c>
      <c r="P52" s="1">
        <f>IF(E52=0,0,E52/9.80665)</f>
        <v>0</v>
      </c>
      <c r="Q52" s="7">
        <f>IF(D52=0,0,(D52/O52))</f>
        <v>0</v>
      </c>
      <c r="R52" s="19">
        <f t="shared" si="21"/>
        <v>1</v>
      </c>
      <c r="S52" s="19">
        <f t="shared" si="22"/>
        <v>0</v>
      </c>
      <c r="T52" s="19">
        <f t="shared" si="23"/>
        <v>0</v>
      </c>
      <c r="U52" s="19"/>
      <c r="V52" s="19"/>
      <c r="W52" s="6"/>
      <c r="X52" s="1">
        <f>(A52*9.80665*R52)/(0.7*I52*B52*B52*$N$5)</f>
        <v>0.51639371041457061</v>
      </c>
      <c r="Y52" s="10">
        <f>(SQRT($N$5)*B52)*(I52/M52)*SQRT(1.4/(287.05*K52))</f>
        <v>63669590.11989703</v>
      </c>
      <c r="Z52" s="10">
        <f t="shared" si="24"/>
        <v>2.1737109465521094E-3</v>
      </c>
      <c r="AA52" s="3">
        <f t="shared" si="55"/>
        <v>1.8248928581511961E-2</v>
      </c>
      <c r="AB52" s="3">
        <f t="shared" si="56"/>
        <v>7.5865450852549083E-3</v>
      </c>
      <c r="AC52" s="3">
        <f>IF($E$5="no",(1/((1+0.03+$Q$5)+AB52*3.141593*$S$5)),(1.075/((1+0.03+$Q$5)+AB52*3.141593*$S$5)))</f>
        <v>0.77926576252500757</v>
      </c>
      <c r="AD52" s="3">
        <f t="shared" si="57"/>
        <v>4.2996899871817928E-2</v>
      </c>
      <c r="AE52" s="1">
        <f t="shared" si="58"/>
        <v>0.68671639750803903</v>
      </c>
      <c r="AF52" s="1">
        <f>B52*$R$5/AE52</f>
        <v>0.99339095217931661</v>
      </c>
      <c r="AG52" s="8">
        <f t="shared" si="29"/>
        <v>8.4438367221772168E-4</v>
      </c>
      <c r="AH52" s="8"/>
      <c r="AI52" s="3">
        <f t="shared" si="30"/>
        <v>3.0558971524605731E-2</v>
      </c>
      <c r="AJ52" s="1">
        <f t="shared" si="31"/>
        <v>16.898268647515717</v>
      </c>
      <c r="AK52" s="1"/>
      <c r="AL52" s="1">
        <f t="shared" si="32"/>
        <v>5.9177660200532674E-2</v>
      </c>
      <c r="AM52" s="8">
        <f>AL52*(A52*9.80665)/(0.7*I52*B52*B52*$N$5)</f>
        <v>3.0558971524605731E-2</v>
      </c>
      <c r="AN52" s="1">
        <f>B52/$AI$5</f>
        <v>1</v>
      </c>
      <c r="AO52" s="1">
        <f>IF(B52&lt;0.4,1.3*(0.4-B52),0)</f>
        <v>0</v>
      </c>
      <c r="AP52" s="1">
        <f t="shared" si="33"/>
        <v>-0.43</v>
      </c>
      <c r="AQ52" s="1">
        <f t="shared" si="34"/>
        <v>0</v>
      </c>
      <c r="AR52" s="1">
        <f t="shared" si="59"/>
        <v>1</v>
      </c>
      <c r="AS52" s="1">
        <f t="shared" si="60"/>
        <v>0.30867472713898642</v>
      </c>
      <c r="AT52" s="1">
        <f>(((1+0.55*B52)/(1+0.55*$AI$5))/(AN52^2))</f>
        <v>1</v>
      </c>
      <c r="AU52" s="1">
        <f t="shared" si="61"/>
        <v>3.465254791234245E-2</v>
      </c>
      <c r="AV52" s="8">
        <f t="shared" si="62"/>
        <v>0.88186795389210959</v>
      </c>
      <c r="AW52" s="8">
        <f t="shared" si="36"/>
        <v>0.99399927246341624</v>
      </c>
      <c r="AX52" s="8"/>
      <c r="AY52" s="4"/>
      <c r="AZ52" s="1">
        <f t="shared" si="63"/>
        <v>0.30682245420399601</v>
      </c>
      <c r="BA52" s="14">
        <f t="shared" si="38"/>
        <v>0.29915189284889609</v>
      </c>
      <c r="BB52" s="1"/>
      <c r="BC52" s="14">
        <f t="shared" si="39"/>
        <v>5.0551490517734825</v>
      </c>
      <c r="BD52" s="14">
        <f>IF(0.7*(AM52*(B52^3)/BA52)*(I52*L52*$N$5/43000000)&lt;$AH$5*(1-0.178*(C52/100)+0.0085*((C52/100)^2)),$AH$5*(1-0.178*(C52/100)+0.0085*((C52/100)^2)),0.7*(AM52*(B52^3)/BA52)*(I52*L52*$N$5/43000000))</f>
        <v>0.590081822933608</v>
      </c>
      <c r="BE52" s="4">
        <f t="shared" si="64"/>
        <v>2.6527454647901302E-3</v>
      </c>
      <c r="BF52" s="4"/>
      <c r="BG52" s="1">
        <f t="shared" si="65"/>
        <v>0.95274718155684379</v>
      </c>
      <c r="BH52" s="1">
        <f>0.6*$AN$5*(1-0.53*((B52-$AM$5)^2))*(1+((2/3)*AV52))</f>
        <v>5.3172470576182143</v>
      </c>
      <c r="BJ52" s="1">
        <f t="shared" si="66"/>
        <v>6.1758839500789051</v>
      </c>
      <c r="BK52" s="5">
        <f t="shared" si="67"/>
        <v>21.961521106874216</v>
      </c>
      <c r="BL52" s="5">
        <f t="shared" si="40"/>
        <v>1.5212125075793175</v>
      </c>
      <c r="BM52" s="5">
        <f t="shared" si="77"/>
        <v>2.792187001933617</v>
      </c>
      <c r="BN52" s="1">
        <f t="shared" si="42"/>
        <v>1.149626186821997</v>
      </c>
      <c r="BO52" s="1">
        <f t="shared" si="68"/>
        <v>3.1228400861734462</v>
      </c>
      <c r="BP52" s="9">
        <f>(1+0.2*B52*B52)*K52</f>
        <v>241.94718400630637</v>
      </c>
      <c r="BQ52" s="9">
        <f t="shared" si="53"/>
        <v>675.56178233684977</v>
      </c>
      <c r="BR52" s="9">
        <f t="shared" si="54"/>
        <v>1286.4929522565453</v>
      </c>
      <c r="BS52" s="9">
        <f t="shared" si="46"/>
        <v>755.56236495167639</v>
      </c>
      <c r="BU52" s="9">
        <f>((1+0.2*B52*B52)^3.5)*I52</f>
        <v>33492.853009658684</v>
      </c>
      <c r="BV52" s="9">
        <f t="shared" si="47"/>
        <v>735553.99830105482</v>
      </c>
      <c r="BX52" s="3">
        <f t="shared" si="69"/>
        <v>2.0616235166255513E-2</v>
      </c>
      <c r="BZ52" s="3">
        <f t="shared" si="70"/>
        <v>3.4096901680467945E-2</v>
      </c>
      <c r="CA52" s="8"/>
      <c r="CB52" s="14">
        <f>$CB$12*($AO$5/K52)/($AN$5*(1-0.53*((B52-$AM$5)^2))*(1+0.2*B52*B52))</f>
        <v>1.3587478030366487</v>
      </c>
      <c r="CC52" s="1">
        <f t="shared" si="48"/>
        <v>1.8968695075916218</v>
      </c>
      <c r="CD52" s="3">
        <f t="shared" si="71"/>
        <v>6.5731361495280111E-2</v>
      </c>
      <c r="CE52" s="6">
        <f t="shared" si="72"/>
        <v>1.9277810667745696</v>
      </c>
      <c r="CF52" s="22" t="str">
        <f t="shared" si="49"/>
        <v/>
      </c>
      <c r="CG52" s="22"/>
      <c r="CH52" s="7">
        <f t="shared" si="73"/>
        <v>1.041481635794514</v>
      </c>
      <c r="CI52" s="23">
        <f>CH52*(0.7*I52*B52*B52)*$N$5/9.80665</f>
        <v>118589.98076400564</v>
      </c>
      <c r="CK52" s="1">
        <f>B52/$AI$5</f>
        <v>1</v>
      </c>
      <c r="CL52" s="14">
        <f t="shared" si="50"/>
        <v>1.4515200000000053</v>
      </c>
      <c r="CM52" s="1">
        <f t="shared" si="74"/>
        <v>0.8569758833631711</v>
      </c>
      <c r="CN52" s="14">
        <f>SQRT((A52*9.80665)/(0.7*I52*$N$5*CM52))</f>
        <v>0.58428950803694879</v>
      </c>
      <c r="CO52" s="1">
        <f t="shared" si="75"/>
        <v>0.60257671241342525</v>
      </c>
      <c r="CP52" s="29" t="str">
        <f>IF(C52&lt;30,"",IF(CO52&gt;1,"no",""))</f>
        <v/>
      </c>
      <c r="CQ52" s="22"/>
      <c r="CR52" s="23">
        <f>CM52*(0.7*I52*B52*B52)*$N$5/9.80665</f>
        <v>97580.936648706032</v>
      </c>
      <c r="CS52"/>
      <c r="CT52" s="6">
        <f t="shared" si="76"/>
        <v>0.87195121951219523</v>
      </c>
      <c r="CU52" s="22" t="str">
        <f t="shared" si="52"/>
        <v/>
      </c>
      <c r="CV52" s="5"/>
      <c r="CW52" s="6">
        <f>IF(C52&lt;100,SQRT(2)*SQRT(SQRT(1+(2/1.4)*(10510/I52))-1),IF(I52&gt;$AW$5,SQRT(2)*SQRT(SQRT(1+(2/1.4)*($AV$5/I52))-1),$AS$5))</f>
        <v>0.82</v>
      </c>
      <c r="CX52" s="22" t="str">
        <f>IF(B52&gt;CW52,"no","")</f>
        <v/>
      </c>
    </row>
    <row r="53" spans="1:102" x14ac:dyDescent="0.2">
      <c r="A53">
        <v>58800</v>
      </c>
      <c r="B53" s="1">
        <v>0.75270000000000004</v>
      </c>
      <c r="C53" s="5">
        <v>358</v>
      </c>
      <c r="D53" s="1">
        <v>0</v>
      </c>
      <c r="E53" s="1">
        <v>0</v>
      </c>
      <c r="G53">
        <f t="shared" si="1"/>
        <v>35800</v>
      </c>
      <c r="H53" s="9">
        <f t="shared" si="2"/>
        <v>10911.840000043647</v>
      </c>
      <c r="I53" s="5">
        <f t="shared" si="17"/>
        <v>22948.434981295144</v>
      </c>
      <c r="J53" s="5">
        <v>0</v>
      </c>
      <c r="K53" s="6">
        <f t="shared" si="18"/>
        <v>217.22303999971626</v>
      </c>
      <c r="L53" s="5">
        <f t="shared" si="19"/>
        <v>295.45798869667743</v>
      </c>
      <c r="M53" s="10">
        <f t="shared" si="20"/>
        <v>1.4247606733482868E-5</v>
      </c>
      <c r="O53" s="6">
        <f>B53*L53</f>
        <v>222.39122809198912</v>
      </c>
      <c r="P53" s="1">
        <f>IF(E53=0,0,E53/9.80665)</f>
        <v>0</v>
      </c>
      <c r="Q53" s="7">
        <f>IF(D53=0,0,(D53/O53))</f>
        <v>0</v>
      </c>
      <c r="R53" s="19">
        <f t="shared" si="21"/>
        <v>1</v>
      </c>
      <c r="S53" s="19">
        <f t="shared" si="22"/>
        <v>0</v>
      </c>
      <c r="T53" s="19">
        <f t="shared" si="23"/>
        <v>0</v>
      </c>
      <c r="U53" s="19"/>
      <c r="V53" s="19"/>
      <c r="W53" s="6"/>
      <c r="X53" s="1">
        <f>(A53*9.80665*R53)/(0.7*I53*B53*B53*$N$5)</f>
        <v>0.51763262213560257</v>
      </c>
      <c r="Y53" s="10">
        <f>(SQRT($N$5)*B53)*(I53/M53)*SQRT(1.4/(287.05*K53))</f>
        <v>63555929.944157831</v>
      </c>
      <c r="Z53" s="10">
        <f t="shared" si="24"/>
        <v>2.1742547580017538E-3</v>
      </c>
      <c r="AA53" s="3">
        <f t="shared" si="55"/>
        <v>1.8253494035038387E-2</v>
      </c>
      <c r="AB53" s="3">
        <f t="shared" si="56"/>
        <v>7.5884430607364908E-3</v>
      </c>
      <c r="AC53" s="3">
        <f>IF($E$5="no",(1/((1+0.03+$Q$5)+AB53*3.141593*$S$5)),(1.075/((1+0.03+$Q$5)+AB53*3.141593*$S$5)))</f>
        <v>0.77923136557939621</v>
      </c>
      <c r="AD53" s="3">
        <f t="shared" si="57"/>
        <v>4.2998797847299507E-2</v>
      </c>
      <c r="AE53" s="1">
        <f t="shared" si="58"/>
        <v>0.68656556708183936</v>
      </c>
      <c r="AF53" s="1">
        <f>B53*$R$5/AE53</f>
        <v>0.99360918855452107</v>
      </c>
      <c r="AG53" s="8">
        <f t="shared" si="29"/>
        <v>8.4734680932107447E-4</v>
      </c>
      <c r="AH53" s="8"/>
      <c r="AI53" s="3">
        <f t="shared" si="30"/>
        <v>3.0622090589775608E-2</v>
      </c>
      <c r="AJ53" s="1">
        <f t="shared" si="31"/>
        <v>16.90389559191085</v>
      </c>
      <c r="AK53" s="1"/>
      <c r="AL53" s="1">
        <f t="shared" si="32"/>
        <v>5.9157961226318605E-2</v>
      </c>
      <c r="AM53" s="8">
        <f>AL53*(A53*9.80665)/(0.7*I53*B53*B53*$N$5)</f>
        <v>3.0622090589775608E-2</v>
      </c>
      <c r="AN53" s="1">
        <f>B53/$AI$5</f>
        <v>1</v>
      </c>
      <c r="AO53" s="1">
        <f>IF(B53&lt;0.4,1.3*(0.4-B53),0)</f>
        <v>0</v>
      </c>
      <c r="AP53" s="1">
        <f t="shared" si="33"/>
        <v>-0.43</v>
      </c>
      <c r="AQ53" s="1">
        <f t="shared" si="34"/>
        <v>0</v>
      </c>
      <c r="AR53" s="1">
        <f t="shared" si="59"/>
        <v>1</v>
      </c>
      <c r="AS53" s="1">
        <f t="shared" si="60"/>
        <v>0.30867472713898642</v>
      </c>
      <c r="AT53" s="1">
        <f>(((1+0.55*B53)/(1+0.55*$AI$5))/(AN53^2))</f>
        <v>1</v>
      </c>
      <c r="AU53" s="1">
        <f t="shared" si="61"/>
        <v>3.465254791234245E-2</v>
      </c>
      <c r="AV53" s="8">
        <f t="shared" si="62"/>
        <v>0.8836894379956608</v>
      </c>
      <c r="AW53" s="8">
        <f t="shared" si="36"/>
        <v>0.99418289686148098</v>
      </c>
      <c r="AX53" s="8"/>
      <c r="AY53" s="4"/>
      <c r="AZ53" s="1">
        <f t="shared" si="63"/>
        <v>0.30687913441496473</v>
      </c>
      <c r="BA53" s="14">
        <f t="shared" si="38"/>
        <v>0.29920715605459058</v>
      </c>
      <c r="BB53" s="1"/>
      <c r="BC53" s="14">
        <f t="shared" si="39"/>
        <v>5.0577665262993756</v>
      </c>
      <c r="BD53" s="14">
        <f>IF(0.7*(AM53*(B53^3)/BA53)*(I53*L53*$N$5/43000000)&lt;$AH$5*(1-0.178*(C53/100)+0.0085*((C53/100)^2)),$AH$5*(1-0.178*(C53/100)+0.0085*((C53/100)^2)),0.7*(AM53*(B53^3)/BA53)*(I53*L53*$N$5/43000000))</f>
        <v>0.58964201461913357</v>
      </c>
      <c r="BE53" s="4">
        <f t="shared" si="64"/>
        <v>2.6513726268701395E-3</v>
      </c>
      <c r="BF53" s="4"/>
      <c r="BG53" s="1">
        <f t="shared" si="65"/>
        <v>0.95347577519826432</v>
      </c>
      <c r="BH53" s="1">
        <f>0.6*$AN$5*(1-0.53*((B53-$AM$5)^2))*(1+((2/3)*AV53))</f>
        <v>5.3213133119940208</v>
      </c>
      <c r="BJ53" s="1">
        <f t="shared" si="66"/>
        <v>6.1705514397302936</v>
      </c>
      <c r="BK53" s="5">
        <f t="shared" si="67"/>
        <v>22.003531735330071</v>
      </c>
      <c r="BL53" s="5">
        <f t="shared" si="40"/>
        <v>1.522375823285443</v>
      </c>
      <c r="BM53" s="5">
        <f t="shared" si="77"/>
        <v>2.7939611983938333</v>
      </c>
      <c r="BN53" s="1">
        <f t="shared" si="42"/>
        <v>1.1499183268587598</v>
      </c>
      <c r="BO53" s="1">
        <f t="shared" si="68"/>
        <v>3.1246612655597112</v>
      </c>
      <c r="BP53" s="9">
        <f>(1+0.2*B53*B53)*K53</f>
        <v>241.83689937327645</v>
      </c>
      <c r="BQ53" s="9">
        <f t="shared" si="53"/>
        <v>675.68291318880836</v>
      </c>
      <c r="BR53" s="9">
        <f t="shared" si="54"/>
        <v>1286.8899119663745</v>
      </c>
      <c r="BS53" s="9">
        <f t="shared" si="46"/>
        <v>755.65839205473856</v>
      </c>
      <c r="BU53" s="9">
        <f>((1+0.2*B53*B53)^3.5)*I53</f>
        <v>33412.690580959214</v>
      </c>
      <c r="BV53" s="9">
        <f t="shared" si="47"/>
        <v>735197.19756090024</v>
      </c>
      <c r="BX53" s="3">
        <f t="shared" si="69"/>
        <v>2.0625611528152756E-2</v>
      </c>
      <c r="BZ53" s="3">
        <f t="shared" si="70"/>
        <v>3.4169317352732063E-2</v>
      </c>
      <c r="CA53" s="8"/>
      <c r="CB53" s="14">
        <f>$CB$12*($AO$5/K53)/($AN$5*(1-0.53*((B53-$AM$5)^2))*(1+0.2*B53*B53))</f>
        <v>1.3593674314028181</v>
      </c>
      <c r="CC53" s="1">
        <f t="shared" si="48"/>
        <v>1.8984185785070453</v>
      </c>
      <c r="CD53" s="3">
        <f t="shared" si="71"/>
        <v>6.5785040749396437E-2</v>
      </c>
      <c r="CE53" s="6">
        <f t="shared" si="72"/>
        <v>1.9252664626071754</v>
      </c>
      <c r="CF53" s="22" t="str">
        <f t="shared" si="49"/>
        <v/>
      </c>
      <c r="CG53" s="22"/>
      <c r="CH53" s="7">
        <f t="shared" si="73"/>
        <v>1.0419738100260543</v>
      </c>
      <c r="CI53" s="23">
        <f>CH53*(0.7*I53*B53*B53)*$N$5/9.80665</f>
        <v>118362.0533357378</v>
      </c>
      <c r="CK53" s="1">
        <f>B53/$AI$5</f>
        <v>1</v>
      </c>
      <c r="CL53" s="14">
        <f t="shared" si="50"/>
        <v>1.4515200000000053</v>
      </c>
      <c r="CM53" s="1">
        <f t="shared" si="74"/>
        <v>0.8569758833631711</v>
      </c>
      <c r="CN53" s="14">
        <f>SQRT((A53*9.80665)/(0.7*I53*$N$5*CM53))</f>
        <v>0.58498999048607847</v>
      </c>
      <c r="CO53" s="1">
        <f t="shared" si="75"/>
        <v>0.60402239104345845</v>
      </c>
      <c r="CP53" s="29" t="str">
        <f>IF(C53&lt;30,"",IF(CO53&gt;1,"no",""))</f>
        <v/>
      </c>
      <c r="CQ53" s="22"/>
      <c r="CR53" s="23">
        <f>CM53*(0.7*I53*B53*B53)*$N$5/9.80665</f>
        <v>97347.384586889326</v>
      </c>
      <c r="CS53"/>
      <c r="CT53" s="6">
        <f t="shared" si="76"/>
        <v>0.87317073170731718</v>
      </c>
      <c r="CU53" s="22" t="str">
        <f t="shared" si="52"/>
        <v/>
      </c>
      <c r="CV53" s="5"/>
      <c r="CW53" s="6">
        <f>IF(C53&lt;100,SQRT(2)*SQRT(SQRT(1+(2/1.4)*(10510/I53))-1),IF(I53&gt;$AW$5,SQRT(2)*SQRT(SQRT(1+(2/1.4)*($AV$5/I53))-1),$AS$5))</f>
        <v>0.82</v>
      </c>
      <c r="CX53" s="22" t="str">
        <f>IF(B53&gt;CW53,"no","")</f>
        <v/>
      </c>
    </row>
    <row r="54" spans="1:102" x14ac:dyDescent="0.2">
      <c r="A54">
        <v>58800</v>
      </c>
      <c r="B54" s="1">
        <v>0.75270000000000004</v>
      </c>
      <c r="C54" s="5">
        <v>358.5</v>
      </c>
      <c r="D54" s="1">
        <v>0</v>
      </c>
      <c r="E54" s="1">
        <v>0</v>
      </c>
      <c r="G54">
        <f t="shared" si="1"/>
        <v>35850</v>
      </c>
      <c r="H54" s="9">
        <f t="shared" si="2"/>
        <v>10927.080000043708</v>
      </c>
      <c r="I54" s="5">
        <f t="shared" si="17"/>
        <v>22893.484739208809</v>
      </c>
      <c r="J54" s="5">
        <v>0</v>
      </c>
      <c r="K54" s="6">
        <f t="shared" si="18"/>
        <v>217.12397999971586</v>
      </c>
      <c r="L54" s="5">
        <f t="shared" si="19"/>
        <v>295.39061231272365</v>
      </c>
      <c r="M54" s="10">
        <f t="shared" si="20"/>
        <v>1.4242168119967284E-5</v>
      </c>
      <c r="O54" s="6">
        <f>B54*L54</f>
        <v>222.3405138877871</v>
      </c>
      <c r="P54" s="1">
        <f>IF(E54=0,0,E54/9.80665)</f>
        <v>0</v>
      </c>
      <c r="Q54" s="7">
        <f>IF(D54=0,0,(D54/O54))</f>
        <v>0</v>
      </c>
      <c r="R54" s="19">
        <f t="shared" si="21"/>
        <v>1</v>
      </c>
      <c r="S54" s="19">
        <f t="shared" si="22"/>
        <v>0</v>
      </c>
      <c r="T54" s="19">
        <f t="shared" si="23"/>
        <v>0</v>
      </c>
      <c r="U54" s="19"/>
      <c r="V54" s="19"/>
      <c r="W54" s="6"/>
      <c r="X54" s="1">
        <f>(A54*9.80665*R54)/(0.7*I54*B54*B54*$N$5)</f>
        <v>0.5188750733492189</v>
      </c>
      <c r="Y54" s="10">
        <f>(SQRT($N$5)*B54)*(I54/M54)*SQRT(1.4/(287.05*K54))</f>
        <v>63442423.912647687</v>
      </c>
      <c r="Z54" s="10">
        <f t="shared" si="24"/>
        <v>2.174798939493767E-3</v>
      </c>
      <c r="AA54" s="3">
        <f t="shared" si="55"/>
        <v>1.8258062595176927E-2</v>
      </c>
      <c r="AB54" s="3">
        <f t="shared" si="56"/>
        <v>7.5903423277159697E-3</v>
      </c>
      <c r="AC54" s="3">
        <f>IF($E$5="no",(1/((1+0.03+$Q$5)+AB54*3.141593*$S$5)),(1.075/((1+0.03+$Q$5)+AB54*3.141593*$S$5)))</f>
        <v>0.77919694826755381</v>
      </c>
      <c r="AD54" s="3">
        <f t="shared" si="57"/>
        <v>4.3000697114278993E-2</v>
      </c>
      <c r="AE54" s="1">
        <f t="shared" si="58"/>
        <v>0.68641430574263274</v>
      </c>
      <c r="AF54" s="1">
        <f>B54*$R$5/AE54</f>
        <v>0.99382814473776404</v>
      </c>
      <c r="AG54" s="8">
        <f t="shared" si="29"/>
        <v>8.5032493549502635E-4</v>
      </c>
      <c r="AH54" s="8"/>
      <c r="AI54" s="3">
        <f t="shared" si="30"/>
        <v>3.0685522910640396E-2</v>
      </c>
      <c r="AJ54" s="1">
        <f t="shared" si="31"/>
        <v>16.909442112498457</v>
      </c>
      <c r="AK54" s="1"/>
      <c r="AL54" s="1">
        <f t="shared" si="32"/>
        <v>5.9138556632856581E-2</v>
      </c>
      <c r="AM54" s="8">
        <f>AL54*(A54*9.80665)/(0.7*I54*B54*B54*$N$5)</f>
        <v>3.0685522910640393E-2</v>
      </c>
      <c r="AN54" s="1">
        <f>B54/$AI$5</f>
        <v>1</v>
      </c>
      <c r="AO54" s="1">
        <f>IF(B54&lt;0.4,1.3*(0.4-B54),0)</f>
        <v>0</v>
      </c>
      <c r="AP54" s="1">
        <f t="shared" si="33"/>
        <v>-0.43</v>
      </c>
      <c r="AQ54" s="1">
        <f t="shared" si="34"/>
        <v>0</v>
      </c>
      <c r="AR54" s="1">
        <f t="shared" si="59"/>
        <v>1</v>
      </c>
      <c r="AS54" s="1">
        <f t="shared" si="60"/>
        <v>0.30867472713898642</v>
      </c>
      <c r="AT54" s="1">
        <f>(((1+0.55*B54)/(1+0.55*$AI$5))/(AN54^2))</f>
        <v>1</v>
      </c>
      <c r="AU54" s="1">
        <f t="shared" si="61"/>
        <v>3.465254791234245E-2</v>
      </c>
      <c r="AV54" s="8">
        <f t="shared" si="62"/>
        <v>0.88551996200287786</v>
      </c>
      <c r="AW54" s="8">
        <f t="shared" si="36"/>
        <v>0.99436455798707635</v>
      </c>
      <c r="AX54" s="8"/>
      <c r="AY54" s="4"/>
      <c r="AZ54" s="1">
        <f t="shared" si="63"/>
        <v>0.30693520861333962</v>
      </c>
      <c r="BA54" s="14">
        <f t="shared" si="38"/>
        <v>0.29926182839800614</v>
      </c>
      <c r="BB54" s="1"/>
      <c r="BC54" s="14">
        <f t="shared" si="39"/>
        <v>5.0603505637765318</v>
      </c>
      <c r="BD54" s="14">
        <f>IF(0.7*(AM54*(B54^3)/BA54)*(I54*L54*$N$5/43000000)&lt;$AH$5*(1-0.178*(C54/100)+0.0085*((C54/100)^2)),$AH$5*(1-0.178*(C54/100)+0.0085*((C54/100)^2)),0.7*(AM54*(B54^3)/BA54)*(I54*L54*$N$5/43000000))</f>
        <v>0.58920652389226691</v>
      </c>
      <c r="BE54" s="4">
        <f t="shared" si="64"/>
        <v>2.6500187194387487E-3</v>
      </c>
      <c r="BF54" s="4"/>
      <c r="BG54" s="1">
        <f t="shared" si="65"/>
        <v>0.9542079848011511</v>
      </c>
      <c r="BH54" s="1">
        <f>0.6*$AN$5*(1-0.53*((B54-$AM$5)^2))*(1+((2/3)*AV54))</f>
        <v>5.3253997469180767</v>
      </c>
      <c r="BJ54" s="1">
        <f t="shared" si="66"/>
        <v>6.1652012014106852</v>
      </c>
      <c r="BK54" s="5">
        <f t="shared" si="67"/>
        <v>22.045799399943991</v>
      </c>
      <c r="BL54" s="5">
        <f t="shared" si="40"/>
        <v>1.5235449124495388</v>
      </c>
      <c r="BM54" s="5">
        <f t="shared" si="77"/>
        <v>2.7957439691971531</v>
      </c>
      <c r="BN54" s="1">
        <f t="shared" si="42"/>
        <v>1.1502117666569893</v>
      </c>
      <c r="BO54" s="1">
        <f t="shared" si="68"/>
        <v>3.126493893120545</v>
      </c>
      <c r="BP54" s="9">
        <f>(1+0.2*B54*B54)*K54</f>
        <v>241.72661474024653</v>
      </c>
      <c r="BQ54" s="9">
        <f t="shared" si="53"/>
        <v>675.80572535448789</v>
      </c>
      <c r="BR54" s="9">
        <f t="shared" si="54"/>
        <v>1287.2908529610722</v>
      </c>
      <c r="BS54" s="9">
        <f t="shared" si="46"/>
        <v>755.75678479008354</v>
      </c>
      <c r="BU54" s="9">
        <f>((1+0.2*B54*B54)^3.5)*I54</f>
        <v>33332.683581018864</v>
      </c>
      <c r="BV54" s="9">
        <f t="shared" si="47"/>
        <v>734845.65568894858</v>
      </c>
      <c r="BX54" s="3">
        <f t="shared" si="69"/>
        <v>2.0635069788381949E-2</v>
      </c>
      <c r="BZ54" s="3">
        <f t="shared" si="70"/>
        <v>3.4242074966570696E-2</v>
      </c>
      <c r="CA54" s="8"/>
      <c r="CB54" s="14">
        <f>$CB$12*($AO$5/K54)/($AN$5*(1-0.53*((B54-$AM$5)^2))*(1+0.2*B54*B54))</f>
        <v>1.3599876251637999</v>
      </c>
      <c r="CC54" s="1">
        <f t="shared" si="48"/>
        <v>1.8999690629094999</v>
      </c>
      <c r="CD54" s="3">
        <f t="shared" si="71"/>
        <v>6.5838768984439827E-2</v>
      </c>
      <c r="CE54" s="6">
        <f t="shared" si="72"/>
        <v>1.9227447241066975</v>
      </c>
      <c r="CF54" s="22" t="str">
        <f t="shared" si="49"/>
        <v/>
      </c>
      <c r="CG54" s="22"/>
      <c r="CH54" s="7">
        <f t="shared" si="73"/>
        <v>1.0424660373138914</v>
      </c>
      <c r="CI54" s="23">
        <f>CH54*(0.7*I54*B54*B54)*$N$5/9.80665</f>
        <v>118134.41451021882</v>
      </c>
      <c r="CK54" s="1">
        <f>B54/$AI$5</f>
        <v>1</v>
      </c>
      <c r="CL54" s="14">
        <f t="shared" si="50"/>
        <v>1.4515200000000053</v>
      </c>
      <c r="CM54" s="1">
        <f t="shared" si="74"/>
        <v>0.8569758833631711</v>
      </c>
      <c r="CN54" s="14">
        <f>SQRT((A54*9.80665)/(0.7*I54*$N$5*CM54))</f>
        <v>0.58569163280500924</v>
      </c>
      <c r="CO54" s="1">
        <f t="shared" si="75"/>
        <v>0.60547219988608347</v>
      </c>
      <c r="CP54" s="29" t="str">
        <f>IF(C54&lt;30,"",IF(CO54&gt;1,"no",""))</f>
        <v/>
      </c>
      <c r="CQ54" s="22"/>
      <c r="CR54" s="23">
        <f>CM54*(0.7*I54*B54*B54)*$N$5/9.80665</f>
        <v>97114.285364485651</v>
      </c>
      <c r="CS54"/>
      <c r="CT54" s="6">
        <f t="shared" si="76"/>
        <v>0.87439024390243913</v>
      </c>
      <c r="CU54" s="22" t="str">
        <f t="shared" si="52"/>
        <v/>
      </c>
      <c r="CV54" s="5"/>
      <c r="CW54" s="6">
        <f>IF(C54&lt;100,SQRT(2)*SQRT(SQRT(1+(2/1.4)*(10510/I54))-1),IF(I54&gt;$AW$5,SQRT(2)*SQRT(SQRT(1+(2/1.4)*($AV$5/I54))-1),$AS$5))</f>
        <v>0.82</v>
      </c>
      <c r="CX54" s="22" t="str">
        <f>IF(B54&gt;CW54,"no","")</f>
        <v/>
      </c>
    </row>
    <row r="55" spans="1:102" x14ac:dyDescent="0.2">
      <c r="A55">
        <v>58800</v>
      </c>
      <c r="B55" s="1">
        <v>0.75270000000000004</v>
      </c>
      <c r="C55" s="5">
        <v>359</v>
      </c>
      <c r="D55" s="1">
        <v>0</v>
      </c>
      <c r="E55" s="1">
        <v>0</v>
      </c>
      <c r="G55">
        <f t="shared" si="1"/>
        <v>35900</v>
      </c>
      <c r="H55" s="9">
        <f t="shared" si="2"/>
        <v>10942.320000043768</v>
      </c>
      <c r="I55" s="5">
        <f t="shared" si="17"/>
        <v>22838.641089960947</v>
      </c>
      <c r="J55" s="5">
        <v>0</v>
      </c>
      <c r="K55" s="6">
        <f t="shared" si="18"/>
        <v>217.02491999971551</v>
      </c>
      <c r="L55" s="5">
        <f t="shared" si="19"/>
        <v>295.32322055721539</v>
      </c>
      <c r="M55" s="10">
        <f t="shared" si="20"/>
        <v>1.4236728439703687E-5</v>
      </c>
      <c r="O55" s="6">
        <f>B55*L55</f>
        <v>222.28978811341602</v>
      </c>
      <c r="P55" s="1">
        <f>IF(E55=0,0,E55/9.80665)</f>
        <v>0</v>
      </c>
      <c r="Q55" s="7">
        <f>IF(D55=0,0,(D55/O55))</f>
        <v>0</v>
      </c>
      <c r="R55" s="19">
        <f t="shared" si="21"/>
        <v>1</v>
      </c>
      <c r="S55" s="19">
        <f t="shared" si="22"/>
        <v>0</v>
      </c>
      <c r="T55" s="19">
        <f t="shared" si="23"/>
        <v>0</v>
      </c>
      <c r="U55" s="19"/>
      <c r="V55" s="19"/>
      <c r="W55" s="6"/>
      <c r="X55" s="1">
        <f>(A55*9.80665*R55)/(0.7*I55*B55*B55*$N$5)</f>
        <v>0.52012107578929978</v>
      </c>
      <c r="Y55" s="10">
        <f>(SQRT($N$5)*B55)*(I55/M55)*SQRT(1.4/(287.05*K55))</f>
        <v>63329071.881746136</v>
      </c>
      <c r="Z55" s="10">
        <f t="shared" si="24"/>
        <v>2.1753434914429282E-3</v>
      </c>
      <c r="AA55" s="3">
        <f t="shared" si="55"/>
        <v>1.8262634265409774E-2</v>
      </c>
      <c r="AB55" s="3">
        <f t="shared" si="56"/>
        <v>7.5922428876409806E-3</v>
      </c>
      <c r="AC55" s="3">
        <f>IF($E$5="no",(1/((1+0.03+$Q$5)+AB55*3.141593*$S$5)),(1.075/((1+0.03+$Q$5)+AB55*3.141593*$S$5)))</f>
        <v>0.7791625105690505</v>
      </c>
      <c r="AD55" s="3">
        <f t="shared" si="57"/>
        <v>4.3002597674203995E-2</v>
      </c>
      <c r="AE55" s="1">
        <f t="shared" si="58"/>
        <v>0.68626261206188643</v>
      </c>
      <c r="AF55" s="1">
        <f>B55*$R$5/AE55</f>
        <v>0.99404782368668942</v>
      </c>
      <c r="AG55" s="8">
        <f t="shared" si="29"/>
        <v>8.5331814259844286E-4</v>
      </c>
      <c r="AH55" s="8"/>
      <c r="AI55" s="3">
        <f t="shared" si="30"/>
        <v>3.0749270285896527E-2</v>
      </c>
      <c r="AJ55" s="1">
        <f t="shared" si="31"/>
        <v>16.914907929631706</v>
      </c>
      <c r="AK55" s="1"/>
      <c r="AL55" s="1">
        <f t="shared" si="32"/>
        <v>5.9119446831170146E-2</v>
      </c>
      <c r="AM55" s="8">
        <f>AL55*(A55*9.80665)/(0.7*I55*B55*B55*$N$5)</f>
        <v>3.0749270285896531E-2</v>
      </c>
      <c r="AN55" s="1">
        <f>B55/$AI$5</f>
        <v>1</v>
      </c>
      <c r="AO55" s="1">
        <f>IF(B55&lt;0.4,1.3*(0.4-B55),0)</f>
        <v>0</v>
      </c>
      <c r="AP55" s="1">
        <f t="shared" si="33"/>
        <v>-0.43</v>
      </c>
      <c r="AQ55" s="1">
        <f t="shared" si="34"/>
        <v>0</v>
      </c>
      <c r="AR55" s="1">
        <f t="shared" si="59"/>
        <v>1</v>
      </c>
      <c r="AS55" s="1">
        <f t="shared" si="60"/>
        <v>0.30867472713898642</v>
      </c>
      <c r="AT55" s="1">
        <f>(((1+0.55*B55)/(1+0.55*$AI$5))/(AN55^2))</f>
        <v>1</v>
      </c>
      <c r="AU55" s="1">
        <f t="shared" si="61"/>
        <v>3.465254791234245E-2</v>
      </c>
      <c r="AV55" s="8">
        <f t="shared" si="62"/>
        <v>0.88735957782037544</v>
      </c>
      <c r="AW55" s="8">
        <f t="shared" si="36"/>
        <v>0.99454421817521421</v>
      </c>
      <c r="AX55" s="8"/>
      <c r="AY55" s="4"/>
      <c r="AZ55" s="1">
        <f t="shared" si="63"/>
        <v>0.30699066517289081</v>
      </c>
      <c r="BA55" s="14">
        <f t="shared" si="38"/>
        <v>0.29931589854356855</v>
      </c>
      <c r="BB55" s="1"/>
      <c r="BC55" s="14">
        <f t="shared" si="39"/>
        <v>5.0629008657394472</v>
      </c>
      <c r="BD55" s="14">
        <f>IF(0.7*(AM55*(B55^3)/BA55)*(I55*L55*$N$5/43000000)&lt;$AH$5*(1-0.178*(C55/100)+0.0085*((C55/100)^2)),$AH$5*(1-0.178*(C55/100)+0.0085*((C55/100)^2)),0.7*(AM55*(B55^3)/BA55)*(I55*L55*$N$5/43000000))</f>
        <v>0.58877537020193993</v>
      </c>
      <c r="BE55" s="4">
        <f t="shared" si="64"/>
        <v>2.6486838428292385E-3</v>
      </c>
      <c r="BF55" s="4"/>
      <c r="BG55" s="1">
        <f t="shared" si="65"/>
        <v>0.95494383112815007</v>
      </c>
      <c r="BH55" s="1">
        <f>0.6*$AN$5*(1-0.53*((B55-$AM$5)^2))*(1+((2/3)*AV55))</f>
        <v>5.3295064782659471</v>
      </c>
      <c r="BJ55" s="1">
        <f t="shared" si="66"/>
        <v>6.1598331923658796</v>
      </c>
      <c r="BK55" s="5">
        <f t="shared" si="67"/>
        <v>22.088326041077501</v>
      </c>
      <c r="BL55" s="5">
        <f t="shared" si="40"/>
        <v>1.5247198082224742</v>
      </c>
      <c r="BM55" s="5">
        <f t="shared" si="77"/>
        <v>2.7975353616664322</v>
      </c>
      <c r="BN55" s="1">
        <f t="shared" si="42"/>
        <v>1.1505065124956133</v>
      </c>
      <c r="BO55" s="1">
        <f t="shared" si="68"/>
        <v>3.128338049914531</v>
      </c>
      <c r="BP55" s="9">
        <f>(1+0.2*B55*B55)*K55</f>
        <v>241.61633010721664</v>
      </c>
      <c r="BQ55" s="9">
        <f t="shared" si="53"/>
        <v>675.93022743100835</v>
      </c>
      <c r="BR55" s="9">
        <f t="shared" si="54"/>
        <v>1287.6957965612546</v>
      </c>
      <c r="BS55" s="9">
        <f t="shared" si="46"/>
        <v>755.85755895511568</v>
      </c>
      <c r="BU55" s="9">
        <f>((1+0.2*B55*B55)^3.5)*I55</f>
        <v>33252.83177917952</v>
      </c>
      <c r="BV55" s="9">
        <f t="shared" si="47"/>
        <v>734499.39012762043</v>
      </c>
      <c r="BX55" s="3">
        <f t="shared" si="69"/>
        <v>2.0644610401348292E-2</v>
      </c>
      <c r="BZ55" s="3">
        <f t="shared" si="70"/>
        <v>3.4315176422342442E-2</v>
      </c>
      <c r="CA55" s="8"/>
      <c r="CB55" s="14">
        <f>$CB$12*($AO$5/K55)/($AN$5*(1-0.53*((B55-$AM$5)^2))*(1+0.2*B55*B55))</f>
        <v>1.3606083850938087</v>
      </c>
      <c r="CC55" s="1">
        <f t="shared" si="48"/>
        <v>1.9015209627345215</v>
      </c>
      <c r="CD55" s="3">
        <f t="shared" si="71"/>
        <v>6.5892546267481547E-2</v>
      </c>
      <c r="CE55" s="6">
        <f t="shared" si="72"/>
        <v>1.9202158676526353</v>
      </c>
      <c r="CF55" s="22" t="str">
        <f t="shared" si="49"/>
        <v/>
      </c>
      <c r="CG55" s="22"/>
      <c r="CH55" s="7">
        <f t="shared" si="73"/>
        <v>1.0429583171680721</v>
      </c>
      <c r="CI55" s="23">
        <f>CH55*(0.7*I55*B55*B55)*$N$5/9.80665</f>
        <v>117907.06415120485</v>
      </c>
      <c r="CK55" s="1">
        <f>B55/$AI$5</f>
        <v>1</v>
      </c>
      <c r="CL55" s="14">
        <f t="shared" si="50"/>
        <v>1.4515200000000053</v>
      </c>
      <c r="CM55" s="1">
        <f t="shared" si="74"/>
        <v>0.8569758833631711</v>
      </c>
      <c r="CN55" s="14">
        <f>SQRT((A55*9.80665)/(0.7*I55*$N$5*CM55))</f>
        <v>0.58639443744476216</v>
      </c>
      <c r="CO55" s="1">
        <f t="shared" si="75"/>
        <v>0.60692615263349448</v>
      </c>
      <c r="CP55" s="29" t="str">
        <f>IF(C55&lt;30,"",IF(CO55&gt;1,"no",""))</f>
        <v/>
      </c>
      <c r="CQ55" s="22"/>
      <c r="CR55" s="23">
        <f>CM55*(0.7*I55*B55*B55)*$N$5/9.80665</f>
        <v>96881.638309475922</v>
      </c>
      <c r="CS55"/>
      <c r="CT55" s="6">
        <f t="shared" si="76"/>
        <v>0.87560975609756109</v>
      </c>
      <c r="CU55" s="22" t="str">
        <f t="shared" si="52"/>
        <v/>
      </c>
      <c r="CV55" s="5"/>
      <c r="CW55" s="6">
        <f>IF(C55&lt;100,SQRT(2)*SQRT(SQRT(1+(2/1.4)*(10510/I55))-1),IF(I55&gt;$AW$5,SQRT(2)*SQRT(SQRT(1+(2/1.4)*($AV$5/I55))-1),$AS$5))</f>
        <v>0.82</v>
      </c>
      <c r="CX55" s="22" t="str">
        <f>IF(B55&gt;CW55,"no","")</f>
        <v/>
      </c>
    </row>
    <row r="56" spans="1:102" x14ac:dyDescent="0.2">
      <c r="A56">
        <v>58800</v>
      </c>
      <c r="B56" s="1">
        <v>0.75270000000000004</v>
      </c>
      <c r="C56" s="5">
        <v>359.5</v>
      </c>
      <c r="D56" s="1">
        <v>0</v>
      </c>
      <c r="E56" s="1">
        <v>0</v>
      </c>
      <c r="G56">
        <f t="shared" si="1"/>
        <v>35950</v>
      </c>
      <c r="H56" s="9">
        <f t="shared" si="2"/>
        <v>10957.56000004383</v>
      </c>
      <c r="I56" s="5">
        <f t="shared" si="17"/>
        <v>22783.903875294338</v>
      </c>
      <c r="J56" s="5">
        <v>0</v>
      </c>
      <c r="K56" s="6">
        <f t="shared" si="18"/>
        <v>216.9258599997151</v>
      </c>
      <c r="L56" s="5">
        <f t="shared" si="19"/>
        <v>295.25581341962686</v>
      </c>
      <c r="M56" s="10">
        <f t="shared" si="20"/>
        <v>1.4231287692231249E-5</v>
      </c>
      <c r="O56" s="6">
        <f>B56*L56</f>
        <v>222.23905076095315</v>
      </c>
      <c r="P56" s="1">
        <f>IF(E56=0,0,E56/9.80665)</f>
        <v>0</v>
      </c>
      <c r="Q56" s="7">
        <f>IF(D56=0,0,(D56/O56))</f>
        <v>0</v>
      </c>
      <c r="R56" s="19">
        <f t="shared" si="21"/>
        <v>1</v>
      </c>
      <c r="S56" s="19">
        <f t="shared" si="22"/>
        <v>0</v>
      </c>
      <c r="T56" s="19">
        <f t="shared" si="23"/>
        <v>0</v>
      </c>
      <c r="U56" s="19"/>
      <c r="V56" s="19"/>
      <c r="W56" s="6"/>
      <c r="X56" s="1">
        <f>(A56*9.80665*R56)/(0.7*I56*B56*B56*$N$5)</f>
        <v>0.52137064123400734</v>
      </c>
      <c r="Y56" s="10">
        <f>(SQRT($N$5)*B56)*(I56/M56)*SQRT(1.4/(287.05*K56))</f>
        <v>63215873.707906492</v>
      </c>
      <c r="Z56" s="10">
        <f t="shared" si="24"/>
        <v>2.1758884142646659E-3</v>
      </c>
      <c r="AA56" s="3">
        <f t="shared" si="55"/>
        <v>1.8267209049224568E-2</v>
      </c>
      <c r="AB56" s="3">
        <f t="shared" si="56"/>
        <v>7.5941447419614252E-3</v>
      </c>
      <c r="AC56" s="3">
        <f>IF($E$5="no",(1/((1+0.03+$Q$5)+AB56*3.141593*$S$5)),(1.075/((1+0.03+$Q$5)+AB56*3.141593*$S$5)))</f>
        <v>0.77912805246342653</v>
      </c>
      <c r="AD56" s="3">
        <f t="shared" si="57"/>
        <v>4.3004499528524441E-2</v>
      </c>
      <c r="AE56" s="1">
        <f t="shared" si="58"/>
        <v>0.68611048460567625</v>
      </c>
      <c r="AF56" s="1">
        <f>B56*$R$5/AE56</f>
        <v>0.99426822837392526</v>
      </c>
      <c r="AG56" s="8">
        <f t="shared" si="29"/>
        <v>8.563265231484199E-4</v>
      </c>
      <c r="AH56" s="8"/>
      <c r="AI56" s="3">
        <f t="shared" si="30"/>
        <v>3.0813334525520653E-2</v>
      </c>
      <c r="AJ56" s="1">
        <f t="shared" si="31"/>
        <v>16.920292764880426</v>
      </c>
      <c r="AK56" s="1"/>
      <c r="AL56" s="1">
        <f t="shared" si="32"/>
        <v>5.9100632234661395E-2</v>
      </c>
      <c r="AM56" s="8">
        <f>AL56*(A56*9.80665)/(0.7*I56*B56*B56*$N$5)</f>
        <v>3.0813334525520659E-2</v>
      </c>
      <c r="AN56" s="1">
        <f>B56/$AI$5</f>
        <v>1</v>
      </c>
      <c r="AO56" s="1">
        <f>IF(B56&lt;0.4,1.3*(0.4-B56),0)</f>
        <v>0</v>
      </c>
      <c r="AP56" s="1">
        <f t="shared" si="33"/>
        <v>-0.43</v>
      </c>
      <c r="AQ56" s="1">
        <f t="shared" si="34"/>
        <v>0</v>
      </c>
      <c r="AR56" s="1">
        <f t="shared" si="59"/>
        <v>1</v>
      </c>
      <c r="AS56" s="1">
        <f t="shared" si="60"/>
        <v>0.30867472713898642</v>
      </c>
      <c r="AT56" s="1">
        <f>(((1+0.55*B56)/(1+0.55*$AI$5))/(AN56^2))</f>
        <v>1</v>
      </c>
      <c r="AU56" s="1">
        <f t="shared" si="61"/>
        <v>3.465254791234245E-2</v>
      </c>
      <c r="AV56" s="8">
        <f t="shared" si="62"/>
        <v>0.88920833768029073</v>
      </c>
      <c r="AW56" s="8">
        <f t="shared" si="36"/>
        <v>0.99472183925098723</v>
      </c>
      <c r="AX56" s="8"/>
      <c r="AY56" s="4"/>
      <c r="AZ56" s="1">
        <f t="shared" si="63"/>
        <v>0.30704549230998918</v>
      </c>
      <c r="BA56" s="14">
        <f t="shared" si="38"/>
        <v>0.29936935500223943</v>
      </c>
      <c r="BB56" s="1"/>
      <c r="BC56" s="14">
        <f t="shared" si="39"/>
        <v>5.0654171314713112</v>
      </c>
      <c r="BD56" s="14">
        <f>IF(0.7*(AM56*(B56^3)/BA56)*(I56*L56*$N$5/43000000)&lt;$AH$5*(1-0.178*(C56/100)+0.0085*((C56/100)^2)),$AH$5*(1-0.178*(C56/100)+0.0085*((C56/100)^2)),0.7*(AM56*(B56^3)/BA56)*(I56*L56*$N$5/43000000))</f>
        <v>0.58834857329030199</v>
      </c>
      <c r="BE56" s="4">
        <f t="shared" si="64"/>
        <v>2.6473680987917241E-3</v>
      </c>
      <c r="BF56" s="4"/>
      <c r="BG56" s="1">
        <f t="shared" si="65"/>
        <v>0.95568333507211634</v>
      </c>
      <c r="BH56" s="1">
        <f>0.6*$AN$5*(1-0.53*((B56-$AM$5)^2))*(1+((2/3)*AV56))</f>
        <v>5.3336336226398888</v>
      </c>
      <c r="BJ56" s="1">
        <f t="shared" si="66"/>
        <v>6.1544473699729512</v>
      </c>
      <c r="BK56" s="5">
        <f t="shared" si="67"/>
        <v>22.131113616320263</v>
      </c>
      <c r="BL56" s="5">
        <f t="shared" si="40"/>
        <v>1.5259005439630171</v>
      </c>
      <c r="BM56" s="5">
        <f t="shared" si="77"/>
        <v>2.7993354234039112</v>
      </c>
      <c r="BN56" s="1">
        <f t="shared" si="42"/>
        <v>1.1508025706828253</v>
      </c>
      <c r="BO56" s="1">
        <f t="shared" si="68"/>
        <v>3.1301938176016049</v>
      </c>
      <c r="BP56" s="9">
        <f>(1+0.2*B56*B56)*K56</f>
        <v>241.50604547418672</v>
      </c>
      <c r="BQ56" s="9">
        <f t="shared" si="53"/>
        <v>676.05642806208675</v>
      </c>
      <c r="BR56" s="9">
        <f t="shared" si="54"/>
        <v>1288.1047642119202</v>
      </c>
      <c r="BS56" s="9">
        <f t="shared" si="46"/>
        <v>755.9607304567113</v>
      </c>
      <c r="BU56" s="9">
        <f>((1+0.2*B56*B56)^3.5)*I56</f>
        <v>33173.134945020254</v>
      </c>
      <c r="BV56" s="9">
        <f t="shared" si="47"/>
        <v>734158.41847776726</v>
      </c>
      <c r="BX56" s="3">
        <f t="shared" si="69"/>
        <v>2.0654233824265043E-2</v>
      </c>
      <c r="BZ56" s="3">
        <f t="shared" si="70"/>
        <v>3.4388623632093059E-2</v>
      </c>
      <c r="CA56" s="8"/>
      <c r="CB56" s="14">
        <f>$CB$12*($AO$5/K56)/($AN$5*(1-0.53*((B56-$AM$5)^2))*(1+0.2*B56*B56))</f>
        <v>1.3612297119684749</v>
      </c>
      <c r="CC56" s="1">
        <f t="shared" si="48"/>
        <v>1.9030742799211873</v>
      </c>
      <c r="CD56" s="3">
        <f t="shared" si="71"/>
        <v>6.5946372665715555E-2</v>
      </c>
      <c r="CE56" s="6">
        <f t="shared" si="72"/>
        <v>1.9176799098226003</v>
      </c>
      <c r="CF56" s="22" t="str">
        <f t="shared" si="49"/>
        <v/>
      </c>
      <c r="CG56" s="22"/>
      <c r="CH56" s="7">
        <f t="shared" si="73"/>
        <v>1.0434506490934596</v>
      </c>
      <c r="CI56" s="23">
        <f>CH56*(0.7*I56*B56*B56)*$N$5/9.80665</f>
        <v>117680.00212186373</v>
      </c>
      <c r="CK56" s="1">
        <f>B56/$AI$5</f>
        <v>1</v>
      </c>
      <c r="CL56" s="14">
        <f t="shared" si="50"/>
        <v>1.4515200000000053</v>
      </c>
      <c r="CM56" s="1">
        <f t="shared" si="74"/>
        <v>0.8569758833631711</v>
      </c>
      <c r="CN56" s="14">
        <f>SQRT((A56*9.80665)/(0.7*I56*$N$5*CM56))</f>
        <v>0.58709840686266013</v>
      </c>
      <c r="CO56" s="1">
        <f t="shared" si="75"/>
        <v>0.60838426302955806</v>
      </c>
      <c r="CP56" s="29" t="str">
        <f>IF(C56&lt;30,"",IF(CO56&gt;1,"no",""))</f>
        <v/>
      </c>
      <c r="CQ56" s="22"/>
      <c r="CR56" s="23">
        <f>CM56*(0.7*I56*B56*B56)*$N$5/9.80665</f>
        <v>96649.442750532224</v>
      </c>
      <c r="CS56"/>
      <c r="CT56" s="6">
        <f t="shared" si="76"/>
        <v>0.87682926829268304</v>
      </c>
      <c r="CU56" s="22" t="str">
        <f t="shared" si="52"/>
        <v/>
      </c>
      <c r="CV56" s="5"/>
      <c r="CW56" s="6">
        <f>IF(C56&lt;100,SQRT(2)*SQRT(SQRT(1+(2/1.4)*(10510/I56))-1),IF(I56&gt;$AW$5,SQRT(2)*SQRT(SQRT(1+(2/1.4)*($AV$5/I56))-1),$AS$5))</f>
        <v>0.82</v>
      </c>
      <c r="CX56" s="22" t="str">
        <f>IF(B56&gt;CW56,"no","")</f>
        <v/>
      </c>
    </row>
    <row r="57" spans="1:102" x14ac:dyDescent="0.2">
      <c r="A57">
        <v>58800</v>
      </c>
      <c r="B57" s="1">
        <v>0.75270000000000004</v>
      </c>
      <c r="C57" s="5">
        <v>360</v>
      </c>
      <c r="D57" s="1">
        <v>0</v>
      </c>
      <c r="E57" s="1">
        <v>0</v>
      </c>
      <c r="G57">
        <f t="shared" si="1"/>
        <v>36000</v>
      </c>
      <c r="H57" s="9">
        <f t="shared" si="2"/>
        <v>10972.800000043891</v>
      </c>
      <c r="I57" s="5">
        <f t="shared" si="17"/>
        <v>22729.272937114616</v>
      </c>
      <c r="J57" s="5">
        <v>0</v>
      </c>
      <c r="K57" s="6">
        <f t="shared" si="18"/>
        <v>216.82679999971469</v>
      </c>
      <c r="L57" s="5">
        <f t="shared" si="19"/>
        <v>295.18839088942053</v>
      </c>
      <c r="M57" s="10">
        <f t="shared" si="20"/>
        <v>1.4225845877088949E-5</v>
      </c>
      <c r="O57" s="6">
        <f>B57*L57</f>
        <v>222.18830182246685</v>
      </c>
      <c r="P57" s="1">
        <f>IF(E57=0,0,E57/9.80665)</f>
        <v>0</v>
      </c>
      <c r="Q57" s="7">
        <f>IF(D57=0,0,(D57/O57))</f>
        <v>0</v>
      </c>
      <c r="R57" s="19">
        <f t="shared" si="21"/>
        <v>1</v>
      </c>
      <c r="S57" s="19">
        <f t="shared" si="22"/>
        <v>0</v>
      </c>
      <c r="T57" s="19">
        <f t="shared" si="23"/>
        <v>0</v>
      </c>
      <c r="U57" s="19"/>
      <c r="V57" s="19"/>
      <c r="W57" s="6"/>
      <c r="X57" s="1">
        <f>(A57*9.80665*R57)/(0.7*I57*B57*B57*$N$5)</f>
        <v>0.52262378150597211</v>
      </c>
      <c r="Y57" s="10">
        <f>(SQRT($N$5)*B57)*(I57/M57)*SQRT(1.4/(287.05*K57))</f>
        <v>63102829.247655571</v>
      </c>
      <c r="Z57" s="10">
        <f t="shared" si="24"/>
        <v>2.1764337083750624E-3</v>
      </c>
      <c r="AA57" s="3">
        <f t="shared" si="55"/>
        <v>1.827178695011444E-2</v>
      </c>
      <c r="AB57" s="3">
        <f t="shared" si="56"/>
        <v>7.5960478921294865E-3</v>
      </c>
      <c r="AC57" s="3">
        <f>IF($E$5="no",(1/((1+0.03+$Q$5)+AB57*3.141593*$S$5)),(1.075/((1+0.03+$Q$5)+AB57*3.141593*$S$5)))</f>
        <v>0.77909357393019363</v>
      </c>
      <c r="AD57" s="3">
        <f t="shared" si="57"/>
        <v>4.3006402678692511E-2</v>
      </c>
      <c r="AE57" s="1">
        <f t="shared" si="58"/>
        <v>0.68595792193466443</v>
      </c>
      <c r="AF57" s="1">
        <f>B57*$R$5/AE57</f>
        <v>0.99448936178717462</v>
      </c>
      <c r="AG57" s="8">
        <f t="shared" si="29"/>
        <v>8.59350170325668E-4</v>
      </c>
      <c r="AH57" s="8"/>
      <c r="AI57" s="3">
        <f t="shared" si="30"/>
        <v>3.0877717450846099E-2</v>
      </c>
      <c r="AJ57" s="1">
        <f t="shared" si="31"/>
        <v>16.925596341048564</v>
      </c>
      <c r="AK57" s="1"/>
      <c r="AL57" s="1">
        <f t="shared" si="32"/>
        <v>5.9082113259121279E-2</v>
      </c>
      <c r="AM57" s="8">
        <f>AL57*(A57*9.80665)/(0.7*I57*B57*B57*$N$5)</f>
        <v>3.0877717450846099E-2</v>
      </c>
      <c r="AN57" s="1">
        <f>B57/$AI$5</f>
        <v>1</v>
      </c>
      <c r="AO57" s="1">
        <f>IF(B57&lt;0.4,1.3*(0.4-B57),0)</f>
        <v>0</v>
      </c>
      <c r="AP57" s="1">
        <f t="shared" si="33"/>
        <v>-0.43</v>
      </c>
      <c r="AQ57" s="1">
        <f t="shared" si="34"/>
        <v>0</v>
      </c>
      <c r="AR57" s="1">
        <f t="shared" si="59"/>
        <v>1</v>
      </c>
      <c r="AS57" s="1">
        <f t="shared" si="60"/>
        <v>0.30867472713898642</v>
      </c>
      <c r="AT57" s="1">
        <f>(((1+0.55*B57)/(1+0.55*$AI$5))/(AN57^2))</f>
        <v>1</v>
      </c>
      <c r="AU57" s="1">
        <f t="shared" si="61"/>
        <v>3.465254791234245E-2</v>
      </c>
      <c r="AV57" s="8">
        <f t="shared" si="62"/>
        <v>0.89106629414249094</v>
      </c>
      <c r="AW57" s="8">
        <f t="shared" si="36"/>
        <v>0.99489738252310433</v>
      </c>
      <c r="AX57" s="8"/>
      <c r="AY57" s="4"/>
      <c r="AZ57" s="1">
        <f t="shared" si="63"/>
        <v>0.30709967808161104</v>
      </c>
      <c r="BA57" s="14">
        <f t="shared" si="38"/>
        <v>0.29942218612957078</v>
      </c>
      <c r="BB57" s="1"/>
      <c r="BC57" s="14">
        <f t="shared" si="39"/>
        <v>5.0678990579834249</v>
      </c>
      <c r="BD57" s="14">
        <f>IF(0.7*(AM57*(B57^3)/BA57)*(I57*L57*$N$5/43000000)&lt;$AH$5*(1-0.178*(C57/100)+0.0085*((C57/100)^2)),$AH$5*(1-0.178*(C57/100)+0.0085*((C57/100)^2)),0.7*(AM57*(B57^3)/BA57)*(I57*L57*$N$5/43000000))</f>
        <v>0.58792615319731412</v>
      </c>
      <c r="BE57" s="4">
        <f t="shared" si="64"/>
        <v>2.6460715905155057E-3</v>
      </c>
      <c r="BF57" s="4"/>
      <c r="BG57" s="1">
        <f t="shared" si="65"/>
        <v>0.95642651765699627</v>
      </c>
      <c r="BH57" s="1">
        <f>0.6*$AN$5*(1-0.53*((B57-$AM$5)^2))*(1+((2/3)*AV57))</f>
        <v>5.3377812973737768</v>
      </c>
      <c r="BJ57" s="1">
        <f t="shared" si="66"/>
        <v>6.1490436917432651</v>
      </c>
      <c r="BK57" s="5">
        <f t="shared" si="67"/>
        <v>22.174164100665898</v>
      </c>
      <c r="BL57" s="5">
        <f t="shared" si="40"/>
        <v>1.527087153239244</v>
      </c>
      <c r="BM57" s="5">
        <f t="shared" si="77"/>
        <v>2.801144202292948</v>
      </c>
      <c r="BN57" s="1">
        <f t="shared" si="42"/>
        <v>1.1510999475561996</v>
      </c>
      <c r="BO57" s="1">
        <f t="shared" si="68"/>
        <v>3.1320612784474782</v>
      </c>
      <c r="BP57" s="9">
        <f>(1+0.2*B57*B57)*K57</f>
        <v>241.39576084115677</v>
      </c>
      <c r="BQ57" s="9">
        <f t="shared" si="53"/>
        <v>676.18433593830139</v>
      </c>
      <c r="BR57" s="9">
        <f t="shared" si="54"/>
        <v>1288.5177774832398</v>
      </c>
      <c r="BS57" s="9">
        <f t="shared" si="46"/>
        <v>756.06631531195512</v>
      </c>
      <c r="BU57" s="9">
        <f>((1+0.2*B57*B57)^3.5)*I57</f>
        <v>33093.592848357264</v>
      </c>
      <c r="BV57" s="9">
        <f t="shared" si="47"/>
        <v>733822.75850009732</v>
      </c>
      <c r="BX57" s="3">
        <f t="shared" si="69"/>
        <v>2.0663940517172942E-2</v>
      </c>
      <c r="BZ57" s="3">
        <f t="shared" si="70"/>
        <v>3.4462418519633713E-2</v>
      </c>
      <c r="CA57" s="8"/>
      <c r="CB57" s="14">
        <f>$CB$12*($AO$5/K57)/($AN$5*(1-0.53*((B57-$AM$5)^2))*(1+0.2*B57*B57))</f>
        <v>1.3618516065648456</v>
      </c>
      <c r="CC57" s="1">
        <f t="shared" si="48"/>
        <v>1.904629016412114</v>
      </c>
      <c r="CD57" s="3">
        <f t="shared" si="71"/>
        <v>6.6000248246458462E-2</v>
      </c>
      <c r="CE57" s="6">
        <f t="shared" si="72"/>
        <v>1.9151368673924385</v>
      </c>
      <c r="CF57" s="22" t="str">
        <f t="shared" si="49"/>
        <v/>
      </c>
      <c r="CG57" s="22"/>
      <c r="CH57" s="7">
        <f t="shared" si="73"/>
        <v>1.0439430325896863</v>
      </c>
      <c r="CI57" s="23">
        <f>CH57*(0.7*I57*B57*B57)*$N$5/9.80665</f>
        <v>117453.22828477547</v>
      </c>
      <c r="CK57" s="1">
        <f>B57/$AI$5</f>
        <v>1</v>
      </c>
      <c r="CL57" s="14">
        <f t="shared" si="50"/>
        <v>1.4515200000000053</v>
      </c>
      <c r="CM57" s="1">
        <f t="shared" si="74"/>
        <v>0.8569758833631711</v>
      </c>
      <c r="CN57" s="14">
        <f>SQRT((A57*9.80665)/(0.7*I57*$N$5*CM57))</f>
        <v>0.5878035435223472</v>
      </c>
      <c r="CO57" s="1">
        <f t="shared" si="75"/>
        <v>0.60984654487003043</v>
      </c>
      <c r="CP57" s="29" t="str">
        <f>IF(C57&lt;30,"",IF(CO57&gt;1,"no",""))</f>
        <v/>
      </c>
      <c r="CQ57" s="22"/>
      <c r="CR57" s="23">
        <f>CM57*(0.7*I57*B57*B57)*$N$5/9.80665</f>
        <v>96417.698017017319</v>
      </c>
      <c r="CS57"/>
      <c r="CT57" s="6">
        <f t="shared" si="76"/>
        <v>0.87804878048780499</v>
      </c>
      <c r="CU57" s="22" t="str">
        <f t="shared" si="52"/>
        <v/>
      </c>
      <c r="CV57" s="5"/>
      <c r="CW57" s="6">
        <f>IF(C57&lt;100,SQRT(2)*SQRT(SQRT(1+(2/1.4)*(10510/I57))-1),IF(I57&gt;$AW$5,SQRT(2)*SQRT(SQRT(1+(2/1.4)*($AV$5/I57))-1),$AS$5))</f>
        <v>0.82</v>
      </c>
      <c r="CX57" s="22" t="str">
        <f>IF(B57&gt;CW57,"no","")</f>
        <v/>
      </c>
    </row>
    <row r="58" spans="1:102" x14ac:dyDescent="0.2">
      <c r="A58">
        <v>58800</v>
      </c>
      <c r="B58" s="1">
        <v>0.75270000000000004</v>
      </c>
      <c r="C58" s="5">
        <v>360.5</v>
      </c>
      <c r="D58" s="1">
        <v>0</v>
      </c>
      <c r="E58" s="1">
        <v>0</v>
      </c>
      <c r="G58">
        <f t="shared" si="1"/>
        <v>36050</v>
      </c>
      <c r="H58" s="9">
        <f t="shared" si="2"/>
        <v>10988.040000043951</v>
      </c>
      <c r="I58" s="5">
        <f t="shared" si="17"/>
        <v>22674.748117490271</v>
      </c>
      <c r="J58" s="5">
        <v>0</v>
      </c>
      <c r="K58" s="6">
        <f t="shared" si="18"/>
        <v>216.72773999971429</v>
      </c>
      <c r="L58" s="5">
        <f t="shared" si="19"/>
        <v>295.12095295604678</v>
      </c>
      <c r="M58" s="10">
        <f t="shared" si="20"/>
        <v>1.4220402993815521E-5</v>
      </c>
      <c r="O58" s="6">
        <f>B58*L58</f>
        <v>222.13754129001643</v>
      </c>
      <c r="P58" s="1">
        <f>IF(E58=0,0,E58/9.80665)</f>
        <v>0</v>
      </c>
      <c r="Q58" s="7">
        <f>IF(D58=0,0,(D58/O58))</f>
        <v>0</v>
      </c>
      <c r="R58" s="19">
        <f t="shared" si="21"/>
        <v>1</v>
      </c>
      <c r="S58" s="19">
        <f t="shared" si="22"/>
        <v>0</v>
      </c>
      <c r="T58" s="19">
        <f t="shared" si="23"/>
        <v>0</v>
      </c>
      <c r="U58" s="19"/>
      <c r="V58" s="19"/>
      <c r="W58" s="6"/>
      <c r="X58" s="1">
        <f>(A58*9.80665*R58)/(0.7*I58*B58*B58*$N$5)</f>
        <v>0.52388050847247924</v>
      </c>
      <c r="Y58" s="10">
        <f>(SQRT($N$5)*B58)*(I58/M58)*SQRT(1.4/(287.05*K58))</f>
        <v>62989938.357594319</v>
      </c>
      <c r="Z58" s="10">
        <f t="shared" si="24"/>
        <v>2.1769793741908548E-3</v>
      </c>
      <c r="AA58" s="3">
        <f t="shared" si="55"/>
        <v>1.8276367971578018E-2</v>
      </c>
      <c r="AB58" s="3">
        <f t="shared" si="56"/>
        <v>7.597952339599633E-3</v>
      </c>
      <c r="AC58" s="3">
        <f>IF($E$5="no",(1/((1+0.03+$Q$5)+AB58*3.141593*$S$5)),(1.075/((1+0.03+$Q$5)+AB58*3.141593*$S$5)))</f>
        <v>0.77905907494883353</v>
      </c>
      <c r="AD58" s="3">
        <f t="shared" si="57"/>
        <v>4.3008307126162652E-2</v>
      </c>
      <c r="AE58" s="1">
        <f t="shared" si="58"/>
        <v>0.68580492260407699</v>
      </c>
      <c r="AF58" s="1">
        <f>B58*$R$5/AE58</f>
        <v>0.99471122692930869</v>
      </c>
      <c r="AG58" s="8">
        <f t="shared" si="29"/>
        <v>8.6238917797996537E-4</v>
      </c>
      <c r="AH58" s="8"/>
      <c r="AI58" s="3">
        <f t="shared" si="30"/>
        <v>3.0942420894639826E-2</v>
      </c>
      <c r="AJ58" s="1">
        <f t="shared" si="31"/>
        <v>16.93081838219166</v>
      </c>
      <c r="AK58" s="1"/>
      <c r="AL58" s="1">
        <f t="shared" si="32"/>
        <v>5.9063890322740092E-2</v>
      </c>
      <c r="AM58" s="8">
        <f>AL58*(A58*9.80665)/(0.7*I58*B58*B58*$N$5)</f>
        <v>3.0942420894639826E-2</v>
      </c>
      <c r="AN58" s="1">
        <f>B58/$AI$5</f>
        <v>1</v>
      </c>
      <c r="AO58" s="1">
        <f>IF(B58&lt;0.4,1.3*(0.4-B58),0)</f>
        <v>0</v>
      </c>
      <c r="AP58" s="1">
        <f t="shared" si="33"/>
        <v>-0.43</v>
      </c>
      <c r="AQ58" s="1">
        <f t="shared" si="34"/>
        <v>0</v>
      </c>
      <c r="AR58" s="1">
        <f t="shared" si="59"/>
        <v>1</v>
      </c>
      <c r="AS58" s="1">
        <f t="shared" si="60"/>
        <v>0.30867472713898642</v>
      </c>
      <c r="AT58" s="1">
        <f>(((1+0.55*B58)/(1+0.55*$AI$5))/(AN58^2))</f>
        <v>1</v>
      </c>
      <c r="AU58" s="1">
        <f t="shared" si="61"/>
        <v>3.465254791234245E-2</v>
      </c>
      <c r="AV58" s="8">
        <f t="shared" si="62"/>
        <v>0.89293350009679484</v>
      </c>
      <c r="AW58" s="8">
        <f t="shared" si="36"/>
        <v>0.99507080877734511</v>
      </c>
      <c r="AX58" s="8"/>
      <c r="AY58" s="4"/>
      <c r="AZ58" s="1">
        <f t="shared" si="63"/>
        <v>0.30715321038331755</v>
      </c>
      <c r="BA58" s="14">
        <f t="shared" si="38"/>
        <v>0.29947438012373462</v>
      </c>
      <c r="BB58" s="1"/>
      <c r="BC58" s="14">
        <f t="shared" si="39"/>
        <v>5.0703463399943791</v>
      </c>
      <c r="BD58" s="14">
        <f>IF(0.7*(AM58*(B58^3)/BA58)*(I58*L58*$N$5/43000000)&lt;$AH$5*(1-0.178*(C58/100)+0.0085*((C58/100)^2)),$AH$5*(1-0.178*(C58/100)+0.0085*((C58/100)^2)),0.7*(AM58*(B58^3)/BA58)*(I58*L58*$N$5/43000000))</f>
        <v>0.58750813026542525</v>
      </c>
      <c r="BE58" s="4">
        <f t="shared" si="64"/>
        <v>2.6447944226518265E-3</v>
      </c>
      <c r="BF58" s="4"/>
      <c r="BG58" s="1">
        <f t="shared" si="65"/>
        <v>0.95717340003871787</v>
      </c>
      <c r="BH58" s="1">
        <f>0.6*$AN$5*(1-0.53*((B58-$AM$5)^2))*(1+((2/3)*AV58))</f>
        <v>5.3419496205380677</v>
      </c>
      <c r="BJ58" s="1">
        <f t="shared" si="66"/>
        <v>6.1436221153254786</v>
      </c>
      <c r="BK58" s="5">
        <f t="shared" si="67"/>
        <v>22.217479486689982</v>
      </c>
      <c r="BL58" s="5">
        <f t="shared" si="40"/>
        <v>1.5282796698299612</v>
      </c>
      <c r="BM58" s="5">
        <f t="shared" si="77"/>
        <v>2.8029617464997649</v>
      </c>
      <c r="BN58" s="1">
        <f t="shared" si="42"/>
        <v>1.1513986494828046</v>
      </c>
      <c r="BO58" s="1">
        <f t="shared" si="68"/>
        <v>3.1339405153281024</v>
      </c>
      <c r="BP58" s="9">
        <f>(1+0.2*B58*B58)*K58</f>
        <v>241.28547620812685</v>
      </c>
      <c r="BQ58" s="9">
        <f t="shared" si="53"/>
        <v>676.31395979735873</v>
      </c>
      <c r="BR58" s="9">
        <f t="shared" si="54"/>
        <v>1288.9348580713502</v>
      </c>
      <c r="BS58" s="9">
        <f t="shared" si="46"/>
        <v>756.1743296488836</v>
      </c>
      <c r="BU58" s="9">
        <f>((1+0.2*B58*B58)^3.5)*I58</f>
        <v>33014.205259243856</v>
      </c>
      <c r="BV58" s="9">
        <f t="shared" si="47"/>
        <v>733492.42811662285</v>
      </c>
      <c r="BX58" s="3">
        <f t="shared" si="69"/>
        <v>2.0673730942959594E-2</v>
      </c>
      <c r="BZ58" s="3">
        <f t="shared" si="70"/>
        <v>3.4536563020619776E-2</v>
      </c>
      <c r="CA58" s="8"/>
      <c r="CB58" s="14">
        <f>$CB$12*($AO$5/K58)/($AN$5*(1-0.53*((B58-$AM$5)^2))*(1+0.2*B58*B58))</f>
        <v>1.3624740696613882</v>
      </c>
      <c r="CC58" s="1">
        <f t="shared" si="48"/>
        <v>1.9061851741534706</v>
      </c>
      <c r="CD58" s="3">
        <f t="shared" si="71"/>
        <v>6.6054173077149975E-2</v>
      </c>
      <c r="CE58" s="6">
        <f t="shared" si="72"/>
        <v>1.9125867573363586</v>
      </c>
      <c r="CF58" s="22" t="str">
        <f t="shared" si="49"/>
        <v/>
      </c>
      <c r="CG58" s="22"/>
      <c r="CH58" s="7">
        <f t="shared" si="73"/>
        <v>1.0444354671511134</v>
      </c>
      <c r="CI58" s="23">
        <f>CH58*(0.7*I58*B58*B58)*$N$5/9.80665</f>
        <v>117226.7425019338</v>
      </c>
      <c r="CK58" s="1">
        <f>B58/$AI$5</f>
        <v>1</v>
      </c>
      <c r="CL58" s="14">
        <f t="shared" si="50"/>
        <v>1.4515200000000053</v>
      </c>
      <c r="CM58" s="1">
        <f t="shared" si="74"/>
        <v>0.8569758833631711</v>
      </c>
      <c r="CN58" s="14">
        <f>SQRT((A58*9.80665)/(0.7*I58*$N$5*CM58))</f>
        <v>0.58850984989380595</v>
      </c>
      <c r="CO58" s="1">
        <f t="shared" si="75"/>
        <v>0.61131301200277532</v>
      </c>
      <c r="CP58" s="29" t="str">
        <f>IF(C58&lt;30,"",IF(CO58&gt;1,"no",""))</f>
        <v/>
      </c>
      <c r="CQ58" s="22"/>
      <c r="CR58" s="23">
        <f>CM58*(0.7*I58*B58*B58)*$N$5/9.80665</f>
        <v>96186.403438984969</v>
      </c>
      <c r="CS58"/>
      <c r="CT58" s="6">
        <f t="shared" si="76"/>
        <v>0.87926829268292694</v>
      </c>
      <c r="CU58" s="22" t="str">
        <f t="shared" si="52"/>
        <v/>
      </c>
      <c r="CV58" s="5"/>
      <c r="CW58" s="6">
        <f>IF(C58&lt;100,SQRT(2)*SQRT(SQRT(1+(2/1.4)*(10510/I58))-1),IF(I58&gt;$AW$5,SQRT(2)*SQRT(SQRT(1+(2/1.4)*($AV$5/I58))-1),$AS$5))</f>
        <v>0.82</v>
      </c>
      <c r="CX58" s="22" t="str">
        <f>IF(B58&gt;CW58,"no","")</f>
        <v/>
      </c>
    </row>
    <row r="59" spans="1:102" x14ac:dyDescent="0.2">
      <c r="A59">
        <v>58800</v>
      </c>
      <c r="B59" s="1">
        <v>0.75270000000000004</v>
      </c>
      <c r="C59" s="5">
        <v>361</v>
      </c>
      <c r="D59" s="1">
        <v>0</v>
      </c>
      <c r="E59" s="1">
        <v>0</v>
      </c>
      <c r="G59">
        <f t="shared" si="1"/>
        <v>36100</v>
      </c>
      <c r="H59" s="9">
        <f t="shared" si="2"/>
        <v>11003.280000044013</v>
      </c>
      <c r="I59" s="5">
        <f t="shared" si="17"/>
        <v>22620.337319918799</v>
      </c>
      <c r="J59" s="5">
        <v>0</v>
      </c>
      <c r="K59" s="6">
        <f t="shared" si="18"/>
        <v>216.65</v>
      </c>
      <c r="L59" s="5">
        <f t="shared" si="19"/>
        <v>295.06801842964956</v>
      </c>
      <c r="M59" s="10">
        <f t="shared" si="20"/>
        <v>1.4216130796413355E-5</v>
      </c>
      <c r="O59" s="6">
        <f>B59*L59</f>
        <v>222.09769747199724</v>
      </c>
      <c r="P59" s="1">
        <f>IF(E59=0,0,E59/9.80665)</f>
        <v>0</v>
      </c>
      <c r="Q59" s="7">
        <f>IF(D59=0,0,(D59/O59))</f>
        <v>0</v>
      </c>
      <c r="R59" s="19">
        <f t="shared" si="21"/>
        <v>1</v>
      </c>
      <c r="S59" s="19">
        <f t="shared" si="22"/>
        <v>0</v>
      </c>
      <c r="T59" s="19">
        <f t="shared" si="23"/>
        <v>0</v>
      </c>
      <c r="U59" s="19"/>
      <c r="V59" s="19"/>
      <c r="W59" s="6"/>
      <c r="X59" s="1">
        <f>(A59*9.80665*R59)/(0.7*I59*B59*B59*$N$5)</f>
        <v>0.5251406468999037</v>
      </c>
      <c r="Y59" s="10">
        <f>(SQRT($N$5)*B59)*(I59/M59)*SQRT(1.4/(287.05*K59))</f>
        <v>62868947.073208407</v>
      </c>
      <c r="Z59" s="10">
        <f t="shared" si="24"/>
        <v>2.1775654329160843E-3</v>
      </c>
      <c r="AA59" s="3">
        <f t="shared" si="55"/>
        <v>1.8281288103133803E-2</v>
      </c>
      <c r="AB59" s="3">
        <f t="shared" si="56"/>
        <v>7.5999977637847644E-3</v>
      </c>
      <c r="AC59" s="3">
        <f>IF($E$5="no",(1/((1+0.03+$Q$5)+AB59*3.141593*$S$5)),(1.075/((1+0.03+$Q$5)+AB59*3.141593*$S$5)))</f>
        <v>0.7790220255832957</v>
      </c>
      <c r="AD59" s="3">
        <f t="shared" si="57"/>
        <v>4.3010352550347783E-2</v>
      </c>
      <c r="AE59" s="1">
        <f t="shared" si="58"/>
        <v>0.68565150794760688</v>
      </c>
      <c r="AF59" s="1">
        <f>B59*$R$5/AE59</f>
        <v>0.99493379375720514</v>
      </c>
      <c r="AG59" s="8">
        <f t="shared" si="29"/>
        <v>8.654431865760629E-4</v>
      </c>
      <c r="AH59" s="8"/>
      <c r="AI59" s="3">
        <f t="shared" si="30"/>
        <v>3.1007812298598402E-2</v>
      </c>
      <c r="AJ59" s="1">
        <f t="shared" si="31"/>
        <v>16.93575289488065</v>
      </c>
      <c r="AK59" s="1"/>
      <c r="AL59" s="1">
        <f t="shared" si="32"/>
        <v>5.9046681078009859E-2</v>
      </c>
      <c r="AM59" s="8">
        <f>AL59*(A59*9.80665)/(0.7*I59*B59*B59*$N$5)</f>
        <v>3.1007812298598399E-2</v>
      </c>
      <c r="AN59" s="1">
        <f>B59/$AI$5</f>
        <v>1</v>
      </c>
      <c r="AO59" s="1">
        <f>IF(B59&lt;0.4,1.3*(0.4-B59),0)</f>
        <v>0</v>
      </c>
      <c r="AP59" s="1">
        <f t="shared" si="33"/>
        <v>-0.43</v>
      </c>
      <c r="AQ59" s="1">
        <f t="shared" si="34"/>
        <v>0</v>
      </c>
      <c r="AR59" s="1">
        <f t="shared" si="59"/>
        <v>1</v>
      </c>
      <c r="AS59" s="1">
        <f t="shared" si="60"/>
        <v>0.30867472713898642</v>
      </c>
      <c r="AT59" s="1">
        <f>(((1+0.55*B59)/(1+0.55*$AI$5))/(AN59^2))</f>
        <v>1</v>
      </c>
      <c r="AU59" s="1">
        <f t="shared" si="61"/>
        <v>3.465254791234245E-2</v>
      </c>
      <c r="AV59" s="8">
        <f t="shared" si="62"/>
        <v>0.89482055914145697</v>
      </c>
      <c r="AW59" s="8">
        <f t="shared" si="36"/>
        <v>0.99524303264489422</v>
      </c>
      <c r="AX59" s="8"/>
      <c r="AY59" s="4"/>
      <c r="AZ59" s="1">
        <f t="shared" si="63"/>
        <v>0.30720637153864006</v>
      </c>
      <c r="BA59" s="14">
        <f t="shared" si="38"/>
        <v>0.29952621225017406</v>
      </c>
      <c r="BB59" s="1"/>
      <c r="BC59" s="14">
        <f t="shared" si="39"/>
        <v>5.0727019162085218</v>
      </c>
      <c r="BD59" s="14">
        <f>IF(0.7*(AM59*(B59^3)/BA59)*(I59*L59*$N$5/43000000)&lt;$AH$5*(1-0.178*(C59/100)+0.0085*((C59/100)^2)),$AH$5*(1-0.178*(C59/100)+0.0085*((C59/100)^2)),0.7*(AM59*(B59^3)/BA59)*(I59*L59*$N$5/43000000))</f>
        <v>0.58712998332248933</v>
      </c>
      <c r="BE59" s="4">
        <f t="shared" si="64"/>
        <v>2.6435662773879793E-3</v>
      </c>
      <c r="BF59" s="4"/>
      <c r="BG59" s="1">
        <f t="shared" si="65"/>
        <v>0.9579282236565827</v>
      </c>
      <c r="BH59" s="1">
        <f>0.6*$AN$5*(1-0.53*((B59-$AM$5)^2))*(1+((2/3)*AV59))</f>
        <v>5.3461622634498571</v>
      </c>
      <c r="BJ59" s="1">
        <f t="shared" si="66"/>
        <v>6.1381520413412733</v>
      </c>
      <c r="BK59" s="5">
        <f t="shared" si="67"/>
        <v>22.261306964256196</v>
      </c>
      <c r="BL59" s="5">
        <f t="shared" si="40"/>
        <v>1.5294848658680498</v>
      </c>
      <c r="BM59" s="5">
        <f t="shared" si="77"/>
        <v>2.8047983722029679</v>
      </c>
      <c r="BN59" s="1">
        <f t="shared" si="42"/>
        <v>1.1517003693062233</v>
      </c>
      <c r="BO59" s="1">
        <f t="shared" si="68"/>
        <v>3.1358422511903328</v>
      </c>
      <c r="BP59" s="9">
        <f>(1+0.2*B59*B59)*K59</f>
        <v>241.19892737570004</v>
      </c>
      <c r="BQ59" s="9">
        <f t="shared" si="53"/>
        <v>676.51435888046535</v>
      </c>
      <c r="BR59" s="9">
        <f t="shared" si="54"/>
        <v>1289.4886035205502</v>
      </c>
      <c r="BS59" s="9">
        <f t="shared" si="46"/>
        <v>756.36178740650882</v>
      </c>
      <c r="BU59" s="9">
        <f>((1+0.2*B59*B59)^3.5)*I59</f>
        <v>32934.983685092913</v>
      </c>
      <c r="BV59" s="9">
        <f t="shared" si="47"/>
        <v>733175.78167662304</v>
      </c>
      <c r="BX59" s="3">
        <f t="shared" si="69"/>
        <v>2.06859804080659E-2</v>
      </c>
      <c r="BZ59" s="3">
        <f t="shared" si="70"/>
        <v>3.4611246080150142E-2</v>
      </c>
      <c r="CA59" s="8"/>
      <c r="CB59" s="14">
        <f>$CB$12*($AO$5/K59)/($AN$5*(1-0.53*((B59-$AM$5)^2))*(1+0.2*B59*B59))</f>
        <v>1.3629629629629629</v>
      </c>
      <c r="CC59" s="1">
        <f t="shared" si="48"/>
        <v>1.9074074074074074</v>
      </c>
      <c r="CD59" s="3">
        <f t="shared" si="71"/>
        <v>6.6096526573542078E-2</v>
      </c>
      <c r="CE59" s="6">
        <f t="shared" si="72"/>
        <v>1.9096835294655579</v>
      </c>
      <c r="CF59" s="22" t="str">
        <f t="shared" si="49"/>
        <v/>
      </c>
      <c r="CG59" s="22"/>
      <c r="CH59" s="7">
        <f t="shared" si="73"/>
        <v>1.0447932310562431</v>
      </c>
      <c r="CI59" s="23">
        <f>CH59*(0.7*I59*B59*B59)*$N$5/9.80665</f>
        <v>116985.50159614079</v>
      </c>
      <c r="CK59" s="1">
        <f>B59/$AI$5</f>
        <v>1</v>
      </c>
      <c r="CL59" s="14">
        <f t="shared" si="50"/>
        <v>1.4515200000000053</v>
      </c>
      <c r="CM59" s="1">
        <f t="shared" si="74"/>
        <v>0.8569758833631711</v>
      </c>
      <c r="CN59" s="14">
        <f>SQRT((A59*9.80665)/(0.7*I59*$N$5*CM59))</f>
        <v>0.58921722346294025</v>
      </c>
      <c r="CO59" s="1">
        <f t="shared" si="75"/>
        <v>0.61278345994873051</v>
      </c>
      <c r="CP59" s="29" t="str">
        <f>IF(C59&lt;30,"",IF(CO59&gt;1,"no",""))</f>
        <v/>
      </c>
      <c r="CQ59" s="22"/>
      <c r="CR59" s="23">
        <f>CM59*(0.7*I59*B59*B59)*$N$5/9.80665</f>
        <v>95955.592543114006</v>
      </c>
      <c r="CS59"/>
      <c r="CT59" s="6">
        <f t="shared" si="76"/>
        <v>0.8804878048780489</v>
      </c>
      <c r="CU59" s="22" t="str">
        <f t="shared" si="52"/>
        <v/>
      </c>
      <c r="CV59" s="5"/>
      <c r="CW59" s="6">
        <f>IF(C59&lt;100,SQRT(2)*SQRT(SQRT(1+(2/1.4)*(10510/I59))-1),IF(I59&gt;$AW$5,SQRT(2)*SQRT(SQRT(1+(2/1.4)*($AV$5/I59))-1),$AS$5))</f>
        <v>0.82</v>
      </c>
      <c r="CX59" s="22" t="str">
        <f>IF(B59&gt;CW59,"no","")</f>
        <v/>
      </c>
    </row>
    <row r="60" spans="1:102" x14ac:dyDescent="0.2">
      <c r="A60">
        <v>58800</v>
      </c>
      <c r="B60" s="1">
        <v>0.75270000000000004</v>
      </c>
      <c r="C60" s="5">
        <v>361.5</v>
      </c>
      <c r="D60" s="1">
        <v>0</v>
      </c>
      <c r="E60" s="1">
        <v>0</v>
      </c>
      <c r="G60">
        <f t="shared" si="1"/>
        <v>36150</v>
      </c>
      <c r="H60" s="9">
        <f t="shared" si="2"/>
        <v>11018.520000044073</v>
      </c>
      <c r="I60" s="5">
        <f t="shared" si="17"/>
        <v>22566.042000181631</v>
      </c>
      <c r="J60" s="5">
        <v>0</v>
      </c>
      <c r="K60" s="6">
        <f t="shared" si="18"/>
        <v>216.65</v>
      </c>
      <c r="L60" s="5">
        <f t="shared" si="19"/>
        <v>295.06801842964956</v>
      </c>
      <c r="M60" s="10">
        <f t="shared" si="20"/>
        <v>1.4216130796413355E-5</v>
      </c>
      <c r="O60" s="6">
        <f>B60*L60</f>
        <v>222.09769747199724</v>
      </c>
      <c r="P60" s="1">
        <f>IF(E60=0,0,E60/9.80665)</f>
        <v>0</v>
      </c>
      <c r="Q60" s="7">
        <f>IF(D60=0,0,(D60/O60))</f>
        <v>0</v>
      </c>
      <c r="R60" s="19">
        <f t="shared" si="21"/>
        <v>1</v>
      </c>
      <c r="S60" s="19">
        <f t="shared" si="22"/>
        <v>0</v>
      </c>
      <c r="T60" s="19">
        <f t="shared" si="23"/>
        <v>0</v>
      </c>
      <c r="U60" s="19"/>
      <c r="V60" s="19"/>
      <c r="W60" s="6"/>
      <c r="X60" s="1">
        <f>(A60*9.80665*R60)/(0.7*I60*B60*B60*$N$5)</f>
        <v>0.52640416840403748</v>
      </c>
      <c r="Y60" s="10">
        <f>(SQRT($N$5)*B60)*(I60/M60)*SQRT(1.4/(287.05*K60))</f>
        <v>62718043.506448902</v>
      </c>
      <c r="Z60" s="10">
        <f t="shared" si="24"/>
        <v>2.1782981855115809E-3</v>
      </c>
      <c r="AA60" s="3">
        <f t="shared" si="55"/>
        <v>1.8287439771921387E-2</v>
      </c>
      <c r="AB60" s="3">
        <f t="shared" si="56"/>
        <v>7.6025551694098728E-3</v>
      </c>
      <c r="AC60" s="3">
        <f>IF($E$5="no",(1/((1+0.03+$Q$5)+AB60*3.141593*$S$5)),(1.075/((1+0.03+$Q$5)+AB60*3.141593*$S$5)))</f>
        <v>0.77897570750548251</v>
      </c>
      <c r="AD60" s="3">
        <f t="shared" si="57"/>
        <v>4.3012909955972893E-2</v>
      </c>
      <c r="AE60" s="1">
        <f t="shared" si="58"/>
        <v>0.6854976814208692</v>
      </c>
      <c r="AF60" s="1">
        <f>B60*$R$5/AE60</f>
        <v>0.99515705812990207</v>
      </c>
      <c r="AG60" s="8">
        <f t="shared" si="29"/>
        <v>8.6851219019723122E-4</v>
      </c>
      <c r="AH60" s="8"/>
      <c r="AI60" s="3">
        <f t="shared" si="30"/>
        <v>3.107488731439324E-2</v>
      </c>
      <c r="AJ60" s="1">
        <f t="shared" si="31"/>
        <v>16.939857676015386</v>
      </c>
      <c r="AK60" s="1"/>
      <c r="AL60" s="1">
        <f t="shared" si="32"/>
        <v>5.9032373183150688E-2</v>
      </c>
      <c r="AM60" s="8">
        <f>AL60*(A60*9.80665)/(0.7*I60*B60*B60*$N$5)</f>
        <v>3.1074887314393236E-2</v>
      </c>
      <c r="AN60" s="1">
        <f>B60/$AI$5</f>
        <v>1</v>
      </c>
      <c r="AO60" s="1">
        <f>IF(B60&lt;0.4,1.3*(0.4-B60),0)</f>
        <v>0</v>
      </c>
      <c r="AP60" s="1">
        <f t="shared" si="33"/>
        <v>-0.43</v>
      </c>
      <c r="AQ60" s="1">
        <f t="shared" si="34"/>
        <v>0</v>
      </c>
      <c r="AR60" s="1">
        <f t="shared" si="59"/>
        <v>1</v>
      </c>
      <c r="AS60" s="1">
        <f t="shared" si="60"/>
        <v>0.30867472713898642</v>
      </c>
      <c r="AT60" s="1">
        <f>(((1+0.55*B60)/(1+0.55*$AI$5))/(AN60^2))</f>
        <v>1</v>
      </c>
      <c r="AU60" s="1">
        <f t="shared" si="61"/>
        <v>3.465254791234245E-2</v>
      </c>
      <c r="AV60" s="8">
        <f t="shared" si="62"/>
        <v>0.89675620369967279</v>
      </c>
      <c r="AW60" s="8">
        <f t="shared" si="36"/>
        <v>0.99541650896596356</v>
      </c>
      <c r="AX60" s="8"/>
      <c r="AY60" s="4"/>
      <c r="AZ60" s="1">
        <f t="shared" si="63"/>
        <v>0.30725991929471125</v>
      </c>
      <c r="BA60" s="14">
        <f t="shared" si="38"/>
        <v>0.29957842131234347</v>
      </c>
      <c r="BB60" s="1"/>
      <c r="BC60" s="14">
        <f t="shared" si="39"/>
        <v>5.0748158198364726</v>
      </c>
      <c r="BD60" s="14">
        <f>IF(0.7*(AM60*(B60^3)/BA60)*(I60*L60*$N$5/43000000)&lt;$AH$5*(1-0.178*(C60/100)+0.0085*((C60/100)^2)),$AH$5*(1-0.178*(C60/100)+0.0085*((C60/100)^2)),0.7*(AM60*(B60^3)/BA60)*(I60*L60*$N$5/43000000))</f>
        <v>0.58688541558921858</v>
      </c>
      <c r="BE60" s="4">
        <f t="shared" si="64"/>
        <v>2.6424651055340855E-3</v>
      </c>
      <c r="BF60" s="4"/>
      <c r="BG60" s="1">
        <f t="shared" si="65"/>
        <v>0.95870248147986903</v>
      </c>
      <c r="BH60" s="1">
        <f>0.6*$AN$5*(1-0.53*((B60-$AM$5)^2))*(1+((2/3)*AV60))</f>
        <v>5.3504833679489323</v>
      </c>
      <c r="BJ60" s="1">
        <f t="shared" si="66"/>
        <v>6.1325506614000247</v>
      </c>
      <c r="BK60" s="5">
        <f t="shared" si="67"/>
        <v>22.306316706280519</v>
      </c>
      <c r="BL60" s="5">
        <f t="shared" si="40"/>
        <v>1.5307210917080984</v>
      </c>
      <c r="BM60" s="5">
        <f t="shared" si="77"/>
        <v>2.8066820307736986</v>
      </c>
      <c r="BN60" s="1">
        <f t="shared" si="42"/>
        <v>1.1520096925526955</v>
      </c>
      <c r="BO60" s="1">
        <f t="shared" si="68"/>
        <v>3.1377955727448885</v>
      </c>
      <c r="BP60" s="9">
        <f>(1+0.2*B60*B60)*K60</f>
        <v>241.19892737570004</v>
      </c>
      <c r="BQ60" s="9">
        <f t="shared" si="53"/>
        <v>676.96869530726758</v>
      </c>
      <c r="BR60" s="9">
        <f t="shared" si="54"/>
        <v>1290.5308492908055</v>
      </c>
      <c r="BS60" s="9">
        <f t="shared" si="46"/>
        <v>756.83292647028748</v>
      </c>
      <c r="BU60" s="9">
        <f>((1+0.2*B60*B60)^3.5)*I60</f>
        <v>32855.930245507559</v>
      </c>
      <c r="BV60" s="9">
        <f t="shared" si="47"/>
        <v>732894.78573575267</v>
      </c>
      <c r="BX60" s="3">
        <f t="shared" si="69"/>
        <v>2.0706994257944009E-2</v>
      </c>
      <c r="BZ60" s="3">
        <f t="shared" si="70"/>
        <v>3.4686991184803249E-2</v>
      </c>
      <c r="CA60" s="10"/>
      <c r="CB60" s="14">
        <f>$CB$12*($AO$5/K60)/($AN$5*(1-0.53*((B60-$AM$5)^2))*(1+0.2*B60*B60))</f>
        <v>1.3629629629629629</v>
      </c>
      <c r="CC60" s="1">
        <f t="shared" si="48"/>
        <v>1.9074074074074074</v>
      </c>
      <c r="CD60" s="3">
        <f t="shared" si="71"/>
        <v>6.6096526573542078E-2</v>
      </c>
      <c r="CE60" s="6">
        <f t="shared" si="72"/>
        <v>1.9055134018801749</v>
      </c>
      <c r="CF60" s="22" t="str">
        <f t="shared" si="49"/>
        <v/>
      </c>
      <c r="CG60" s="22"/>
      <c r="CH60" s="7">
        <f t="shared" si="73"/>
        <v>1.0446595729086283</v>
      </c>
      <c r="CI60" s="23">
        <f>CH60*(0.7*I60*B60*B60)*$N$5/9.80665</f>
        <v>116689.77294245191</v>
      </c>
      <c r="CK60" s="1">
        <f>B60/$AI$5</f>
        <v>1</v>
      </c>
      <c r="CL60" s="14">
        <f t="shared" si="50"/>
        <v>1.4515200000000053</v>
      </c>
      <c r="CM60" s="1">
        <f t="shared" si="74"/>
        <v>0.8569758833631711</v>
      </c>
      <c r="CN60" s="14">
        <f>SQRT((A60*9.80665)/(0.7*I60*$N$5*CM60))</f>
        <v>0.5899256444860812</v>
      </c>
      <c r="CO60" s="1">
        <f t="shared" si="75"/>
        <v>0.61425785558653434</v>
      </c>
      <c r="CP60" s="29" t="str">
        <f>IF(C60&lt;30,"",IF(CO60&gt;1,"no",""))</f>
        <v/>
      </c>
      <c r="CQ60" s="22"/>
      <c r="CR60" s="23">
        <f>CM60*(0.7*I60*B60*B60)*$N$5/9.80665</f>
        <v>95725.271504837059</v>
      </c>
      <c r="CS60"/>
      <c r="CT60" s="6">
        <f t="shared" si="76"/>
        <v>0.88170731707317085</v>
      </c>
      <c r="CU60" s="22" t="str">
        <f t="shared" si="52"/>
        <v/>
      </c>
      <c r="CV60" s="5"/>
      <c r="CW60" s="6">
        <f>IF(C60&lt;100,SQRT(2)*SQRT(SQRT(1+(2/1.4)*(10510/I60))-1),IF(I60&gt;$AW$5,SQRT(2)*SQRT(SQRT(1+(2/1.4)*($AV$5/I60))-1),$AS$5))</f>
        <v>0.82</v>
      </c>
      <c r="CX60" s="22" t="str">
        <f>IF(B60&gt;CW60,"no","")</f>
        <v/>
      </c>
    </row>
    <row r="61" spans="1:102" x14ac:dyDescent="0.2">
      <c r="A61">
        <v>58800</v>
      </c>
      <c r="B61" s="1">
        <v>0.75270000000000004</v>
      </c>
      <c r="C61" s="5">
        <v>362</v>
      </c>
      <c r="D61" s="1">
        <v>0</v>
      </c>
      <c r="E61" s="1">
        <v>0</v>
      </c>
      <c r="G61">
        <f t="shared" si="1"/>
        <v>36200</v>
      </c>
      <c r="H61" s="9">
        <f t="shared" si="2"/>
        <v>11033.760000044134</v>
      </c>
      <c r="I61" s="5">
        <f t="shared" si="17"/>
        <v>22511.877004838108</v>
      </c>
      <c r="J61" s="5">
        <v>0</v>
      </c>
      <c r="K61" s="6">
        <f t="shared" si="18"/>
        <v>216.65</v>
      </c>
      <c r="L61" s="5">
        <f t="shared" si="19"/>
        <v>295.06801842964956</v>
      </c>
      <c r="M61" s="10">
        <f t="shared" si="20"/>
        <v>1.4216130796413355E-5</v>
      </c>
      <c r="O61" s="6">
        <f>B61*L61</f>
        <v>222.09769747199724</v>
      </c>
      <c r="P61" s="1">
        <f>IF(E61=0,0,E61/9.80665)</f>
        <v>0</v>
      </c>
      <c r="Q61" s="7">
        <f>IF(D61=0,0,(D61/O61))</f>
        <v>0</v>
      </c>
      <c r="R61" s="19">
        <f t="shared" si="21"/>
        <v>1</v>
      </c>
      <c r="S61" s="19">
        <f t="shared" si="22"/>
        <v>0</v>
      </c>
      <c r="T61" s="19">
        <f t="shared" si="23"/>
        <v>0</v>
      </c>
      <c r="U61" s="19"/>
      <c r="V61" s="19"/>
      <c r="W61" s="6"/>
      <c r="X61" s="1">
        <f>(A61*9.80665*R61)/(0.7*I61*B61*B61*$N$5)</f>
        <v>0.52767073002056941</v>
      </c>
      <c r="Y61" s="10">
        <f>(SQRT($N$5)*B61)*(I61/M61)*SQRT(1.4/(287.05*K61))</f>
        <v>62567502.151679896</v>
      </c>
      <c r="Z61" s="10">
        <f t="shared" si="24"/>
        <v>2.1790311846789398E-3</v>
      </c>
      <c r="AA61" s="3">
        <f t="shared" si="55"/>
        <v>1.8293593510750671E-2</v>
      </c>
      <c r="AB61" s="3">
        <f t="shared" si="56"/>
        <v>7.6051134356041163E-3</v>
      </c>
      <c r="AC61" s="3">
        <f>IF($E$5="no",(1/((1+0.03+$Q$5)+AB61*3.141593*$S$5)),(1.075/((1+0.03+$Q$5)+AB61*3.141593*$S$5)))</f>
        <v>0.77892937935189011</v>
      </c>
      <c r="AD61" s="3">
        <f t="shared" si="57"/>
        <v>4.3015468222167133E-2</v>
      </c>
      <c r="AE61" s="1">
        <f t="shared" si="58"/>
        <v>0.68534348477781015</v>
      </c>
      <c r="AF61" s="1">
        <f>B61*$R$5/AE61</f>
        <v>0.9953809602769107</v>
      </c>
      <c r="AG61" s="8">
        <f t="shared" si="29"/>
        <v>8.7159541596287739E-4</v>
      </c>
      <c r="AH61" s="8"/>
      <c r="AI61" s="3">
        <f t="shared" si="30"/>
        <v>3.1142261013576603E-2</v>
      </c>
      <c r="AJ61" s="1">
        <f t="shared" si="31"/>
        <v>16.943879886901247</v>
      </c>
      <c r="AK61" s="1"/>
      <c r="AL61" s="1">
        <f t="shared" si="32"/>
        <v>5.9018359825193691E-2</v>
      </c>
      <c r="AM61" s="8">
        <f>AL61*(A61*9.80665)/(0.7*I61*B61*B61*$N$5)</f>
        <v>3.1142261013576596E-2</v>
      </c>
      <c r="AN61" s="1">
        <f>B61/$AI$5</f>
        <v>1</v>
      </c>
      <c r="AO61" s="1">
        <f>IF(B61&lt;0.4,1.3*(0.4-B61),0)</f>
        <v>0</v>
      </c>
      <c r="AP61" s="1">
        <f t="shared" si="33"/>
        <v>-0.43</v>
      </c>
      <c r="AQ61" s="1">
        <f t="shared" si="34"/>
        <v>0</v>
      </c>
      <c r="AR61" s="1">
        <f t="shared" si="59"/>
        <v>1</v>
      </c>
      <c r="AS61" s="1">
        <f t="shared" si="60"/>
        <v>0.30867472713898642</v>
      </c>
      <c r="AT61" s="1">
        <f>(((1+0.55*B61)/(1+0.55*$AI$5))/(AN61^2))</f>
        <v>1</v>
      </c>
      <c r="AU61" s="1">
        <f t="shared" si="61"/>
        <v>3.465254791234245E-2</v>
      </c>
      <c r="AV61" s="8">
        <f t="shared" si="62"/>
        <v>0.8987004676352941</v>
      </c>
      <c r="AW61" s="8">
        <f t="shared" si="36"/>
        <v>0.99558751403935752</v>
      </c>
      <c r="AX61" s="8"/>
      <c r="AY61" s="4"/>
      <c r="AZ61" s="1">
        <f t="shared" si="63"/>
        <v>0.30731270423908047</v>
      </c>
      <c r="BA61" s="14">
        <f t="shared" si="38"/>
        <v>0.29962988663310347</v>
      </c>
      <c r="BB61" s="1"/>
      <c r="BC61" s="14">
        <f t="shared" si="39"/>
        <v>5.0768928096371422</v>
      </c>
      <c r="BD61" s="14">
        <f>IF(0.7*(AM61*(B61^3)/BA61)*(I61*L61*$N$5/43000000)&lt;$AH$5*(1-0.178*(C61/100)+0.0085*((C61/100)^2)),$AH$5*(1-0.178*(C61/100)+0.0085*((C61/100)^2)),0.7*(AM61*(B61^3)/BA61)*(I61*L61*$N$5/43000000))</f>
        <v>0.58664531695644329</v>
      </c>
      <c r="BE61" s="4">
        <f t="shared" si="64"/>
        <v>2.6413840559081406E-3</v>
      </c>
      <c r="BF61" s="4"/>
      <c r="BG61" s="1">
        <f t="shared" si="65"/>
        <v>0.95948018705411764</v>
      </c>
      <c r="BH61" s="1">
        <f>0.6*$AN$5*(1-0.53*((B61-$AM$5)^2))*(1+((2/3)*AV61))</f>
        <v>5.3548237142196076</v>
      </c>
      <c r="BJ61" s="1">
        <f t="shared" si="66"/>
        <v>6.1269340302829347</v>
      </c>
      <c r="BK61" s="5">
        <f t="shared" si="67"/>
        <v>22.351581799095626</v>
      </c>
      <c r="BL61" s="5">
        <f t="shared" si="40"/>
        <v>1.5319628224312773</v>
      </c>
      <c r="BM61" s="5">
        <f t="shared" si="77"/>
        <v>2.8085738183657627</v>
      </c>
      <c r="BN61" s="1">
        <f t="shared" si="42"/>
        <v>1.1523202253584937</v>
      </c>
      <c r="BO61" s="1">
        <f t="shared" si="68"/>
        <v>3.1397602579751069</v>
      </c>
      <c r="BP61" s="9">
        <f>(1+0.2*B61*B61)*K61</f>
        <v>241.19892737570004</v>
      </c>
      <c r="BQ61" s="9">
        <f t="shared" si="53"/>
        <v>677.4249924452962</v>
      </c>
      <c r="BR61" s="9">
        <f t="shared" si="54"/>
        <v>1291.5777361557314</v>
      </c>
      <c r="BS61" s="9">
        <f t="shared" si="46"/>
        <v>757.30680644044708</v>
      </c>
      <c r="BU61" s="9">
        <f>((1+0.2*B61*B61)^3.5)*I61</f>
        <v>32777.066556928912</v>
      </c>
      <c r="BV61" s="9">
        <f t="shared" si="47"/>
        <v>732619.28428159817</v>
      </c>
      <c r="BX61" s="3">
        <f t="shared" si="69"/>
        <v>2.0728104520869293E-2</v>
      </c>
      <c r="BZ61" s="3">
        <f t="shared" si="70"/>
        <v>3.4763055833625288E-2</v>
      </c>
      <c r="CA61" s="10"/>
      <c r="CB61" s="14">
        <f>$CB$12*($AO$5/K61)/($AN$5*(1-0.53*((B61-$AM$5)^2))*(1+0.2*B61*B61))</f>
        <v>1.3629629629629629</v>
      </c>
      <c r="CC61" s="1">
        <f t="shared" si="48"/>
        <v>1.9074074074074074</v>
      </c>
      <c r="CD61" s="3">
        <f t="shared" si="71"/>
        <v>6.6096526573542078E-2</v>
      </c>
      <c r="CE61" s="6">
        <f t="shared" si="72"/>
        <v>1.9013439695830434</v>
      </c>
      <c r="CF61" s="22" t="str">
        <f t="shared" si="49"/>
        <v/>
      </c>
      <c r="CG61" s="22"/>
      <c r="CH61" s="7">
        <f t="shared" si="73"/>
        <v>1.0445257218022475</v>
      </c>
      <c r="CI61" s="23">
        <f>CH61*(0.7*I61*B61*B61)*$N$5/9.80665</f>
        <v>116394.76845641596</v>
      </c>
      <c r="CK61" s="1">
        <f>B61/$AI$5</f>
        <v>1</v>
      </c>
      <c r="CL61" s="14">
        <f t="shared" si="50"/>
        <v>1.4515200000000053</v>
      </c>
      <c r="CM61" s="1">
        <f t="shared" si="74"/>
        <v>0.8569758833631711</v>
      </c>
      <c r="CN61" s="14">
        <f>SQRT((A61*9.80665)/(0.7*I61*$N$5*CM61))</f>
        <v>0.59063491725001682</v>
      </c>
      <c r="CO61" s="1">
        <f t="shared" si="75"/>
        <v>0.61573579871319661</v>
      </c>
      <c r="CP61" s="29" t="str">
        <f>IF(C61&lt;30,"",IF(CO61&gt;1,"no",""))</f>
        <v/>
      </c>
      <c r="CQ61" s="22"/>
      <c r="CR61" s="23">
        <f>CM61*(0.7*I61*B61*B61)*$N$5/9.80665</f>
        <v>95495.503303338774</v>
      </c>
      <c r="CS61"/>
      <c r="CT61" s="6">
        <f t="shared" si="76"/>
        <v>0.8829268292682928</v>
      </c>
      <c r="CU61" s="22" t="str">
        <f t="shared" si="52"/>
        <v/>
      </c>
      <c r="CV61" s="5"/>
      <c r="CW61" s="6">
        <f>IF(C61&lt;100,SQRT(2)*SQRT(SQRT(1+(2/1.4)*(10510/I61))-1),IF(I61&gt;$AW$5,SQRT(2)*SQRT(SQRT(1+(2/1.4)*($AV$5/I61))-1),$AS$5))</f>
        <v>0.82</v>
      </c>
      <c r="CX61" s="22" t="str">
        <f>IF(B61&gt;CW61,"no","")</f>
        <v/>
      </c>
    </row>
    <row r="62" spans="1:102" x14ac:dyDescent="0.2">
      <c r="A62">
        <v>58800</v>
      </c>
      <c r="B62" s="1">
        <v>0.75270000000000004</v>
      </c>
      <c r="C62" s="5">
        <v>362.5</v>
      </c>
      <c r="D62" s="1">
        <v>0</v>
      </c>
      <c r="E62" s="1">
        <v>0</v>
      </c>
      <c r="G62">
        <f t="shared" si="1"/>
        <v>36250</v>
      </c>
      <c r="H62" s="9">
        <f t="shared" si="2"/>
        <v>11049.000000044196</v>
      </c>
      <c r="I62" s="5">
        <f t="shared" si="17"/>
        <v>22457.842021072182</v>
      </c>
      <c r="J62" s="5">
        <v>0</v>
      </c>
      <c r="K62" s="6">
        <f t="shared" si="18"/>
        <v>216.65</v>
      </c>
      <c r="L62" s="5">
        <f t="shared" si="19"/>
        <v>295.06801842964956</v>
      </c>
      <c r="M62" s="10">
        <f t="shared" si="20"/>
        <v>1.4216130796413355E-5</v>
      </c>
      <c r="O62" s="6">
        <f>B62*L62</f>
        <v>222.09769747199724</v>
      </c>
      <c r="P62" s="1">
        <f>IF(E62=0,0,E62/9.80665)</f>
        <v>0</v>
      </c>
      <c r="Q62" s="7">
        <f>IF(D62=0,0,(D62/O62))</f>
        <v>0</v>
      </c>
      <c r="R62" s="19">
        <f t="shared" si="21"/>
        <v>1</v>
      </c>
      <c r="S62" s="19">
        <f t="shared" si="22"/>
        <v>0</v>
      </c>
      <c r="T62" s="19">
        <f t="shared" si="23"/>
        <v>0</v>
      </c>
      <c r="U62" s="19"/>
      <c r="V62" s="19"/>
      <c r="W62" s="6"/>
      <c r="X62" s="1">
        <f>(A62*9.80665*R62)/(0.7*I62*B62*B62*$N$5)</f>
        <v>0.52894033906420157</v>
      </c>
      <c r="Y62" s="10">
        <f>(SQRT($N$5)*B62)*(I62/M62)*SQRT(1.4/(287.05*K62))</f>
        <v>62417322.139488369</v>
      </c>
      <c r="Z62" s="10">
        <f t="shared" si="24"/>
        <v>2.1797644305011354E-3</v>
      </c>
      <c r="AA62" s="3">
        <f t="shared" si="55"/>
        <v>1.8299749320318252E-2</v>
      </c>
      <c r="AB62" s="3">
        <f t="shared" si="56"/>
        <v>7.6076725626570878E-3</v>
      </c>
      <c r="AC62" s="3">
        <f>IF($E$5="no",(1/((1+0.03+$Q$5)+AB62*3.141593*$S$5)),(1.075/((1+0.03+$Q$5)+AB62*3.141593*$S$5)))</f>
        <v>0.77888304112185291</v>
      </c>
      <c r="AD62" s="3">
        <f t="shared" si="57"/>
        <v>4.3018027349220105E-2</v>
      </c>
      <c r="AE62" s="1">
        <f t="shared" si="58"/>
        <v>0.68518891712790653</v>
      </c>
      <c r="AF62" s="1">
        <f>B62*$R$5/AE62</f>
        <v>0.99560550228560774</v>
      </c>
      <c r="AG62" s="8">
        <f t="shared" si="29"/>
        <v>8.7469293937724965E-4</v>
      </c>
      <c r="AH62" s="8"/>
      <c r="AI62" s="3">
        <f t="shared" si="30"/>
        <v>3.1209934851725751E-2</v>
      </c>
      <c r="AJ62" s="1">
        <f t="shared" si="31"/>
        <v>16.947819390752553</v>
      </c>
      <c r="AK62" s="1"/>
      <c r="AL62" s="1">
        <f t="shared" si="32"/>
        <v>5.9004641065837783E-2</v>
      </c>
      <c r="AM62" s="8">
        <f>AL62*(A62*9.80665)/(0.7*I62*B62*B62*$N$5)</f>
        <v>3.1209934851725751E-2</v>
      </c>
      <c r="AN62" s="1">
        <f>B62/$AI$5</f>
        <v>1</v>
      </c>
      <c r="AO62" s="1">
        <f>IF(B62&lt;0.4,1.3*(0.4-B62),0)</f>
        <v>0</v>
      </c>
      <c r="AP62" s="1">
        <f t="shared" si="33"/>
        <v>-0.43</v>
      </c>
      <c r="AQ62" s="1">
        <f t="shared" si="34"/>
        <v>0</v>
      </c>
      <c r="AR62" s="1">
        <f t="shared" si="59"/>
        <v>1</v>
      </c>
      <c r="AS62" s="1">
        <f t="shared" si="60"/>
        <v>0.30867472713898642</v>
      </c>
      <c r="AT62" s="1">
        <f>(((1+0.55*B62)/(1+0.55*$AI$5))/(AN62^2))</f>
        <v>1</v>
      </c>
      <c r="AU62" s="1">
        <f t="shared" si="61"/>
        <v>3.465254791234245E-2</v>
      </c>
      <c r="AV62" s="8">
        <f t="shared" si="62"/>
        <v>0.90065339295323454</v>
      </c>
      <c r="AW62" s="8">
        <f t="shared" si="36"/>
        <v>0.99575600821736709</v>
      </c>
      <c r="AX62" s="8"/>
      <c r="AY62" s="4"/>
      <c r="AZ62" s="1">
        <f t="shared" si="63"/>
        <v>0.30736471413350208</v>
      </c>
      <c r="BA62" s="14">
        <f t="shared" si="38"/>
        <v>0.29968059628016452</v>
      </c>
      <c r="BB62" s="1"/>
      <c r="BC62" s="14">
        <f t="shared" si="39"/>
        <v>5.07893262066926</v>
      </c>
      <c r="BD62" s="14">
        <f>IF(0.7*(AM62*(B62^3)/BA62)*(I62*L62*$N$5/43000000)&lt;$AH$5*(1-0.178*(C62/100)+0.0085*((C62/100)^2)),$AH$5*(1-0.178*(C62/100)+0.0085*((C62/100)^2)),0.7*(AM62*(B62^3)/BA62)*(I62*L62*$N$5/43000000))</f>
        <v>0.58640970729613839</v>
      </c>
      <c r="BE62" s="4">
        <f t="shared" si="64"/>
        <v>2.6403232179841698E-3</v>
      </c>
      <c r="BF62" s="4"/>
      <c r="BG62" s="1">
        <f t="shared" si="65"/>
        <v>0.96026135718129368</v>
      </c>
      <c r="BH62" s="1">
        <f>0.6*$AN$5*(1-0.53*((B62-$AM$5)^2))*(1+((2/3)*AV62))</f>
        <v>5.3591833960330337</v>
      </c>
      <c r="BJ62" s="1">
        <f t="shared" si="66"/>
        <v>6.1213021313571074</v>
      </c>
      <c r="BK62" s="5">
        <f t="shared" si="67"/>
        <v>22.397103976982745</v>
      </c>
      <c r="BL62" s="5">
        <f t="shared" si="40"/>
        <v>1.5332100848645975</v>
      </c>
      <c r="BM62" s="5">
        <f t="shared" si="77"/>
        <v>2.8104737726389195</v>
      </c>
      <c r="BN62" s="1">
        <f t="shared" si="42"/>
        <v>1.1526319724186034</v>
      </c>
      <c r="BO62" s="1">
        <f t="shared" si="68"/>
        <v>3.1417363770042988</v>
      </c>
      <c r="BP62" s="9">
        <f>(1+0.2*B62*B62)*K62</f>
        <v>241.19892737570004</v>
      </c>
      <c r="BQ62" s="9">
        <f t="shared" si="53"/>
        <v>677.8832593780445</v>
      </c>
      <c r="BR62" s="9">
        <f t="shared" si="54"/>
        <v>1292.6292867328291</v>
      </c>
      <c r="BS62" s="9">
        <f t="shared" si="46"/>
        <v>757.78344423065482</v>
      </c>
      <c r="BU62" s="9">
        <f>((1+0.2*B62*B62)^3.5)*I62</f>
        <v>32698.392163899945</v>
      </c>
      <c r="BV62" s="9">
        <f t="shared" si="47"/>
        <v>732349.28917502484</v>
      </c>
      <c r="BX62" s="3">
        <f t="shared" si="69"/>
        <v>2.0749311689665702E-2</v>
      </c>
      <c r="BZ62" s="3">
        <f t="shared" si="70"/>
        <v>3.483944153238587E-2</v>
      </c>
      <c r="CA62" s="10"/>
      <c r="CB62" s="14">
        <f>$CB$12*($AO$5/K62)/($AN$5*(1-0.53*((B62-$AM$5)^2))*(1+0.2*B62*B62))</f>
        <v>1.3629629629629629</v>
      </c>
      <c r="CC62" s="1">
        <f t="shared" si="48"/>
        <v>1.9074074074074074</v>
      </c>
      <c r="CD62" s="3">
        <f t="shared" si="71"/>
        <v>6.6096526573542078E-2</v>
      </c>
      <c r="CE62" s="6">
        <f t="shared" si="72"/>
        <v>1.8971752607486663</v>
      </c>
      <c r="CF62" s="22" t="str">
        <f t="shared" si="49"/>
        <v/>
      </c>
      <c r="CG62" s="22"/>
      <c r="CH62" s="7">
        <f t="shared" si="73"/>
        <v>1.0443916768507686</v>
      </c>
      <c r="CI62" s="23">
        <f>CH62*(0.7*I62*B62*B62)*$N$5/9.80665</f>
        <v>116100.48631849833</v>
      </c>
      <c r="CK62" s="1">
        <f>B62/$AI$5</f>
        <v>1</v>
      </c>
      <c r="CL62" s="14">
        <f t="shared" si="50"/>
        <v>1.4515200000000053</v>
      </c>
      <c r="CM62" s="1">
        <f t="shared" si="74"/>
        <v>0.8569758833631711</v>
      </c>
      <c r="CN62" s="14">
        <f>SQRT((A62*9.80665)/(0.7*I62*$N$5*CM62))</f>
        <v>0.59134504277880229</v>
      </c>
      <c r="CO62" s="1">
        <f t="shared" si="75"/>
        <v>0.61721729786419921</v>
      </c>
      <c r="CP62" s="29" t="str">
        <f>IF(C62&lt;30,"",IF(CO62&gt;1,"no",""))</f>
        <v/>
      </c>
      <c r="CQ62" s="22"/>
      <c r="CR62" s="23">
        <f>CM62*(0.7*I62*B62*B62)*$N$5/9.80665</f>
        <v>95266.286611651711</v>
      </c>
      <c r="CS62"/>
      <c r="CT62" s="6">
        <f t="shared" si="76"/>
        <v>0.88414634146341475</v>
      </c>
      <c r="CU62" s="22" t="str">
        <f t="shared" si="52"/>
        <v/>
      </c>
      <c r="CV62" s="5"/>
      <c r="CW62" s="6">
        <f>IF(C62&lt;100,SQRT(2)*SQRT(SQRT(1+(2/1.4)*(10510/I62))-1),IF(I62&gt;$AW$5,SQRT(2)*SQRT(SQRT(1+(2/1.4)*($AV$5/I62))-1),$AS$5))</f>
        <v>0.82</v>
      </c>
      <c r="CX62" s="22" t="str">
        <f>IF(B62&gt;CW62,"no","")</f>
        <v/>
      </c>
    </row>
    <row r="63" spans="1:102" x14ac:dyDescent="0.2">
      <c r="A63">
        <v>58800</v>
      </c>
      <c r="B63" s="1">
        <v>0.75270000000000004</v>
      </c>
      <c r="C63" s="5">
        <v>363</v>
      </c>
      <c r="D63" s="1">
        <v>0</v>
      </c>
      <c r="E63" s="1">
        <v>0</v>
      </c>
      <c r="G63">
        <f t="shared" si="1"/>
        <v>36300</v>
      </c>
      <c r="H63" s="9">
        <f t="shared" si="2"/>
        <v>11064.240000044256</v>
      </c>
      <c r="I63" s="5">
        <f t="shared" si="17"/>
        <v>22403.936736818654</v>
      </c>
      <c r="J63" s="5">
        <v>0</v>
      </c>
      <c r="K63" s="6">
        <f t="shared" si="18"/>
        <v>216.65</v>
      </c>
      <c r="L63" s="5">
        <f t="shared" si="19"/>
        <v>295.06801842964956</v>
      </c>
      <c r="M63" s="10">
        <f t="shared" si="20"/>
        <v>1.4216130796413355E-5</v>
      </c>
      <c r="O63" s="6">
        <f>B63*L63</f>
        <v>222.09769747199724</v>
      </c>
      <c r="P63" s="1">
        <f>IF(E63=0,0,E63/9.80665)</f>
        <v>0</v>
      </c>
      <c r="Q63" s="7">
        <f>IF(D63=0,0,(D63/O63))</f>
        <v>0</v>
      </c>
      <c r="R63" s="19">
        <f t="shared" si="21"/>
        <v>1</v>
      </c>
      <c r="S63" s="19">
        <f t="shared" si="22"/>
        <v>0</v>
      </c>
      <c r="T63" s="19">
        <f t="shared" si="23"/>
        <v>0</v>
      </c>
      <c r="U63" s="19"/>
      <c r="V63" s="19"/>
      <c r="W63" s="6"/>
      <c r="X63" s="1">
        <f>(A63*9.80665*R63)/(0.7*I63*B63*B63*$N$5)</f>
        <v>0.53021300286723572</v>
      </c>
      <c r="Y63" s="10">
        <f>(SQRT($N$5)*B63)*(I63/M63)*SQRT(1.4/(287.05*K63))</f>
        <v>62267502.602548182</v>
      </c>
      <c r="Z63" s="10">
        <f t="shared" si="24"/>
        <v>2.1804979230611648E-3</v>
      </c>
      <c r="AA63" s="3">
        <f t="shared" si="55"/>
        <v>1.8305907201320911E-2</v>
      </c>
      <c r="AB63" s="3">
        <f t="shared" si="56"/>
        <v>7.6102325508584576E-3</v>
      </c>
      <c r="AC63" s="3">
        <f>IF($E$5="no",(1/((1+0.03+$Q$5)+AB63*3.141593*$S$5)),(1.075/((1+0.03+$Q$5)+AB63*3.141593*$S$5)))</f>
        <v>0.77883669281470691</v>
      </c>
      <c r="AD63" s="3">
        <f t="shared" si="57"/>
        <v>4.3020587337421472E-2</v>
      </c>
      <c r="AE63" s="1">
        <f t="shared" si="58"/>
        <v>0.68503397757849249</v>
      </c>
      <c r="AF63" s="1">
        <f>B63*$R$5/AE63</f>
        <v>0.9958306862516112</v>
      </c>
      <c r="AG63" s="8">
        <f t="shared" si="29"/>
        <v>8.7780483639644802E-4</v>
      </c>
      <c r="AH63" s="8"/>
      <c r="AI63" s="3">
        <f t="shared" si="30"/>
        <v>3.1277910291612844E-2</v>
      </c>
      <c r="AJ63" s="1">
        <f t="shared" si="31"/>
        <v>16.951676052648953</v>
      </c>
      <c r="AK63" s="1"/>
      <c r="AL63" s="1">
        <f t="shared" si="32"/>
        <v>5.8991216968409151E-2</v>
      </c>
      <c r="AM63" s="8">
        <f>AL63*(A63*9.80665)/(0.7*I63*B63*B63*$N$5)</f>
        <v>3.1277910291612844E-2</v>
      </c>
      <c r="AN63" s="1">
        <f>B63/$AI$5</f>
        <v>1</v>
      </c>
      <c r="AO63" s="1">
        <f>IF(B63&lt;0.4,1.3*(0.4-B63),0)</f>
        <v>0</v>
      </c>
      <c r="AP63" s="1">
        <f t="shared" si="33"/>
        <v>-0.43</v>
      </c>
      <c r="AQ63" s="1">
        <f t="shared" si="34"/>
        <v>0</v>
      </c>
      <c r="AR63" s="1">
        <f t="shared" si="59"/>
        <v>1</v>
      </c>
      <c r="AS63" s="1">
        <f t="shared" si="60"/>
        <v>0.30867472713898642</v>
      </c>
      <c r="AT63" s="1">
        <f>(((1+0.55*B63)/(1+0.55*$AI$5))/(AN63^2))</f>
        <v>1</v>
      </c>
      <c r="AU63" s="1">
        <f t="shared" si="61"/>
        <v>3.465254791234245E-2</v>
      </c>
      <c r="AV63" s="8">
        <f t="shared" si="62"/>
        <v>0.90261502186603604</v>
      </c>
      <c r="AW63" s="8">
        <f t="shared" si="36"/>
        <v>0.99592195139455442</v>
      </c>
      <c r="AX63" s="8"/>
      <c r="AY63" s="4"/>
      <c r="AZ63" s="1">
        <f t="shared" si="63"/>
        <v>0.30741593659844096</v>
      </c>
      <c r="BA63" s="14">
        <f t="shared" si="38"/>
        <v>0.29973053818347994</v>
      </c>
      <c r="BB63" s="1"/>
      <c r="BC63" s="14">
        <f t="shared" si="39"/>
        <v>5.0809349863724798</v>
      </c>
      <c r="BD63" s="14">
        <f>IF(0.7*(AM63*(B63^3)/BA63)*(I63*L63*$N$5/43000000)&lt;$AH$5*(1-0.178*(C63/100)+0.0085*((C63/100)^2)),$AH$5*(1-0.178*(C63/100)+0.0085*((C63/100)^2)),0.7*(AM63*(B63^3)/BA63)*(I63*L63*$N$5/43000000))</f>
        <v>0.58617860678234046</v>
      </c>
      <c r="BE63" s="4">
        <f t="shared" si="64"/>
        <v>2.6392826825962375E-3</v>
      </c>
      <c r="BF63" s="4"/>
      <c r="BG63" s="1">
        <f t="shared" si="65"/>
        <v>0.96104600874641433</v>
      </c>
      <c r="BH63" s="1">
        <f>0.6*$AN$5*(1-0.53*((B63-$AM$5)^2))*(1+((2/3)*AV63))</f>
        <v>5.3635625076238709</v>
      </c>
      <c r="BJ63" s="1">
        <f t="shared" si="66"/>
        <v>6.1156549482314793</v>
      </c>
      <c r="BK63" s="5">
        <f t="shared" si="67"/>
        <v>22.442884987709871</v>
      </c>
      <c r="BL63" s="5">
        <f t="shared" si="40"/>
        <v>1.5344629059676762</v>
      </c>
      <c r="BM63" s="5">
        <f t="shared" si="77"/>
        <v>2.8123819314231628</v>
      </c>
      <c r="BN63" s="1">
        <f t="shared" si="42"/>
        <v>1.152944938442177</v>
      </c>
      <c r="BO63" s="1">
        <f t="shared" si="68"/>
        <v>3.1437240003737972</v>
      </c>
      <c r="BP63" s="9">
        <f>(1+0.2*B63*B63)*K63</f>
        <v>241.19892737570004</v>
      </c>
      <c r="BQ63" s="9">
        <f t="shared" si="53"/>
        <v>678.34350523006651</v>
      </c>
      <c r="BR63" s="9">
        <f t="shared" si="54"/>
        <v>1293.6855237513976</v>
      </c>
      <c r="BS63" s="9">
        <f t="shared" si="46"/>
        <v>758.26285685540472</v>
      </c>
      <c r="BU63" s="9">
        <f>((1+0.2*B63*B63)^3.5)*I63</f>
        <v>32619.906612056875</v>
      </c>
      <c r="BV63" s="9">
        <f t="shared" si="47"/>
        <v>732084.81240422919</v>
      </c>
      <c r="BX63" s="3">
        <f t="shared" si="69"/>
        <v>2.0770616259798837E-2</v>
      </c>
      <c r="BZ63" s="3">
        <f t="shared" si="70"/>
        <v>3.4916149794170265E-2</v>
      </c>
      <c r="CA63" s="10"/>
      <c r="CB63" s="14">
        <f>$CB$12*($AO$5/K63)/($AN$5*(1-0.53*((B63-$AM$5)^2))*(1+0.2*B63*B63))</f>
        <v>1.3629629629629629</v>
      </c>
      <c r="CC63" s="1">
        <f t="shared" si="48"/>
        <v>1.9074074074074074</v>
      </c>
      <c r="CD63" s="3">
        <f t="shared" si="71"/>
        <v>6.6096526573542078E-2</v>
      </c>
      <c r="CE63" s="6">
        <f t="shared" si="72"/>
        <v>1.8930073035881467</v>
      </c>
      <c r="CF63" s="22" t="str">
        <f t="shared" si="49"/>
        <v/>
      </c>
      <c r="CG63" s="22"/>
      <c r="CH63" s="7">
        <f t="shared" si="73"/>
        <v>1.0442574371624838</v>
      </c>
      <c r="CI63" s="23">
        <f>CH63*(0.7*I63*B63*B63)*$N$5/9.80665</f>
        <v>115806.92471347988</v>
      </c>
      <c r="CK63" s="1">
        <f>B63/$AI$5</f>
        <v>1</v>
      </c>
      <c r="CL63" s="14">
        <f t="shared" si="50"/>
        <v>1.4515200000000053</v>
      </c>
      <c r="CM63" s="1">
        <f t="shared" si="74"/>
        <v>0.8569758833631711</v>
      </c>
      <c r="CN63" s="14">
        <f>SQRT((A63*9.80665)/(0.7*I63*$N$5*CM63))</f>
        <v>0.59205602209772423</v>
      </c>
      <c r="CO63" s="1">
        <f t="shared" si="75"/>
        <v>0.61870236159556069</v>
      </c>
      <c r="CP63" s="29" t="str">
        <f>IF(C63&lt;30,"",IF(CO63&gt;1,"no",""))</f>
        <v/>
      </c>
      <c r="CQ63" s="22"/>
      <c r="CR63" s="23">
        <f>CM63*(0.7*I63*B63*B63)*$N$5/9.80665</f>
        <v>95037.620105993657</v>
      </c>
      <c r="CS63"/>
      <c r="CT63" s="6">
        <f t="shared" si="76"/>
        <v>0.88536585365853671</v>
      </c>
      <c r="CU63" s="22" t="str">
        <f t="shared" si="52"/>
        <v/>
      </c>
      <c r="CV63" s="5"/>
      <c r="CW63" s="6">
        <f>IF(C63&lt;100,SQRT(2)*SQRT(SQRT(1+(2/1.4)*(10510/I63))-1),IF(I63&gt;$AW$5,SQRT(2)*SQRT(SQRT(1+(2/1.4)*($AV$5/I63))-1),$AS$5))</f>
        <v>0.82</v>
      </c>
      <c r="CX63" s="22" t="str">
        <f>IF(B63&gt;CW63,"no","")</f>
        <v/>
      </c>
    </row>
    <row r="64" spans="1:102" x14ac:dyDescent="0.2">
      <c r="A64">
        <v>58800</v>
      </c>
      <c r="B64" s="1">
        <v>0.75270000000000004</v>
      </c>
      <c r="C64" s="5">
        <v>363.5</v>
      </c>
      <c r="D64" s="1">
        <v>0</v>
      </c>
      <c r="E64" s="1">
        <v>0</v>
      </c>
      <c r="G64">
        <f t="shared" si="1"/>
        <v>36350</v>
      </c>
      <c r="H64" s="9">
        <f t="shared" si="2"/>
        <v>11079.480000044317</v>
      </c>
      <c r="I64" s="5">
        <f t="shared" si="17"/>
        <v>22350.160840761357</v>
      </c>
      <c r="J64" s="5">
        <v>0</v>
      </c>
      <c r="K64" s="6">
        <f t="shared" si="18"/>
        <v>216.65</v>
      </c>
      <c r="L64" s="5">
        <f t="shared" si="19"/>
        <v>295.06801842964956</v>
      </c>
      <c r="M64" s="10">
        <f t="shared" si="20"/>
        <v>1.4216130796413355E-5</v>
      </c>
      <c r="O64" s="6">
        <f>B64*L64</f>
        <v>222.09769747199724</v>
      </c>
      <c r="P64" s="1">
        <f>IF(E64=0,0,E64/9.80665)</f>
        <v>0</v>
      </c>
      <c r="Q64" s="7">
        <f>IF(D64=0,0,(D64/O64))</f>
        <v>0</v>
      </c>
      <c r="R64" s="19">
        <f t="shared" si="21"/>
        <v>1</v>
      </c>
      <c r="S64" s="19">
        <f t="shared" si="22"/>
        <v>0</v>
      </c>
      <c r="T64" s="19">
        <f t="shared" si="23"/>
        <v>0</v>
      </c>
      <c r="U64" s="19"/>
      <c r="V64" s="19"/>
      <c r="W64" s="6"/>
      <c r="X64" s="1">
        <f>(A64*9.80665*R64)/(0.7*I64*B64*B64*$N$5)</f>
        <v>0.5314887287796155</v>
      </c>
      <c r="Y64" s="10">
        <f>(SQRT($N$5)*B64)*(I64/M64)*SQRT(1.4/(287.05*K64))</f>
        <v>62118042.675614923</v>
      </c>
      <c r="Z64" s="10">
        <f t="shared" si="24"/>
        <v>2.1812316624420561E-3</v>
      </c>
      <c r="AA64" s="3">
        <f t="shared" si="55"/>
        <v>1.8312067154455696E-2</v>
      </c>
      <c r="AB64" s="3">
        <f t="shared" si="56"/>
        <v>7.6127934004980059E-3</v>
      </c>
      <c r="AC64" s="3">
        <f>IF($E$5="no",(1/((1+0.03+$Q$5)+AB64*3.141593*$S$5)),(1.075/((1+0.03+$Q$5)+AB64*3.141593*$S$5)))</f>
        <v>0.77879033442978829</v>
      </c>
      <c r="AD64" s="3">
        <f t="shared" si="57"/>
        <v>4.3023148187061024E-2</v>
      </c>
      <c r="AE64" s="1">
        <f t="shared" si="58"/>
        <v>0.68487866523475427</v>
      </c>
      <c r="AF64" s="1">
        <f>B64*$R$5/AE64</f>
        <v>0.99605651427882114</v>
      </c>
      <c r="AG64" s="8">
        <f t="shared" si="29"/>
        <v>8.8093118343146159E-4</v>
      </c>
      <c r="AH64" s="8"/>
      <c r="AI64" s="3">
        <f t="shared" si="30"/>
        <v>3.1346188803241026E-2</v>
      </c>
      <c r="AJ64" s="1">
        <f t="shared" si="31"/>
        <v>16.955449739544171</v>
      </c>
      <c r="AK64" s="1"/>
      <c r="AL64" s="1">
        <f t="shared" si="32"/>
        <v>5.8978087597863028E-2</v>
      </c>
      <c r="AM64" s="8">
        <f>AL64*(A64*9.80665)/(0.7*I64*B64*B64*$N$5)</f>
        <v>3.1346188803241033E-2</v>
      </c>
      <c r="AN64" s="1">
        <f>B64/$AI$5</f>
        <v>1</v>
      </c>
      <c r="AO64" s="1">
        <f>IF(B64&lt;0.4,1.3*(0.4-B64),0)</f>
        <v>0</v>
      </c>
      <c r="AP64" s="1">
        <f t="shared" si="33"/>
        <v>-0.43</v>
      </c>
      <c r="AQ64" s="1">
        <f t="shared" si="34"/>
        <v>0</v>
      </c>
      <c r="AR64" s="1">
        <f t="shared" si="59"/>
        <v>1</v>
      </c>
      <c r="AS64" s="1">
        <f t="shared" si="60"/>
        <v>0.30867472713898642</v>
      </c>
      <c r="AT64" s="1">
        <f>(((1+0.55*B64)/(1+0.55*$AI$5))/(AN64^2))</f>
        <v>1</v>
      </c>
      <c r="AU64" s="1">
        <f t="shared" si="61"/>
        <v>3.465254791234245E-2</v>
      </c>
      <c r="AV64" s="8">
        <f t="shared" si="62"/>
        <v>0.90458539679491312</v>
      </c>
      <c r="AW64" s="8">
        <f t="shared" si="36"/>
        <v>0.99608530300294285</v>
      </c>
      <c r="AX64" s="8"/>
      <c r="AY64" s="4"/>
      <c r="AZ64" s="1">
        <f t="shared" si="63"/>
        <v>0.30746635911158798</v>
      </c>
      <c r="BA64" s="14">
        <f t="shared" si="38"/>
        <v>0.29977970013379829</v>
      </c>
      <c r="BB64" s="1"/>
      <c r="BC64" s="14">
        <f t="shared" si="39"/>
        <v>5.08289963855424</v>
      </c>
      <c r="BD64" s="14">
        <f>IF(0.7*(AM64*(B64^3)/BA64)*(I64*L64*$N$5/43000000)&lt;$AH$5*(1-0.178*(C64/100)+0.0085*((C64/100)^2)),$AH$5*(1-0.178*(C64/100)+0.0085*((C64/100)^2)),0.7*(AM64*(B64^3)/BA64)*(I64*L64*$N$5/43000000))</f>
        <v>0.58595203589552214</v>
      </c>
      <c r="BE64" s="4">
        <f t="shared" si="64"/>
        <v>2.6382625419581435E-3</v>
      </c>
      <c r="BF64" s="4"/>
      <c r="BG64" s="1">
        <f t="shared" si="65"/>
        <v>0.96183415871796518</v>
      </c>
      <c r="BH64" s="1">
        <f>0.6*$AN$5*(1-0.53*((B64-$AM$5)^2))*(1+((2/3)*AV64))</f>
        <v>5.3679611436926162</v>
      </c>
      <c r="BJ64" s="1">
        <f t="shared" si="66"/>
        <v>6.1099924647590154</v>
      </c>
      <c r="BK64" s="5">
        <f t="shared" si="67"/>
        <v>22.488926592650316</v>
      </c>
      <c r="BL64" s="5">
        <f t="shared" si="40"/>
        <v>1.5357213128334017</v>
      </c>
      <c r="BM64" s="5">
        <f t="shared" si="77"/>
        <v>2.8142983327194537</v>
      </c>
      <c r="BN64" s="1">
        <f t="shared" si="42"/>
        <v>1.1532591281525431</v>
      </c>
      <c r="BO64" s="1">
        <f t="shared" si="68"/>
        <v>3.145723199045138</v>
      </c>
      <c r="BP64" s="9">
        <f>(1+0.2*B64*B64)*K64</f>
        <v>241.19892737570004</v>
      </c>
      <c r="BQ64" s="9">
        <f t="shared" si="53"/>
        <v>678.80573916715321</v>
      </c>
      <c r="BR64" s="9">
        <f t="shared" si="54"/>
        <v>1294.746470053095</v>
      </c>
      <c r="BS64" s="9">
        <f t="shared" si="46"/>
        <v>758.74506143054305</v>
      </c>
      <c r="BU64" s="9">
        <f>((1+0.2*B64*B64)^3.5)*I64</f>
        <v>32541.609448126484</v>
      </c>
      <c r="BV64" s="9">
        <f t="shared" si="47"/>
        <v>731825.86608561245</v>
      </c>
      <c r="BX64" s="3">
        <f t="shared" si="69"/>
        <v>2.079201872939096E-2</v>
      </c>
      <c r="BZ64" s="3">
        <f t="shared" si="70"/>
        <v>3.4993182139415803E-2</v>
      </c>
      <c r="CA64"/>
      <c r="CB64" s="14">
        <f>$CB$12*($AO$5/K64)/($AN$5*(1-0.53*((B64-$AM$5)^2))*(1+0.2*B64*B64))</f>
        <v>1.3629629629629629</v>
      </c>
      <c r="CC64" s="1">
        <f t="shared" si="48"/>
        <v>1.9074074074074074</v>
      </c>
      <c r="CD64" s="3">
        <f t="shared" si="71"/>
        <v>6.6096526573542078E-2</v>
      </c>
      <c r="CE64" s="6">
        <f t="shared" si="72"/>
        <v>1.8888401263482673</v>
      </c>
      <c r="CF64" s="22" t="str">
        <f t="shared" si="49"/>
        <v/>
      </c>
      <c r="CG64" s="22"/>
      <c r="CH64" s="7">
        <f t="shared" si="73"/>
        <v>1.0441230018402694</v>
      </c>
      <c r="CI64" s="23">
        <f>CH64*(0.7*I64*B64*B64)*$N$5/9.80665</f>
        <v>115514.08183044528</v>
      </c>
      <c r="CK64" s="1">
        <f>B64/$AI$5</f>
        <v>1</v>
      </c>
      <c r="CL64" s="14">
        <f t="shared" si="50"/>
        <v>1.4515200000000053</v>
      </c>
      <c r="CM64" s="1">
        <f t="shared" si="74"/>
        <v>0.8569758833631711</v>
      </c>
      <c r="CN64" s="14">
        <f>SQRT((A64*9.80665)/(0.7*I64*$N$5*CM64))</f>
        <v>0.59276785623330208</v>
      </c>
      <c r="CO64" s="1">
        <f t="shared" si="75"/>
        <v>0.62019099848388626</v>
      </c>
      <c r="CP64" s="29" t="str">
        <f>IF(C64&lt;30,"",IF(CO64&gt;1,"no",""))</f>
        <v/>
      </c>
      <c r="CQ64" s="22"/>
      <c r="CR64" s="23">
        <f>CM64*(0.7*I64*B64*B64)*$N$5/9.80665</f>
        <v>94809.502465759739</v>
      </c>
      <c r="CS64"/>
      <c r="CT64" s="6">
        <f t="shared" si="76"/>
        <v>0.88658536585365866</v>
      </c>
      <c r="CU64" s="22" t="str">
        <f t="shared" si="52"/>
        <v/>
      </c>
      <c r="CV64" s="5"/>
      <c r="CW64" s="6">
        <f>IF(C64&lt;100,SQRT(2)*SQRT(SQRT(1+(2/1.4)*(10510/I64))-1),IF(I64&gt;$AW$5,SQRT(2)*SQRT(SQRT(1+(2/1.4)*($AV$5/I64))-1),$AS$5))</f>
        <v>0.82</v>
      </c>
      <c r="CX64" s="22" t="str">
        <f>IF(B64&gt;CW64,"no","")</f>
        <v/>
      </c>
    </row>
    <row r="65" spans="1:102" x14ac:dyDescent="0.2">
      <c r="A65">
        <v>58800</v>
      </c>
      <c r="B65" s="1">
        <v>0.75270000000000004</v>
      </c>
      <c r="C65" s="5">
        <v>364</v>
      </c>
      <c r="D65" s="1">
        <v>0</v>
      </c>
      <c r="E65" s="1">
        <v>0</v>
      </c>
      <c r="G65">
        <f t="shared" si="1"/>
        <v>36400</v>
      </c>
      <c r="H65" s="9">
        <f t="shared" si="2"/>
        <v>11094.720000044379</v>
      </c>
      <c r="I65" s="5">
        <f t="shared" si="17"/>
        <v>22296.514022331387</v>
      </c>
      <c r="J65" s="5">
        <v>0</v>
      </c>
      <c r="K65" s="6">
        <f t="shared" si="18"/>
        <v>216.65</v>
      </c>
      <c r="L65" s="5">
        <f t="shared" si="19"/>
        <v>295.06801842964956</v>
      </c>
      <c r="M65" s="10">
        <f t="shared" si="20"/>
        <v>1.4216130796413355E-5</v>
      </c>
      <c r="O65" s="6">
        <f>B65*L65</f>
        <v>222.09769747199724</v>
      </c>
      <c r="P65" s="1">
        <f>IF(E65=0,0,E65/9.80665)</f>
        <v>0</v>
      </c>
      <c r="Q65" s="7">
        <f>IF(D65=0,0,(D65/O65))</f>
        <v>0</v>
      </c>
      <c r="R65" s="19">
        <f t="shared" si="21"/>
        <v>1</v>
      </c>
      <c r="S65" s="19">
        <f t="shared" si="22"/>
        <v>0</v>
      </c>
      <c r="T65" s="19">
        <f t="shared" si="23"/>
        <v>0</v>
      </c>
      <c r="U65" s="19"/>
      <c r="V65" s="19"/>
      <c r="W65" s="6"/>
      <c r="X65" s="1">
        <f>(A65*9.80665*R65)/(0.7*I65*B65*B65*$N$5)</f>
        <v>0.532767524168969</v>
      </c>
      <c r="Y65" s="10">
        <f>(SQRT($N$5)*B65)*(I65/M65)*SQRT(1.4/(287.05*K65))</f>
        <v>61968941.495521121</v>
      </c>
      <c r="Z65" s="10">
        <f t="shared" si="24"/>
        <v>2.1819656487268644E-3</v>
      </c>
      <c r="AA65" s="3">
        <f t="shared" si="55"/>
        <v>1.8318229180419875E-2</v>
      </c>
      <c r="AB65" s="3">
        <f t="shared" si="56"/>
        <v>7.6153551118656043E-3</v>
      </c>
      <c r="AC65" s="3">
        <f>IF($E$5="no",(1/((1+0.03+$Q$5)+AB65*3.141593*$S$5)),(1.075/((1+0.03+$Q$5)+AB65*3.141593*$S$5)))</f>
        <v>0.7787439659664348</v>
      </c>
      <c r="AD65" s="3">
        <f t="shared" si="57"/>
        <v>4.3025709898428625E-2</v>
      </c>
      <c r="AE65" s="1">
        <f t="shared" si="58"/>
        <v>0.68472297919972536</v>
      </c>
      <c r="AF65" s="1">
        <f>B65*$R$5/AE65</f>
        <v>0.99628298847945929</v>
      </c>
      <c r="AG65" s="8">
        <f t="shared" si="29"/>
        <v>8.840720573512074E-4</v>
      </c>
      <c r="AH65" s="8"/>
      <c r="AI65" s="3">
        <f t="shared" si="30"/>
        <v>3.14147718638806E-2</v>
      </c>
      <c r="AJ65" s="1">
        <f t="shared" si="31"/>
        <v>16.95914032027471</v>
      </c>
      <c r="AK65" s="1"/>
      <c r="AL65" s="1">
        <f t="shared" si="32"/>
        <v>5.8965253020785292E-2</v>
      </c>
      <c r="AM65" s="8">
        <f>AL65*(A65*9.80665)/(0.7*I65*B65*B65*$N$5)</f>
        <v>3.14147718638806E-2</v>
      </c>
      <c r="AN65" s="1">
        <f>B65/$AI$5</f>
        <v>1</v>
      </c>
      <c r="AO65" s="1">
        <f>IF(B65&lt;0.4,1.3*(0.4-B65),0)</f>
        <v>0</v>
      </c>
      <c r="AP65" s="1">
        <f t="shared" si="33"/>
        <v>-0.43</v>
      </c>
      <c r="AQ65" s="1">
        <f t="shared" si="34"/>
        <v>0</v>
      </c>
      <c r="AR65" s="1">
        <f t="shared" si="59"/>
        <v>1</v>
      </c>
      <c r="AS65" s="1">
        <f t="shared" si="60"/>
        <v>0.30867472713898642</v>
      </c>
      <c r="AT65" s="1">
        <f>(((1+0.55*B65)/(1+0.55*$AI$5))/(AN65^2))</f>
        <v>1</v>
      </c>
      <c r="AU65" s="1">
        <f t="shared" si="61"/>
        <v>3.465254791234245E-2</v>
      </c>
      <c r="AV65" s="8">
        <f t="shared" si="62"/>
        <v>0.90656456037079369</v>
      </c>
      <c r="AW65" s="8">
        <f t="shared" si="36"/>
        <v>0.99624602200715773</v>
      </c>
      <c r="AX65" s="8"/>
      <c r="AY65" s="4"/>
      <c r="AZ65" s="1">
        <f t="shared" si="63"/>
        <v>0.30751596900636008</v>
      </c>
      <c r="BA65" s="14">
        <f t="shared" si="38"/>
        <v>0.29982806978120108</v>
      </c>
      <c r="BB65" s="1"/>
      <c r="BC65" s="14">
        <f t="shared" si="39"/>
        <v>5.0848263073765061</v>
      </c>
      <c r="BD65" s="14">
        <f>IF(0.7*(AM65*(B65^3)/BA65)*(I65*L65*$N$5/43000000)&lt;$AH$5*(1-0.178*(C65/100)+0.0085*((C65/100)^2)),$AH$5*(1-0.178*(C65/100)+0.0085*((C65/100)^2)),0.7*(AM65*(B65^3)/BA65)*(I65*L65*$N$5/43000000))</f>
        <v>0.58573001542704195</v>
      </c>
      <c r="BE65" s="4">
        <f t="shared" si="64"/>
        <v>2.6372628896834584E-3</v>
      </c>
      <c r="BF65" s="4"/>
      <c r="BG65" s="1">
        <f t="shared" si="65"/>
        <v>0.96262582414831732</v>
      </c>
      <c r="BH65" s="1">
        <f>0.6*$AN$5*(1-0.53*((B65-$AM$5)^2))*(1+((2/3)*AV65))</f>
        <v>5.372379399407925</v>
      </c>
      <c r="BJ65" s="1">
        <f t="shared" si="66"/>
        <v>6.1043146650389257</v>
      </c>
      <c r="BK65" s="5">
        <f t="shared" si="67"/>
        <v>22.535230566902197</v>
      </c>
      <c r="BL65" s="5">
        <f t="shared" si="40"/>
        <v>1.5369853326885976</v>
      </c>
      <c r="BM65" s="5">
        <f t="shared" si="77"/>
        <v>2.8162230147004466</v>
      </c>
      <c r="BN65" s="1">
        <f t="shared" si="42"/>
        <v>1.1535745462872165</v>
      </c>
      <c r="BO65" s="1">
        <f t="shared" si="68"/>
        <v>3.1477340444022239</v>
      </c>
      <c r="BP65" s="9">
        <f>(1+0.2*B65*B65)*K65</f>
        <v>241.19892737570004</v>
      </c>
      <c r="BQ65" s="9">
        <f t="shared" si="53"/>
        <v>679.26997039650803</v>
      </c>
      <c r="BR65" s="9">
        <f t="shared" si="54"/>
        <v>1295.8121485924992</v>
      </c>
      <c r="BS65" s="9">
        <f t="shared" si="46"/>
        <v>759.23007517379062</v>
      </c>
      <c r="BU65" s="9">
        <f>((1+0.2*B65*B65)^3.5)*I65</f>
        <v>32463.500219923582</v>
      </c>
      <c r="BV65" s="9">
        <f t="shared" si="47"/>
        <v>731572.46246465808</v>
      </c>
      <c r="BX65" s="3">
        <f t="shared" si="69"/>
        <v>2.081351959923616E-2</v>
      </c>
      <c r="BZ65" s="3">
        <f t="shared" si="70"/>
        <v>3.5070540095948295E-2</v>
      </c>
      <c r="CA65"/>
      <c r="CB65" s="14">
        <f>$CB$12*($AO$5/K65)/($AN$5*(1-0.53*((B65-$AM$5)^2))*(1+0.2*B65*B65))</f>
        <v>1.3629629629629629</v>
      </c>
      <c r="CC65" s="1">
        <f t="shared" si="48"/>
        <v>1.9074074074074074</v>
      </c>
      <c r="CD65" s="3">
        <f t="shared" si="71"/>
        <v>6.6096526573542078E-2</v>
      </c>
      <c r="CE65" s="6">
        <f t="shared" si="72"/>
        <v>1.8846737573105758</v>
      </c>
      <c r="CF65" s="22" t="str">
        <f t="shared" si="49"/>
        <v/>
      </c>
      <c r="CG65" s="22"/>
      <c r="CH65" s="7">
        <f t="shared" si="73"/>
        <v>1.0439883699815504</v>
      </c>
      <c r="CI65" s="23">
        <f>CH65*(0.7*I65*B65*B65)*$N$5/9.80665</f>
        <v>115221.95586277182</v>
      </c>
      <c r="CK65" s="1">
        <f>B65/$AI$5</f>
        <v>1</v>
      </c>
      <c r="CL65" s="14">
        <f t="shared" si="50"/>
        <v>1.4515200000000053</v>
      </c>
      <c r="CM65" s="1">
        <f t="shared" si="74"/>
        <v>0.8569758833631711</v>
      </c>
      <c r="CN65" s="14">
        <f>SQRT((A65*9.80665)/(0.7*I65*$N$5*CM65))</f>
        <v>0.59348054621328927</v>
      </c>
      <c r="CO65" s="1">
        <f t="shared" si="75"/>
        <v>0.62168321712641661</v>
      </c>
      <c r="CP65" s="29" t="str">
        <f>IF(C65&lt;30,"",IF(CO65&gt;1,"no",""))</f>
        <v/>
      </c>
      <c r="CQ65" s="22"/>
      <c r="CR65" s="23">
        <f>CM65*(0.7*I65*B65*B65)*$N$5/9.80665</f>
        <v>94581.932373515039</v>
      </c>
      <c r="CS65"/>
      <c r="CT65" s="6">
        <f t="shared" si="76"/>
        <v>0.88780487804878061</v>
      </c>
      <c r="CU65" s="22" t="str">
        <f t="shared" si="52"/>
        <v/>
      </c>
      <c r="CV65" s="5"/>
      <c r="CW65" s="6">
        <f>IF(C65&lt;100,SQRT(2)*SQRT(SQRT(1+(2/1.4)*(10510/I65))-1),IF(I65&gt;$AW$5,SQRT(2)*SQRT(SQRT(1+(2/1.4)*($AV$5/I65))-1),$AS$5))</f>
        <v>0.82</v>
      </c>
      <c r="CX65" s="22" t="str">
        <f>IF(B65&gt;CW65,"no","")</f>
        <v/>
      </c>
    </row>
    <row r="66" spans="1:102" x14ac:dyDescent="0.2">
      <c r="A66">
        <v>58800</v>
      </c>
      <c r="B66" s="1">
        <v>0.75270000000000004</v>
      </c>
      <c r="C66" s="5">
        <v>364.5</v>
      </c>
      <c r="D66" s="1">
        <v>0</v>
      </c>
      <c r="E66" s="1">
        <v>0</v>
      </c>
      <c r="G66">
        <f t="shared" si="1"/>
        <v>36450</v>
      </c>
      <c r="H66" s="9">
        <f t="shared" si="2"/>
        <v>11109.960000044439</v>
      </c>
      <c r="I66" s="5">
        <f t="shared" si="17"/>
        <v>22242.995971705295</v>
      </c>
      <c r="J66" s="5">
        <v>0</v>
      </c>
      <c r="K66" s="6">
        <f t="shared" si="18"/>
        <v>216.65</v>
      </c>
      <c r="L66" s="5">
        <f t="shared" si="19"/>
        <v>295.06801842964956</v>
      </c>
      <c r="M66" s="10">
        <f t="shared" si="20"/>
        <v>1.4216130796413355E-5</v>
      </c>
      <c r="O66" s="6">
        <f>B66*L66</f>
        <v>222.09769747199724</v>
      </c>
      <c r="P66" s="1">
        <f>IF(E66=0,0,E66/9.80665)</f>
        <v>0</v>
      </c>
      <c r="Q66" s="7">
        <f>IF(D66=0,0,(D66/O66))</f>
        <v>0</v>
      </c>
      <c r="R66" s="19">
        <f t="shared" si="21"/>
        <v>1</v>
      </c>
      <c r="S66" s="19">
        <f t="shared" si="22"/>
        <v>0</v>
      </c>
      <c r="T66" s="19">
        <f t="shared" si="23"/>
        <v>0</v>
      </c>
      <c r="U66" s="19"/>
      <c r="V66" s="19"/>
      <c r="W66" s="6"/>
      <c r="X66" s="1">
        <f>(A66*9.80665*R66)/(0.7*I66*B66*B66*$N$5)</f>
        <v>0.53404939642065141</v>
      </c>
      <c r="Y66" s="10">
        <f>(SQRT($N$5)*B66)*(I66/M66)*SQRT(1.4/(287.05*K66))</f>
        <v>61820198.201171115</v>
      </c>
      <c r="Z66" s="10">
        <f t="shared" si="24"/>
        <v>2.1826998819986731E-3</v>
      </c>
      <c r="AA66" s="3">
        <f t="shared" si="55"/>
        <v>1.832439327991096E-2</v>
      </c>
      <c r="AB66" s="3">
        <f t="shared" si="56"/>
        <v>7.6179176852512274E-3</v>
      </c>
      <c r="AC66" s="3">
        <f>IF($E$5="no",(1/((1+0.03+$Q$5)+AB66*3.141593*$S$5)),(1.075/((1+0.03+$Q$5)+AB66*3.141593*$S$5)))</f>
        <v>0.77869758742398454</v>
      </c>
      <c r="AD66" s="3">
        <f t="shared" si="57"/>
        <v>4.302827247181424E-2</v>
      </c>
      <c r="AE66" s="1">
        <f t="shared" si="58"/>
        <v>0.68456691857428087</v>
      </c>
      <c r="AF66" s="1">
        <f>B66*$R$5/AE66</f>
        <v>0.9965101109741098</v>
      </c>
      <c r="AG66" s="8">
        <f t="shared" si="29"/>
        <v>8.8722753548560733E-4</v>
      </c>
      <c r="AH66" s="8"/>
      <c r="AI66" s="3">
        <f t="shared" si="30"/>
        <v>3.1483660958105397E-2</v>
      </c>
      <c r="AJ66" s="1">
        <f t="shared" si="31"/>
        <v>16.962747665568468</v>
      </c>
      <c r="AK66" s="1"/>
      <c r="AL66" s="1">
        <f t="shared" si="32"/>
        <v>5.8952713305394047E-2</v>
      </c>
      <c r="AM66" s="8">
        <f>AL66*(A66*9.80665)/(0.7*I66*B66*B66*$N$5)</f>
        <v>3.1483660958105397E-2</v>
      </c>
      <c r="AN66" s="1">
        <f>B66/$AI$5</f>
        <v>1</v>
      </c>
      <c r="AO66" s="1">
        <f>IF(B66&lt;0.4,1.3*(0.4-B66),0)</f>
        <v>0</v>
      </c>
      <c r="AP66" s="1">
        <f t="shared" si="33"/>
        <v>-0.43</v>
      </c>
      <c r="AQ66" s="1">
        <f t="shared" si="34"/>
        <v>0</v>
      </c>
      <c r="AR66" s="1">
        <f t="shared" si="59"/>
        <v>1</v>
      </c>
      <c r="AS66" s="1">
        <f t="shared" si="60"/>
        <v>0.30867472713898642</v>
      </c>
      <c r="AT66" s="1">
        <f>(((1+0.55*B66)/(1+0.55*$AI$5))/(AN66^2))</f>
        <v>1</v>
      </c>
      <c r="AU66" s="1">
        <f t="shared" si="61"/>
        <v>3.465254791234245E-2</v>
      </c>
      <c r="AV66" s="8">
        <f t="shared" si="62"/>
        <v>0.90855255543537194</v>
      </c>
      <c r="AW66" s="8">
        <f t="shared" si="36"/>
        <v>0.99640406689951766</v>
      </c>
      <c r="AX66" s="8"/>
      <c r="AY66" s="4"/>
      <c r="AZ66" s="1">
        <f t="shared" si="63"/>
        <v>0.30756475347038498</v>
      </c>
      <c r="BA66" s="14">
        <f t="shared" si="38"/>
        <v>0.29987563463362532</v>
      </c>
      <c r="BB66" s="1"/>
      <c r="BC66" s="14">
        <f t="shared" si="39"/>
        <v>5.0867147213423909</v>
      </c>
      <c r="BD66" s="14">
        <f>IF(0.7*(AM66*(B66^3)/BA66)*(I66*L66*$N$5/43000000)&lt;$AH$5*(1-0.178*(C66/100)+0.0085*((C66/100)^2)),$AH$5*(1-0.178*(C66/100)+0.0085*((C66/100)^2)),0.7*(AM66*(B66^3)/BA66)*(I66*L66*$N$5/43000000))</f>
        <v>0.58551256648367411</v>
      </c>
      <c r="BE66" s="4">
        <f t="shared" si="64"/>
        <v>2.6362838208059194E-3</v>
      </c>
      <c r="BF66" s="4"/>
      <c r="BG66" s="1">
        <f t="shared" si="65"/>
        <v>0.96342102217414871</v>
      </c>
      <c r="BH66" s="1">
        <f>0.6*$AN$5*(1-0.53*((B66-$AM$5)^2))*(1+((2/3)*AV66))</f>
        <v>5.3768173704089683</v>
      </c>
      <c r="BJ66" s="1">
        <f t="shared" si="66"/>
        <v>6.0986215334188696</v>
      </c>
      <c r="BK66" s="5">
        <f t="shared" si="67"/>
        <v>22.581798699409347</v>
      </c>
      <c r="BL66" s="5">
        <f t="shared" si="40"/>
        <v>1.5382549928946978</v>
      </c>
      <c r="BM66" s="5">
        <f t="shared" si="77"/>
        <v>2.8181560157112351</v>
      </c>
      <c r="BN66" s="1">
        <f t="shared" si="42"/>
        <v>1.153891197597908</v>
      </c>
      <c r="BO66" s="1">
        <f t="shared" si="68"/>
        <v>3.149756608253516</v>
      </c>
      <c r="BP66" s="9">
        <f>(1+0.2*B66*B66)*K66</f>
        <v>241.19892737570004</v>
      </c>
      <c r="BQ66" s="9">
        <f t="shared" si="53"/>
        <v>679.73620816692642</v>
      </c>
      <c r="BR66" s="9">
        <f t="shared" si="54"/>
        <v>1296.8825824376752</v>
      </c>
      <c r="BS66" s="9">
        <f t="shared" si="46"/>
        <v>759.71791540527113</v>
      </c>
      <c r="BU66" s="9">
        <f>((1+0.2*B66*B66)^3.5)*I66</f>
        <v>32385.578476348335</v>
      </c>
      <c r="BV66" s="9">
        <f t="shared" si="47"/>
        <v>731324.61391682224</v>
      </c>
      <c r="BX66" s="3">
        <f t="shared" si="69"/>
        <v>2.0835119372815635E-2</v>
      </c>
      <c r="BZ66" s="3">
        <f t="shared" si="70"/>
        <v>3.5148225199018744E-2</v>
      </c>
      <c r="CA66"/>
      <c r="CB66" s="14">
        <f>$CB$12*($AO$5/K66)/($AN$5*(1-0.53*((B66-$AM$5)^2))*(1+0.2*B66*B66))</f>
        <v>1.3629629629629629</v>
      </c>
      <c r="CC66" s="1">
        <f t="shared" si="48"/>
        <v>1.9074074074074074</v>
      </c>
      <c r="CD66" s="3">
        <f t="shared" si="71"/>
        <v>6.6096526573542078E-2</v>
      </c>
      <c r="CE66" s="6">
        <f t="shared" si="72"/>
        <v>1.8805082247904608</v>
      </c>
      <c r="CF66" s="22" t="str">
        <f t="shared" si="49"/>
        <v/>
      </c>
      <c r="CG66" s="22"/>
      <c r="CH66" s="7">
        <f t="shared" si="73"/>
        <v>1.0438535406782612</v>
      </c>
      <c r="CI66" s="23">
        <f>CH66*(0.7*I66*B66*B66)*$N$5/9.80665</f>
        <v>114930.54500811768</v>
      </c>
      <c r="CK66" s="1">
        <f>B66/$AI$5</f>
        <v>1</v>
      </c>
      <c r="CL66" s="14">
        <f t="shared" si="50"/>
        <v>1.4515200000000053</v>
      </c>
      <c r="CM66" s="1">
        <f t="shared" si="74"/>
        <v>0.8569758833631711</v>
      </c>
      <c r="CN66" s="14">
        <f>SQRT((A66*9.80665)/(0.7*I66*$N$5*CM66))</f>
        <v>0.59419409306667514</v>
      </c>
      <c r="CO66" s="1">
        <f t="shared" si="75"/>
        <v>0.62317902614107845</v>
      </c>
      <c r="CP66" s="29" t="str">
        <f>IF(C66&lt;30,"",IF(CO66&gt;1,"no",""))</f>
        <v/>
      </c>
      <c r="CQ66" s="22"/>
      <c r="CR66" s="23">
        <f>CM66*(0.7*I66*B66*B66)*$N$5/9.80665</f>
        <v>94354.908514986746</v>
      </c>
      <c r="CS66"/>
      <c r="CT66" s="6">
        <f t="shared" si="76"/>
        <v>0.88902439024390256</v>
      </c>
      <c r="CU66" s="22" t="str">
        <f t="shared" si="52"/>
        <v/>
      </c>
      <c r="CV66" s="5"/>
      <c r="CW66" s="6">
        <f>IF(C66&lt;100,SQRT(2)*SQRT(SQRT(1+(2/1.4)*(10510/I66))-1),IF(I66&gt;$AW$5,SQRT(2)*SQRT(SQRT(1+(2/1.4)*($AV$5/I66))-1),$AS$5))</f>
        <v>0.82</v>
      </c>
      <c r="CX66" s="22" t="str">
        <f>IF(B66&gt;CW66,"no","")</f>
        <v/>
      </c>
    </row>
    <row r="67" spans="1:102" x14ac:dyDescent="0.2">
      <c r="A67">
        <v>58800</v>
      </c>
      <c r="B67" s="1">
        <v>0.75270000000000004</v>
      </c>
      <c r="C67" s="5">
        <v>365</v>
      </c>
      <c r="D67" s="1">
        <v>0</v>
      </c>
      <c r="E67" s="1">
        <v>0</v>
      </c>
      <c r="G67">
        <f t="shared" si="1"/>
        <v>36500</v>
      </c>
      <c r="H67" s="9">
        <f t="shared" si="2"/>
        <v>11125.2000000445</v>
      </c>
      <c r="I67" s="5">
        <f t="shared" si="17"/>
        <v>22189.606379803277</v>
      </c>
      <c r="J67" s="5">
        <v>0</v>
      </c>
      <c r="K67" s="6">
        <f t="shared" si="18"/>
        <v>216.65</v>
      </c>
      <c r="L67" s="5">
        <f t="shared" si="19"/>
        <v>295.06801842964956</v>
      </c>
      <c r="M67" s="10">
        <f t="shared" si="20"/>
        <v>1.4216130796413355E-5</v>
      </c>
      <c r="O67" s="6">
        <f>B67*L67</f>
        <v>222.09769747199724</v>
      </c>
      <c r="P67" s="1">
        <f>IF(E67=0,0,E67/9.80665)</f>
        <v>0</v>
      </c>
      <c r="Q67" s="7">
        <f>IF(D67=0,0,(D67/O67))</f>
        <v>0</v>
      </c>
      <c r="R67" s="19">
        <f t="shared" si="21"/>
        <v>1</v>
      </c>
      <c r="S67" s="19">
        <f t="shared" si="22"/>
        <v>0</v>
      </c>
      <c r="T67" s="19">
        <f t="shared" si="23"/>
        <v>0</v>
      </c>
      <c r="U67" s="19"/>
      <c r="V67" s="19"/>
      <c r="W67" s="6"/>
      <c r="X67" s="1">
        <f>(A67*9.80665*R67)/(0.7*I67*B67*B67*$N$5)</f>
        <v>0.53533435293778775</v>
      </c>
      <c r="Y67" s="10">
        <f>(SQRT($N$5)*B67)*(I67/M67)*SQRT(1.4/(287.05*K67))</f>
        <v>61671811.93353609</v>
      </c>
      <c r="Z67" s="10">
        <f t="shared" si="24"/>
        <v>2.1834343623405943E-3</v>
      </c>
      <c r="AA67" s="3">
        <f t="shared" si="55"/>
        <v>1.8330559453626702E-2</v>
      </c>
      <c r="AB67" s="3">
        <f t="shared" si="56"/>
        <v>7.6204811209449469E-3</v>
      </c>
      <c r="AC67" s="3">
        <f>IF($E$5="no",(1/((1+0.03+$Q$5)+AB67*3.141593*$S$5)),(1.075/((1+0.03+$Q$5)+AB67*3.141593*$S$5)))</f>
        <v>0.77865119880177625</v>
      </c>
      <c r="AD67" s="3">
        <f t="shared" si="57"/>
        <v>4.3030835907507968E-2</v>
      </c>
      <c r="AE67" s="1">
        <f t="shared" si="58"/>
        <v>0.68441048245713265</v>
      </c>
      <c r="AF67" s="1">
        <f>B67*$R$5/AE67</f>
        <v>0.9967378838917601</v>
      </c>
      <c r="AG67" s="8">
        <f t="shared" si="29"/>
        <v>8.9039769562868423E-4</v>
      </c>
      <c r="AH67" s="8"/>
      <c r="AI67" s="3">
        <f t="shared" si="30"/>
        <v>3.1552857577829413E-2</v>
      </c>
      <c r="AJ67" s="1">
        <f t="shared" si="31"/>
        <v>16.966271648053201</v>
      </c>
      <c r="AK67" s="1"/>
      <c r="AL67" s="1">
        <f t="shared" si="32"/>
        <v>5.8940468521541396E-2</v>
      </c>
      <c r="AM67" s="8">
        <f>AL67*(A67*9.80665)/(0.7*I67*B67*B67*$N$5)</f>
        <v>3.1552857577829413E-2</v>
      </c>
      <c r="AN67" s="1">
        <f>B67/$AI$5</f>
        <v>1</v>
      </c>
      <c r="AO67" s="1">
        <f>IF(B67&lt;0.4,1.3*(0.4-B67),0)</f>
        <v>0</v>
      </c>
      <c r="AP67" s="1">
        <f t="shared" si="33"/>
        <v>-0.43</v>
      </c>
      <c r="AQ67" s="1">
        <f t="shared" si="34"/>
        <v>0</v>
      </c>
      <c r="AR67" s="1">
        <f t="shared" si="59"/>
        <v>1</v>
      </c>
      <c r="AS67" s="1">
        <f t="shared" si="60"/>
        <v>0.30867472713898642</v>
      </c>
      <c r="AT67" s="1">
        <f>(((1+0.55*B67)/(1+0.55*$AI$5))/(AN67^2))</f>
        <v>1</v>
      </c>
      <c r="AU67" s="1">
        <f t="shared" si="61"/>
        <v>3.465254791234245E-2</v>
      </c>
      <c r="AV67" s="8">
        <f t="shared" si="62"/>
        <v>0.91054942504216263</v>
      </c>
      <c r="AW67" s="8">
        <f t="shared" si="36"/>
        <v>0.99655939569507634</v>
      </c>
      <c r="AX67" s="8"/>
      <c r="AY67" s="4"/>
      <c r="AZ67" s="1">
        <f t="shared" si="63"/>
        <v>0.30761269954397086</v>
      </c>
      <c r="BA67" s="14">
        <f t="shared" si="38"/>
        <v>0.29992238205537158</v>
      </c>
      <c r="BB67" s="1"/>
      <c r="BC67" s="14">
        <f t="shared" si="39"/>
        <v>5.0885646072826312</v>
      </c>
      <c r="BD67" s="14">
        <f>IF(0.7*(AM67*(B67^3)/BA67)*(I67*L67*$N$5/43000000)&lt;$AH$5*(1-0.178*(C67/100)+0.0085*((C67/100)^2)),$AH$5*(1-0.178*(C67/100)+0.0085*((C67/100)^2)),0.7*(AM67*(B67^3)/BA67)*(I67*L67*$N$5/43000000))</f>
        <v>0.58529971049221774</v>
      </c>
      <c r="BE67" s="4">
        <f t="shared" si="64"/>
        <v>2.6353254318001841E-3</v>
      </c>
      <c r="BF67" s="4"/>
      <c r="BG67" s="1">
        <f t="shared" si="65"/>
        <v>0.96421977001686499</v>
      </c>
      <c r="BH67" s="1">
        <f>0.6*$AN$5*(1-0.53*((B67-$AM$5)^2))*(1+((2/3)*AV67))</f>
        <v>5.3812751528077811</v>
      </c>
      <c r="BJ67" s="1">
        <f t="shared" si="66"/>
        <v>6.0929130544971821</v>
      </c>
      <c r="BK67" s="5">
        <f t="shared" si="67"/>
        <v>22.628632793083071</v>
      </c>
      <c r="BL67" s="5">
        <f t="shared" si="40"/>
        <v>1.5395303209484179</v>
      </c>
      <c r="BM67" s="5">
        <f t="shared" si="77"/>
        <v>2.8200973742700821</v>
      </c>
      <c r="BN67" s="1">
        <f t="shared" si="42"/>
        <v>1.1542090868505335</v>
      </c>
      <c r="BO67" s="1">
        <f t="shared" si="68"/>
        <v>3.1517909628342231</v>
      </c>
      <c r="BP67" s="9">
        <f>(1+0.2*B67*B67)*K67</f>
        <v>241.19892737570004</v>
      </c>
      <c r="BQ67" s="9">
        <f t="shared" si="53"/>
        <v>680.2044617689719</v>
      </c>
      <c r="BR67" s="9">
        <f t="shared" si="54"/>
        <v>1297.957794770743</v>
      </c>
      <c r="BS67" s="9">
        <f t="shared" si="46"/>
        <v>760.2085995480395</v>
      </c>
      <c r="BU67" s="9">
        <f>((1+0.2*B67*B67)^3.5)*I67</f>
        <v>32307.843767383656</v>
      </c>
      <c r="BV67" s="9">
        <f t="shared" si="47"/>
        <v>731082.33294842229</v>
      </c>
      <c r="BX67" s="3">
        <f t="shared" si="69"/>
        <v>2.085681855631303E-2</v>
      </c>
      <c r="BZ67" s="3">
        <f t="shared" si="70"/>
        <v>3.5226238991340253E-2</v>
      </c>
      <c r="CA67"/>
      <c r="CB67" s="14">
        <f>$CB$12*($AO$5/K67)/($AN$5*(1-0.53*((B67-$AM$5)^2))*(1+0.2*B67*B67))</f>
        <v>1.3629629629629629</v>
      </c>
      <c r="CC67" s="1">
        <f t="shared" si="48"/>
        <v>1.9074074074074074</v>
      </c>
      <c r="CD67" s="3">
        <f t="shared" si="71"/>
        <v>6.6096526573542078E-2</v>
      </c>
      <c r="CE67" s="6">
        <f t="shared" si="72"/>
        <v>1.8763435571362228</v>
      </c>
      <c r="CF67" s="22" t="str">
        <f t="shared" si="49"/>
        <v/>
      </c>
      <c r="CG67" s="22"/>
      <c r="CH67" s="7">
        <f t="shared" si="73"/>
        <v>1.0437185130168083</v>
      </c>
      <c r="CI67" s="23">
        <f>CH67*(0.7*I67*B67*B67)*$N$5/9.80665</f>
        <v>114639.84746841072</v>
      </c>
      <c r="CK67" s="1">
        <f>B67/$AI$5</f>
        <v>1</v>
      </c>
      <c r="CL67" s="14">
        <f t="shared" si="50"/>
        <v>1.4515200000000053</v>
      </c>
      <c r="CM67" s="1">
        <f t="shared" si="74"/>
        <v>0.8569758833631711</v>
      </c>
      <c r="CN67" s="14">
        <f>SQRT((A67*9.80665)/(0.7*I67*$N$5*CM67))</f>
        <v>0.59490849782368616</v>
      </c>
      <c r="CO67" s="1">
        <f t="shared" si="75"/>
        <v>0.62467843416653368</v>
      </c>
      <c r="CP67" s="29" t="str">
        <f>IF(C67&lt;30,"",IF(CO67&gt;1,"no",""))</f>
        <v/>
      </c>
      <c r="CQ67" s="22"/>
      <c r="CR67" s="23">
        <f>CM67*(0.7*I67*B67*B67)*$N$5/9.80665</f>
        <v>94128.429579056756</v>
      </c>
      <c r="CS67"/>
      <c r="CT67" s="6">
        <f t="shared" si="76"/>
        <v>0.89024390243902451</v>
      </c>
      <c r="CU67" s="22" t="str">
        <f t="shared" si="52"/>
        <v/>
      </c>
      <c r="CV67" s="5"/>
      <c r="CW67" s="6">
        <f>IF(C67&lt;100,SQRT(2)*SQRT(SQRT(1+(2/1.4)*(10510/I67))-1),IF(I67&gt;$AW$5,SQRT(2)*SQRT(SQRT(1+(2/1.4)*($AV$5/I67))-1),$AS$5))</f>
        <v>0.82</v>
      </c>
      <c r="CX67" s="22" t="str">
        <f>IF(B67&gt;CW67,"no","")</f>
        <v/>
      </c>
    </row>
    <row r="68" spans="1:102" x14ac:dyDescent="0.2">
      <c r="A68">
        <v>58800</v>
      </c>
      <c r="B68" s="1">
        <v>0.75270000000000004</v>
      </c>
      <c r="C68" s="5">
        <v>365.5</v>
      </c>
      <c r="D68" s="1">
        <v>0</v>
      </c>
      <c r="E68" s="1">
        <v>0</v>
      </c>
      <c r="G68">
        <f t="shared" si="1"/>
        <v>36550</v>
      </c>
      <c r="H68" s="9">
        <f t="shared" si="2"/>
        <v>11140.44000004456</v>
      </c>
      <c r="I68" s="5">
        <f t="shared" si="17"/>
        <v>22136.344938287446</v>
      </c>
      <c r="J68" s="5">
        <v>0</v>
      </c>
      <c r="K68" s="6">
        <f t="shared" si="18"/>
        <v>216.65</v>
      </c>
      <c r="L68" s="5">
        <f t="shared" si="19"/>
        <v>295.06801842964956</v>
      </c>
      <c r="M68" s="10">
        <f t="shared" si="20"/>
        <v>1.4216130796413355E-5</v>
      </c>
      <c r="O68" s="6">
        <f>B68*L68</f>
        <v>222.09769747199724</v>
      </c>
      <c r="P68" s="1">
        <f>IF(E68=0,0,E68/9.80665)</f>
        <v>0</v>
      </c>
      <c r="Q68" s="7">
        <f>IF(D68=0,0,(D68/O68))</f>
        <v>0</v>
      </c>
      <c r="R68" s="19">
        <f t="shared" si="21"/>
        <v>1</v>
      </c>
      <c r="S68" s="19">
        <f t="shared" si="22"/>
        <v>0</v>
      </c>
      <c r="T68" s="19">
        <f t="shared" si="23"/>
        <v>0</v>
      </c>
      <c r="U68" s="19"/>
      <c r="V68" s="19"/>
      <c r="W68" s="6"/>
      <c r="X68" s="1">
        <f>(A68*9.80665*R68)/(0.7*I68*B68*B68*$N$5)</f>
        <v>0.53662240114131465</v>
      </c>
      <c r="Y68" s="10">
        <f>(SQRT($N$5)*B68)*(I68/M68)*SQRT(1.4/(287.05*K68))</f>
        <v>61523781.835649207</v>
      </c>
      <c r="Z68" s="10">
        <f t="shared" si="24"/>
        <v>2.1841690898357674E-3</v>
      </c>
      <c r="AA68" s="3">
        <f t="shared" si="55"/>
        <v>1.8336727702265073E-2</v>
      </c>
      <c r="AB68" s="3">
        <f t="shared" si="56"/>
        <v>7.6230454192369283E-3</v>
      </c>
      <c r="AC68" s="3">
        <f>IF($E$5="no",(1/((1+0.03+$Q$5)+AB68*3.141593*$S$5)),(1.075/((1+0.03+$Q$5)+AB68*3.141593*$S$5)))</f>
        <v>0.77860480009915023</v>
      </c>
      <c r="AD68" s="3">
        <f t="shared" si="57"/>
        <v>4.3033400205799946E-2</v>
      </c>
      <c r="AE68" s="1">
        <f t="shared" si="58"/>
        <v>0.68425366994482406</v>
      </c>
      <c r="AF68" s="1">
        <f>B68*$R$5/AE68</f>
        <v>0.99696630936984165</v>
      </c>
      <c r="AG68" s="8">
        <f t="shared" si="29"/>
        <v>8.9358261604167717E-4</v>
      </c>
      <c r="AH68" s="8"/>
      <c r="AI68" s="3">
        <f t="shared" si="30"/>
        <v>3.1622363222343443E-2</v>
      </c>
      <c r="AJ68" s="1">
        <f t="shared" si="31"/>
        <v>16.969712142264967</v>
      </c>
      <c r="AK68" s="1"/>
      <c r="AL68" s="1">
        <f t="shared" si="32"/>
        <v>5.8928518740715002E-2</v>
      </c>
      <c r="AM68" s="8">
        <f>AL68*(A68*9.80665)/(0.7*I68*B68*B68*$N$5)</f>
        <v>3.162236322234345E-2</v>
      </c>
      <c r="AN68" s="1">
        <f>B68/$AI$5</f>
        <v>1</v>
      </c>
      <c r="AO68" s="1">
        <f>IF(B68&lt;0.4,1.3*(0.4-B68),0)</f>
        <v>0</v>
      </c>
      <c r="AP68" s="1">
        <f t="shared" si="33"/>
        <v>-0.43</v>
      </c>
      <c r="AQ68" s="1">
        <f t="shared" si="34"/>
        <v>0</v>
      </c>
      <c r="AR68" s="1">
        <f t="shared" si="59"/>
        <v>1</v>
      </c>
      <c r="AS68" s="1">
        <f t="shared" si="60"/>
        <v>0.30867472713898642</v>
      </c>
      <c r="AT68" s="1">
        <f>(((1+0.55*B68)/(1+0.55*$AI$5))/(AN68^2))</f>
        <v>1</v>
      </c>
      <c r="AU68" s="1">
        <f t="shared" si="61"/>
        <v>3.465254791234245E-2</v>
      </c>
      <c r="AV68" s="8">
        <f t="shared" si="62"/>
        <v>0.91255521245756022</v>
      </c>
      <c r="AW68" s="8">
        <f t="shared" si="36"/>
        <v>0.99671196592661271</v>
      </c>
      <c r="AX68" s="8"/>
      <c r="AY68" s="4"/>
      <c r="AZ68" s="1">
        <f t="shared" si="63"/>
        <v>0.30765979411855993</v>
      </c>
      <c r="BA68" s="14">
        <f t="shared" si="38"/>
        <v>0.29996829926559593</v>
      </c>
      <c r="BB68" s="1"/>
      <c r="BC68" s="14">
        <f t="shared" si="39"/>
        <v>5.090375690341955</v>
      </c>
      <c r="BD68" s="14">
        <f>IF(0.7*(AM68*(B68^3)/BA68)*(I68*L68*$N$5/43000000)&lt;$AH$5*(1-0.178*(C68/100)+0.0085*((C68/100)^2)),$AH$5*(1-0.178*(C68/100)+0.0085*((C68/100)^2)),0.7*(AM68*(B68^3)/BA68)*(I68*L68*$N$5/43000000))</f>
        <v>0.58509146920419086</v>
      </c>
      <c r="BE68" s="4">
        <f t="shared" si="64"/>
        <v>2.6343878206029625E-3</v>
      </c>
      <c r="BF68" s="4"/>
      <c r="BG68" s="1">
        <f t="shared" si="65"/>
        <v>0.965022084983024</v>
      </c>
      <c r="BH68" s="1">
        <f>0.6*$AN$5*(1-0.53*((B68-$AM$5)^2))*(1+((2/3)*AV68))</f>
        <v>5.3857528431916251</v>
      </c>
      <c r="BJ68" s="1">
        <f t="shared" si="66"/>
        <v>6.0871892131250966</v>
      </c>
      <c r="BK68" s="5">
        <f t="shared" si="67"/>
        <v>22.675734664925294</v>
      </c>
      <c r="BL68" s="5">
        <f t="shared" si="40"/>
        <v>1.540811344482431</v>
      </c>
      <c r="BM68" s="5">
        <f t="shared" si="77"/>
        <v>2.8220471290691616</v>
      </c>
      <c r="BN68" s="1">
        <f t="shared" si="42"/>
        <v>1.1545282188252222</v>
      </c>
      <c r="BO68" s="1">
        <f t="shared" si="68"/>
        <v>3.1538371808084937</v>
      </c>
      <c r="BP68" s="9">
        <f>(1+0.2*B68*B68)*K68</f>
        <v>241.19892737570004</v>
      </c>
      <c r="BQ68" s="9">
        <f t="shared" si="53"/>
        <v>680.67474053515548</v>
      </c>
      <c r="BR68" s="9">
        <f t="shared" si="54"/>
        <v>1299.0378088884468</v>
      </c>
      <c r="BS68" s="9">
        <f t="shared" si="46"/>
        <v>760.70214512861048</v>
      </c>
      <c r="BU68" s="9">
        <f>((1+0.2*B68*B68)^3.5)*I68</f>
        <v>32230.295644092686</v>
      </c>
      <c r="BV68" s="9">
        <f t="shared" si="47"/>
        <v>730845.63219754328</v>
      </c>
      <c r="BX68" s="3">
        <f t="shared" si="69"/>
        <v>2.087861765862983E-2</v>
      </c>
      <c r="BZ68" s="3">
        <f t="shared" si="70"/>
        <v>3.5304583023124926E-2</v>
      </c>
      <c r="CA68"/>
      <c r="CB68" s="14">
        <f>$CB$12*($AO$5/K68)/($AN$5*(1-0.53*((B68-$AM$5)^2))*(1+0.2*B68*B68))</f>
        <v>1.3629629629629629</v>
      </c>
      <c r="CC68" s="1">
        <f t="shared" si="48"/>
        <v>1.9074074074074074</v>
      </c>
      <c r="CD68" s="3">
        <f t="shared" si="71"/>
        <v>6.6096526573542078E-2</v>
      </c>
      <c r="CE68" s="6">
        <f t="shared" si="72"/>
        <v>1.8721797827281534</v>
      </c>
      <c r="CF68" s="22" t="str">
        <f t="shared" si="49"/>
        <v/>
      </c>
      <c r="CG68" s="22"/>
      <c r="CH68" s="7">
        <f t="shared" si="73"/>
        <v>1.0435832860780319</v>
      </c>
      <c r="CI68" s="23">
        <f>CH68*(0.7*I68*B68*B68)*$N$5/9.80665</f>
        <v>114349.86144983719</v>
      </c>
      <c r="CK68" s="1">
        <f>B68/$AI$5</f>
        <v>1</v>
      </c>
      <c r="CL68" s="14">
        <f t="shared" si="50"/>
        <v>1.4515200000000053</v>
      </c>
      <c r="CM68" s="1">
        <f t="shared" si="74"/>
        <v>0.8569758833631711</v>
      </c>
      <c r="CN68" s="14">
        <f>SQRT((A68*9.80665)/(0.7*I68*$N$5*CM68))</f>
        <v>0.595623761515787</v>
      </c>
      <c r="CO68" s="1">
        <f t="shared" si="75"/>
        <v>0.62618144986222868</v>
      </c>
      <c r="CP68" s="29" t="str">
        <f>IF(C68&lt;30,"",IF(CO68&gt;1,"no",""))</f>
        <v/>
      </c>
      <c r="CQ68" s="22"/>
      <c r="CR68" s="23">
        <f>CM68*(0.7*I68*B68*B68)*$N$5/9.80665</f>
        <v>93902.494257754006</v>
      </c>
      <c r="CS68"/>
      <c r="CT68" s="6">
        <f t="shared" si="76"/>
        <v>0.89146341463414647</v>
      </c>
      <c r="CU68" s="22" t="str">
        <f t="shared" si="52"/>
        <v/>
      </c>
      <c r="CV68" s="5"/>
      <c r="CW68" s="6">
        <f>IF(C68&lt;100,SQRT(2)*SQRT(SQRT(1+(2/1.4)*(10510/I68))-1),IF(I68&gt;$AW$5,SQRT(2)*SQRT(SQRT(1+(2/1.4)*($AV$5/I68))-1),$AS$5))</f>
        <v>0.82</v>
      </c>
      <c r="CX68" s="22" t="str">
        <f>IF(B68&gt;CW68,"no","")</f>
        <v/>
      </c>
    </row>
    <row r="69" spans="1:102" x14ac:dyDescent="0.2">
      <c r="A69">
        <v>58800</v>
      </c>
      <c r="B69" s="1">
        <v>0.75270000000000004</v>
      </c>
      <c r="C69" s="5">
        <v>366</v>
      </c>
      <c r="D69" s="1">
        <v>0</v>
      </c>
      <c r="E69" s="1">
        <v>0</v>
      </c>
      <c r="G69">
        <f t="shared" si="1"/>
        <v>36600</v>
      </c>
      <c r="H69" s="9">
        <f t="shared" si="2"/>
        <v>11155.680000044622</v>
      </c>
      <c r="I69" s="5">
        <f t="shared" si="17"/>
        <v>22083.211339559974</v>
      </c>
      <c r="J69" s="5">
        <v>0</v>
      </c>
      <c r="K69" s="6">
        <f t="shared" si="18"/>
        <v>216.65</v>
      </c>
      <c r="L69" s="5">
        <f t="shared" si="19"/>
        <v>295.06801842964956</v>
      </c>
      <c r="M69" s="10">
        <f t="shared" si="20"/>
        <v>1.4216130796413355E-5</v>
      </c>
      <c r="O69" s="6">
        <f>B69*L69</f>
        <v>222.09769747199724</v>
      </c>
      <c r="P69" s="1">
        <f>IF(E69=0,0,E69/9.80665)</f>
        <v>0</v>
      </c>
      <c r="Q69" s="7">
        <f>IF(D69=0,0,(D69/O69))</f>
        <v>0</v>
      </c>
      <c r="R69" s="19">
        <f t="shared" si="21"/>
        <v>1</v>
      </c>
      <c r="S69" s="19">
        <f t="shared" si="22"/>
        <v>0</v>
      </c>
      <c r="T69" s="19">
        <f t="shared" si="23"/>
        <v>0</v>
      </c>
      <c r="U69" s="19"/>
      <c r="V69" s="19"/>
      <c r="W69" s="6"/>
      <c r="X69" s="1">
        <f>(A69*9.80665*R69)/(0.7*I69*B69*B69*$N$5)</f>
        <v>0.53791354847002482</v>
      </c>
      <c r="Y69" s="10">
        <f>(SQRT($N$5)*B69)*(I69/M69)*SQRT(1.4/(287.05*K69))</f>
        <v>61376107.052600555</v>
      </c>
      <c r="Z69" s="10">
        <f t="shared" si="24"/>
        <v>2.1849040645673589E-3</v>
      </c>
      <c r="AA69" s="3">
        <f t="shared" si="55"/>
        <v>1.8342898026524286E-2</v>
      </c>
      <c r="AB69" s="3">
        <f t="shared" si="56"/>
        <v>7.6256105804174369E-3</v>
      </c>
      <c r="AC69" s="3">
        <f>IF($E$5="no",(1/((1+0.03+$Q$5)+AB69*3.141593*$S$5)),(1.075/((1+0.03+$Q$5)+AB69*3.141593*$S$5)))</f>
        <v>0.77855839131544713</v>
      </c>
      <c r="AD69" s="3">
        <f t="shared" si="57"/>
        <v>4.3035965366980455E-2</v>
      </c>
      <c r="AE69" s="1">
        <f t="shared" si="58"/>
        <v>0.68409648013172442</v>
      </c>
      <c r="AF69" s="1">
        <f>B69*$R$5/AE69</f>
        <v>0.99719538955427167</v>
      </c>
      <c r="AG69" s="8">
        <f t="shared" si="29"/>
        <v>8.9678237545619017E-4</v>
      </c>
      <c r="AH69" s="8"/>
      <c r="AI69" s="3">
        <f t="shared" si="30"/>
        <v>3.1692179398352123E-2</v>
      </c>
      <c r="AJ69" s="1">
        <f t="shared" si="31"/>
        <v>16.973069024656422</v>
      </c>
      <c r="AK69" s="1"/>
      <c r="AL69" s="1">
        <f t="shared" si="32"/>
        <v>5.891686403603974E-2</v>
      </c>
      <c r="AM69" s="8">
        <f>AL69*(A69*9.80665)/(0.7*I69*B69*B69*$N$5)</f>
        <v>3.1692179398352123E-2</v>
      </c>
      <c r="AN69" s="1">
        <f>B69/$AI$5</f>
        <v>1</v>
      </c>
      <c r="AO69" s="1">
        <f>IF(B69&lt;0.4,1.3*(0.4-B69),0)</f>
        <v>0</v>
      </c>
      <c r="AP69" s="1">
        <f t="shared" si="33"/>
        <v>-0.43</v>
      </c>
      <c r="AQ69" s="1">
        <f t="shared" si="34"/>
        <v>0</v>
      </c>
      <c r="AR69" s="1">
        <f t="shared" si="59"/>
        <v>1</v>
      </c>
      <c r="AS69" s="1">
        <f t="shared" si="60"/>
        <v>0.30867472713898642</v>
      </c>
      <c r="AT69" s="1">
        <f>(((1+0.55*B69)/(1+0.55*$AI$5))/(AN69^2))</f>
        <v>1</v>
      </c>
      <c r="AU69" s="1">
        <f t="shared" si="61"/>
        <v>3.465254791234245E-2</v>
      </c>
      <c r="AV69" s="8">
        <f t="shared" si="62"/>
        <v>0.91456996116190603</v>
      </c>
      <c r="AW69" s="8">
        <f t="shared" si="36"/>
        <v>0.99686173463957239</v>
      </c>
      <c r="AX69" s="8"/>
      <c r="AY69" s="4"/>
      <c r="AZ69" s="1">
        <f t="shared" si="63"/>
        <v>0.30770602393516672</v>
      </c>
      <c r="BA69" s="14">
        <f t="shared" si="38"/>
        <v>0.30001337333678757</v>
      </c>
      <c r="BB69" s="1"/>
      <c r="BC69" s="14">
        <f t="shared" si="39"/>
        <v>5.0921476939653116</v>
      </c>
      <c r="BD69" s="14">
        <f>IF(0.7*(AM69*(B69^3)/BA69)*(I69*L69*$N$5/43000000)&lt;$AH$5*(1-0.178*(C69/100)+0.0085*((C69/100)^2)),$AH$5*(1-0.178*(C69/100)+0.0085*((C69/100)^2)),0.7*(AM69*(B69^3)/BA69)*(I69*L69*$N$5/43000000))</f>
        <v>0.58488786470060283</v>
      </c>
      <c r="BE69" s="4">
        <f t="shared" si="64"/>
        <v>2.6334710866345082E-3</v>
      </c>
      <c r="BF69" s="4"/>
      <c r="BG69" s="1">
        <f t="shared" si="65"/>
        <v>0.96582798446476237</v>
      </c>
      <c r="BH69" s="1">
        <f>0.6*$AN$5*(1-0.53*((B69-$AM$5)^2))*(1+((2/3)*AV69))</f>
        <v>5.3902505386253781</v>
      </c>
      <c r="BJ69" s="1">
        <f t="shared" si="66"/>
        <v>6.0814499944089544</v>
      </c>
      <c r="BK69" s="5">
        <f t="shared" si="67"/>
        <v>22.723106146152855</v>
      </c>
      <c r="BL69" s="5">
        <f t="shared" si="40"/>
        <v>1.5420980912660518</v>
      </c>
      <c r="BM69" s="5">
        <f t="shared" si="77"/>
        <v>2.8240053189753098</v>
      </c>
      <c r="BN69" s="1">
        <f t="shared" si="42"/>
        <v>1.1548485983163261</v>
      </c>
      <c r="BO69" s="1">
        <f t="shared" si="68"/>
        <v>3.1558953352716261</v>
      </c>
      <c r="BP69" s="9">
        <f>(1+0.2*B69*B69)*K69</f>
        <v>241.19892737570004</v>
      </c>
      <c r="BQ69" s="9">
        <f t="shared" si="53"/>
        <v>681.14705384011643</v>
      </c>
      <c r="BR69" s="9">
        <f t="shared" si="54"/>
        <v>1300.1226482027305</v>
      </c>
      <c r="BS69" s="9">
        <f t="shared" si="46"/>
        <v>761.19856977749146</v>
      </c>
      <c r="BU69" s="9">
        <f>((1+0.2*B69*B69)^3.5)*I69</f>
        <v>32152.933658616075</v>
      </c>
      <c r="BV69" s="9">
        <f t="shared" si="47"/>
        <v>730614.52443494392</v>
      </c>
      <c r="BX69" s="3">
        <f t="shared" si="69"/>
        <v>2.0900517191400913E-2</v>
      </c>
      <c r="BZ69" s="3">
        <f t="shared" si="70"/>
        <v>3.5383258852121242E-2</v>
      </c>
      <c r="CA69"/>
      <c r="CB69" s="14">
        <f>$CB$12*($AO$5/K69)/($AN$5*(1-0.53*((B69-$AM$5)^2))*(1+0.2*B69*B69))</f>
        <v>1.3629629629629629</v>
      </c>
      <c r="CC69" s="1">
        <f t="shared" si="48"/>
        <v>1.9074074074074074</v>
      </c>
      <c r="CD69" s="3">
        <f t="shared" si="71"/>
        <v>6.6096526573542078E-2</v>
      </c>
      <c r="CE69" s="6">
        <f t="shared" si="72"/>
        <v>1.8680169299775948</v>
      </c>
      <c r="CF69" s="22" t="str">
        <f t="shared" si="49"/>
        <v/>
      </c>
      <c r="CG69" s="22"/>
      <c r="CH69" s="7">
        <f t="shared" si="73"/>
        <v>1.0434478589371674</v>
      </c>
      <c r="CI69" s="23">
        <f>CH69*(0.7*I69*B69*B69)*$N$5/9.80665</f>
        <v>114060.58516283019</v>
      </c>
      <c r="CK69" s="1">
        <f>B69/$AI$5</f>
        <v>1</v>
      </c>
      <c r="CL69" s="14">
        <f t="shared" si="50"/>
        <v>1.4515200000000053</v>
      </c>
      <c r="CM69" s="1">
        <f t="shared" si="74"/>
        <v>0.8569758833631711</v>
      </c>
      <c r="CN69" s="14">
        <f>SQRT((A69*9.80665)/(0.7*I69*$N$5*CM69))</f>
        <v>0.59633988517568326</v>
      </c>
      <c r="CO69" s="1">
        <f t="shared" si="75"/>
        <v>0.62768808190844583</v>
      </c>
      <c r="CP69" s="29" t="str">
        <f>IF(C69&lt;30,"",IF(CO69&gt;1,"no",""))</f>
        <v/>
      </c>
      <c r="CQ69" s="22"/>
      <c r="CR69" s="23">
        <f>CM69*(0.7*I69*B69*B69)*$N$5/9.80665</f>
        <v>93677.101246246923</v>
      </c>
      <c r="CS69"/>
      <c r="CT69" s="6">
        <f t="shared" si="76"/>
        <v>0.89268292682926842</v>
      </c>
      <c r="CU69" s="22" t="str">
        <f t="shared" si="52"/>
        <v/>
      </c>
      <c r="CV69" s="5"/>
      <c r="CW69" s="6">
        <f>IF(C69&lt;100,SQRT(2)*SQRT(SQRT(1+(2/1.4)*(10510/I69))-1),IF(I69&gt;$AW$5,SQRT(2)*SQRT(SQRT(1+(2/1.4)*($AV$5/I69))-1),$AS$5))</f>
        <v>0.82</v>
      </c>
      <c r="CX69" s="22" t="str">
        <f>IF(B69&gt;CW69,"no","")</f>
        <v/>
      </c>
    </row>
    <row r="70" spans="1:102" x14ac:dyDescent="0.2">
      <c r="A70">
        <v>58800</v>
      </c>
      <c r="B70" s="1">
        <v>0.75270000000000004</v>
      </c>
      <c r="C70" s="5">
        <v>366.5</v>
      </c>
      <c r="D70" s="1">
        <v>0</v>
      </c>
      <c r="E70" s="1">
        <v>0</v>
      </c>
      <c r="G70">
        <f t="shared" si="1"/>
        <v>36650</v>
      </c>
      <c r="H70" s="9">
        <f t="shared" si="2"/>
        <v>11170.920000044684</v>
      </c>
      <c r="I70" s="5">
        <f t="shared" si="17"/>
        <v>22030.205276761379</v>
      </c>
      <c r="J70" s="5">
        <v>0</v>
      </c>
      <c r="K70" s="6">
        <f t="shared" si="18"/>
        <v>216.65</v>
      </c>
      <c r="L70" s="5">
        <f t="shared" si="19"/>
        <v>295.06801842964956</v>
      </c>
      <c r="M70" s="10">
        <f t="shared" si="20"/>
        <v>1.4216130796413355E-5</v>
      </c>
      <c r="O70" s="6">
        <f>B70*L70</f>
        <v>222.09769747199724</v>
      </c>
      <c r="P70" s="1">
        <f>IF(E70=0,0,E70/9.80665)</f>
        <v>0</v>
      </c>
      <c r="Q70" s="7">
        <f>IF(D70=0,0,(D70/O70))</f>
        <v>0</v>
      </c>
      <c r="R70" s="19">
        <f t="shared" si="21"/>
        <v>1</v>
      </c>
      <c r="S70" s="19">
        <f t="shared" si="22"/>
        <v>0</v>
      </c>
      <c r="T70" s="19">
        <f t="shared" si="23"/>
        <v>0</v>
      </c>
      <c r="U70" s="19"/>
      <c r="V70" s="19"/>
      <c r="W70" s="6"/>
      <c r="X70" s="1">
        <f>(A70*9.80665*R70)/(0.7*I70*B70*B70*$N$5)</f>
        <v>0.53920780238060873</v>
      </c>
      <c r="Y70" s="10">
        <f>(SQRT($N$5)*B70)*(I70/M70)*SQRT(1.4/(287.05*K70))</f>
        <v>61228786.731532238</v>
      </c>
      <c r="Z70" s="10">
        <f t="shared" si="24"/>
        <v>2.1856392866185645E-3</v>
      </c>
      <c r="AA70" s="3">
        <f t="shared" si="55"/>
        <v>1.8349070427102793E-2</v>
      </c>
      <c r="AB70" s="3">
        <f t="shared" si="56"/>
        <v>7.6281766047768358E-3</v>
      </c>
      <c r="AC70" s="3">
        <f>IF($E$5="no",(1/((1+0.03+$Q$5)+AB70*3.141593*$S$5)),(1.075/((1+0.03+$Q$5)+AB70*3.141593*$S$5)))</f>
        <v>0.77851197245000847</v>
      </c>
      <c r="AD70" s="3">
        <f t="shared" si="57"/>
        <v>4.3038531391339854E-2</v>
      </c>
      <c r="AE70" s="1">
        <f t="shared" si="58"/>
        <v>0.68393891211002455</v>
      </c>
      <c r="AF70" s="1">
        <f>B70*$R$5/AE70</f>
        <v>0.99742512659949334</v>
      </c>
      <c r="AG70" s="8">
        <f t="shared" si="29"/>
        <v>8.9999705307733976E-4</v>
      </c>
      <c r="AH70" s="8"/>
      <c r="AI70" s="3">
        <f t="shared" si="30"/>
        <v>3.1762307620011039E-2</v>
      </c>
      <c r="AJ70" s="1">
        <f t="shared" si="31"/>
        <v>16.976342173604994</v>
      </c>
      <c r="AK70" s="1"/>
      <c r="AL70" s="1">
        <f t="shared" si="32"/>
        <v>5.8905504482279533E-2</v>
      </c>
      <c r="AM70" s="8">
        <f>AL70*(A70*9.80665)/(0.7*I70*B70*B70*$N$5)</f>
        <v>3.1762307620011046E-2</v>
      </c>
      <c r="AN70" s="1">
        <f>B70/$AI$5</f>
        <v>1</v>
      </c>
      <c r="AO70" s="1">
        <f>IF(B70&lt;0.4,1.3*(0.4-B70),0)</f>
        <v>0</v>
      </c>
      <c r="AP70" s="1">
        <f t="shared" si="33"/>
        <v>-0.43</v>
      </c>
      <c r="AQ70" s="1">
        <f t="shared" si="34"/>
        <v>0</v>
      </c>
      <c r="AR70" s="1">
        <f t="shared" si="59"/>
        <v>1</v>
      </c>
      <c r="AS70" s="1">
        <f t="shared" si="60"/>
        <v>0.30867472713898642</v>
      </c>
      <c r="AT70" s="1">
        <f>(((1+0.55*B70)/(1+0.55*$AI$5))/(AN70^2))</f>
        <v>1</v>
      </c>
      <c r="AU70" s="1">
        <f t="shared" si="61"/>
        <v>3.465254791234245E-2</v>
      </c>
      <c r="AV70" s="8">
        <f t="shared" si="62"/>
        <v>0.91659371485056174</v>
      </c>
      <c r="AW70" s="8">
        <f t="shared" si="36"/>
        <v>0.9970086583869554</v>
      </c>
      <c r="AX70" s="8"/>
      <c r="AY70" s="4"/>
      <c r="AZ70" s="1">
        <f t="shared" si="63"/>
        <v>0.30775137558280036</v>
      </c>
      <c r="BA70" s="14">
        <f t="shared" si="38"/>
        <v>0.30005759119323033</v>
      </c>
      <c r="BB70" s="1"/>
      <c r="BC70" s="14">
        <f t="shared" si="39"/>
        <v>5.0938803398839623</v>
      </c>
      <c r="BD70" s="14">
        <f>IF(0.7*(AM70*(B70^3)/BA70)*(I70*L70*$N$5/43000000)&lt;$AH$5*(1-0.178*(C70/100)+0.0085*((C70/100)^2)),$AH$5*(1-0.178*(C70/100)+0.0085*((C70/100)^2)),0.7*(AM70*(B70^3)/BA70)*(I70*L70*$N$5/43000000))</f>
        <v>0.58468891939682188</v>
      </c>
      <c r="BE70" s="4">
        <f t="shared" si="64"/>
        <v>2.6325753308205336E-3</v>
      </c>
      <c r="BF70" s="4"/>
      <c r="BG70" s="1">
        <f t="shared" si="65"/>
        <v>0.96663748594022469</v>
      </c>
      <c r="BH70" s="1">
        <f>0.6*$AN$5*(1-0.53*((B70-$AM$5)^2))*(1+((2/3)*AV70))</f>
        <v>5.3947683366539234</v>
      </c>
      <c r="BJ70" s="1">
        <f t="shared" si="66"/>
        <v>6.0756953837124517</v>
      </c>
      <c r="BK70" s="5">
        <f t="shared" si="67"/>
        <v>22.770749082323018</v>
      </c>
      <c r="BL70" s="5">
        <f t="shared" si="40"/>
        <v>1.5433905892059196</v>
      </c>
      <c r="BM70" s="5">
        <f t="shared" si="77"/>
        <v>2.825971983030763</v>
      </c>
      <c r="BN70" s="1">
        <f t="shared" si="42"/>
        <v>1.1551702301324287</v>
      </c>
      <c r="BO70" s="1">
        <f t="shared" si="68"/>
        <v>3.1579654997522848</v>
      </c>
      <c r="BP70" s="9">
        <f>(1+0.2*B70*B70)*K70</f>
        <v>241.19892737570004</v>
      </c>
      <c r="BQ70" s="9">
        <f t="shared" si="53"/>
        <v>681.62141110080006</v>
      </c>
      <c r="BR70" s="9">
        <f t="shared" si="54"/>
        <v>1301.2123362413158</v>
      </c>
      <c r="BS70" s="9">
        <f t="shared" si="46"/>
        <v>761.69789122971758</v>
      </c>
      <c r="BU70" s="9">
        <f>((1+0.2*B70*B70)^3.5)*I70</f>
        <v>32075.757364169509</v>
      </c>
      <c r="BV70" s="9">
        <f t="shared" si="47"/>
        <v>730389.02256497869</v>
      </c>
      <c r="BX70" s="3">
        <f t="shared" si="69"/>
        <v>2.0922517669010252E-2</v>
      </c>
      <c r="BZ70" s="3">
        <f t="shared" si="70"/>
        <v>3.5462268043651442E-2</v>
      </c>
      <c r="CA70"/>
      <c r="CB70" s="14">
        <f>$CB$12*($AO$5/K70)/($AN$5*(1-0.53*((B70-$AM$5)^2))*(1+0.2*B70*B70))</f>
        <v>1.3629629629629629</v>
      </c>
      <c r="CC70" s="1">
        <f t="shared" si="48"/>
        <v>1.9074074074074074</v>
      </c>
      <c r="CD70" s="3">
        <f t="shared" si="71"/>
        <v>6.6096526573542078E-2</v>
      </c>
      <c r="CE70" s="6">
        <f t="shared" si="72"/>
        <v>1.8638550273260051</v>
      </c>
      <c r="CF70" s="22" t="str">
        <f t="shared" si="49"/>
        <v/>
      </c>
      <c r="CG70" s="22"/>
      <c r="CH70" s="7">
        <f t="shared" si="73"/>
        <v>1.0433122306638056</v>
      </c>
      <c r="CI70" s="23">
        <f>CH70*(0.7*I70*B70*B70)*$N$5/9.80665</f>
        <v>113772.01682205845</v>
      </c>
      <c r="CK70" s="1">
        <f>B70/$AI$5</f>
        <v>1</v>
      </c>
      <c r="CL70" s="14">
        <f t="shared" si="50"/>
        <v>1.4515200000000053</v>
      </c>
      <c r="CM70" s="1">
        <f t="shared" si="74"/>
        <v>0.8569758833631711</v>
      </c>
      <c r="CN70" s="14">
        <f>SQRT((A70*9.80665)/(0.7*I70*$N$5*CM70))</f>
        <v>0.59705686983732154</v>
      </c>
      <c r="CO70" s="1">
        <f t="shared" si="75"/>
        <v>0.62919833900635225</v>
      </c>
      <c r="CP70" s="29" t="str">
        <f>IF(C70&lt;30,"",IF(CO70&gt;1,"no",""))</f>
        <v/>
      </c>
      <c r="CQ70" s="22"/>
      <c r="CR70" s="23">
        <f>CM70*(0.7*I70*B70*B70)*$N$5/9.80665</f>
        <v>93452.249242835926</v>
      </c>
      <c r="CS70"/>
      <c r="CT70" s="6">
        <f t="shared" si="76"/>
        <v>0.89390243902439037</v>
      </c>
      <c r="CU70" s="22" t="str">
        <f t="shared" si="52"/>
        <v/>
      </c>
      <c r="CV70" s="5"/>
      <c r="CW70" s="6">
        <f>IF(C70&lt;100,SQRT(2)*SQRT(SQRT(1+(2/1.4)*(10510/I70))-1),IF(I70&gt;$AW$5,SQRT(2)*SQRT(SQRT(1+(2/1.4)*($AV$5/I70))-1),$AS$5))</f>
        <v>0.82</v>
      </c>
      <c r="CX70" s="22" t="str">
        <f>IF(B70&gt;CW70,"no","")</f>
        <v/>
      </c>
    </row>
    <row r="71" spans="1:102" x14ac:dyDescent="0.2">
      <c r="A71">
        <v>58800</v>
      </c>
      <c r="B71" s="1">
        <v>0.75270000000000004</v>
      </c>
      <c r="C71" s="5">
        <v>367</v>
      </c>
      <c r="D71" s="1">
        <v>0</v>
      </c>
      <c r="E71" s="1">
        <v>0</v>
      </c>
      <c r="G71">
        <f t="shared" si="1"/>
        <v>36700</v>
      </c>
      <c r="H71" s="9">
        <f t="shared" si="2"/>
        <v>11186.160000044743</v>
      </c>
      <c r="I71" s="5">
        <f t="shared" si="17"/>
        <v>21977.326443768739</v>
      </c>
      <c r="J71" s="5">
        <v>0</v>
      </c>
      <c r="K71" s="6">
        <f t="shared" si="18"/>
        <v>216.65</v>
      </c>
      <c r="L71" s="5">
        <f t="shared" si="19"/>
        <v>295.06801842964956</v>
      </c>
      <c r="M71" s="10">
        <f t="shared" si="20"/>
        <v>1.4216130796413355E-5</v>
      </c>
      <c r="O71" s="6">
        <f>B71*L71</f>
        <v>222.09769747199724</v>
      </c>
      <c r="P71" s="1">
        <f>IF(E71=0,0,E71/9.80665)</f>
        <v>0</v>
      </c>
      <c r="Q71" s="7">
        <f>IF(D71=0,0,(D71/O71))</f>
        <v>0</v>
      </c>
      <c r="R71" s="19">
        <f t="shared" si="21"/>
        <v>1</v>
      </c>
      <c r="S71" s="19">
        <f t="shared" si="22"/>
        <v>0</v>
      </c>
      <c r="T71" s="19">
        <f t="shared" si="23"/>
        <v>0</v>
      </c>
      <c r="U71" s="19"/>
      <c r="V71" s="19"/>
      <c r="W71" s="6"/>
      <c r="X71" s="1">
        <f>(A71*9.80665*R71)/(0.7*I71*B71*B71*$N$5)</f>
        <v>0.54050517034769818</v>
      </c>
      <c r="Y71" s="10">
        <f>(SQRT($N$5)*B71)*(I71/M71)*SQRT(1.4/(287.05*K71))</f>
        <v>61081820.021633536</v>
      </c>
      <c r="Z71" s="10">
        <f t="shared" si="24"/>
        <v>2.186374756072606E-3</v>
      </c>
      <c r="AA71" s="3">
        <f t="shared" si="55"/>
        <v>1.8355244904699263E-2</v>
      </c>
      <c r="AB71" s="3">
        <f t="shared" si="56"/>
        <v>7.6307434926055811E-3</v>
      </c>
      <c r="AC71" s="3">
        <f>IF($E$5="no",(1/((1+0.03+$Q$5)+AB71*3.141593*$S$5)),(1.075/((1+0.03+$Q$5)+AB71*3.141593*$S$5)))</f>
        <v>0.778465543502177</v>
      </c>
      <c r="AD71" s="3">
        <f t="shared" si="57"/>
        <v>4.3041098279168598E-2</v>
      </c>
      <c r="AE71" s="1">
        <f t="shared" si="58"/>
        <v>0.6837809649697304</v>
      </c>
      <c r="AF71" s="1">
        <f>B71*$R$5/AE71</f>
        <v>0.99765552266851953</v>
      </c>
      <c r="AG71" s="8">
        <f t="shared" si="29"/>
        <v>9.0322672858697344E-4</v>
      </c>
      <c r="AH71" s="8"/>
      <c r="AI71" s="3">
        <f t="shared" si="30"/>
        <v>3.1832749408964051E-2</v>
      </c>
      <c r="AJ71" s="1">
        <f t="shared" si="31"/>
        <v>16.979531469421012</v>
      </c>
      <c r="AK71" s="1"/>
      <c r="AL71" s="1">
        <f t="shared" si="32"/>
        <v>5.8894440155838952E-2</v>
      </c>
      <c r="AM71" s="8">
        <f>AL71*(A71*9.80665)/(0.7*I71*B71*B71*$N$5)</f>
        <v>3.1832749408964051E-2</v>
      </c>
      <c r="AN71" s="1">
        <f>B71/$AI$5</f>
        <v>1</v>
      </c>
      <c r="AO71" s="1">
        <f>IF(B71&lt;0.4,1.3*(0.4-B71),0)</f>
        <v>0</v>
      </c>
      <c r="AP71" s="1">
        <f t="shared" si="33"/>
        <v>-0.43</v>
      </c>
      <c r="AQ71" s="1">
        <f t="shared" si="34"/>
        <v>0</v>
      </c>
      <c r="AR71" s="1">
        <f t="shared" si="59"/>
        <v>1</v>
      </c>
      <c r="AS71" s="1">
        <f t="shared" si="60"/>
        <v>0.30867472713898642</v>
      </c>
      <c r="AT71" s="1">
        <f>(((1+0.55*B71)/(1+0.55*$AI$5))/(AN71^2))</f>
        <v>1</v>
      </c>
      <c r="AU71" s="1">
        <f t="shared" si="61"/>
        <v>3.465254791234245E-2</v>
      </c>
      <c r="AV71" s="8">
        <f t="shared" si="62"/>
        <v>0.91862651743498347</v>
      </c>
      <c r="AW71" s="8">
        <f t="shared" si="36"/>
        <v>0.99715269322415356</v>
      </c>
      <c r="AX71" s="8"/>
      <c r="AY71" s="4"/>
      <c r="AZ71" s="1">
        <f t="shared" si="63"/>
        <v>0.30779583549687101</v>
      </c>
      <c r="BA71" s="14">
        <f t="shared" si="38"/>
        <v>0.30010093960944922</v>
      </c>
      <c r="BB71" s="1"/>
      <c r="BC71" s="14">
        <f t="shared" si="39"/>
        <v>5.0955733481014578</v>
      </c>
      <c r="BD71" s="14">
        <f>IF(0.7*(AM71*(B71^3)/BA71)*(I71*L71*$N$5/43000000)&lt;$AH$5*(1-0.178*(C71/100)+0.0085*((C71/100)^2)),$AH$5*(1-0.178*(C71/100)+0.0085*((C71/100)^2)),0.7*(AM71*(B71^3)/BA71)*(I71*L71*$N$5/43000000))</f>
        <v>0.58449465604751971</v>
      </c>
      <c r="BE71" s="4">
        <f t="shared" si="64"/>
        <v>2.6317006556144718E-3</v>
      </c>
      <c r="BF71" s="4"/>
      <c r="BG71" s="1">
        <f t="shared" si="65"/>
        <v>0.96745060697399321</v>
      </c>
      <c r="BH71" s="1">
        <f>0.6*$AN$5*(1-0.53*((B71-$AM$5)^2))*(1+((2/3)*AV71))</f>
        <v>5.3993063353045505</v>
      </c>
      <c r="BJ71" s="1">
        <f t="shared" si="66"/>
        <v>6.0699253666588495</v>
      </c>
      <c r="BK71" s="5">
        <f t="shared" si="67"/>
        <v>22.818665333460174</v>
      </c>
      <c r="BL71" s="5">
        <f t="shared" si="40"/>
        <v>1.544688866346686</v>
      </c>
      <c r="BM71" s="5">
        <f t="shared" si="77"/>
        <v>2.8279471604539155</v>
      </c>
      <c r="BN71" s="1">
        <f t="shared" si="42"/>
        <v>1.155493119096352</v>
      </c>
      <c r="BO71" s="1">
        <f t="shared" si="68"/>
        <v>3.1600477482147142</v>
      </c>
      <c r="BP71" s="9">
        <f>(1+0.2*B71*B71)*K71</f>
        <v>241.19892737570004</v>
      </c>
      <c r="BQ71" s="9">
        <f t="shared" si="53"/>
        <v>682.09782177664113</v>
      </c>
      <c r="BR71" s="9">
        <f t="shared" si="54"/>
        <v>1302.3068966482795</v>
      </c>
      <c r="BS71" s="9">
        <f t="shared" si="46"/>
        <v>762.20012732538532</v>
      </c>
      <c r="BU71" s="9">
        <f>((1+0.2*B71*B71)^3.5)*I71</f>
        <v>31998.766315041088</v>
      </c>
      <c r="BV71" s="9">
        <f t="shared" si="47"/>
        <v>730169.13962652127</v>
      </c>
      <c r="BX71" s="3">
        <f t="shared" si="69"/>
        <v>2.0944619608606534E-2</v>
      </c>
      <c r="BZ71" s="3">
        <f t="shared" si="70"/>
        <v>3.5541612170649148E-2</v>
      </c>
      <c r="CA71"/>
      <c r="CB71" s="14">
        <f>$CB$12*($AO$5/K71)/($AN$5*(1-0.53*((B71-$AM$5)^2))*(1+0.2*B71*B71))</f>
        <v>1.3629629629629629</v>
      </c>
      <c r="CC71" s="1">
        <f t="shared" si="48"/>
        <v>1.9074074074074074</v>
      </c>
      <c r="CD71" s="3">
        <f t="shared" si="71"/>
        <v>6.6096526573542078E-2</v>
      </c>
      <c r="CE71" s="6">
        <f t="shared" si="72"/>
        <v>1.8596941032440191</v>
      </c>
      <c r="CF71" s="22" t="str">
        <f t="shared" si="49"/>
        <v/>
      </c>
      <c r="CG71" s="22"/>
      <c r="CH71" s="7">
        <f t="shared" si="73"/>
        <v>1.0431764003218547</v>
      </c>
      <c r="CI71" s="23">
        <f>CH71*(0.7*I71*B71*B71)*$N$5/9.80665</f>
        <v>113484.15464641502</v>
      </c>
      <c r="CK71" s="1">
        <f>B71/$AI$5</f>
        <v>1</v>
      </c>
      <c r="CL71" s="14">
        <f t="shared" si="50"/>
        <v>1.4515200000000053</v>
      </c>
      <c r="CM71" s="1">
        <f t="shared" si="74"/>
        <v>0.8569758833631711</v>
      </c>
      <c r="CN71" s="14">
        <f>SQRT((A71*9.80665)/(0.7*I71*$N$5*CM71))</f>
        <v>0.59777471653589165</v>
      </c>
      <c r="CO71" s="1">
        <f t="shared" si="75"/>
        <v>0.63071222987805098</v>
      </c>
      <c r="CP71" s="29" t="str">
        <f>IF(C71&lt;30,"",IF(CO71&gt;1,"no",""))</f>
        <v/>
      </c>
      <c r="CQ71" s="22"/>
      <c r="CR71" s="23">
        <f>CM71*(0.7*I71*B71*B71)*$N$5/9.80665</f>
        <v>93227.936948945906</v>
      </c>
      <c r="CS71"/>
      <c r="CT71" s="6">
        <f t="shared" si="76"/>
        <v>0.89512195121951232</v>
      </c>
      <c r="CU71" s="22" t="str">
        <f t="shared" si="52"/>
        <v/>
      </c>
      <c r="CV71" s="5"/>
      <c r="CW71" s="6">
        <f>IF(C71&lt;100,SQRT(2)*SQRT(SQRT(1+(2/1.4)*(10510/I71))-1),IF(I71&gt;$AW$5,SQRT(2)*SQRT(SQRT(1+(2/1.4)*($AV$5/I71))-1),$AS$5))</f>
        <v>0.82</v>
      </c>
      <c r="CX71" s="22" t="str">
        <f>IF(B71&gt;CW71,"no","")</f>
        <v/>
      </c>
    </row>
    <row r="72" spans="1:102" x14ac:dyDescent="0.2">
      <c r="A72">
        <v>58800</v>
      </c>
      <c r="B72" s="1">
        <v>0.75270000000000004</v>
      </c>
      <c r="C72" s="5">
        <v>367.5</v>
      </c>
      <c r="D72" s="1">
        <v>0</v>
      </c>
      <c r="E72" s="1">
        <v>0</v>
      </c>
      <c r="G72">
        <f t="shared" si="1"/>
        <v>36750</v>
      </c>
      <c r="H72" s="9">
        <f t="shared" si="2"/>
        <v>11201.400000044805</v>
      </c>
      <c r="I72" s="5">
        <f t="shared" si="17"/>
        <v>21924.574535193889</v>
      </c>
      <c r="J72" s="5">
        <v>0</v>
      </c>
      <c r="K72" s="6">
        <f t="shared" si="18"/>
        <v>216.65</v>
      </c>
      <c r="L72" s="5">
        <f t="shared" si="19"/>
        <v>295.06801842964956</v>
      </c>
      <c r="M72" s="10">
        <f t="shared" si="20"/>
        <v>1.4216130796413355E-5</v>
      </c>
      <c r="O72" s="6">
        <f>B72*L72</f>
        <v>222.09769747199724</v>
      </c>
      <c r="P72" s="1">
        <f>IF(E72=0,0,E72/9.80665)</f>
        <v>0</v>
      </c>
      <c r="Q72" s="7">
        <f>IF(D72=0,0,(D72/O72))</f>
        <v>0</v>
      </c>
      <c r="R72" s="19">
        <f t="shared" si="21"/>
        <v>1</v>
      </c>
      <c r="S72" s="19">
        <f t="shared" si="22"/>
        <v>0</v>
      </c>
      <c r="T72" s="19">
        <f t="shared" si="23"/>
        <v>0</v>
      </c>
      <c r="U72" s="19"/>
      <c r="V72" s="19"/>
      <c r="W72" s="6"/>
      <c r="X72" s="1">
        <f>(A72*9.80665*R72)/(0.7*I72*B72*B72*$N$5)</f>
        <v>0.54180565986390961</v>
      </c>
      <c r="Y72" s="10">
        <f>(SQRT($N$5)*B72)*(I72/M72)*SQRT(1.4/(287.05*K72))</f>
        <v>60935206.074135832</v>
      </c>
      <c r="Z72" s="10">
        <f t="shared" si="24"/>
        <v>2.1871104730127374E-3</v>
      </c>
      <c r="AA72" s="3">
        <f t="shared" si="55"/>
        <v>1.8361421460012638E-2</v>
      </c>
      <c r="AB72" s="3">
        <f t="shared" si="56"/>
        <v>7.6333112441942389E-3</v>
      </c>
      <c r="AC72" s="3">
        <f>IF($E$5="no",(1/((1+0.03+$Q$5)+AB72*3.141593*$S$5)),(1.075/((1+0.03+$Q$5)+AB72*3.141593*$S$5)))</f>
        <v>0.7784191044712957</v>
      </c>
      <c r="AD72" s="3">
        <f t="shared" si="57"/>
        <v>4.3043666030757259E-2</v>
      </c>
      <c r="AE72" s="1">
        <f t="shared" si="58"/>
        <v>0.68362263779865884</v>
      </c>
      <c r="AF72" s="1">
        <f>B72*$R$5/AE72</f>
        <v>0.99788657993297269</v>
      </c>
      <c r="AG72" s="8">
        <f t="shared" si="29"/>
        <v>9.0647148214685158E-4</v>
      </c>
      <c r="AH72" s="8"/>
      <c r="AI72" s="3">
        <f t="shared" si="30"/>
        <v>3.190350629438081E-2</v>
      </c>
      <c r="AJ72" s="1">
        <f t="shared" si="31"/>
        <v>16.982636794355681</v>
      </c>
      <c r="AK72" s="1"/>
      <c r="AL72" s="1">
        <f t="shared" si="32"/>
        <v>5.8883671134765024E-2</v>
      </c>
      <c r="AM72" s="8">
        <f>AL72*(A72*9.80665)/(0.7*I72*B72*B72*$N$5)</f>
        <v>3.190350629438081E-2</v>
      </c>
      <c r="AN72" s="1">
        <f>B72/$AI$5</f>
        <v>1</v>
      </c>
      <c r="AO72" s="1">
        <f>IF(B72&lt;0.4,1.3*(0.4-B72),0)</f>
        <v>0</v>
      </c>
      <c r="AP72" s="1">
        <f t="shared" si="33"/>
        <v>-0.43</v>
      </c>
      <c r="AQ72" s="1">
        <f t="shared" si="34"/>
        <v>0</v>
      </c>
      <c r="AR72" s="1">
        <f t="shared" si="59"/>
        <v>1</v>
      </c>
      <c r="AS72" s="1">
        <f t="shared" si="60"/>
        <v>0.30867472713898642</v>
      </c>
      <c r="AT72" s="1">
        <f>(((1+0.55*B72)/(1+0.55*$AI$5))/(AN72^2))</f>
        <v>1</v>
      </c>
      <c r="AU72" s="1">
        <f t="shared" si="61"/>
        <v>3.465254791234245E-2</v>
      </c>
      <c r="AV72" s="8">
        <f t="shared" si="62"/>
        <v>0.92066841304380698</v>
      </c>
      <c r="AW72" s="8">
        <f t="shared" si="36"/>
        <v>0.99729379470373514</v>
      </c>
      <c r="AX72" s="8"/>
      <c r="AY72" s="4"/>
      <c r="AZ72" s="1">
        <f t="shared" si="63"/>
        <v>0.30783938995757976</v>
      </c>
      <c r="BA72" s="14">
        <f t="shared" si="38"/>
        <v>0.30014340520864025</v>
      </c>
      <c r="BB72" s="1"/>
      <c r="BC72" s="14">
        <f t="shared" si="39"/>
        <v>5.0972264368794606</v>
      </c>
      <c r="BD72" s="14">
        <f>IF(0.7*(AM72*(B72^3)/BA72)*(I72*L72*$N$5/43000000)&lt;$AH$5*(1-0.178*(C72/100)+0.0085*((C72/100)^2)),$AH$5*(1-0.178*(C72/100)+0.0085*((C72/100)^2)),0.7*(AM72*(B72^3)/BA72)*(I72*L72*$N$5/43000000))</f>
        <v>0.58430509775171313</v>
      </c>
      <c r="BE72" s="4">
        <f t="shared" si="64"/>
        <v>2.630847165020178E-3</v>
      </c>
      <c r="BF72" s="4"/>
      <c r="BG72" s="1">
        <f t="shared" si="65"/>
        <v>0.96826736521752266</v>
      </c>
      <c r="BH72" s="1">
        <f>0.6*$AN$5*(1-0.53*((B72-$AM$5)^2))*(1+((2/3)*AV72))</f>
        <v>5.4038646330893796</v>
      </c>
      <c r="BJ72" s="1">
        <f t="shared" si="66"/>
        <v>6.0641399291332174</v>
      </c>
      <c r="BK72" s="5">
        <f t="shared" si="67"/>
        <v>22.866856774183841</v>
      </c>
      <c r="BL72" s="5">
        <f t="shared" si="40"/>
        <v>1.545992950871707</v>
      </c>
      <c r="BM72" s="5">
        <f t="shared" si="77"/>
        <v>2.8299308906400706</v>
      </c>
      <c r="BN72" s="1">
        <f t="shared" si="42"/>
        <v>1.1558172700451654</v>
      </c>
      <c r="BO72" s="1">
        <f t="shared" si="68"/>
        <v>3.1621421550609723</v>
      </c>
      <c r="BP72" s="9">
        <f>(1+0.2*B72*B72)*K72</f>
        <v>241.19892737570004</v>
      </c>
      <c r="BQ72" s="9">
        <f t="shared" si="53"/>
        <v>682.57629536974457</v>
      </c>
      <c r="BR72" s="9">
        <f t="shared" si="54"/>
        <v>1303.4063531846391</v>
      </c>
      <c r="BS72" s="9">
        <f t="shared" si="46"/>
        <v>762.70529601019109</v>
      </c>
      <c r="BU72" s="9">
        <f>((1+0.2*B72*B72)^3.5)*I72</f>
        <v>31921.960066588712</v>
      </c>
      <c r="BV72" s="9">
        <f t="shared" si="47"/>
        <v>729954.88879390014</v>
      </c>
      <c r="BX72" s="3">
        <f t="shared" si="69"/>
        <v>2.0966823530119083E-2</v>
      </c>
      <c r="BZ72" s="3">
        <f t="shared" si="70"/>
        <v>3.5621292813697192E-2</v>
      </c>
      <c r="CA72"/>
      <c r="CB72" s="14">
        <f>$CB$12*($AO$5/K72)/($AN$5*(1-0.53*((B72-$AM$5)^2))*(1+0.2*B72*B72))</f>
        <v>1.3629629629629629</v>
      </c>
      <c r="CC72" s="1">
        <f t="shared" si="48"/>
        <v>1.9074074074074074</v>
      </c>
      <c r="CD72" s="3">
        <f t="shared" si="71"/>
        <v>6.6096526573542078E-2</v>
      </c>
      <c r="CE72" s="6">
        <f t="shared" si="72"/>
        <v>1.8555341862305028</v>
      </c>
      <c r="CF72" s="22" t="str">
        <f t="shared" si="49"/>
        <v/>
      </c>
      <c r="CG72" s="22"/>
      <c r="CH72" s="7">
        <f t="shared" si="73"/>
        <v>1.0430403669694992</v>
      </c>
      <c r="CI72" s="23">
        <f>CH72*(0.7*I72*B72*B72)*$N$5/9.80665</f>
        <v>113196.99685900583</v>
      </c>
      <c r="CK72" s="1">
        <f>B72/$AI$5</f>
        <v>1</v>
      </c>
      <c r="CL72" s="14">
        <f t="shared" si="50"/>
        <v>1.4515200000000053</v>
      </c>
      <c r="CM72" s="1">
        <f t="shared" si="74"/>
        <v>0.8569758833631711</v>
      </c>
      <c r="CN72" s="14">
        <f>SQRT((A72*9.80665)/(0.7*I72*$N$5*CM72))</f>
        <v>0.59849342630782831</v>
      </c>
      <c r="CO72" s="1">
        <f t="shared" si="75"/>
        <v>0.63222976326663094</v>
      </c>
      <c r="CP72" s="29" t="str">
        <f>IF(C72&lt;30,"",IF(CO72&gt;1,"no",""))</f>
        <v/>
      </c>
      <c r="CQ72" s="22"/>
      <c r="CR72" s="23">
        <f>CM72*(0.7*I72*B72*B72)*$N$5/9.80665</f>
        <v>93004.163069118629</v>
      </c>
      <c r="CS72"/>
      <c r="CT72" s="6">
        <f t="shared" si="76"/>
        <v>0.89634146341463428</v>
      </c>
      <c r="CU72" s="22" t="str">
        <f t="shared" si="52"/>
        <v/>
      </c>
      <c r="CV72" s="5"/>
      <c r="CW72" s="6">
        <f>IF(C72&lt;100,SQRT(2)*SQRT(SQRT(1+(2/1.4)*(10510/I72))-1),IF(I72&gt;$AW$5,SQRT(2)*SQRT(SQRT(1+(2/1.4)*($AV$5/I72))-1),$AS$5))</f>
        <v>0.82</v>
      </c>
      <c r="CX72" s="22" t="str">
        <f>IF(B72&gt;CW72,"no","")</f>
        <v/>
      </c>
    </row>
    <row r="73" spans="1:102" x14ac:dyDescent="0.2">
      <c r="A73">
        <v>58800</v>
      </c>
      <c r="B73" s="1">
        <v>0.75270000000000004</v>
      </c>
      <c r="C73" s="5">
        <v>368</v>
      </c>
      <c r="D73" s="1">
        <v>0</v>
      </c>
      <c r="E73" s="1">
        <v>0</v>
      </c>
      <c r="G73">
        <f t="shared" si="1"/>
        <v>36800</v>
      </c>
      <c r="H73" s="9">
        <f t="shared" si="2"/>
        <v>11216.640000044867</v>
      </c>
      <c r="I73" s="5">
        <f t="shared" si="17"/>
        <v>21871.949246381701</v>
      </c>
      <c r="J73" s="5">
        <v>0</v>
      </c>
      <c r="K73" s="6">
        <f t="shared" si="18"/>
        <v>216.65</v>
      </c>
      <c r="L73" s="5">
        <f t="shared" si="19"/>
        <v>295.06801842964956</v>
      </c>
      <c r="M73" s="10">
        <f t="shared" si="20"/>
        <v>1.4216130796413355E-5</v>
      </c>
      <c r="O73" s="6">
        <f>B73*L73</f>
        <v>222.09769747199724</v>
      </c>
      <c r="P73" s="1">
        <f>IF(E73=0,0,E73/9.80665)</f>
        <v>0</v>
      </c>
      <c r="Q73" s="7">
        <f>IF(D73=0,0,(D73/O73))</f>
        <v>0</v>
      </c>
      <c r="R73" s="19">
        <f t="shared" si="21"/>
        <v>1</v>
      </c>
      <c r="S73" s="19">
        <f t="shared" si="22"/>
        <v>0</v>
      </c>
      <c r="T73" s="19">
        <f t="shared" si="23"/>
        <v>0</v>
      </c>
      <c r="U73" s="19"/>
      <c r="V73" s="19"/>
      <c r="W73" s="6"/>
      <c r="X73" s="1">
        <f>(A73*9.80665*R73)/(0.7*I73*B73*B73*$N$5)</f>
        <v>0.54310927843988699</v>
      </c>
      <c r="Y73" s="10">
        <f>(SQRT($N$5)*B73)*(I73/M73)*SQRT(1.4/(287.05*K73))</f>
        <v>60788944.042307846</v>
      </c>
      <c r="Z73" s="10">
        <f t="shared" si="24"/>
        <v>2.1878464375222361E-3</v>
      </c>
      <c r="AA73" s="3">
        <f t="shared" si="55"/>
        <v>1.8367600093742054E-2</v>
      </c>
      <c r="AB73" s="3">
        <f t="shared" si="56"/>
        <v>7.6358798598334596E-3</v>
      </c>
      <c r="AC73" s="3">
        <f>IF($E$5="no",(1/((1+0.03+$Q$5)+AB73*3.141593*$S$5)),(1.075/((1+0.03+$Q$5)+AB73*3.141593*$S$5)))</f>
        <v>0.77837265535670919</v>
      </c>
      <c r="AD73" s="3">
        <f t="shared" si="57"/>
        <v>4.3046234646396474E-2</v>
      </c>
      <c r="AE73" s="1">
        <f t="shared" si="58"/>
        <v>0.68346392968243197</v>
      </c>
      <c r="AF73" s="1">
        <f>B73*$R$5/AE73</f>
        <v>0.99811830057312823</v>
      </c>
      <c r="AG73" s="8">
        <f t="shared" si="29"/>
        <v>9.0973139440190393E-4</v>
      </c>
      <c r="AH73" s="8"/>
      <c r="AI73" s="3">
        <f t="shared" si="30"/>
        <v>3.1974579812994439E-2</v>
      </c>
      <c r="AJ73" s="1">
        <f t="shared" si="31"/>
        <v>16.985658032609013</v>
      </c>
      <c r="AK73" s="1"/>
      <c r="AL73" s="1">
        <f t="shared" si="32"/>
        <v>5.8873197498748836E-2</v>
      </c>
      <c r="AM73" s="8">
        <f>AL73*(A73*9.80665)/(0.7*I73*B73*B73*$N$5)</f>
        <v>3.1974579812994432E-2</v>
      </c>
      <c r="AN73" s="1">
        <f>B73/$AI$5</f>
        <v>1</v>
      </c>
      <c r="AO73" s="1">
        <f>IF(B73&lt;0.4,1.3*(0.4-B73),0)</f>
        <v>0</v>
      </c>
      <c r="AP73" s="1">
        <f t="shared" si="33"/>
        <v>-0.43</v>
      </c>
      <c r="AQ73" s="1">
        <f t="shared" si="34"/>
        <v>0</v>
      </c>
      <c r="AR73" s="1">
        <f t="shared" si="59"/>
        <v>1</v>
      </c>
      <c r="AS73" s="1">
        <f t="shared" si="60"/>
        <v>0.30867472713898642</v>
      </c>
      <c r="AT73" s="1">
        <f>(((1+0.55*B73)/(1+0.55*$AI$5))/(AN73^2))</f>
        <v>1</v>
      </c>
      <c r="AU73" s="1">
        <f t="shared" si="61"/>
        <v>3.465254791234245E-2</v>
      </c>
      <c r="AV73" s="8">
        <f t="shared" si="62"/>
        <v>0.9227194460239333</v>
      </c>
      <c r="AW73" s="8">
        <f t="shared" si="36"/>
        <v>0.99743191787017549</v>
      </c>
      <c r="AX73" s="8"/>
      <c r="AY73" s="4"/>
      <c r="AZ73" s="1">
        <f t="shared" si="63"/>
        <v>0.30788202508829232</v>
      </c>
      <c r="BA73" s="14">
        <f t="shared" si="38"/>
        <v>0.300184974461085</v>
      </c>
      <c r="BB73" s="1"/>
      <c r="BC73" s="14">
        <f t="shared" si="39"/>
        <v>5.0988393227234603</v>
      </c>
      <c r="BD73" s="14">
        <f>IF(0.7*(AM73*(B73^3)/BA73)*(I73*L73*$N$5/43000000)&lt;$AH$5*(1-0.178*(C73/100)+0.0085*((C73/100)^2)),$AH$5*(1-0.178*(C73/100)+0.0085*((C73/100)^2)),0.7*(AM73*(B73^3)/BA73)*(I73*L73*$N$5/43000000))</f>
        <v>0.58412026795789318</v>
      </c>
      <c r="BE73" s="4">
        <f t="shared" si="64"/>
        <v>2.6300149646150241E-3</v>
      </c>
      <c r="BF73" s="4"/>
      <c r="BG73" s="1">
        <f t="shared" si="65"/>
        <v>0.96908777840957327</v>
      </c>
      <c r="BH73" s="1">
        <f>0.6*$AN$5*(1-0.53*((B73-$AM$5)^2))*(1+((2/3)*AV73))</f>
        <v>5.4084433290077802</v>
      </c>
      <c r="BJ73" s="1">
        <f t="shared" si="66"/>
        <v>6.0583390572846714</v>
      </c>
      <c r="BK73" s="5">
        <f t="shared" si="67"/>
        <v>22.915325293837736</v>
      </c>
      <c r="BL73" s="5">
        <f t="shared" si="40"/>
        <v>1.5473028711037364</v>
      </c>
      <c r="BM73" s="5">
        <f t="shared" si="77"/>
        <v>2.831923213162193</v>
      </c>
      <c r="BN73" s="1">
        <f t="shared" si="42"/>
        <v>1.1561426878301926</v>
      </c>
      <c r="BO73" s="1">
        <f t="shared" si="68"/>
        <v>3.1642487951331635</v>
      </c>
      <c r="BP73" s="9">
        <f>(1+0.2*B73*B73)*K73</f>
        <v>241.19892737570004</v>
      </c>
      <c r="BQ73" s="9">
        <f t="shared" si="53"/>
        <v>683.05684142506686</v>
      </c>
      <c r="BR73" s="9">
        <f t="shared" si="54"/>
        <v>1304.5107297289369</v>
      </c>
      <c r="BS73" s="9">
        <f t="shared" si="46"/>
        <v>763.21341533597024</v>
      </c>
      <c r="BU73" s="9">
        <f>((1+0.2*B73*B73)^3.5)*I73</f>
        <v>31845.338175237583</v>
      </c>
      <c r="BV73" s="9">
        <f t="shared" si="47"/>
        <v>729746.2833778382</v>
      </c>
      <c r="BX73" s="3">
        <f t="shared" si="69"/>
        <v>2.0989129956273698E-2</v>
      </c>
      <c r="BZ73" s="3">
        <f t="shared" si="70"/>
        <v>3.5701311561065562E-2</v>
      </c>
      <c r="CA73"/>
      <c r="CB73" s="14">
        <f>$CB$12*($AO$5/K73)/($AN$5*(1-0.53*((B73-$AM$5)^2))*(1+0.2*B73*B73))</f>
        <v>1.3629629629629629</v>
      </c>
      <c r="CC73" s="1">
        <f t="shared" si="48"/>
        <v>1.9074074074074074</v>
      </c>
      <c r="CD73" s="3">
        <f t="shared" si="71"/>
        <v>6.6096526573542078E-2</v>
      </c>
      <c r="CE73" s="6">
        <f t="shared" si="72"/>
        <v>1.8513753048116119</v>
      </c>
      <c r="CF73" s="22" t="str">
        <f t="shared" si="49"/>
        <v/>
      </c>
      <c r="CG73" s="22"/>
      <c r="CH73" s="7">
        <f t="shared" si="73"/>
        <v>1.0429041296591615</v>
      </c>
      <c r="CI73" s="23">
        <f>CH73*(0.7*I73*B73*B73)*$N$5/9.80665</f>
        <v>112910.54168713876</v>
      </c>
      <c r="CK73" s="1">
        <f>B73/$AI$5</f>
        <v>1</v>
      </c>
      <c r="CL73" s="14">
        <f t="shared" si="50"/>
        <v>1.4515200000000053</v>
      </c>
      <c r="CM73" s="1">
        <f t="shared" si="74"/>
        <v>0.8569758833631711</v>
      </c>
      <c r="CN73" s="14">
        <f>SQRT((A73*9.80665)/(0.7*I73*$N$5*CM73))</f>
        <v>0.59921300019081225</v>
      </c>
      <c r="CO73" s="1">
        <f t="shared" si="75"/>
        <v>0.63375094793621745</v>
      </c>
      <c r="CP73" s="29" t="str">
        <f>IF(C73&lt;30,"",IF(CO73&gt;1,"no",""))</f>
        <v/>
      </c>
      <c r="CQ73" s="22"/>
      <c r="CR73" s="23">
        <f>CM73*(0.7*I73*B73*B73)*$N$5/9.80665</f>
        <v>92780.926311005402</v>
      </c>
      <c r="CS73"/>
      <c r="CT73" s="6">
        <f t="shared" si="76"/>
        <v>0.89756097560975623</v>
      </c>
      <c r="CU73" s="22" t="str">
        <f t="shared" si="52"/>
        <v/>
      </c>
      <c r="CV73" s="5"/>
      <c r="CW73" s="6">
        <f>IF(C73&lt;100,SQRT(2)*SQRT(SQRT(1+(2/1.4)*(10510/I73))-1),IF(I73&gt;$AW$5,SQRT(2)*SQRT(SQRT(1+(2/1.4)*($AV$5/I73))-1),$AS$5))</f>
        <v>0.82</v>
      </c>
      <c r="CX73" s="22" t="str">
        <f>IF(B73&gt;CW73,"no","")</f>
        <v/>
      </c>
    </row>
    <row r="74" spans="1:102" x14ac:dyDescent="0.2">
      <c r="A74">
        <v>58800</v>
      </c>
      <c r="B74" s="1">
        <v>0.75270000000000004</v>
      </c>
      <c r="C74" s="5">
        <v>368.5</v>
      </c>
      <c r="D74" s="1">
        <v>0</v>
      </c>
      <c r="E74" s="1">
        <v>0</v>
      </c>
      <c r="G74">
        <f t="shared" si="1"/>
        <v>36850</v>
      </c>
      <c r="H74" s="9">
        <f t="shared" si="2"/>
        <v>11231.880000044926</v>
      </c>
      <c r="I74" s="5">
        <f t="shared" si="17"/>
        <v>21819.450273408311</v>
      </c>
      <c r="J74" s="5">
        <v>0</v>
      </c>
      <c r="K74" s="6">
        <f t="shared" si="18"/>
        <v>216.65</v>
      </c>
      <c r="L74" s="5">
        <f t="shared" si="19"/>
        <v>295.06801842964956</v>
      </c>
      <c r="M74" s="10">
        <f t="shared" si="20"/>
        <v>1.4216130796413355E-5</v>
      </c>
      <c r="O74" s="6">
        <f>B74*L74</f>
        <v>222.09769747199724</v>
      </c>
      <c r="P74" s="1">
        <f>IF(E74=0,0,E74/9.80665)</f>
        <v>0</v>
      </c>
      <c r="Q74" s="7">
        <f>IF(D74=0,0,(D74/O74))</f>
        <v>0</v>
      </c>
      <c r="R74" s="19">
        <f t="shared" si="21"/>
        <v>1</v>
      </c>
      <c r="S74" s="19">
        <f t="shared" si="22"/>
        <v>0</v>
      </c>
      <c r="T74" s="19">
        <f t="shared" si="23"/>
        <v>0</v>
      </c>
      <c r="U74" s="19"/>
      <c r="V74" s="19"/>
      <c r="W74" s="6"/>
      <c r="X74" s="1">
        <f>(A74*9.80665*R74)/(0.7*I74*B74*B74*$N$5)</f>
        <v>0.5444160336043451</v>
      </c>
      <c r="Y74" s="10">
        <f>(SQRT($N$5)*B74)*(I74/M74)*SQRT(1.4/(287.05*K74))</f>
        <v>60643033.081450708</v>
      </c>
      <c r="Z74" s="10">
        <f t="shared" si="24"/>
        <v>2.1885826496844101E-3</v>
      </c>
      <c r="AA74" s="3">
        <f t="shared" si="55"/>
        <v>1.8373780806586908E-2</v>
      </c>
      <c r="AB74" s="3">
        <f t="shared" si="56"/>
        <v>7.6384493398139993E-3</v>
      </c>
      <c r="AC74" s="3">
        <f>IF($E$5="no",(1/((1+0.03+$Q$5)+AB74*3.141593*$S$5)),(1.075/((1+0.03+$Q$5)+AB74*3.141593*$S$5)))</f>
        <v>0.77832619615776211</v>
      </c>
      <c r="AD74" s="3">
        <f t="shared" si="57"/>
        <v>4.3048804126377016E-2</v>
      </c>
      <c r="AE74" s="1">
        <f t="shared" si="58"/>
        <v>0.68330483970447164</v>
      </c>
      <c r="AF74" s="1">
        <f>B74*$R$5/AE74</f>
        <v>0.99835068677795691</v>
      </c>
      <c r="AG74" s="8">
        <f t="shared" si="29"/>
        <v>9.1300654648348895E-4</v>
      </c>
      <c r="AH74" s="8"/>
      <c r="AI74" s="3">
        <f t="shared" si="30"/>
        <v>3.2045971509139459E-2</v>
      </c>
      <c r="AJ74" s="1">
        <f t="shared" si="31"/>
        <v>16.988595070337578</v>
      </c>
      <c r="AK74" s="1"/>
      <c r="AL74" s="1">
        <f t="shared" si="32"/>
        <v>5.8863019329127443E-2</v>
      </c>
      <c r="AM74" s="8">
        <f>AL74*(A74*9.80665)/(0.7*I74*B74*B74*$N$5)</f>
        <v>3.2045971509139466E-2</v>
      </c>
      <c r="AN74" s="1">
        <f>B74/$AI$5</f>
        <v>1</v>
      </c>
      <c r="AO74" s="1">
        <f>IF(B74&lt;0.4,1.3*(0.4-B74),0)</f>
        <v>0</v>
      </c>
      <c r="AP74" s="1">
        <f t="shared" si="33"/>
        <v>-0.43</v>
      </c>
      <c r="AQ74" s="1">
        <f t="shared" si="34"/>
        <v>0</v>
      </c>
      <c r="AR74" s="1">
        <f t="shared" si="59"/>
        <v>1</v>
      </c>
      <c r="AS74" s="1">
        <f t="shared" si="60"/>
        <v>0.30867472713898642</v>
      </c>
      <c r="AT74" s="1">
        <f>(((1+0.55*B74)/(1+0.55*$AI$5))/(AN74^2))</f>
        <v>1</v>
      </c>
      <c r="AU74" s="1">
        <f t="shared" si="61"/>
        <v>3.465254791234245E-2</v>
      </c>
      <c r="AV74" s="8">
        <f t="shared" si="62"/>
        <v>0.924779660941625</v>
      </c>
      <c r="AW74" s="8">
        <f t="shared" si="36"/>
        <v>0.99756701725453556</v>
      </c>
      <c r="AX74" s="8"/>
      <c r="AY74" s="4"/>
      <c r="AZ74" s="1">
        <f t="shared" si="63"/>
        <v>0.3079237268538963</v>
      </c>
      <c r="BA74" s="14">
        <f t="shared" si="38"/>
        <v>0.3002256336825489</v>
      </c>
      <c r="BB74" s="1"/>
      <c r="BC74" s="14">
        <f t="shared" si="39"/>
        <v>5.1004117203683252</v>
      </c>
      <c r="BD74" s="14">
        <f>IF(0.7*(AM74*(B74^3)/BA74)*(I74*L74*$N$5/43000000)&lt;$AH$5*(1-0.178*(C74/100)+0.0085*((C74/100)^2)),$AH$5*(1-0.178*(C74/100)+0.0085*((C74/100)^2)),0.7*(AM74*(B74^3)/BA74)*(I74*L74*$N$5/43000000))</f>
        <v>0.58394019046924905</v>
      </c>
      <c r="BE74" s="4">
        <f t="shared" si="64"/>
        <v>2.6292041615734178E-3</v>
      </c>
      <c r="BF74" s="4"/>
      <c r="BG74" s="1">
        <f t="shared" si="65"/>
        <v>0.96991186437664989</v>
      </c>
      <c r="BH74" s="1">
        <f>0.6*$AN$5*(1-0.53*((B74-$AM$5)^2))*(1+((2/3)*AV74))</f>
        <v>5.4130425225488228</v>
      </c>
      <c r="BJ74" s="1">
        <f t="shared" si="66"/>
        <v>6.0525227375286033</v>
      </c>
      <c r="BK74" s="5">
        <f t="shared" si="67"/>
        <v>22.964072796620361</v>
      </c>
      <c r="BL74" s="5">
        <f t="shared" si="40"/>
        <v>1.5486186555056269</v>
      </c>
      <c r="BM74" s="5">
        <f t="shared" si="77"/>
        <v>2.8339241677716718</v>
      </c>
      <c r="BN74" s="1">
        <f t="shared" si="42"/>
        <v>1.1564693773170196</v>
      </c>
      <c r="BO74" s="1">
        <f t="shared" si="68"/>
        <v>3.1663677437156843</v>
      </c>
      <c r="BP74" s="9">
        <f>(1+0.2*B74*B74)*K74</f>
        <v>241.19892737570004</v>
      </c>
      <c r="BQ74" s="9">
        <f t="shared" si="53"/>
        <v>683.53946953060063</v>
      </c>
      <c r="BR74" s="9">
        <f t="shared" si="54"/>
        <v>1305.6200502778297</v>
      </c>
      <c r="BS74" s="9">
        <f t="shared" si="46"/>
        <v>763.72450346123856</v>
      </c>
      <c r="BU74" s="9">
        <f>((1+0.2*B74*B74)^3.5)*I74</f>
        <v>31768.900198477608</v>
      </c>
      <c r="BV74" s="9">
        <f t="shared" si="47"/>
        <v>729543.33682640677</v>
      </c>
      <c r="BX74" s="3">
        <f t="shared" si="69"/>
        <v>2.1011539412608783E-2</v>
      </c>
      <c r="BZ74" s="3">
        <f t="shared" si="70"/>
        <v>3.5781670008749669E-2</v>
      </c>
      <c r="CA74"/>
      <c r="CB74" s="14">
        <f>$CB$12*($AO$5/K74)/($AN$5*(1-0.53*((B74-$AM$5)^2))*(1+0.2*B74*B74))</f>
        <v>1.3629629629629629</v>
      </c>
      <c r="CC74" s="1">
        <f t="shared" si="48"/>
        <v>1.9074074074074074</v>
      </c>
      <c r="CD74" s="3">
        <f t="shared" si="71"/>
        <v>6.6096526573542078E-2</v>
      </c>
      <c r="CE74" s="6">
        <f t="shared" si="72"/>
        <v>1.8472174875398364</v>
      </c>
      <c r="CF74" s="22" t="str">
        <f t="shared" si="49"/>
        <v/>
      </c>
      <c r="CG74" s="22"/>
      <c r="CH74" s="7">
        <f t="shared" si="73"/>
        <v>1.0427676874374605</v>
      </c>
      <c r="CI74" s="23">
        <f>CH74*(0.7*I74*B74*B74)*$N$5/9.80665</f>
        <v>112624.787362312</v>
      </c>
      <c r="CK74" s="1">
        <f>B74/$AI$5</f>
        <v>1</v>
      </c>
      <c r="CL74" s="14">
        <f t="shared" si="50"/>
        <v>1.4515200000000053</v>
      </c>
      <c r="CM74" s="1">
        <f t="shared" si="74"/>
        <v>0.8569758833631711</v>
      </c>
      <c r="CN74" s="14">
        <f>SQRT((A74*9.80665)/(0.7*I74*$N$5*CM74))</f>
        <v>0.59993343922377163</v>
      </c>
      <c r="CO74" s="1">
        <f t="shared" si="75"/>
        <v>0.63527579267202239</v>
      </c>
      <c r="CP74" s="29" t="str">
        <f>IF(C74&lt;30,"",IF(CO74&gt;1,"no",""))</f>
        <v/>
      </c>
      <c r="CQ74" s="22"/>
      <c r="CR74" s="23">
        <f>CM74*(0.7*I74*B74*B74)*$N$5/9.80665</f>
        <v>92558.225385359576</v>
      </c>
      <c r="CS74"/>
      <c r="CT74" s="6">
        <f t="shared" si="76"/>
        <v>0.89878048780487818</v>
      </c>
      <c r="CU74" s="22" t="str">
        <f t="shared" si="52"/>
        <v/>
      </c>
      <c r="CV74" s="5"/>
      <c r="CW74" s="6">
        <f>IF(C74&lt;100,SQRT(2)*SQRT(SQRT(1+(2/1.4)*(10510/I74))-1),IF(I74&gt;$AW$5,SQRT(2)*SQRT(SQRT(1+(2/1.4)*($AV$5/I74))-1),$AS$5))</f>
        <v>0.82</v>
      </c>
      <c r="CX74" s="22" t="str">
        <f>IF(B74&gt;CW74,"no","")</f>
        <v/>
      </c>
    </row>
    <row r="75" spans="1:102" x14ac:dyDescent="0.2">
      <c r="A75">
        <v>58800</v>
      </c>
      <c r="B75" s="1">
        <v>0.75270000000000004</v>
      </c>
      <c r="C75" s="5">
        <v>369</v>
      </c>
      <c r="D75" s="1">
        <v>0</v>
      </c>
      <c r="E75" s="1">
        <v>0</v>
      </c>
      <c r="G75">
        <f t="shared" si="1"/>
        <v>36900</v>
      </c>
      <c r="H75" s="9">
        <f t="shared" si="2"/>
        <v>11247.120000044988</v>
      </c>
      <c r="I75" s="5">
        <f t="shared" si="17"/>
        <v>21767.077313079342</v>
      </c>
      <c r="J75" s="5">
        <v>0</v>
      </c>
      <c r="K75" s="6">
        <f t="shared" si="18"/>
        <v>216.65</v>
      </c>
      <c r="L75" s="5">
        <f t="shared" si="19"/>
        <v>295.06801842964956</v>
      </c>
      <c r="M75" s="10">
        <f t="shared" si="20"/>
        <v>1.4216130796413355E-5</v>
      </c>
      <c r="O75" s="6">
        <f>B75*L75</f>
        <v>222.09769747199724</v>
      </c>
      <c r="P75" s="1">
        <f>IF(E75=0,0,E75/9.80665)</f>
        <v>0</v>
      </c>
      <c r="Q75" s="7">
        <f>IF(D75=0,0,(D75/O75))</f>
        <v>0</v>
      </c>
      <c r="R75" s="19">
        <f t="shared" si="21"/>
        <v>1</v>
      </c>
      <c r="S75" s="19">
        <f t="shared" si="22"/>
        <v>0</v>
      </c>
      <c r="T75" s="19">
        <f t="shared" si="23"/>
        <v>0</v>
      </c>
      <c r="U75" s="19"/>
      <c r="V75" s="19"/>
      <c r="W75" s="6"/>
      <c r="X75" s="1">
        <f>(A75*9.80665*R75)/(0.7*I75*B75*B75*$N$5)</f>
        <v>0.54572593290411375</v>
      </c>
      <c r="Y75" s="10">
        <f>(SQRT($N$5)*B75)*(I75/M75)*SQRT(1.4/(287.05*K75))</f>
        <v>60497472.348893039</v>
      </c>
      <c r="Z75" s="10">
        <f t="shared" si="24"/>
        <v>2.1893191095825951E-3</v>
      </c>
      <c r="AA75" s="3">
        <f t="shared" si="55"/>
        <v>1.8379963599246825E-2</v>
      </c>
      <c r="AB75" s="3">
        <f t="shared" si="56"/>
        <v>7.6410196844267112E-3</v>
      </c>
      <c r="AC75" s="3">
        <f>IF($E$5="no",(1/((1+0.03+$Q$5)+AB75*3.141593*$S$5)),(1.075/((1+0.03+$Q$5)+AB75*3.141593*$S$5)))</f>
        <v>0.77827972687380065</v>
      </c>
      <c r="AD75" s="3">
        <f t="shared" si="57"/>
        <v>4.305137447098973E-2</v>
      </c>
      <c r="AE75" s="1">
        <f t="shared" si="58"/>
        <v>0.68314536694599437</v>
      </c>
      <c r="AF75" s="1">
        <f>B75*$R$5/AE75</f>
        <v>0.99858374074516731</v>
      </c>
      <c r="AG75" s="8">
        <f t="shared" si="29"/>
        <v>9.1629702001267668E-4</v>
      </c>
      <c r="AH75" s="8"/>
      <c r="AI75" s="3">
        <f t="shared" si="30"/>
        <v>3.21176829347899E-2</v>
      </c>
      <c r="AJ75" s="1">
        <f t="shared" si="31"/>
        <v>16.991447795662214</v>
      </c>
      <c r="AK75" s="1"/>
      <c r="AL75" s="1">
        <f t="shared" si="32"/>
        <v>5.8853136708885534E-2</v>
      </c>
      <c r="AM75" s="8">
        <f>AL75*(A75*9.80665)/(0.7*I75*B75*B75*$N$5)</f>
        <v>3.2117682934789907E-2</v>
      </c>
      <c r="AN75" s="1">
        <f>B75/$AI$5</f>
        <v>1</v>
      </c>
      <c r="AO75" s="1">
        <f>IF(B75&lt;0.4,1.3*(0.4-B75),0)</f>
        <v>0</v>
      </c>
      <c r="AP75" s="1">
        <f t="shared" si="33"/>
        <v>-0.43</v>
      </c>
      <c r="AQ75" s="1">
        <f t="shared" si="34"/>
        <v>0</v>
      </c>
      <c r="AR75" s="1">
        <f t="shared" si="59"/>
        <v>1</v>
      </c>
      <c r="AS75" s="1">
        <f t="shared" si="60"/>
        <v>0.30867472713898642</v>
      </c>
      <c r="AT75" s="1">
        <f>(((1+0.55*B75)/(1+0.55*$AI$5))/(AN75^2))</f>
        <v>1</v>
      </c>
      <c r="AU75" s="1">
        <f t="shared" si="61"/>
        <v>3.465254791234245E-2</v>
      </c>
      <c r="AV75" s="8">
        <f t="shared" si="62"/>
        <v>0.92684910258360298</v>
      </c>
      <c r="AW75" s="8">
        <f t="shared" si="36"/>
        <v>0.99769904686908562</v>
      </c>
      <c r="AX75" s="8"/>
      <c r="AY75" s="4"/>
      <c r="AZ75" s="1">
        <f t="shared" si="63"/>
        <v>0.30796448105914181</v>
      </c>
      <c r="BA75" s="14">
        <f t="shared" si="38"/>
        <v>0.30026536903266327</v>
      </c>
      <c r="BB75" s="1"/>
      <c r="BC75" s="14">
        <f t="shared" si="39"/>
        <v>5.1019433427637475</v>
      </c>
      <c r="BD75" s="14">
        <f>IF(0.7*(AM75*(B75^3)/BA75)*(I75*L75*$N$5/43000000)&lt;$AH$5*(1-0.178*(C75/100)+0.0085*((C75/100)^2)),$AH$5*(1-0.178*(C75/100)+0.0085*((C75/100)^2)),0.7*(AM75*(B75^3)/BA75)*(I75*L75*$N$5/43000000))</f>
        <v>0.5837648894489863</v>
      </c>
      <c r="BE75" s="4">
        <f t="shared" si="64"/>
        <v>2.6284148646907482E-3</v>
      </c>
      <c r="BF75" s="4"/>
      <c r="BG75" s="1">
        <f t="shared" si="65"/>
        <v>0.97073964103344113</v>
      </c>
      <c r="BH75" s="1">
        <f>0.6*$AN$5*(1-0.53*((B75-$AM$5)^2))*(1+((2/3)*AV75))</f>
        <v>5.4176623136937261</v>
      </c>
      <c r="BJ75" s="1">
        <f t="shared" si="66"/>
        <v>6.0466909565489315</v>
      </c>
      <c r="BK75" s="5">
        <f t="shared" si="67"/>
        <v>23.013101201716694</v>
      </c>
      <c r="BL75" s="5">
        <f t="shared" si="40"/>
        <v>1.5499403326810295</v>
      </c>
      <c r="BM75" s="5">
        <f t="shared" si="77"/>
        <v>2.8359337943990841</v>
      </c>
      <c r="BN75" s="1">
        <f t="shared" si="42"/>
        <v>1.1567973433855012</v>
      </c>
      <c r="BO75" s="1">
        <f t="shared" si="68"/>
        <v>3.1684990765374663</v>
      </c>
      <c r="BP75" s="9">
        <f>(1+0.2*B75*B75)*K75</f>
        <v>241.19892737570004</v>
      </c>
      <c r="BQ75" s="9">
        <f t="shared" si="53"/>
        <v>684.02418931755813</v>
      </c>
      <c r="BR75" s="9">
        <f t="shared" si="54"/>
        <v>1306.7343389466801</v>
      </c>
      <c r="BS75" s="9">
        <f t="shared" si="46"/>
        <v>764.23857865173295</v>
      </c>
      <c r="BU75" s="9">
        <f>((1+0.2*B75*B75)^3.5)*I75</f>
        <v>31692.645694860825</v>
      </c>
      <c r="BV75" s="9">
        <f t="shared" si="47"/>
        <v>729346.06272598309</v>
      </c>
      <c r="BX75" s="3">
        <f t="shared" si="69"/>
        <v>2.1034052427491349E-2</v>
      </c>
      <c r="BZ75" s="3">
        <f t="shared" si="70"/>
        <v>3.586236976050871E-2</v>
      </c>
      <c r="CA75"/>
      <c r="CB75" s="14">
        <f>$CB$12*($AO$5/K75)/($AN$5*(1-0.53*((B75-$AM$5)^2))*(1+0.2*B75*B75))</f>
        <v>1.3629629629629629</v>
      </c>
      <c r="CC75" s="1">
        <f t="shared" si="48"/>
        <v>1.9074074074074074</v>
      </c>
      <c r="CD75" s="3">
        <f t="shared" si="71"/>
        <v>6.6096526573542078E-2</v>
      </c>
      <c r="CE75" s="6">
        <f t="shared" si="72"/>
        <v>1.8430607629930502</v>
      </c>
      <c r="CF75" s="22" t="str">
        <f t="shared" si="49"/>
        <v/>
      </c>
      <c r="CG75" s="22"/>
      <c r="CH75" s="7">
        <f t="shared" si="73"/>
        <v>1.0426310393451719</v>
      </c>
      <c r="CI75" s="23">
        <f>CH75*(0.7*I75*B75*B75)*$N$5/9.80665</f>
        <v>112339.73212020316</v>
      </c>
      <c r="CK75" s="1">
        <f>B75/$AI$5</f>
        <v>1</v>
      </c>
      <c r="CL75" s="14">
        <f t="shared" si="50"/>
        <v>1.4515200000000053</v>
      </c>
      <c r="CM75" s="1">
        <f t="shared" si="74"/>
        <v>0.8569758833631711</v>
      </c>
      <c r="CN75" s="14">
        <f>SQRT((A75*9.80665)/(0.7*I75*$N$5*CM75))</f>
        <v>0.60065474444688371</v>
      </c>
      <c r="CO75" s="1">
        <f t="shared" si="75"/>
        <v>0.63680430628039608</v>
      </c>
      <c r="CP75" s="29" t="str">
        <f>IF(C75&lt;30,"",IF(CO75&gt;1,"no",""))</f>
        <v/>
      </c>
      <c r="CQ75" s="22"/>
      <c r="CR75" s="23">
        <f>CM75*(0.7*I75*B75*B75)*$N$5/9.80665</f>
        <v>92336.059006028983</v>
      </c>
      <c r="CS75"/>
      <c r="CT75" s="6">
        <f t="shared" si="76"/>
        <v>0.90000000000000013</v>
      </c>
      <c r="CU75" s="22" t="str">
        <f t="shared" si="52"/>
        <v/>
      </c>
      <c r="CV75" s="5"/>
      <c r="CW75" s="6">
        <f>IF(C75&lt;100,SQRT(2)*SQRT(SQRT(1+(2/1.4)*(10510/I75))-1),IF(I75&gt;$AW$5,SQRT(2)*SQRT(SQRT(1+(2/1.4)*($AV$5/I75))-1),$AS$5))</f>
        <v>0.82</v>
      </c>
      <c r="CX75" s="22" t="str">
        <f>IF(B75&gt;CW75,"no","")</f>
        <v/>
      </c>
    </row>
    <row r="76" spans="1:102" x14ac:dyDescent="0.2">
      <c r="A76">
        <v>58800</v>
      </c>
      <c r="B76" s="1">
        <v>0.75270000000000004</v>
      </c>
      <c r="C76" s="5">
        <v>369.5</v>
      </c>
      <c r="D76" s="1">
        <v>0</v>
      </c>
      <c r="E76" s="1">
        <v>0</v>
      </c>
      <c r="G76">
        <f t="shared" si="1"/>
        <v>36950</v>
      </c>
      <c r="H76" s="9">
        <f t="shared" si="2"/>
        <v>11262.36000004505</v>
      </c>
      <c r="I76" s="5">
        <f t="shared" si="17"/>
        <v>21714.83006292818</v>
      </c>
      <c r="J76" s="5">
        <v>0</v>
      </c>
      <c r="K76" s="6">
        <f t="shared" si="18"/>
        <v>216.65</v>
      </c>
      <c r="L76" s="5">
        <f t="shared" si="19"/>
        <v>295.06801842964956</v>
      </c>
      <c r="M76" s="10">
        <f t="shared" si="20"/>
        <v>1.4216130796413355E-5</v>
      </c>
      <c r="O76" s="6">
        <f>B76*L76</f>
        <v>222.09769747199724</v>
      </c>
      <c r="P76" s="1">
        <f>IF(E76=0,0,E76/9.80665)</f>
        <v>0</v>
      </c>
      <c r="Q76" s="7">
        <f>IF(D76=0,0,(D76/O76))</f>
        <v>0</v>
      </c>
      <c r="R76" s="19">
        <f t="shared" si="21"/>
        <v>1</v>
      </c>
      <c r="S76" s="19">
        <f t="shared" si="22"/>
        <v>0</v>
      </c>
      <c r="T76" s="19">
        <f t="shared" si="23"/>
        <v>0</v>
      </c>
      <c r="U76" s="19"/>
      <c r="V76" s="19"/>
      <c r="W76" s="6"/>
      <c r="X76" s="1">
        <f>(A76*9.80665*R76)/(0.7*I76*B76*B76*$N$5)</f>
        <v>0.54703898390418104</v>
      </c>
      <c r="Y76" s="10">
        <f>(SQRT($N$5)*B76)*(I76/M76)*SQRT(1.4/(287.05*K76))</f>
        <v>60352261.00398609</v>
      </c>
      <c r="Z76" s="10">
        <f t="shared" si="24"/>
        <v>2.1900558173001535E-3</v>
      </c>
      <c r="AA76" s="3">
        <f t="shared" si="55"/>
        <v>1.8386148472421659E-2</v>
      </c>
      <c r="AB76" s="3">
        <f t="shared" si="56"/>
        <v>7.6435908939625407E-3</v>
      </c>
      <c r="AC76" s="3">
        <f>IF($E$5="no",(1/((1+0.03+$Q$5)+AB76*3.141593*$S$5)),(1.075/((1+0.03+$Q$5)+AB76*3.141593*$S$5)))</f>
        <v>0.77823324750417133</v>
      </c>
      <c r="AD76" s="3">
        <f t="shared" si="57"/>
        <v>4.3053945680525563E-2</v>
      </c>
      <c r="AE76" s="1">
        <f t="shared" si="58"/>
        <v>0.6829855104860062</v>
      </c>
      <c r="AF76" s="1">
        <f>B76*$R$5/AE76</f>
        <v>0.99881746468124855</v>
      </c>
      <c r="AG76" s="8">
        <f t="shared" si="29"/>
        <v>9.1960289710355675E-4</v>
      </c>
      <c r="AH76" s="8"/>
      <c r="AI76" s="3">
        <f t="shared" si="30"/>
        <v>3.2189715649597571E-2</v>
      </c>
      <c r="AJ76" s="1">
        <f t="shared" si="31"/>
        <v>16.994216098675604</v>
      </c>
      <c r="AK76" s="1"/>
      <c r="AL76" s="1">
        <f t="shared" si="32"/>
        <v>5.8843549722657235E-2</v>
      </c>
      <c r="AM76" s="8">
        <f>AL76*(A76*9.80665)/(0.7*I76*B76*B76*$N$5)</f>
        <v>3.2189715649597564E-2</v>
      </c>
      <c r="AN76" s="1">
        <f>B76/$AI$5</f>
        <v>1</v>
      </c>
      <c r="AO76" s="1">
        <f>IF(B76&lt;0.4,1.3*(0.4-B76),0)</f>
        <v>0</v>
      </c>
      <c r="AP76" s="1">
        <f t="shared" si="33"/>
        <v>-0.43</v>
      </c>
      <c r="AQ76" s="1">
        <f t="shared" si="34"/>
        <v>0</v>
      </c>
      <c r="AR76" s="1">
        <f t="shared" si="59"/>
        <v>1</v>
      </c>
      <c r="AS76" s="1">
        <f t="shared" si="60"/>
        <v>0.30867472713898642</v>
      </c>
      <c r="AT76" s="1">
        <f>(((1+0.55*B76)/(1+0.55*$AI$5))/(AN76^2))</f>
        <v>1</v>
      </c>
      <c r="AU76" s="1">
        <f t="shared" si="61"/>
        <v>3.465254791234245E-2</v>
      </c>
      <c r="AV76" s="8">
        <f t="shared" si="62"/>
        <v>0.9289278159581541</v>
      </c>
      <c r="AW76" s="8">
        <f t="shared" si="36"/>
        <v>0.99782796020187448</v>
      </c>
      <c r="AX76" s="8"/>
      <c r="AY76" s="4"/>
      <c r="AZ76" s="1">
        <f t="shared" si="63"/>
        <v>0.30800427334696501</v>
      </c>
      <c r="BA76" s="14">
        <f t="shared" si="38"/>
        <v>0.30030416651329089</v>
      </c>
      <c r="BB76" s="1"/>
      <c r="BC76" s="14">
        <f t="shared" si="39"/>
        <v>5.1034339010595273</v>
      </c>
      <c r="BD76" s="14">
        <f>IF(0.7*(AM76*(B76^3)/BA76)*(I76*L76*$N$5/43000000)&lt;$AH$5*(1-0.178*(C76/100)+0.0085*((C76/100)^2)),$AH$5*(1-0.178*(C76/100)+0.0085*((C76/100)^2)),0.7*(AM76*(B76^3)/BA76)*(I76*L76*$N$5/43000000))</f>
        <v>0.58359438942574249</v>
      </c>
      <c r="BE76" s="4">
        <f t="shared" si="64"/>
        <v>2.6276471844077711E-3</v>
      </c>
      <c r="BF76" s="4"/>
      <c r="BG76" s="1">
        <f t="shared" si="65"/>
        <v>0.9715711263832616</v>
      </c>
      <c r="BH76" s="1">
        <f>0.6*$AN$5*(1-0.53*((B76-$AM$5)^2))*(1+((2/3)*AV76))</f>
        <v>5.4223028029183293</v>
      </c>
      <c r="BJ76" s="1">
        <f t="shared" si="66"/>
        <v>6.0408437013003313</v>
      </c>
      <c r="BK76" s="5">
        <f t="shared" si="67"/>
        <v>23.062412443431217</v>
      </c>
      <c r="BL76" s="5">
        <f t="shared" si="40"/>
        <v>1.5512679313751019</v>
      </c>
      <c r="BM76" s="5">
        <f t="shared" si="77"/>
        <v>2.8379521331549578</v>
      </c>
      <c r="BN76" s="1">
        <f t="shared" si="42"/>
        <v>1.1571265909297683</v>
      </c>
      <c r="BO76" s="1">
        <f t="shared" si="68"/>
        <v>3.1706428697742446</v>
      </c>
      <c r="BP76" s="9">
        <f>(1+0.2*B76*B76)*K76</f>
        <v>241.19892737570004</v>
      </c>
      <c r="BQ76" s="9">
        <f t="shared" si="53"/>
        <v>684.51101046055567</v>
      </c>
      <c r="BR76" s="9">
        <f t="shared" si="54"/>
        <v>1307.853619970153</v>
      </c>
      <c r="BS76" s="9">
        <f t="shared" si="46"/>
        <v>764.75565928095921</v>
      </c>
      <c r="BU76" s="9">
        <f>((1+0.2*B76*B76)^3.5)*I76</f>
        <v>31616.574223998883</v>
      </c>
      <c r="BV76" s="9">
        <f t="shared" si="47"/>
        <v>729154.47480221849</v>
      </c>
      <c r="BX76" s="3">
        <f t="shared" si="69"/>
        <v>2.1056669532133355E-2</v>
      </c>
      <c r="BZ76" s="3">
        <f t="shared" si="70"/>
        <v>3.5943412427904269E-2</v>
      </c>
      <c r="CA76"/>
      <c r="CB76" s="14">
        <f>$CB$12*($AO$5/K76)/($AN$5*(1-0.53*((B76-$AM$5)^2))*(1+0.2*B76*B76))</f>
        <v>1.3629629629629629</v>
      </c>
      <c r="CC76" s="1">
        <f t="shared" si="48"/>
        <v>1.9074074074074074</v>
      </c>
      <c r="CD76" s="3">
        <f t="shared" si="71"/>
        <v>6.6096526573542078E-2</v>
      </c>
      <c r="CE76" s="6">
        <f t="shared" si="72"/>
        <v>1.8389051597735548</v>
      </c>
      <c r="CF76" s="22" t="str">
        <f t="shared" si="49"/>
        <v/>
      </c>
      <c r="CG76" s="22"/>
      <c r="CH76" s="7">
        <f t="shared" si="73"/>
        <v>1.0424941844171867</v>
      </c>
      <c r="CI76" s="23">
        <f>CH76*(0.7*I76*B76*B76)*$N$5/9.80665</f>
        <v>112055.37420065774</v>
      </c>
      <c r="CK76" s="1">
        <f>B76/$AI$5</f>
        <v>1</v>
      </c>
      <c r="CL76" s="14">
        <f t="shared" si="50"/>
        <v>1.4515200000000053</v>
      </c>
      <c r="CM76" s="1">
        <f t="shared" si="74"/>
        <v>0.8569758833631711</v>
      </c>
      <c r="CN76" s="14">
        <f>SQRT((A76*9.80665)/(0.7*I76*$N$5*CM76))</f>
        <v>0.6013769169015768</v>
      </c>
      <c r="CO76" s="1">
        <f t="shared" si="75"/>
        <v>0.63833649758887756</v>
      </c>
      <c r="CP76" s="29" t="str">
        <f>IF(C76&lt;30,"",IF(CO76&gt;1,"no",""))</f>
        <v/>
      </c>
      <c r="CQ76" s="22"/>
      <c r="CR76" s="23">
        <f>CM76*(0.7*I76*B76*B76)*$N$5/9.80665</f>
        <v>92114.425889948601</v>
      </c>
      <c r="CS76"/>
      <c r="CT76" s="6">
        <f t="shared" si="76"/>
        <v>0.90121951219512209</v>
      </c>
      <c r="CU76" s="22" t="str">
        <f t="shared" si="52"/>
        <v/>
      </c>
      <c r="CV76" s="5"/>
      <c r="CW76" s="6">
        <f>IF(C76&lt;100,SQRT(2)*SQRT(SQRT(1+(2/1.4)*(10510/I76))-1),IF(I76&gt;$AW$5,SQRT(2)*SQRT(SQRT(1+(2/1.4)*($AV$5/I76))-1),$AS$5))</f>
        <v>0.82</v>
      </c>
      <c r="CX76" s="22" t="str">
        <f>IF(B76&gt;CW76,"no","")</f>
        <v/>
      </c>
    </row>
    <row r="77" spans="1:102" x14ac:dyDescent="0.2">
      <c r="A77">
        <v>58800</v>
      </c>
      <c r="B77" s="1">
        <v>0.75270000000000004</v>
      </c>
      <c r="C77" s="5">
        <v>370</v>
      </c>
      <c r="D77" s="1">
        <v>0</v>
      </c>
      <c r="E77" s="1">
        <v>0</v>
      </c>
      <c r="G77">
        <f t="shared" si="1"/>
        <v>37000</v>
      </c>
      <c r="H77" s="9">
        <f t="shared" si="2"/>
        <v>11277.600000045109</v>
      </c>
      <c r="I77" s="5">
        <f t="shared" si="17"/>
        <v>21662.708221214234</v>
      </c>
      <c r="J77" s="5">
        <v>0</v>
      </c>
      <c r="K77" s="6">
        <f t="shared" si="18"/>
        <v>216.65</v>
      </c>
      <c r="L77" s="5">
        <f t="shared" si="19"/>
        <v>295.06801842964956</v>
      </c>
      <c r="M77" s="10">
        <f t="shared" si="20"/>
        <v>1.4216130796413355E-5</v>
      </c>
      <c r="O77" s="6">
        <f>B77*L77</f>
        <v>222.09769747199724</v>
      </c>
      <c r="P77" s="1">
        <f>IF(E77=0,0,E77/9.80665)</f>
        <v>0</v>
      </c>
      <c r="Q77" s="7">
        <f>IF(D77=0,0,(D77/O77))</f>
        <v>0</v>
      </c>
      <c r="R77" s="19">
        <f t="shared" si="21"/>
        <v>1</v>
      </c>
      <c r="S77" s="19">
        <f t="shared" si="22"/>
        <v>0</v>
      </c>
      <c r="T77" s="19">
        <f t="shared" si="23"/>
        <v>0</v>
      </c>
      <c r="U77" s="19"/>
      <c r="V77" s="19"/>
      <c r="W77" s="6"/>
      <c r="X77" s="1">
        <f>(A77*9.80665*R77)/(0.7*I77*B77*B77*$N$5)</f>
        <v>0.54835519418773604</v>
      </c>
      <c r="Y77" s="10">
        <f>(SQRT($N$5)*B77)*(I77/M77)*SQRT(1.4/(287.05*K77))</f>
        <v>60207398.208099008</v>
      </c>
      <c r="Z77" s="10">
        <f t="shared" si="24"/>
        <v>2.1907927729204759E-3</v>
      </c>
      <c r="AA77" s="3">
        <f t="shared" si="55"/>
        <v>1.8392335426811495E-2</v>
      </c>
      <c r="AB77" s="3">
        <f t="shared" si="56"/>
        <v>7.6461629687125327E-3</v>
      </c>
      <c r="AC77" s="3">
        <f>IF($E$5="no",(1/((1+0.03+$Q$5)+AB77*3.141593*$S$5)),(1.075/((1+0.03+$Q$5)+AB77*3.141593*$S$5)))</f>
        <v>0.77818675804822213</v>
      </c>
      <c r="AD77" s="3">
        <f t="shared" si="57"/>
        <v>4.3056517755275553E-2</v>
      </c>
      <c r="AE77" s="1">
        <f t="shared" si="58"/>
        <v>0.68282526940129717</v>
      </c>
      <c r="AF77" s="1">
        <f>B77*$R$5/AE77</f>
        <v>0.99905186080151398</v>
      </c>
      <c r="AG77" s="8">
        <f t="shared" si="29"/>
        <v>9.2292426036658256E-4</v>
      </c>
      <c r="AH77" s="8"/>
      <c r="AI77" s="3">
        <f t="shared" si="30"/>
        <v>3.2262071220930472E-2</v>
      </c>
      <c r="AJ77" s="1">
        <f t="shared" si="31"/>
        <v>16.996899871449756</v>
      </c>
      <c r="AK77" s="1"/>
      <c r="AL77" s="1">
        <f t="shared" si="32"/>
        <v>5.8834258456727892E-2</v>
      </c>
      <c r="AM77" s="8">
        <f>AL77*(A77*9.80665)/(0.7*I77*B77*B77*$N$5)</f>
        <v>3.2262071220930472E-2</v>
      </c>
      <c r="AN77" s="1">
        <f>B77/$AI$5</f>
        <v>1</v>
      </c>
      <c r="AO77" s="1">
        <f>IF(B77&lt;0.4,1.3*(0.4-B77),0)</f>
        <v>0</v>
      </c>
      <c r="AP77" s="1">
        <f t="shared" si="33"/>
        <v>-0.43</v>
      </c>
      <c r="AQ77" s="1">
        <f t="shared" si="34"/>
        <v>0</v>
      </c>
      <c r="AR77" s="1">
        <f t="shared" si="59"/>
        <v>1</v>
      </c>
      <c r="AS77" s="1">
        <f t="shared" si="60"/>
        <v>0.30867472713898642</v>
      </c>
      <c r="AT77" s="1">
        <f>(((1+0.55*B77)/(1+0.55*$AI$5))/(AN77^2))</f>
        <v>1</v>
      </c>
      <c r="AU77" s="1">
        <f t="shared" si="61"/>
        <v>3.465254791234245E-2</v>
      </c>
      <c r="AV77" s="8">
        <f t="shared" si="62"/>
        <v>0.9310158462962389</v>
      </c>
      <c r="AW77" s="8">
        <f t="shared" si="36"/>
        <v>0.99795371021124357</v>
      </c>
      <c r="AX77" s="8"/>
      <c r="AY77" s="4"/>
      <c r="AZ77" s="1">
        <f t="shared" si="63"/>
        <v>0.30804308919679474</v>
      </c>
      <c r="BA77" s="14">
        <f t="shared" si="38"/>
        <v>0.30034201196687488</v>
      </c>
      <c r="BB77" s="1"/>
      <c r="BC77" s="14">
        <f t="shared" si="39"/>
        <v>5.104883104590737</v>
      </c>
      <c r="BD77" s="14">
        <f>IF(0.7*(AM77*(B77^3)/BA77)*(I77*L77*$N$5/43000000)&lt;$AH$5*(1-0.178*(C77/100)+0.0085*((C77/100)^2)),$AH$5*(1-0.178*(C77/100)+0.0085*((C77/100)^2)),0.7*(AM77*(B77^3)/BA77)*(I77*L77*$N$5/43000000))</f>
        <v>0.58342871529910312</v>
      </c>
      <c r="BE77" s="4">
        <f t="shared" si="64"/>
        <v>2.6269012328354446E-3</v>
      </c>
      <c r="BF77" s="4"/>
      <c r="BG77" s="1">
        <f t="shared" si="65"/>
        <v>0.97240633851849556</v>
      </c>
      <c r="BH77" s="1">
        <f>0.6*$AN$5*(1-0.53*((B77-$AM$5)^2))*(1+((2/3)*AV77))</f>
        <v>5.4269640911955639</v>
      </c>
      <c r="BJ77" s="1">
        <f t="shared" si="66"/>
        <v>6.0349809590104941</v>
      </c>
      <c r="BK77" s="5">
        <f t="shared" si="67"/>
        <v>23.112008471322131</v>
      </c>
      <c r="BL77" s="5">
        <f t="shared" si="40"/>
        <v>1.5526014804752142</v>
      </c>
      <c r="BM77" s="5">
        <f t="shared" si="77"/>
        <v>2.8399792243305377</v>
      </c>
      <c r="BN77" s="1">
        <f t="shared" si="42"/>
        <v>1.157457124858233</v>
      </c>
      <c r="BO77" s="1">
        <f t="shared" si="68"/>
        <v>3.1727992000508172</v>
      </c>
      <c r="BP77" s="9">
        <f>(1+0.2*B77*B77)*K77</f>
        <v>241.19892737570004</v>
      </c>
      <c r="BQ77" s="9">
        <f t="shared" si="53"/>
        <v>684.99994267779834</v>
      </c>
      <c r="BR77" s="9">
        <f t="shared" si="54"/>
        <v>1308.9779177028108</v>
      </c>
      <c r="BS77" s="9">
        <f t="shared" si="46"/>
        <v>765.2757638307362</v>
      </c>
      <c r="BU77" s="9">
        <f>((1+0.2*B77*B77)^3.5)*I77</f>
        <v>31540.685346560516</v>
      </c>
      <c r="BV77" s="9">
        <f t="shared" si="47"/>
        <v>728968.58692101249</v>
      </c>
      <c r="BX77" s="3">
        <f t="shared" si="69"/>
        <v>2.1079391260607937E-2</v>
      </c>
      <c r="BZ77" s="3">
        <f t="shared" si="70"/>
        <v>3.6024799630339027E-2</v>
      </c>
      <c r="CA77"/>
      <c r="CB77" s="14">
        <f>$CB$12*($AO$5/K77)/($AN$5*(1-0.53*((B77-$AM$5)^2))*(1+0.2*B77*B77))</f>
        <v>1.3629629629629629</v>
      </c>
      <c r="CC77" s="1">
        <f t="shared" si="48"/>
        <v>1.9074074074074074</v>
      </c>
      <c r="CD77" s="3">
        <f t="shared" si="71"/>
        <v>6.6096526573542078E-2</v>
      </c>
      <c r="CE77" s="6">
        <f t="shared" si="72"/>
        <v>1.8347507065071231</v>
      </c>
      <c r="CF77" s="22" t="str">
        <f t="shared" si="49"/>
        <v/>
      </c>
      <c r="CG77" s="22"/>
      <c r="CH77" s="7">
        <f t="shared" si="73"/>
        <v>1.0423571216824707</v>
      </c>
      <c r="CI77" s="23">
        <f>CH77*(0.7*I77*B77*B77)*$N$5/9.80665</f>
        <v>111771.71184767828</v>
      </c>
      <c r="CK77" s="1">
        <f>B77/$AI$5</f>
        <v>1</v>
      </c>
      <c r="CL77" s="14">
        <f t="shared" si="50"/>
        <v>1.4515200000000053</v>
      </c>
      <c r="CM77" s="1">
        <f t="shared" si="74"/>
        <v>0.8569758833631711</v>
      </c>
      <c r="CN77" s="14">
        <f>SQRT((A77*9.80665)/(0.7*I77*$N$5*CM77))</f>
        <v>0.60209995763053059</v>
      </c>
      <c r="CO77" s="1">
        <f t="shared" si="75"/>
        <v>0.63987237544624453</v>
      </c>
      <c r="CP77" s="29" t="str">
        <f>IF(C77&lt;30,"",IF(CO77&gt;1,"no",""))</f>
        <v/>
      </c>
      <c r="CQ77" s="22"/>
      <c r="CR77" s="23">
        <f>CM77*(0.7*I77*B77*B77)*$N$5/9.80665</f>
        <v>91893.324757133218</v>
      </c>
      <c r="CS77"/>
      <c r="CT77" s="6">
        <f t="shared" si="76"/>
        <v>0.90243902439024404</v>
      </c>
      <c r="CU77" s="22" t="str">
        <f t="shared" si="52"/>
        <v/>
      </c>
      <c r="CV77" s="5"/>
      <c r="CW77" s="6">
        <f>IF(C77&lt;100,SQRT(2)*SQRT(SQRT(1+(2/1.4)*(10510/I77))-1),IF(I77&gt;$AW$5,SQRT(2)*SQRT(SQRT(1+(2/1.4)*($AV$5/I77))-1),$AS$5))</f>
        <v>0.82</v>
      </c>
      <c r="CX77" s="22" t="str">
        <f>IF(B77&gt;CW77,"no","")</f>
        <v/>
      </c>
    </row>
    <row r="78" spans="1:102" x14ac:dyDescent="0.2">
      <c r="A78">
        <v>58800</v>
      </c>
      <c r="B78" s="1">
        <v>0.75270000000000004</v>
      </c>
      <c r="C78" s="5">
        <v>370.5</v>
      </c>
      <c r="D78" s="1">
        <v>0</v>
      </c>
      <c r="E78" s="1">
        <v>0</v>
      </c>
      <c r="G78">
        <f t="shared" si="1"/>
        <v>37050</v>
      </c>
      <c r="H78" s="9">
        <f t="shared" si="2"/>
        <v>11292.840000045171</v>
      </c>
      <c r="I78" s="5">
        <f t="shared" si="17"/>
        <v>21610.711486921144</v>
      </c>
      <c r="J78" s="5">
        <v>0</v>
      </c>
      <c r="K78" s="6">
        <f t="shared" si="18"/>
        <v>216.65</v>
      </c>
      <c r="L78" s="5">
        <f t="shared" si="19"/>
        <v>295.06801842964956</v>
      </c>
      <c r="M78" s="10">
        <f t="shared" si="20"/>
        <v>1.4216130796413355E-5</v>
      </c>
      <c r="O78" s="6">
        <f>B78*L78</f>
        <v>222.09769747199724</v>
      </c>
      <c r="P78" s="1">
        <f>IF(E78=0,0,E78/9.80665)</f>
        <v>0</v>
      </c>
      <c r="Q78" s="7">
        <f>IF(D78=0,0,(D78/O78))</f>
        <v>0</v>
      </c>
      <c r="R78" s="19">
        <f t="shared" si="21"/>
        <v>1</v>
      </c>
      <c r="S78" s="19">
        <f t="shared" si="22"/>
        <v>0</v>
      </c>
      <c r="T78" s="19">
        <f t="shared" si="23"/>
        <v>0</v>
      </c>
      <c r="U78" s="19"/>
      <c r="V78" s="19"/>
      <c r="W78" s="6"/>
      <c r="X78" s="1">
        <f>(A78*9.80665*R78)/(0.7*I78*B78*B78*$N$5)</f>
        <v>0.54967457135621423</v>
      </c>
      <c r="Y78" s="10">
        <f>(SQRT($N$5)*B78)*(I78/M78)*SQRT(1.4/(287.05*K78))</f>
        <v>60062883.124613792</v>
      </c>
      <c r="Z78" s="10">
        <f t="shared" si="24"/>
        <v>2.1915299765269836E-3</v>
      </c>
      <c r="AA78" s="3">
        <f t="shared" si="55"/>
        <v>1.8398524463116683E-2</v>
      </c>
      <c r="AB78" s="3">
        <f t="shared" si="56"/>
        <v>7.6487359089678388E-3</v>
      </c>
      <c r="AC78" s="3">
        <f>IF($E$5="no",(1/((1+0.03+$Q$5)+AB78*3.141593*$S$5)),(1.075/((1+0.03+$Q$5)+AB78*3.141593*$S$5)))</f>
        <v>0.77814025850530133</v>
      </c>
      <c r="AD78" s="3">
        <f t="shared" si="57"/>
        <v>4.3059090695530856E-2</v>
      </c>
      <c r="AE78" s="1">
        <f t="shared" si="58"/>
        <v>0.68266464276643579</v>
      </c>
      <c r="AF78" s="1">
        <f>B78*$R$5/AE78</f>
        <v>0.99928693133014457</v>
      </c>
      <c r="AG78" s="8">
        <f t="shared" si="29"/>
        <v>9.2626119291192943E-4</v>
      </c>
      <c r="AH78" s="8"/>
      <c r="AI78" s="3">
        <f t="shared" si="30"/>
        <v>3.2334751223911655E-2</v>
      </c>
      <c r="AJ78" s="1">
        <f t="shared" si="31"/>
        <v>16.999499008043337</v>
      </c>
      <c r="AK78" s="1"/>
      <c r="AL78" s="1">
        <f t="shared" si="32"/>
        <v>5.8825262999035947E-2</v>
      </c>
      <c r="AM78" s="8">
        <f>AL78*(A78*9.80665)/(0.7*I78*B78*B78*$N$5)</f>
        <v>3.2334751223911655E-2</v>
      </c>
      <c r="AN78" s="1">
        <f>B78/$AI$5</f>
        <v>1</v>
      </c>
      <c r="AO78" s="1">
        <f>IF(B78&lt;0.4,1.3*(0.4-B78),0)</f>
        <v>0</v>
      </c>
      <c r="AP78" s="1">
        <f t="shared" si="33"/>
        <v>-0.43</v>
      </c>
      <c r="AQ78" s="1">
        <f t="shared" si="34"/>
        <v>0</v>
      </c>
      <c r="AR78" s="1">
        <f t="shared" si="59"/>
        <v>1</v>
      </c>
      <c r="AS78" s="1">
        <f t="shared" si="60"/>
        <v>0.30867472713898642</v>
      </c>
      <c r="AT78" s="1">
        <f>(((1+0.55*B78)/(1+0.55*$AI$5))/(AN78^2))</f>
        <v>1</v>
      </c>
      <c r="AU78" s="1">
        <f t="shared" si="61"/>
        <v>3.465254791234245E-2</v>
      </c>
      <c r="AV78" s="8">
        <f t="shared" si="62"/>
        <v>0.9331132390526109</v>
      </c>
      <c r="AW78" s="8">
        <f t="shared" si="36"/>
        <v>0.99807624932028571</v>
      </c>
      <c r="AX78" s="8"/>
      <c r="AY78" s="4"/>
      <c r="AZ78" s="1">
        <f t="shared" si="63"/>
        <v>0.30808091392284215</v>
      </c>
      <c r="BA78" s="14">
        <f t="shared" si="38"/>
        <v>0.30037889107477111</v>
      </c>
      <c r="BB78" s="1"/>
      <c r="BC78" s="14">
        <f t="shared" si="39"/>
        <v>5.1062906608627294</v>
      </c>
      <c r="BD78" s="14">
        <f>IF(0.7*(AM78*(B78^3)/BA78)*(I78*L78*$N$5/43000000)&lt;$AH$5*(1-0.178*(C78/100)+0.0085*((C78/100)^2)),$AH$5*(1-0.178*(C78/100)+0.0085*((C78/100)^2)),0.7*(AM78*(B78^3)/BA78)*(I78*L78*$N$5/43000000))</f>
        <v>0.58326789234521714</v>
      </c>
      <c r="BE78" s="4">
        <f t="shared" si="64"/>
        <v>2.6261771237802108E-3</v>
      </c>
      <c r="BF78" s="4"/>
      <c r="BG78" s="1">
        <f t="shared" si="65"/>
        <v>0.97324529562104423</v>
      </c>
      <c r="BH78" s="1">
        <f>0.6*$AN$5*(1-0.53*((B78-$AM$5)^2))*(1+((2/3)*AV78))</f>
        <v>5.4316462799979552</v>
      </c>
      <c r="BJ78" s="1">
        <f t="shared" si="66"/>
        <v>6.0291027171823615</v>
      </c>
      <c r="BK78" s="5">
        <f t="shared" si="67"/>
        <v>23.161891250337117</v>
      </c>
      <c r="BL78" s="5">
        <f t="shared" si="40"/>
        <v>1.5539410090116663</v>
      </c>
      <c r="BM78" s="5">
        <f t="shared" si="77"/>
        <v>2.8420151083985621</v>
      </c>
      <c r="BN78" s="1">
        <f t="shared" si="42"/>
        <v>1.1577889500935974</v>
      </c>
      <c r="BO78" s="1">
        <f t="shared" si="68"/>
        <v>3.1749681444433184</v>
      </c>
      <c r="BP78" s="9">
        <f>(1+0.2*B78*B78)*K78</f>
        <v>241.19892737570004</v>
      </c>
      <c r="BQ78" s="9">
        <f t="shared" si="53"/>
        <v>685.49099573126705</v>
      </c>
      <c r="BR78" s="9">
        <f t="shared" si="54"/>
        <v>1310.1072566197181</v>
      </c>
      <c r="BS78" s="9">
        <f t="shared" si="46"/>
        <v>765.79891089174509</v>
      </c>
      <c r="BU78" s="9">
        <f>((1+0.2*B78*B78)^3.5)*I78</f>
        <v>31464.978624268933</v>
      </c>
      <c r="BV78" s="9">
        <f t="shared" si="47"/>
        <v>728788.41308949899</v>
      </c>
      <c r="BX78" s="3">
        <f t="shared" si="69"/>
        <v>2.1102218149865928E-2</v>
      </c>
      <c r="BZ78" s="3">
        <f t="shared" si="70"/>
        <v>3.6106532995095891E-2</v>
      </c>
      <c r="CA78"/>
      <c r="CB78" s="14">
        <f>$CB$12*($AO$5/K78)/($AN$5*(1-0.53*((B78-$AM$5)^2))*(1+0.2*B78*B78))</f>
        <v>1.3629629629629629</v>
      </c>
      <c r="CC78" s="1">
        <f t="shared" si="48"/>
        <v>1.9074074074074074</v>
      </c>
      <c r="CD78" s="3">
        <f t="shared" si="71"/>
        <v>6.6096526573542078E-2</v>
      </c>
      <c r="CE78" s="6">
        <f t="shared" si="72"/>
        <v>1.8305974318420306</v>
      </c>
      <c r="CF78" s="22" t="str">
        <f t="shared" si="49"/>
        <v/>
      </c>
      <c r="CG78" s="22"/>
      <c r="CH78" s="7">
        <f t="shared" si="73"/>
        <v>1.0422198501640227</v>
      </c>
      <c r="CI78" s="23">
        <f>CH78*(0.7*I78*B78*B78)*$N$5/9.80665</f>
        <v>111488.74330941291</v>
      </c>
      <c r="CK78" s="1">
        <f>B78/$AI$5</f>
        <v>1</v>
      </c>
      <c r="CL78" s="14">
        <f t="shared" si="50"/>
        <v>1.4515200000000053</v>
      </c>
      <c r="CM78" s="1">
        <f t="shared" si="74"/>
        <v>0.8569758833631711</v>
      </c>
      <c r="CN78" s="14">
        <f>SQRT((A78*9.80665)/(0.7*I78*$N$5*CM78))</f>
        <v>0.60282386767767926</v>
      </c>
      <c r="CO78" s="1">
        <f t="shared" si="75"/>
        <v>0.64141194872256624</v>
      </c>
      <c r="CP78" s="29" t="str">
        <f>IF(C78&lt;30,"",IF(CO78&gt;1,"no",""))</f>
        <v/>
      </c>
      <c r="CQ78" s="22"/>
      <c r="CR78" s="23">
        <f>CM78*(0.7*I78*B78*B78)*$N$5/9.80665</f>
        <v>91672.754330669821</v>
      </c>
      <c r="CS78"/>
      <c r="CT78" s="6">
        <f t="shared" si="76"/>
        <v>0.90365853658536599</v>
      </c>
      <c r="CU78" s="22" t="str">
        <f t="shared" si="52"/>
        <v/>
      </c>
      <c r="CV78" s="5"/>
      <c r="CW78" s="6">
        <f>IF(C78&lt;100,SQRT(2)*SQRT(SQRT(1+(2/1.4)*(10510/I78))-1),IF(I78&gt;$AW$5,SQRT(2)*SQRT(SQRT(1+(2/1.4)*($AV$5/I78))-1),$AS$5))</f>
        <v>0.82</v>
      </c>
      <c r="CX78" s="22" t="str">
        <f>IF(B78&gt;CW78,"no","")</f>
        <v/>
      </c>
    </row>
    <row r="79" spans="1:102" x14ac:dyDescent="0.2">
      <c r="A79">
        <v>58800</v>
      </c>
      <c r="B79" s="1">
        <v>0.75270000000000004</v>
      </c>
      <c r="C79" s="5">
        <v>371</v>
      </c>
      <c r="D79" s="1">
        <v>0</v>
      </c>
      <c r="E79" s="1">
        <v>0</v>
      </c>
      <c r="G79">
        <f t="shared" si="1"/>
        <v>37100</v>
      </c>
      <c r="H79" s="9">
        <f t="shared" si="2"/>
        <v>11308.080000045231</v>
      </c>
      <c r="I79" s="5">
        <f t="shared" si="17"/>
        <v>21558.839559755106</v>
      </c>
      <c r="J79" s="5">
        <v>0</v>
      </c>
      <c r="K79" s="6">
        <f t="shared" si="18"/>
        <v>216.65</v>
      </c>
      <c r="L79" s="5">
        <f t="shared" si="19"/>
        <v>295.06801842964956</v>
      </c>
      <c r="M79" s="10">
        <f t="shared" si="20"/>
        <v>1.4216130796413355E-5</v>
      </c>
      <c r="O79" s="6">
        <f>B79*L79</f>
        <v>222.09769747199724</v>
      </c>
      <c r="P79" s="1">
        <f>IF(E79=0,0,E79/9.80665)</f>
        <v>0</v>
      </c>
      <c r="Q79" s="7">
        <f>IF(D79=0,0,(D79/O79))</f>
        <v>0</v>
      </c>
      <c r="R79" s="19">
        <f t="shared" si="21"/>
        <v>1</v>
      </c>
      <c r="S79" s="19">
        <f t="shared" si="22"/>
        <v>0</v>
      </c>
      <c r="T79" s="19">
        <f t="shared" si="23"/>
        <v>0</v>
      </c>
      <c r="U79" s="19"/>
      <c r="V79" s="19"/>
      <c r="W79" s="6"/>
      <c r="X79" s="1">
        <f>(A79*9.80665*R79)/(0.7*I79*B79*B79*$N$5)</f>
        <v>0.55099712302934034</v>
      </c>
      <c r="Y79" s="10">
        <f>(SQRT($N$5)*B79)*(I79/M79)*SQRT(1.4/(287.05*K79))</f>
        <v>59918714.918920621</v>
      </c>
      <c r="Z79" s="10">
        <f t="shared" si="24"/>
        <v>2.1922674282031239E-3</v>
      </c>
      <c r="AA79" s="3">
        <f t="shared" si="55"/>
        <v>1.8404715582037785E-2</v>
      </c>
      <c r="AB79" s="3">
        <f t="shared" si="56"/>
        <v>7.6513097150197017E-3</v>
      </c>
      <c r="AC79" s="3">
        <f>IF($E$5="no",(1/((1+0.03+$Q$5)+AB79*3.141593*$S$5)),(1.075/((1+0.03+$Q$5)+AB79*3.141593*$S$5)))</f>
        <v>0.77809374887475824</v>
      </c>
      <c r="AD79" s="3">
        <f t="shared" si="57"/>
        <v>4.3061664501582719E-2</v>
      </c>
      <c r="AE79" s="1">
        <f t="shared" si="58"/>
        <v>0.68250362965376421</v>
      </c>
      <c r="AF79" s="1">
        <f>B79*$R$5/AE79</f>
        <v>0.99952267850023235</v>
      </c>
      <c r="AG79" s="8">
        <f t="shared" si="29"/>
        <v>9.2961377835287882E-4</v>
      </c>
      <c r="AH79" s="8"/>
      <c r="AI79" s="3">
        <f t="shared" si="30"/>
        <v>3.2407757241457946E-2</v>
      </c>
      <c r="AJ79" s="1">
        <f t="shared" si="31"/>
        <v>17.002013404508961</v>
      </c>
      <c r="AK79" s="1"/>
      <c r="AL79" s="1">
        <f t="shared" si="32"/>
        <v>5.8816563439174706E-2</v>
      </c>
      <c r="AM79" s="8">
        <f>AL79*(A79*9.80665)/(0.7*I79*B79*B79*$N$5)</f>
        <v>3.2407757241457953E-2</v>
      </c>
      <c r="AN79" s="1">
        <f>B79/$AI$5</f>
        <v>1</v>
      </c>
      <c r="AO79" s="1">
        <f>IF(B79&lt;0.4,1.3*(0.4-B79),0)</f>
        <v>0</v>
      </c>
      <c r="AP79" s="1">
        <f t="shared" si="33"/>
        <v>-0.43</v>
      </c>
      <c r="AQ79" s="1">
        <f t="shared" si="34"/>
        <v>0</v>
      </c>
      <c r="AR79" s="1">
        <f t="shared" si="59"/>
        <v>1</v>
      </c>
      <c r="AS79" s="1">
        <f t="shared" si="60"/>
        <v>0.30867472713898642</v>
      </c>
      <c r="AT79" s="1">
        <f>(((1+0.55*B79)/(1+0.55*$AI$5))/(AN79^2))</f>
        <v>1</v>
      </c>
      <c r="AU79" s="1">
        <f t="shared" si="61"/>
        <v>3.465254791234245E-2</v>
      </c>
      <c r="AV79" s="8">
        <f t="shared" si="62"/>
        <v>0.93522003990693703</v>
      </c>
      <c r="AW79" s="8">
        <f t="shared" si="36"/>
        <v>0.99819552941124667</v>
      </c>
      <c r="AX79" s="8"/>
      <c r="AY79" s="4"/>
      <c r="AZ79" s="1">
        <f t="shared" si="63"/>
        <v>0.30811773267237264</v>
      </c>
      <c r="BA79" s="14">
        <f t="shared" si="38"/>
        <v>0.30041478935556332</v>
      </c>
      <c r="BB79" s="1"/>
      <c r="BC79" s="14">
        <f t="shared" si="39"/>
        <v>5.1076562755360237</v>
      </c>
      <c r="BD79" s="14">
        <f>IF(0.7*(AM79*(B79^3)/BA79)*(I79*L79*$N$5/43000000)&lt;$AH$5*(1-0.178*(C79/100)+0.0085*((C79/100)^2)),$AH$5*(1-0.178*(C79/100)+0.0085*((C79/100)^2)),0.7*(AM79*(B79^3)/BA79)*(I79*L79*$N$5/43000000))</f>
        <v>0.58311194622251838</v>
      </c>
      <c r="BE79" s="4">
        <f t="shared" si="64"/>
        <v>2.6254749727697602E-3</v>
      </c>
      <c r="BF79" s="4"/>
      <c r="BG79" s="1">
        <f t="shared" si="65"/>
        <v>0.97408801596277472</v>
      </c>
      <c r="BH79" s="1">
        <f>0.6*$AN$5*(1-0.53*((B79-$AM$5)^2))*(1+((2/3)*AV79))</f>
        <v>5.4363494713001215</v>
      </c>
      <c r="BJ79" s="1">
        <f t="shared" si="66"/>
        <v>6.0232089635963773</v>
      </c>
      <c r="BK79" s="5">
        <f t="shared" si="67"/>
        <v>23.212062760950243</v>
      </c>
      <c r="BL79" s="5">
        <f t="shared" si="40"/>
        <v>1.5552865461584013</v>
      </c>
      <c r="BM79" s="5">
        <f t="shared" si="77"/>
        <v>2.8440598260140337</v>
      </c>
      <c r="BN79" s="1">
        <f t="shared" si="42"/>
        <v>1.1581220715728564</v>
      </c>
      <c r="BO79" s="1">
        <f t="shared" si="68"/>
        <v>3.1771497804815034</v>
      </c>
      <c r="BP79" s="9">
        <f>(1+0.2*B79*B79)*K79</f>
        <v>241.19892737570004</v>
      </c>
      <c r="BQ79" s="9">
        <f t="shared" si="53"/>
        <v>685.98417942690503</v>
      </c>
      <c r="BR79" s="9">
        <f t="shared" si="54"/>
        <v>1311.2416613170433</v>
      </c>
      <c r="BS79" s="9">
        <f t="shared" si="46"/>
        <v>766.32511916407941</v>
      </c>
      <c r="BU79" s="9">
        <f>((1+0.2*B79*B79)^3.5)*I79</f>
        <v>31389.453619899374</v>
      </c>
      <c r="BV79" s="9">
        <f t="shared" si="47"/>
        <v>728613.96745704103</v>
      </c>
      <c r="BX79" s="3">
        <f t="shared" si="69"/>
        <v>2.1125150739752317E-2</v>
      </c>
      <c r="BZ79" s="3">
        <f t="shared" si="70"/>
        <v>3.6188614157377078E-2</v>
      </c>
      <c r="CA79"/>
      <c r="CB79" s="14">
        <f>$CB$12*($AO$5/K79)/($AN$5*(1-0.53*((B79-$AM$5)^2))*(1+0.2*B79*B79))</f>
        <v>1.3629629629629629</v>
      </c>
      <c r="CC79" s="1">
        <f t="shared" si="48"/>
        <v>1.9074074074074074</v>
      </c>
      <c r="CD79" s="3">
        <f t="shared" si="71"/>
        <v>6.6096526573542078E-2</v>
      </c>
      <c r="CE79" s="6">
        <f t="shared" si="72"/>
        <v>1.8264453644480954</v>
      </c>
      <c r="CF79" s="22" t="str">
        <f t="shared" si="49"/>
        <v/>
      </c>
      <c r="CG79" s="22"/>
      <c r="CH79" s="7">
        <f t="shared" si="73"/>
        <v>1.0420823688788319</v>
      </c>
      <c r="CI79" s="23">
        <f>CH79*(0.7*I79*B79*B79)*$N$5/9.80665</f>
        <v>111206.46683814442</v>
      </c>
      <c r="CK79" s="1">
        <f>B79/$AI$5</f>
        <v>1</v>
      </c>
      <c r="CL79" s="14">
        <f t="shared" si="50"/>
        <v>1.4515200000000053</v>
      </c>
      <c r="CM79" s="1">
        <f t="shared" si="74"/>
        <v>0.8569758833631711</v>
      </c>
      <c r="CN79" s="14">
        <f>SQRT((A79*9.80665)/(0.7*I79*$N$5*CM79))</f>
        <v>0.6035486480882114</v>
      </c>
      <c r="CO79" s="1">
        <f t="shared" si="75"/>
        <v>0.64295522630925372</v>
      </c>
      <c r="CP79" s="29" t="str">
        <f>IF(C79&lt;30,"",IF(CO79&gt;1,"no",""))</f>
        <v/>
      </c>
      <c r="CQ79" s="22"/>
      <c r="CR79" s="23">
        <f>CM79*(0.7*I79*B79*B79)*$N$5/9.80665</f>
        <v>91452.713336710483</v>
      </c>
      <c r="CS79"/>
      <c r="CT79" s="6">
        <f t="shared" si="76"/>
        <v>0.90487804878048794</v>
      </c>
      <c r="CU79" s="22" t="str">
        <f t="shared" si="52"/>
        <v/>
      </c>
      <c r="CV79" s="5"/>
      <c r="CW79" s="6">
        <f>IF(C79&lt;100,SQRT(2)*SQRT(SQRT(1+(2/1.4)*(10510/I79))-1),IF(I79&gt;$AW$5,SQRT(2)*SQRT(SQRT(1+(2/1.4)*($AV$5/I79))-1),$AS$5))</f>
        <v>0.82</v>
      </c>
      <c r="CX79" s="22" t="str">
        <f>IF(B79&gt;CW79,"no","")</f>
        <v/>
      </c>
    </row>
    <row r="80" spans="1:102" x14ac:dyDescent="0.2">
      <c r="A80">
        <v>58800</v>
      </c>
      <c r="B80" s="1">
        <v>0.75270000000000004</v>
      </c>
      <c r="C80" s="5">
        <v>371.5</v>
      </c>
      <c r="D80" s="1">
        <v>0</v>
      </c>
      <c r="E80" s="1">
        <v>0</v>
      </c>
      <c r="G80">
        <f t="shared" si="1"/>
        <v>37150</v>
      </c>
      <c r="H80" s="9">
        <f t="shared" si="2"/>
        <v>11323.320000045293</v>
      </c>
      <c r="I80" s="5">
        <f t="shared" si="17"/>
        <v>21507.092140143082</v>
      </c>
      <c r="J80" s="5">
        <v>0</v>
      </c>
      <c r="K80" s="6">
        <f t="shared" si="18"/>
        <v>216.65</v>
      </c>
      <c r="L80" s="5">
        <f t="shared" si="19"/>
        <v>295.06801842964956</v>
      </c>
      <c r="M80" s="10">
        <f t="shared" si="20"/>
        <v>1.4216130796413355E-5</v>
      </c>
      <c r="O80" s="6">
        <f>B80*L80</f>
        <v>222.09769747199724</v>
      </c>
      <c r="P80" s="1">
        <f>IF(E80=0,0,E80/9.80665)</f>
        <v>0</v>
      </c>
      <c r="Q80" s="7">
        <f>IF(D80=0,0,(D80/O80))</f>
        <v>0</v>
      </c>
      <c r="R80" s="19">
        <f t="shared" si="21"/>
        <v>1</v>
      </c>
      <c r="S80" s="19">
        <f t="shared" si="22"/>
        <v>0</v>
      </c>
      <c r="T80" s="19">
        <f t="shared" si="23"/>
        <v>0</v>
      </c>
      <c r="U80" s="19"/>
      <c r="V80" s="19"/>
      <c r="X80" s="1">
        <f>(A80*9.80665*R80)/(0.7*I80*B80*B80*$N$5)</f>
        <v>0.55232285684517302</v>
      </c>
      <c r="Y80" s="10">
        <f>(SQRT($N$5)*B80)*(I80/M80)*SQRT(1.4/(287.05*K80))</f>
        <v>59774892.758412927</v>
      </c>
      <c r="Z80" s="10">
        <f t="shared" si="24"/>
        <v>2.1930051280323716E-3</v>
      </c>
      <c r="AA80" s="3">
        <f t="shared" si="55"/>
        <v>1.8410908784275593E-2</v>
      </c>
      <c r="AB80" s="3">
        <f t="shared" si="56"/>
        <v>7.6538843871594587E-3</v>
      </c>
      <c r="AC80" s="3">
        <f>IF($E$5="no",(1/((1+0.03+$Q$5)+AB80*3.141593*$S$5)),(1.075/((1+0.03+$Q$5)+AB80*3.141593*$S$5)))</f>
        <v>0.77804722915594315</v>
      </c>
      <c r="AD80" s="3">
        <f t="shared" si="57"/>
        <v>4.3064239173722478E-2</v>
      </c>
      <c r="AE80" s="1">
        <f t="shared" si="58"/>
        <v>0.68234222913339238</v>
      </c>
      <c r="AF80" s="1">
        <f>B80*$R$5/AE80</f>
        <v>0.99975910455382466</v>
      </c>
      <c r="AG80" s="8">
        <f t="shared" si="29"/>
        <v>9.3298210080923374E-4</v>
      </c>
      <c r="AH80" s="8"/>
      <c r="AI80" s="3">
        <f t="shared" si="30"/>
        <v>3.24810908643191E-2</v>
      </c>
      <c r="AJ80" s="1">
        <f t="shared" si="31"/>
        <v>17.004442958900338</v>
      </c>
      <c r="AK80" s="1"/>
      <c r="AL80" s="1">
        <f t="shared" si="32"/>
        <v>5.8808159868394133E-2</v>
      </c>
      <c r="AM80" s="8">
        <f>AL80*(A80*9.80665)/(0.7*I80*B80*B80*$N$5)</f>
        <v>3.24810908643191E-2</v>
      </c>
      <c r="AN80" s="1">
        <f>B80/$AI$5</f>
        <v>1</v>
      </c>
      <c r="AO80" s="1">
        <f>IF(B80&lt;0.4,1.3*(0.4-B80),0)</f>
        <v>0</v>
      </c>
      <c r="AP80" s="1">
        <f t="shared" si="33"/>
        <v>-0.43</v>
      </c>
      <c r="AQ80" s="1">
        <f t="shared" si="34"/>
        <v>0</v>
      </c>
      <c r="AR80" s="1">
        <f t="shared" si="59"/>
        <v>1</v>
      </c>
      <c r="AS80" s="1">
        <f t="shared" si="60"/>
        <v>0.30867472713898642</v>
      </c>
      <c r="AT80" s="1">
        <f>(((1+0.55*B80)/(1+0.55*$AI$5))/(AN80^2))</f>
        <v>1</v>
      </c>
      <c r="AU80" s="1">
        <f t="shared" si="61"/>
        <v>3.465254791234245E-2</v>
      </c>
      <c r="AV80" s="8">
        <f t="shared" si="62"/>
        <v>0.93733629476492475</v>
      </c>
      <c r="AW80" s="8">
        <f t="shared" si="36"/>
        <v>0.99831150181987094</v>
      </c>
      <c r="AX80" s="8"/>
      <c r="AY80" s="4"/>
      <c r="AZ80" s="1">
        <f t="shared" si="63"/>
        <v>0.30815353042396038</v>
      </c>
      <c r="BA80" s="14">
        <f t="shared" si="38"/>
        <v>0.30044969216336137</v>
      </c>
      <c r="BB80" s="1"/>
      <c r="BC80" s="14">
        <f t="shared" si="39"/>
        <v>5.108979652411044</v>
      </c>
      <c r="BD80" s="14">
        <f>IF(0.7*(AM80*(B80^3)/BA80)*(I80*L80*$N$5/43000000)&lt;$AH$5*(1-0.178*(C80/100)+0.0085*((C80/100)^2)),$AH$5*(1-0.178*(C80/100)+0.0085*((C80/100)^2)),0.7*(AM80*(B80^3)/BA80)*(I80*L80*$N$5/43000000))</f>
        <v>0.58296090297754954</v>
      </c>
      <c r="BE80" s="4">
        <f t="shared" si="64"/>
        <v>2.6247948970792509E-3</v>
      </c>
      <c r="BF80" s="4"/>
      <c r="BG80" s="1">
        <f t="shared" si="65"/>
        <v>0.97493451790596986</v>
      </c>
      <c r="BH80" s="1">
        <f>0.6*$AN$5*(1-0.53*((B80-$AM$5)^2))*(1+((2/3)*AV80))</f>
        <v>5.4410737675812895</v>
      </c>
      <c r="BJ80" s="1">
        <f t="shared" si="66"/>
        <v>6.0172996863127466</v>
      </c>
      <c r="BK80" s="5">
        <f t="shared" si="67"/>
        <v>23.262524999300183</v>
      </c>
      <c r="BL80" s="5">
        <f t="shared" si="40"/>
        <v>1.5566381212337266</v>
      </c>
      <c r="BM80" s="5">
        <f t="shared" si="77"/>
        <v>2.8461134180149994</v>
      </c>
      <c r="BN80" s="1">
        <f t="shared" si="42"/>
        <v>1.1584564942473061</v>
      </c>
      <c r="BO80" s="1">
        <f t="shared" si="68"/>
        <v>3.1793441861510248</v>
      </c>
      <c r="BP80" s="9">
        <f>(1+0.2*B80*B80)*K80</f>
        <v>241.19892737570004</v>
      </c>
      <c r="BQ80" s="9">
        <f t="shared" si="53"/>
        <v>686.47950361480525</v>
      </c>
      <c r="BR80" s="9">
        <f t="shared" si="54"/>
        <v>1312.3811565126659</v>
      </c>
      <c r="BS80" s="9">
        <f t="shared" si="46"/>
        <v>766.85440745779522</v>
      </c>
      <c r="BU80" s="9">
        <f>((1+0.2*B80*B80)^3.5)*I80</f>
        <v>31314.109897276507</v>
      </c>
      <c r="BV80" s="9">
        <f t="shared" si="47"/>
        <v>728445.26431622799</v>
      </c>
      <c r="BX80" s="3">
        <f t="shared" si="69"/>
        <v>2.1148189573022894E-2</v>
      </c>
      <c r="BZ80" s="3">
        <f t="shared" si="70"/>
        <v>3.6271044760343499E-2</v>
      </c>
      <c r="CA80"/>
      <c r="CB80" s="14">
        <f>$CB$12*($AO$5/K80)/($AN$5*(1-0.53*((B80-$AM$5)^2))*(1+0.2*B80*B80))</f>
        <v>1.3629629629629629</v>
      </c>
      <c r="CC80" s="1">
        <f t="shared" si="48"/>
        <v>1.9074074074074074</v>
      </c>
      <c r="CD80" s="3">
        <f t="shared" si="71"/>
        <v>6.6096526573542078E-2</v>
      </c>
      <c r="CE80" s="6">
        <f t="shared" si="72"/>
        <v>1.8222945330157101</v>
      </c>
      <c r="CF80" s="22" t="str">
        <f t="shared" si="49"/>
        <v/>
      </c>
      <c r="CG80" s="22"/>
      <c r="CH80" s="7">
        <f t="shared" si="73"/>
        <v>1.0419446768378366</v>
      </c>
      <c r="CI80" s="23">
        <f>CH80*(0.7*I80*B80*B80)*$N$5/9.80665</f>
        <v>110924.88069027888</v>
      </c>
      <c r="CK80" s="1">
        <f>B80/$AI$5</f>
        <v>1</v>
      </c>
      <c r="CL80" s="14">
        <f t="shared" si="50"/>
        <v>1.4515200000000053</v>
      </c>
      <c r="CM80" s="1">
        <f t="shared" si="74"/>
        <v>0.8569758833631711</v>
      </c>
      <c r="CN80" s="14">
        <f>SQRT((A80*9.80665)/(0.7*I80*$N$5*CM80))</f>
        <v>0.60427429990857262</v>
      </c>
      <c r="CO80" s="1">
        <f t="shared" si="75"/>
        <v>0.64450221711911171</v>
      </c>
      <c r="CP80" s="29" t="str">
        <f>IF(C80&lt;30,"",IF(CO80&gt;1,"no",""))</f>
        <v/>
      </c>
      <c r="CQ80" s="22"/>
      <c r="CR80" s="23">
        <f>CM80*(0.7*I80*B80*B80)*$N$5/9.80665</f>
        <v>91233.200504464781</v>
      </c>
      <c r="CS80"/>
      <c r="CT80" s="6">
        <f t="shared" si="76"/>
        <v>0.90609756097560989</v>
      </c>
      <c r="CU80" s="22" t="str">
        <f t="shared" si="52"/>
        <v/>
      </c>
      <c r="CV80" s="5"/>
      <c r="CW80" s="6">
        <f>IF(C80&lt;100,SQRT(2)*SQRT(SQRT(1+(2/1.4)*(10510/I80))-1),IF(I80&gt;$AW$5,SQRT(2)*SQRT(SQRT(1+(2/1.4)*($AV$5/I80))-1),$AS$5))</f>
        <v>0.82</v>
      </c>
      <c r="CX80" s="22" t="str">
        <f>IF(B80&gt;CW80,"no","")</f>
        <v/>
      </c>
    </row>
    <row r="81" spans="1:102" x14ac:dyDescent="0.2">
      <c r="A81">
        <v>58800</v>
      </c>
      <c r="B81" s="1">
        <v>0.75270000000000004</v>
      </c>
      <c r="C81" s="5">
        <v>372</v>
      </c>
      <c r="D81" s="1">
        <v>0</v>
      </c>
      <c r="E81" s="1">
        <v>0</v>
      </c>
      <c r="G81">
        <f t="shared" ref="G81:G144" si="78">C81*100</f>
        <v>37200</v>
      </c>
      <c r="H81" s="9">
        <f t="shared" ref="H81:H144" si="79">G81/3.280839895</f>
        <v>11338.560000045354</v>
      </c>
      <c r="I81" s="5">
        <f t="shared" si="17"/>
        <v>21455.468929231123</v>
      </c>
      <c r="J81" s="5">
        <v>0</v>
      </c>
      <c r="K81" s="6">
        <f t="shared" si="18"/>
        <v>216.65</v>
      </c>
      <c r="L81" s="5">
        <f t="shared" si="19"/>
        <v>295.06801842964956</v>
      </c>
      <c r="M81" s="10">
        <f t="shared" si="20"/>
        <v>1.4216130796413355E-5</v>
      </c>
      <c r="O81" s="6">
        <f>B81*L81</f>
        <v>222.09769747199724</v>
      </c>
      <c r="P81" s="1">
        <f>IF(E81=0,0,E81/9.80665)</f>
        <v>0</v>
      </c>
      <c r="Q81" s="7">
        <f>IF(D81=0,0,(D81/O81))</f>
        <v>0</v>
      </c>
      <c r="R81" s="19">
        <f t="shared" si="21"/>
        <v>1</v>
      </c>
      <c r="S81" s="19">
        <f t="shared" si="22"/>
        <v>0</v>
      </c>
      <c r="T81" s="19">
        <f t="shared" si="23"/>
        <v>0</v>
      </c>
      <c r="U81" s="19"/>
      <c r="V81" s="19"/>
      <c r="W81" s="6"/>
      <c r="X81" s="1">
        <f>(A81*9.80665*R81)/(0.7*I81*B81*B81*$N$5)</f>
        <v>0.55365178046014785</v>
      </c>
      <c r="Y81" s="10">
        <f>(SQRT($N$5)*B81)*(I81/M81)*SQRT(1.4/(287.05*K81))</f>
        <v>59631415.812482722</v>
      </c>
      <c r="Z81" s="10">
        <f t="shared" si="24"/>
        <v>2.1937430760982312E-3</v>
      </c>
      <c r="AA81" s="3">
        <f t="shared" ref="AA81:AA112" si="80">$U$5*Z81</f>
        <v>1.841710407053115E-2</v>
      </c>
      <c r="AB81" s="3">
        <f t="shared" ref="AB81:AB112" si="81">0.8*(1-0.53*$R$5)*AA81</f>
        <v>7.6564599256785512E-3</v>
      </c>
      <c r="AC81" s="3">
        <f>IF($E$5="no",(1/((1+0.03+$Q$5)+AB81*3.141593*$S$5)),(1.075/((1+0.03+$Q$5)+AB81*3.141593*$S$5)))</f>
        <v>0.77800069934820715</v>
      </c>
      <c r="AD81" s="3">
        <f t="shared" ref="AD81:AD112" si="82">1/(3.141593*$S$5*AC81)</f>
        <v>4.3066814712241573E-2</v>
      </c>
      <c r="AE81" s="1">
        <f t="shared" ref="AE81:AE112" si="83">$W$5-0.1*(X81/($R$5*$R$5))</f>
        <v>0.68218044027319302</v>
      </c>
      <c r="AF81" s="1">
        <f>B81*$R$5/AE81</f>
        <v>0.99999621174196818</v>
      </c>
      <c r="AG81" s="8">
        <f t="shared" si="29"/>
        <v>9.363662449107552E-4</v>
      </c>
      <c r="AH81" s="8"/>
      <c r="AI81" s="3">
        <f t="shared" si="30"/>
        <v>3.255475369111703E-2</v>
      </c>
      <c r="AJ81" s="1">
        <f t="shared" si="31"/>
        <v>17.006787571279293</v>
      </c>
      <c r="AK81" s="1"/>
      <c r="AL81" s="1">
        <f t="shared" ref="AL81:AL144" si="84">(R81/AJ81)+Q81+P81</f>
        <v>5.8800052379602778E-2</v>
      </c>
      <c r="AM81" s="8">
        <f>AL81*(A81*9.80665)/(0.7*I81*B81*B81*$N$5)</f>
        <v>3.255475369111703E-2</v>
      </c>
      <c r="AN81" s="1">
        <f>B81/$AI$5</f>
        <v>1</v>
      </c>
      <c r="AO81" s="1">
        <f>IF(B81&lt;0.4,1.3*(0.4-B81),0)</f>
        <v>0</v>
      </c>
      <c r="AP81" s="1">
        <f t="shared" si="33"/>
        <v>-0.43</v>
      </c>
      <c r="AQ81" s="1">
        <f t="shared" si="34"/>
        <v>0</v>
      </c>
      <c r="AR81" s="1">
        <f t="shared" ref="AR81:AR112" si="85">AN81^$AL$5</f>
        <v>1</v>
      </c>
      <c r="AS81" s="1">
        <f t="shared" ref="AS81:AS112" si="86">AR81*$AK$5*($AI$5^$AL$5)</f>
        <v>0.30867472713898642</v>
      </c>
      <c r="AT81" s="1">
        <f>(((1+0.55*B81)/(1+0.55*$AI$5))/(AN81^2))</f>
        <v>1</v>
      </c>
      <c r="AU81" s="1">
        <f t="shared" ref="AU81:AU112" si="87">AT81*$AJ$5</f>
        <v>3.465254791234245E-2</v>
      </c>
      <c r="AV81" s="8">
        <f t="shared" ref="AV81:AV112" si="88">AM81/AU81</f>
        <v>0.93946204975945702</v>
      </c>
      <c r="AW81" s="8">
        <f t="shared" si="36"/>
        <v>0.99842411732968961</v>
      </c>
      <c r="AX81" s="8"/>
      <c r="AY81" s="4"/>
      <c r="AZ81" s="1">
        <f t="shared" ref="AZ81:AZ112" si="89">AW81*AS81</f>
        <v>0.30818829198572528</v>
      </c>
      <c r="BA81" s="14">
        <f t="shared" si="38"/>
        <v>0.30048358468608216</v>
      </c>
      <c r="BB81" s="1"/>
      <c r="BC81" s="14">
        <f t="shared" si="39"/>
        <v>5.1102604934127109</v>
      </c>
      <c r="BD81" s="14">
        <f>IF(0.7*(AM81*(B81^3)/BA81)*(I81*L81*$N$5/43000000)&lt;$AH$5*(1-0.178*(C81/100)+0.0085*((C81/100)^2)),$AH$5*(1-0.178*(C81/100)+0.0085*((C81/100)^2)),0.7*(AM81*(B81^3)/BA81)*(I81*L81*$N$5/43000000))</f>
        <v>0.58281478905089856</v>
      </c>
      <c r="BE81" s="4">
        <f t="shared" ref="BE81:BE112" si="90">BD81/O81</f>
        <v>2.6241370157580389E-3</v>
      </c>
      <c r="BF81" s="4"/>
      <c r="BG81" s="1">
        <f t="shared" ref="BG81:BG112" si="91">0.6*(1+(2/3)*AV81)</f>
        <v>0.97578481990378274</v>
      </c>
      <c r="BH81" s="1">
        <f>0.6*$AN$5*(1-0.53*((B81-$AM$5)^2))*(1+((2/3)*AV81))</f>
        <v>5.4458192718278298</v>
      </c>
      <c r="BJ81" s="1">
        <f t="shared" ref="BJ81:BJ112" si="92">$AD$5*($AP$5^1.13)/(BH81^1.13)</f>
        <v>6.0113748736736774</v>
      </c>
      <c r="BK81" s="5">
        <f t="shared" ref="BK81:BK112" si="93">($AC$5/($AP$5^2.5))*(BH81^2.5)</f>
        <v>23.313279977329962</v>
      </c>
      <c r="BL81" s="5">
        <f t="shared" si="40"/>
        <v>1.5579957637010378</v>
      </c>
      <c r="BM81" s="5">
        <f t="shared" si="77"/>
        <v>2.8481759254233259</v>
      </c>
      <c r="BN81" s="1">
        <f t="shared" si="42"/>
        <v>1.1587922230825469</v>
      </c>
      <c r="BO81" s="1">
        <f t="shared" ref="BO81:BO112" si="94">BH81-(1005/1244)*(BJ81*(BN81-1)+(BM81-1))</f>
        <v>3.1815514398957427</v>
      </c>
      <c r="BP81" s="9">
        <f>(1+0.2*B81*B81)*K81</f>
        <v>241.19892737570004</v>
      </c>
      <c r="BQ81" s="9">
        <f t="shared" si="53"/>
        <v>686.97697818939798</v>
      </c>
      <c r="BR81" s="9">
        <f t="shared" si="54"/>
        <v>1313.5257670467884</v>
      </c>
      <c r="BS81" s="9">
        <f t="shared" si="46"/>
        <v>767.3867946934671</v>
      </c>
      <c r="BU81" s="9">
        <f>((1+0.2*B81*B81)^3.5)*I81</f>
        <v>31238.947021271986</v>
      </c>
      <c r="BV81" s="9">
        <f t="shared" si="47"/>
        <v>728282.31810389168</v>
      </c>
      <c r="BX81" s="3">
        <f t="shared" ref="BX81:BX112" si="95">(($BX$10*(BH81-(298/BP81))-(BM81-(298/BP81)))/(($BX$13/($BX$9*BP81))-$BX$10*(BH81-(298/BP81))+$BX$12*(1-(298/BP81))))/$BX$14</f>
        <v>2.1171335195361032E-2</v>
      </c>
      <c r="BZ81" s="3">
        <f t="shared" ref="BZ81:BZ112" si="96">IF(AM81&gt;(X81*((1/AJ81)+(1.524/O81))),AM81,(X81*((1/AJ81)+(1.524/O81))))</f>
        <v>3.6353826455154357E-2</v>
      </c>
      <c r="CA81"/>
      <c r="CB81" s="14">
        <f>$CB$12*($AO$5/K81)/($AN$5*(1-0.53*((B81-$AM$5)^2))*(1+0.2*B81*B81))</f>
        <v>1.3629629629629629</v>
      </c>
      <c r="CC81" s="1">
        <f t="shared" si="48"/>
        <v>1.9074074074074074</v>
      </c>
      <c r="CD81" s="3">
        <f t="shared" ref="CD81:CD112" si="97">CC81*AU81</f>
        <v>6.6096526573542078E-2</v>
      </c>
      <c r="CE81" s="6">
        <f t="shared" ref="CE81:CE112" si="98">CD81/BZ81</f>
        <v>1.8181449662548717</v>
      </c>
      <c r="CF81" s="22" t="str">
        <f t="shared" si="49"/>
        <v/>
      </c>
      <c r="CG81" s="22"/>
      <c r="CH81" s="7">
        <f t="shared" ref="CH81:CH112" si="99">SQRT(((CD81-AA81-AG81)/AD81)+(((Q81+P81)/(2*AD81))^2))-((Q81+P81)/(2*AD81))</f>
        <v>1.0418067730458827</v>
      </c>
      <c r="CI81" s="23">
        <f>CH81*(0.7*I81*B81*B81)*$N$5/9.80665</f>
        <v>110643.98312633496</v>
      </c>
      <c r="CK81" s="1">
        <f>B81/$AI$5</f>
        <v>1</v>
      </c>
      <c r="CL81" s="14">
        <f t="shared" si="50"/>
        <v>1.4515200000000053</v>
      </c>
      <c r="CM81" s="1">
        <f t="shared" ref="CM81:CM112" si="100">CL81*$Z$5</f>
        <v>0.8569758833631711</v>
      </c>
      <c r="CN81" s="14">
        <f>SQRT((A81*9.80665)/(0.7*I81*$N$5*CM81))</f>
        <v>0.60500082418646661</v>
      </c>
      <c r="CO81" s="1">
        <f t="shared" ref="CO81:CO112" si="101">X81/CM81</f>
        <v>0.64605293008638853</v>
      </c>
      <c r="CP81" s="29" t="str">
        <f>IF(C81&lt;30,"",IF(CO81&gt;1,"no",""))</f>
        <v/>
      </c>
      <c r="CQ81" s="22"/>
      <c r="CR81" s="23">
        <f>CM81*(0.7*I81*B81*B81)*$N$5/9.80665</f>
        <v>91014.214566192633</v>
      </c>
      <c r="CS81"/>
      <c r="CT81" s="6">
        <f t="shared" ref="CT81:CT112" si="102">C81/$AT$5</f>
        <v>0.90731707317073185</v>
      </c>
      <c r="CU81" s="22" t="str">
        <f t="shared" si="52"/>
        <v/>
      </c>
      <c r="CV81" s="5"/>
      <c r="CW81" s="6">
        <f>IF(C81&lt;100,SQRT(2)*SQRT(SQRT(1+(2/1.4)*(10510/I81))-1),IF(I81&gt;$AW$5,SQRT(2)*SQRT(SQRT(1+(2/1.4)*($AV$5/I81))-1),$AS$5))</f>
        <v>0.82</v>
      </c>
      <c r="CX81" s="22" t="str">
        <f>IF(B81&gt;CW81,"no","")</f>
        <v/>
      </c>
    </row>
    <row r="82" spans="1:102" x14ac:dyDescent="0.2">
      <c r="A82">
        <v>58800</v>
      </c>
      <c r="B82" s="1">
        <v>0.75270000000000004</v>
      </c>
      <c r="C82" s="5">
        <v>372.5</v>
      </c>
      <c r="D82" s="1">
        <v>0</v>
      </c>
      <c r="E82" s="1">
        <v>0</v>
      </c>
      <c r="G82">
        <f t="shared" si="78"/>
        <v>37250</v>
      </c>
      <c r="H82" s="9">
        <f t="shared" si="79"/>
        <v>11353.800000045414</v>
      </c>
      <c r="I82" s="5">
        <f t="shared" ref="I82:I145" si="103">IF(H82&lt;11000,101325*((1-(0.0000225577*H82))^5.255879813),22632.04*EXP((-0.0001576885243)*(H82-11000)))</f>
        <v>21403.969628882598</v>
      </c>
      <c r="J82" s="5">
        <v>0</v>
      </c>
      <c r="K82" s="6">
        <f t="shared" ref="K82:K145" si="104">IF(H82&gt;11000,216.65+J82,288.15+J82-0.0065*H82)</f>
        <v>216.65</v>
      </c>
      <c r="L82" s="5">
        <f t="shared" ref="L82:L145" si="105">SQRT(1.4*287.05*K82)</f>
        <v>295.06801842964956</v>
      </c>
      <c r="M82" s="10">
        <f t="shared" ref="M82:M145" si="106">0.000001458*(K82^1.5)/(110.4+K82)</f>
        <v>1.4216130796413355E-5</v>
      </c>
      <c r="O82" s="6">
        <f>B82*L82</f>
        <v>222.09769747199724</v>
      </c>
      <c r="P82" s="1">
        <f>IF(E82=0,0,E82/9.80665)</f>
        <v>0</v>
      </c>
      <c r="Q82" s="7">
        <f>IF(D82=0,0,(D82/O82))</f>
        <v>0</v>
      </c>
      <c r="R82" s="19">
        <f t="shared" ref="R82:R145" si="107">SQRT(1-Q82*Q82)</f>
        <v>1</v>
      </c>
      <c r="S82" s="19">
        <f t="shared" ref="S82:S145" si="108">Q82/R82</f>
        <v>0</v>
      </c>
      <c r="T82" s="19">
        <f t="shared" ref="T82:T145" si="109">ASIN(Q82)*180/3.141593</f>
        <v>0</v>
      </c>
      <c r="U82" s="19"/>
      <c r="V82" s="19"/>
      <c r="W82" s="6"/>
      <c r="X82" s="1">
        <f>(A82*9.80665*R82)/(0.7*I82*B82*B82*$N$5)</f>
        <v>0.5549839015491228</v>
      </c>
      <c r="Y82" s="10">
        <f>(SQRT($N$5)*B82)*(I82/M82)*SQRT(1.4/(287.05*K82))</f>
        <v>59488283.252515651</v>
      </c>
      <c r="Z82" s="10">
        <f t="shared" ref="Z82:Z145" si="110">0.0269/(Y82^0.14)</f>
        <v>2.1944812724842334E-3</v>
      </c>
      <c r="AA82" s="3">
        <f t="shared" si="80"/>
        <v>1.8423301441505731E-2</v>
      </c>
      <c r="AB82" s="3">
        <f t="shared" si="81"/>
        <v>7.6590363308685159E-3</v>
      </c>
      <c r="AC82" s="3">
        <f>IF($E$5="no",(1/((1+0.03+$Q$5)+AB82*3.141593*$S$5)),(1.075/((1+0.03+$Q$5)+AB82*3.141593*$S$5)))</f>
        <v>0.77795415945090218</v>
      </c>
      <c r="AD82" s="3">
        <f t="shared" si="82"/>
        <v>4.3069391117431528E-2</v>
      </c>
      <c r="AE82" s="1">
        <f t="shared" si="83"/>
        <v>0.68201826213879591</v>
      </c>
      <c r="AF82" s="1">
        <f>B82*$R$5/AE82</f>
        <v>1.000234002324754</v>
      </c>
      <c r="AG82" s="8">
        <f t="shared" ref="AG82:AG145" si="111">IF(AF82&lt;$X$5,0,IF(AF82&lt;$V$5,($R$5^3)*$Y$5*((AF82-$X$5)^2),($R$5^3)*$Y$5*((AF82-$X$5)^2)+40*((AF82-$V$5)^4)))</f>
        <v>9.3976629580063342E-4</v>
      </c>
      <c r="AH82" s="8"/>
      <c r="AI82" s="3">
        <f t="shared" ref="AI82:AI145" si="112">AA82+AD82*X82*X82+AG82</f>
        <v>3.2628747328385374E-2</v>
      </c>
      <c r="AJ82" s="1">
        <f t="shared" ref="AJ82:AJ145" si="113">X82/AI82</f>
        <v>17.009047143722697</v>
      </c>
      <c r="AK82" s="1"/>
      <c r="AL82" s="1">
        <f t="shared" si="84"/>
        <v>5.8792241067369654E-2</v>
      </c>
      <c r="AM82" s="8">
        <f>AL82*(A82*9.80665)/(0.7*I82*B82*B82*$N$5)</f>
        <v>3.2628747328385374E-2</v>
      </c>
      <c r="AN82" s="1">
        <f>B82/$AI$5</f>
        <v>1</v>
      </c>
      <c r="AO82" s="1">
        <f>IF(B82&lt;0.4,1.3*(0.4-B82),0)</f>
        <v>0</v>
      </c>
      <c r="AP82" s="1">
        <f t="shared" ref="AP82:AP145" si="114">AO82-0.43</f>
        <v>-0.43</v>
      </c>
      <c r="AQ82" s="1">
        <f t="shared" ref="AQ82:AQ145" si="115">AO82*0.43</f>
        <v>0</v>
      </c>
      <c r="AR82" s="1">
        <f t="shared" si="85"/>
        <v>1</v>
      </c>
      <c r="AS82" s="1">
        <f t="shared" si="86"/>
        <v>0.30867472713898642</v>
      </c>
      <c r="AT82" s="1">
        <f>(((1+0.55*B82)/(1+0.55*$AI$5))/(AN82^2))</f>
        <v>1</v>
      </c>
      <c r="AU82" s="1">
        <f t="shared" si="87"/>
        <v>3.465254791234245E-2</v>
      </c>
      <c r="AV82" s="8">
        <f t="shared" si="88"/>
        <v>0.94159735125173161</v>
      </c>
      <c r="AW82" s="8">
        <f t="shared" ref="AW82:AW145" si="116">IF(AV82&lt;0.3,6.56*(1+0.8244*AO82)*AV82-19.43*(1+1.053*AO82)*(AV82^2)+21.11*(1+1.063*AO82)*(AV82^3),(1-0.43*((AV82-1)^2))*((1+AO82*((AV82-1)^2))))</f>
        <v>0.99853332616625012</v>
      </c>
      <c r="AX82" s="8"/>
      <c r="AY82" s="4"/>
      <c r="AZ82" s="1">
        <f t="shared" si="89"/>
        <v>0.30822200199355176</v>
      </c>
      <c r="BA82" s="14">
        <f t="shared" ref="BA82:BA145" si="117">$BA$14*AZ82</f>
        <v>0.30051645194371296</v>
      </c>
      <c r="BB82" s="1"/>
      <c r="BC82" s="14">
        <f t="shared" ref="BC82:BC145" si="118">BA82*AJ82</f>
        <v>5.1114984985748899</v>
      </c>
      <c r="BD82" s="14">
        <f>IF(0.7*(AM82*(B82^3)/BA82)*(I82*L82*$N$5/43000000)&lt;$AH$5*(1-0.178*(C82/100)+0.0085*((C82/100)^2)),$AH$5*(1-0.178*(C82/100)+0.0085*((C82/100)^2)),0.7*(AM82*(B82^3)/BA82)*(I82*L82*$N$5/43000000))</f>
        <v>0.58267363128324201</v>
      </c>
      <c r="BE82" s="4">
        <f t="shared" si="90"/>
        <v>2.6235014496568893E-3</v>
      </c>
      <c r="BF82" s="4"/>
      <c r="BG82" s="1">
        <f t="shared" si="91"/>
        <v>0.97663894050069255</v>
      </c>
      <c r="BH82" s="1">
        <f>0.6*$AN$5*(1-0.53*((B82-$AM$5)^2))*(1+((2/3)*AV82))</f>
        <v>5.4505860875358003</v>
      </c>
      <c r="BJ82" s="1">
        <f t="shared" si="92"/>
        <v>6.0054345143056365</v>
      </c>
      <c r="BK82" s="5">
        <f t="shared" si="93"/>
        <v>23.36432972292792</v>
      </c>
      <c r="BL82" s="5">
        <f t="shared" ref="BL82:BL145" si="119">($AE$5/$AP$5)*BH82</f>
        <v>1.5593595031695475</v>
      </c>
      <c r="BM82" s="5">
        <f t="shared" ref="BM82:BM113" si="120">BK82^(0.4/(1.4*$AQ$5))</f>
        <v>2.8502473894454901</v>
      </c>
      <c r="BN82" s="1">
        <f t="shared" ref="BN82:BN145" si="121">BL82^(0.4/(1.4*$AQ$5))</f>
        <v>1.1591292630584904</v>
      </c>
      <c r="BO82" s="1">
        <f t="shared" si="94"/>
        <v>3.1837716206200173</v>
      </c>
      <c r="BP82" s="9">
        <f>(1+0.2*B82*B82)*K82</f>
        <v>241.19892737570004</v>
      </c>
      <c r="BQ82" s="9">
        <f t="shared" si="53"/>
        <v>687.47661308964143</v>
      </c>
      <c r="BR82" s="9">
        <f t="shared" si="54"/>
        <v>1314.6755178825485</v>
      </c>
      <c r="BS82" s="9">
        <f t="shared" ref="BS82:BS145" si="122">BO82*BP82</f>
        <v>767.92229990274234</v>
      </c>
      <c r="BU82" s="9">
        <f>((1+0.2*B82*B82)^3.5)*I82</f>
        <v>31163.964557801875</v>
      </c>
      <c r="BV82" s="9">
        <f t="shared" ref="BV82:BV145" si="123">BK82*BU82</f>
        <v>728125.14340212266</v>
      </c>
      <c r="BX82" s="3">
        <f t="shared" si="95"/>
        <v>2.1194588155394503E-2</v>
      </c>
      <c r="BZ82" s="3">
        <f t="shared" si="96"/>
        <v>3.6436960901006968E-2</v>
      </c>
      <c r="CA82"/>
      <c r="CB82" s="14">
        <f>$CB$12*($AO$5/K82)/($AN$5*(1-0.53*((B82-$AM$5)^2))*(1+0.2*B82*B82))</f>
        <v>1.3629629629629629</v>
      </c>
      <c r="CC82" s="1">
        <f t="shared" ref="CC82:CC145" si="124">1+2.5*(CB82-1)</f>
        <v>1.9074074074074074</v>
      </c>
      <c r="CD82" s="3">
        <f t="shared" si="97"/>
        <v>6.6096526573542078E-2</v>
      </c>
      <c r="CE82" s="6">
        <f t="shared" si="98"/>
        <v>1.8139966928942046</v>
      </c>
      <c r="CF82" s="22" t="str">
        <f t="shared" ref="CF82:CF145" si="125">IF(CE82&lt;1,"no","")</f>
        <v/>
      </c>
      <c r="CG82" s="22"/>
      <c r="CH82" s="7">
        <f t="shared" si="99"/>
        <v>1.0416686565016782</v>
      </c>
      <c r="CI82" s="23">
        <f>CH82*(0.7*I82*B82*B82)*$N$5/9.80665</f>
        <v>110363.77241093236</v>
      </c>
      <c r="CK82" s="1">
        <f>B82/$AI$5</f>
        <v>1</v>
      </c>
      <c r="CL82" s="14">
        <f t="shared" ref="CL82:CL145" si="126">IF(CK82&lt;0.7,$CL$10*$CL$8*(1+0.089*CK82-0.603*CK82*CK82),$CL$10*$CL$8*(7.373-23.479*CK82+27.713*CK82*CK82-10.935*CK82*CK82*CK82))</f>
        <v>1.4515200000000053</v>
      </c>
      <c r="CM82" s="1">
        <f t="shared" si="100"/>
        <v>0.8569758833631711</v>
      </c>
      <c r="CN82" s="14">
        <f>SQRT((A82*9.80665)/(0.7*I82*$N$5*CM82))</f>
        <v>0.60572822197085652</v>
      </c>
      <c r="CO82" s="1">
        <f t="shared" si="101"/>
        <v>0.64760737416683001</v>
      </c>
      <c r="CP82" s="29" t="str">
        <f>IF(C82&lt;30,"",IF(CO82&gt;1,"no",""))</f>
        <v/>
      </c>
      <c r="CQ82" s="22"/>
      <c r="CR82" s="23">
        <f>CM82*(0.7*I82*B82*B82)*$N$5/9.80665</f>
        <v>90795.754257196808</v>
      </c>
      <c r="CS82"/>
      <c r="CT82" s="6">
        <f t="shared" si="102"/>
        <v>0.9085365853658538</v>
      </c>
      <c r="CU82" s="22" t="str">
        <f t="shared" ref="CU82:CU145" si="127">IF(CT82&gt;1,"no","")</f>
        <v/>
      </c>
      <c r="CV82" s="5"/>
      <c r="CW82" s="6">
        <f>IF(C82&lt;100,SQRT(2)*SQRT(SQRT(1+(2/1.4)*(10510/I82))-1),IF(I82&gt;$AW$5,SQRT(2)*SQRT(SQRT(1+(2/1.4)*($AV$5/I82))-1),$AS$5))</f>
        <v>0.82</v>
      </c>
      <c r="CX82" s="22" t="str">
        <f>IF(B82&gt;CW82,"no","")</f>
        <v/>
      </c>
    </row>
    <row r="83" spans="1:102" x14ac:dyDescent="0.2">
      <c r="A83">
        <v>58800</v>
      </c>
      <c r="B83" s="1">
        <v>0.75270000000000004</v>
      </c>
      <c r="C83" s="5">
        <v>373</v>
      </c>
      <c r="D83" s="1">
        <v>0</v>
      </c>
      <c r="E83" s="1">
        <v>0</v>
      </c>
      <c r="G83">
        <f t="shared" si="78"/>
        <v>37300</v>
      </c>
      <c r="H83" s="9">
        <f t="shared" si="79"/>
        <v>11369.040000045476</v>
      </c>
      <c r="I83" s="5">
        <f t="shared" si="103"/>
        <v>21352.593941676485</v>
      </c>
      <c r="J83" s="5">
        <v>0</v>
      </c>
      <c r="K83" s="6">
        <f t="shared" si="104"/>
        <v>216.65</v>
      </c>
      <c r="L83" s="5">
        <f t="shared" si="105"/>
        <v>295.06801842964956</v>
      </c>
      <c r="M83" s="10">
        <f t="shared" si="106"/>
        <v>1.4216130796413355E-5</v>
      </c>
      <c r="O83" s="6">
        <f>B83*L83</f>
        <v>222.09769747199724</v>
      </c>
      <c r="P83" s="1">
        <f>IF(E83=0,0,E83/9.80665)</f>
        <v>0</v>
      </c>
      <c r="Q83" s="7">
        <f>IF(D83=0,0,(D83/O83))</f>
        <v>0</v>
      </c>
      <c r="R83" s="19">
        <f t="shared" si="107"/>
        <v>1</v>
      </c>
      <c r="S83" s="19">
        <f t="shared" si="108"/>
        <v>0</v>
      </c>
      <c r="T83" s="19">
        <f t="shared" si="109"/>
        <v>0</v>
      </c>
      <c r="U83" s="19"/>
      <c r="V83" s="19"/>
      <c r="W83" s="6"/>
      <c r="X83" s="1">
        <f>(A83*9.80665*R83)/(0.7*I83*B83*B83*$N$5)</f>
        <v>0.55631922780542198</v>
      </c>
      <c r="Y83" s="10">
        <f>(SQRT($N$5)*B83)*(I83/M83)*SQRT(1.4/(287.05*K83))</f>
        <v>59345494.251886263</v>
      </c>
      <c r="Z83" s="10">
        <f t="shared" si="110"/>
        <v>2.1952197172739395E-3</v>
      </c>
      <c r="AA83" s="3">
        <f t="shared" si="80"/>
        <v>1.8429500897900845E-2</v>
      </c>
      <c r="AB83" s="3">
        <f t="shared" si="81"/>
        <v>7.6616136030209893E-3</v>
      </c>
      <c r="AC83" s="3">
        <f>IF($E$5="no",(1/((1+0.03+$Q$5)+AB83*3.141593*$S$5)),(1.075/((1+0.03+$Q$5)+AB83*3.141593*$S$5)))</f>
        <v>0.77790760946338078</v>
      </c>
      <c r="AD83" s="3">
        <f t="shared" si="82"/>
        <v>4.3071968389584006E-2</v>
      </c>
      <c r="AE83" s="1">
        <f t="shared" si="83"/>
        <v>0.68185569379358291</v>
      </c>
      <c r="AF83" s="1">
        <f>B83*$R$5/AE83</f>
        <v>1.0004724785713612</v>
      </c>
      <c r="AG83" s="8">
        <f t="shared" si="111"/>
        <v>9.4318233913896147E-4</v>
      </c>
      <c r="AH83" s="8"/>
      <c r="AI83" s="3">
        <f t="shared" si="112"/>
        <v>3.2703073390609093E-2</v>
      </c>
      <c r="AJ83" s="1">
        <f t="shared" si="113"/>
        <v>17.011221580329291</v>
      </c>
      <c r="AK83" s="1"/>
      <c r="AL83" s="1">
        <f t="shared" si="84"/>
        <v>5.8784726027926018E-2</v>
      </c>
      <c r="AM83" s="8">
        <f>AL83*(A83*9.80665)/(0.7*I83*B83*B83*$N$5)</f>
        <v>3.2703073390609093E-2</v>
      </c>
      <c r="AN83" s="1">
        <f>B83/$AI$5</f>
        <v>1</v>
      </c>
      <c r="AO83" s="1">
        <f>IF(B83&lt;0.4,1.3*(0.4-B83),0)</f>
        <v>0</v>
      </c>
      <c r="AP83" s="1">
        <f t="shared" si="114"/>
        <v>-0.43</v>
      </c>
      <c r="AQ83" s="1">
        <f t="shared" si="115"/>
        <v>0</v>
      </c>
      <c r="AR83" s="1">
        <f t="shared" si="85"/>
        <v>1</v>
      </c>
      <c r="AS83" s="1">
        <f t="shared" si="86"/>
        <v>0.30867472713898642</v>
      </c>
      <c r="AT83" s="1">
        <f>(((1+0.55*B83)/(1+0.55*$AI$5))/(AN83^2))</f>
        <v>1</v>
      </c>
      <c r="AU83" s="1">
        <f t="shared" si="87"/>
        <v>3.465254791234245E-2</v>
      </c>
      <c r="AV83" s="8">
        <f t="shared" si="88"/>
        <v>0.94374224583240529</v>
      </c>
      <c r="AW83" s="8">
        <f t="shared" si="116"/>
        <v>0.99863907799128793</v>
      </c>
      <c r="AX83" s="8"/>
      <c r="AY83" s="4"/>
      <c r="AZ83" s="1">
        <f t="shared" si="89"/>
        <v>0.30825464490928978</v>
      </c>
      <c r="BA83" s="14">
        <f t="shared" si="117"/>
        <v>0.30054827878655754</v>
      </c>
      <c r="BB83" s="1"/>
      <c r="BC83" s="14">
        <f t="shared" si="118"/>
        <v>5.112693366024712</v>
      </c>
      <c r="BD83" s="14">
        <f>IF(0.7*(AM83*(B83^3)/BA83)*(I83*L83*$N$5/43000000)&lt;$AH$5*(1-0.178*(C83/100)+0.0085*((C83/100)^2)),$AH$5*(1-0.178*(C83/100)+0.0085*((C83/100)^2)),0.7*(AM83*(B83^3)/BA83)*(I83*L83*$N$5/43000000))</f>
        <v>0.58253745692150205</v>
      </c>
      <c r="BE83" s="4">
        <f t="shared" si="90"/>
        <v>2.622888321455697E-3</v>
      </c>
      <c r="BF83" s="4"/>
      <c r="BG83" s="1">
        <f t="shared" si="91"/>
        <v>0.97749689833296205</v>
      </c>
      <c r="BH83" s="1">
        <f>0.6*$AN$5*(1-0.53*((B83-$AM$5)^2))*(1+((2/3)*AV83))</f>
        <v>5.4553743187135</v>
      </c>
      <c r="BJ83" s="1">
        <f t="shared" si="92"/>
        <v>5.9994785971216027</v>
      </c>
      <c r="BK83" s="5">
        <f t="shared" si="93"/>
        <v>23.415676280070073</v>
      </c>
      <c r="BL83" s="5">
        <f t="shared" si="119"/>
        <v>1.5607293693950151</v>
      </c>
      <c r="BM83" s="5">
        <f t="shared" si="120"/>
        <v>2.8523278514733592</v>
      </c>
      <c r="BN83" s="1">
        <f t="shared" si="121"/>
        <v>1.1594676191693627</v>
      </c>
      <c r="BO83" s="1">
        <f t="shared" si="94"/>
        <v>3.1860048076910252</v>
      </c>
      <c r="BP83" s="9">
        <f>(1+0.2*B83*B83)*K83</f>
        <v>241.19892737570004</v>
      </c>
      <c r="BQ83" s="9">
        <f t="shared" si="53"/>
        <v>687.97841829920924</v>
      </c>
      <c r="BR83" s="9">
        <f t="shared" si="54"/>
        <v>1315.8304341066366</v>
      </c>
      <c r="BS83" s="9">
        <f t="shared" si="122"/>
        <v>768.46094222889872</v>
      </c>
      <c r="BU83" s="9">
        <f>((1+0.2*B83*B83)^3.5)*I83</f>
        <v>31089.162073824162</v>
      </c>
      <c r="BV83" s="9">
        <f t="shared" si="123"/>
        <v>727973.75493929861</v>
      </c>
      <c r="BX83" s="3">
        <f t="shared" si="95"/>
        <v>2.1217949004712428E-2</v>
      </c>
      <c r="BZ83" s="3">
        <f t="shared" si="96"/>
        <v>3.6520449765176689E-2</v>
      </c>
      <c r="CA83"/>
      <c r="CB83" s="14">
        <f>$CB$12*($AO$5/K83)/($AN$5*(1-0.53*((B83-$AM$5)^2))*(1+0.2*B83*B83))</f>
        <v>1.3629629629629629</v>
      </c>
      <c r="CC83" s="1">
        <f t="shared" si="124"/>
        <v>1.9074074074074074</v>
      </c>
      <c r="CD83" s="3">
        <f t="shared" si="97"/>
        <v>6.6096526573542078E-2</v>
      </c>
      <c r="CE83" s="6">
        <f t="shared" si="98"/>
        <v>1.8098497416799899</v>
      </c>
      <c r="CF83" s="22" t="str">
        <f t="shared" si="125"/>
        <v/>
      </c>
      <c r="CG83" s="22"/>
      <c r="CH83" s="7">
        <f t="shared" si="99"/>
        <v>1.0415303261977522</v>
      </c>
      <c r="CI83" s="23">
        <f>CH83*(0.7*I83*B83*B83)*$N$5/9.80665</f>
        <v>110084.24681278103</v>
      </c>
      <c r="CK83" s="1">
        <f>B83/$AI$5</f>
        <v>1</v>
      </c>
      <c r="CL83" s="14">
        <f t="shared" si="126"/>
        <v>1.4515200000000053</v>
      </c>
      <c r="CM83" s="1">
        <f t="shared" si="100"/>
        <v>0.8569758833631711</v>
      </c>
      <c r="CN83" s="14">
        <f>SQRT((A83*9.80665)/(0.7*I83*$N$5*CM83))</f>
        <v>0.60645649431196713</v>
      </c>
      <c r="CO83" s="1">
        <f t="shared" si="101"/>
        <v>0.6491655583377296</v>
      </c>
      <c r="CP83" s="29" t="str">
        <f>IF(C83&lt;30,"",IF(CO83&gt;1,"no",""))</f>
        <v/>
      </c>
      <c r="CQ83" s="22"/>
      <c r="CR83" s="23">
        <f>CM83*(0.7*I83*B83*B83)*$N$5/9.80665</f>
        <v>90577.818315815806</v>
      </c>
      <c r="CS83"/>
      <c r="CT83" s="6">
        <f t="shared" si="102"/>
        <v>0.90975609756097575</v>
      </c>
      <c r="CU83" s="22" t="str">
        <f t="shared" si="127"/>
        <v/>
      </c>
      <c r="CV83" s="5"/>
      <c r="CW83" s="6">
        <f>IF(C83&lt;100,SQRT(2)*SQRT(SQRT(1+(2/1.4)*(10510/I83))-1),IF(I83&gt;$AW$5,SQRT(2)*SQRT(SQRT(1+(2/1.4)*($AV$5/I83))-1),$AS$5))</f>
        <v>0.82</v>
      </c>
      <c r="CX83" s="22" t="str">
        <f>IF(B83&gt;CW83,"no","")</f>
        <v/>
      </c>
    </row>
    <row r="84" spans="1:102" x14ac:dyDescent="0.2">
      <c r="A84">
        <v>58800</v>
      </c>
      <c r="B84" s="1">
        <v>0.75270000000000004</v>
      </c>
      <c r="C84" s="5">
        <v>373.5</v>
      </c>
      <c r="D84" s="1">
        <v>0</v>
      </c>
      <c r="E84" s="1">
        <v>0</v>
      </c>
      <c r="G84">
        <f t="shared" si="78"/>
        <v>37350</v>
      </c>
      <c r="H84" s="9">
        <f t="shared" si="79"/>
        <v>11384.280000045537</v>
      </c>
      <c r="I84" s="5">
        <f t="shared" si="103"/>
        <v>21301.341570905672</v>
      </c>
      <c r="J84" s="5">
        <v>0</v>
      </c>
      <c r="K84" s="6">
        <f t="shared" si="104"/>
        <v>216.65</v>
      </c>
      <c r="L84" s="5">
        <f t="shared" si="105"/>
        <v>295.06801842964956</v>
      </c>
      <c r="M84" s="10">
        <f t="shared" si="106"/>
        <v>1.4216130796413355E-5</v>
      </c>
      <c r="O84" s="6">
        <f>B84*L84</f>
        <v>222.09769747199724</v>
      </c>
      <c r="P84" s="1">
        <f>IF(E84=0,0,E84/9.80665)</f>
        <v>0</v>
      </c>
      <c r="Q84" s="7">
        <f>IF(D84=0,0,(D84/O84))</f>
        <v>0</v>
      </c>
      <c r="R84" s="19">
        <f t="shared" si="107"/>
        <v>1</v>
      </c>
      <c r="S84" s="19">
        <f t="shared" si="108"/>
        <v>0</v>
      </c>
      <c r="T84" s="19">
        <f t="shared" si="109"/>
        <v>0</v>
      </c>
      <c r="U84" s="19"/>
      <c r="V84" s="19"/>
      <c r="W84" s="6"/>
      <c r="X84" s="1">
        <f>(A84*9.80665*R84)/(0.7*I84*B84*B84*$N$5)</f>
        <v>0.5576577669408801</v>
      </c>
      <c r="Y84" s="10">
        <f>(SQRT($N$5)*B84)*(I84/M84)*SQRT(1.4/(287.05*K84))</f>
        <v>59203047.985953294</v>
      </c>
      <c r="Z84" s="10">
        <f t="shared" si="110"/>
        <v>2.195958410550937E-3</v>
      </c>
      <c r="AA84" s="3">
        <f t="shared" si="80"/>
        <v>1.8435702440418242E-2</v>
      </c>
      <c r="AB84" s="3">
        <f t="shared" si="81"/>
        <v>7.664191742427706E-3</v>
      </c>
      <c r="AC84" s="3">
        <f>IF($E$5="no",(1/((1+0.03+$Q$5)+AB84*3.141593*$S$5)),(1.075/((1+0.03+$Q$5)+AB84*3.141593*$S$5)))</f>
        <v>0.77786104938499689</v>
      </c>
      <c r="AD84" s="3">
        <f t="shared" si="82"/>
        <v>4.3074546528990718E-2</v>
      </c>
      <c r="AE84" s="1">
        <f t="shared" si="83"/>
        <v>0.68169273429868216</v>
      </c>
      <c r="AF84" s="1">
        <f>B84*$R$5/AE84</f>
        <v>1.0007116427601035</v>
      </c>
      <c r="AG84" s="8">
        <f t="shared" si="111"/>
        <v>9.4661446110627515E-4</v>
      </c>
      <c r="AH84" s="8"/>
      <c r="AI84" s="3">
        <f t="shared" si="112"/>
        <v>3.2777733500264444E-2</v>
      </c>
      <c r="AJ84" s="1">
        <f t="shared" si="113"/>
        <v>17.013310787226366</v>
      </c>
      <c r="AK84" s="1"/>
      <c r="AL84" s="1">
        <f t="shared" si="84"/>
        <v>5.8777507359167411E-2</v>
      </c>
      <c r="AM84" s="8">
        <f>AL84*(A84*9.80665)/(0.7*I84*B84*B84*$N$5)</f>
        <v>3.2777733500264444E-2</v>
      </c>
      <c r="AN84" s="1">
        <f>B84/$AI$5</f>
        <v>1</v>
      </c>
      <c r="AO84" s="1">
        <f>IF(B84&lt;0.4,1.3*(0.4-B84),0)</f>
        <v>0</v>
      </c>
      <c r="AP84" s="1">
        <f t="shared" si="114"/>
        <v>-0.43</v>
      </c>
      <c r="AQ84" s="1">
        <f t="shared" si="115"/>
        <v>0</v>
      </c>
      <c r="AR84" s="1">
        <f t="shared" si="85"/>
        <v>1</v>
      </c>
      <c r="AS84" s="1">
        <f t="shared" si="86"/>
        <v>0.30867472713898642</v>
      </c>
      <c r="AT84" s="1">
        <f>(((1+0.55*B84)/(1+0.55*$AI$5))/(AN84^2))</f>
        <v>1</v>
      </c>
      <c r="AU84" s="1">
        <f t="shared" si="87"/>
        <v>3.465254791234245E-2</v>
      </c>
      <c r="AV84" s="8">
        <f t="shared" si="88"/>
        <v>0.94589678032274682</v>
      </c>
      <c r="AW84" s="8">
        <f t="shared" si="116"/>
        <v>0.99874132189683862</v>
      </c>
      <c r="AX84" s="8"/>
      <c r="AY84" s="4"/>
      <c r="AZ84" s="1">
        <f t="shared" si="89"/>
        <v>0.30828620501893728</v>
      </c>
      <c r="BA84" s="14">
        <f t="shared" si="117"/>
        <v>0.30057904989346385</v>
      </c>
      <c r="BB84" s="1"/>
      <c r="BC84" s="14">
        <f t="shared" si="118"/>
        <v>5.1138447919667209</v>
      </c>
      <c r="BD84" s="14">
        <f>IF(0.7*(AM84*(B84^3)/BA84)*(I84*L84*$N$5/43000000)&lt;$AH$5*(1-0.178*(C84/100)+0.0085*((C84/100)^2)),$AH$5*(1-0.178*(C84/100)+0.0085*((C84/100)^2)),0.7*(AM84*(B84^3)/BA84)*(I84*L84*$N$5/43000000))</f>
        <v>0.58240629362512186</v>
      </c>
      <c r="BE84" s="4">
        <f t="shared" si="90"/>
        <v>2.6222977556917423E-3</v>
      </c>
      <c r="BF84" s="4"/>
      <c r="BG84" s="1">
        <f t="shared" si="91"/>
        <v>0.97835871212909875</v>
      </c>
      <c r="BH84" s="1">
        <f>0.6*$AN$5*(1-0.53*((B84-$AM$5)^2))*(1+((2/3)*AV84))</f>
        <v>5.4601840698840407</v>
      </c>
      <c r="BJ84" s="1">
        <f t="shared" si="92"/>
        <v>5.9935071113233231</v>
      </c>
      <c r="BK84" s="5">
        <f t="shared" si="93"/>
        <v>23.467321708964057</v>
      </c>
      <c r="BL84" s="5">
        <f t="shared" si="119"/>
        <v>1.5621053922804831</v>
      </c>
      <c r="BM84" s="5">
        <f t="shared" si="120"/>
        <v>2.8544173530849903</v>
      </c>
      <c r="BN84" s="1">
        <f t="shared" si="121"/>
        <v>1.1598072964237096</v>
      </c>
      <c r="BO84" s="1">
        <f t="shared" si="94"/>
        <v>3.1882510809410687</v>
      </c>
      <c r="BP84" s="9">
        <f>(1+0.2*B84*B84)*K84</f>
        <v>241.19892737570004</v>
      </c>
      <c r="BQ84" s="9">
        <f t="shared" si="53"/>
        <v>688.48240384668452</v>
      </c>
      <c r="BR84" s="9">
        <f t="shared" si="54"/>
        <v>1316.9905409299149</v>
      </c>
      <c r="BS84" s="9">
        <f t="shared" si="122"/>
        <v>769.00274092740199</v>
      </c>
      <c r="BU84" s="9">
        <f>((1+0.2*B84*B84)^3.5)*I84</f>
        <v>31014.539137336265</v>
      </c>
      <c r="BV84" s="9">
        <f t="shared" si="123"/>
        <v>727828.16759112675</v>
      </c>
      <c r="BX84" s="3">
        <f t="shared" si="95"/>
        <v>2.1241418297882304E-2</v>
      </c>
      <c r="BZ84" s="3">
        <f t="shared" si="96"/>
        <v>3.66042947230572E-2</v>
      </c>
      <c r="CA84"/>
      <c r="CB84" s="14">
        <f>$CB$12*($AO$5/K84)/($AN$5*(1-0.53*((B84-$AM$5)^2))*(1+0.2*B84*B84))</f>
        <v>1.3629629629629629</v>
      </c>
      <c r="CC84" s="1">
        <f t="shared" si="124"/>
        <v>1.9074074074074074</v>
      </c>
      <c r="CD84" s="3">
        <f t="shared" si="97"/>
        <v>6.6096526573542078E-2</v>
      </c>
      <c r="CE84" s="6">
        <f t="shared" si="98"/>
        <v>1.8057041413751813</v>
      </c>
      <c r="CF84" s="22" t="str">
        <f t="shared" si="125"/>
        <v/>
      </c>
      <c r="CG84" s="22"/>
      <c r="CH84" s="7">
        <f t="shared" si="99"/>
        <v>1.0413917811204108</v>
      </c>
      <c r="CI84" s="23">
        <f>CH84*(0.7*I84*B84*B84)*$N$5/9.80665</f>
        <v>109805.40460467011</v>
      </c>
      <c r="CK84" s="1">
        <f>B84/$AI$5</f>
        <v>1</v>
      </c>
      <c r="CL84" s="14">
        <f t="shared" si="126"/>
        <v>1.4515200000000053</v>
      </c>
      <c r="CM84" s="1">
        <f t="shared" si="100"/>
        <v>0.8569758833631711</v>
      </c>
      <c r="CN84" s="14">
        <f>SQRT((A84*9.80665)/(0.7*I84*$N$5*CM84))</f>
        <v>0.60718564226128546</v>
      </c>
      <c r="CO84" s="1">
        <f t="shared" si="101"/>
        <v>0.65072749159798082</v>
      </c>
      <c r="CP84" s="29" t="str">
        <f>IF(C84&lt;30,"",IF(CO84&gt;1,"no",""))</f>
        <v/>
      </c>
      <c r="CQ84" s="22"/>
      <c r="CR84" s="23">
        <f>CM84*(0.7*I84*B84*B84)*$N$5/9.80665</f>
        <v>90360.405483416442</v>
      </c>
      <c r="CS84"/>
      <c r="CT84" s="6">
        <f t="shared" si="102"/>
        <v>0.9109756097560977</v>
      </c>
      <c r="CU84" s="22" t="str">
        <f t="shared" si="127"/>
        <v/>
      </c>
      <c r="CV84" s="5"/>
      <c r="CW84" s="6">
        <f>IF(C84&lt;100,SQRT(2)*SQRT(SQRT(1+(2/1.4)*(10510/I84))-1),IF(I84&gt;$AW$5,SQRT(2)*SQRT(SQRT(1+(2/1.4)*($AV$5/I84))-1),$AS$5))</f>
        <v>0.82</v>
      </c>
      <c r="CX84" s="22" t="str">
        <f>IF(B84&gt;CW84,"no","")</f>
        <v/>
      </c>
    </row>
    <row r="85" spans="1:102" x14ac:dyDescent="0.2">
      <c r="A85">
        <v>58800</v>
      </c>
      <c r="B85" s="1">
        <v>0.75270000000000004</v>
      </c>
      <c r="C85" s="5">
        <v>374</v>
      </c>
      <c r="D85" s="1">
        <v>0</v>
      </c>
      <c r="E85" s="1">
        <v>0</v>
      </c>
      <c r="G85">
        <f t="shared" si="78"/>
        <v>37400</v>
      </c>
      <c r="H85" s="9">
        <f t="shared" si="79"/>
        <v>11399.520000045597</v>
      </c>
      <c r="I85" s="5">
        <f t="shared" si="103"/>
        <v>21250.212220575228</v>
      </c>
      <c r="J85" s="5">
        <v>0</v>
      </c>
      <c r="K85" s="6">
        <f t="shared" si="104"/>
        <v>216.65</v>
      </c>
      <c r="L85" s="5">
        <f t="shared" si="105"/>
        <v>295.06801842964956</v>
      </c>
      <c r="M85" s="10">
        <f t="shared" si="106"/>
        <v>1.4216130796413355E-5</v>
      </c>
      <c r="O85" s="6">
        <f>B85*L85</f>
        <v>222.09769747199724</v>
      </c>
      <c r="P85" s="1">
        <f>IF(E85=0,0,E85/9.80665)</f>
        <v>0</v>
      </c>
      <c r="Q85" s="7">
        <f>IF(D85=0,0,(D85/O85))</f>
        <v>0</v>
      </c>
      <c r="R85" s="19">
        <f t="shared" si="107"/>
        <v>1</v>
      </c>
      <c r="S85" s="19">
        <f t="shared" si="108"/>
        <v>0</v>
      </c>
      <c r="T85" s="19">
        <f t="shared" si="109"/>
        <v>0</v>
      </c>
      <c r="U85" s="19"/>
      <c r="V85" s="19"/>
      <c r="W85" s="6"/>
      <c r="X85" s="1">
        <f>(A85*9.80665*R85)/(0.7*I85*B85*B85*$N$5)</f>
        <v>0.55899952668588648</v>
      </c>
      <c r="Y85" s="10">
        <f>(SQRT($N$5)*B85)*(I85/M85)*SQRT(1.4/(287.05*K85))</f>
        <v>59060943.632054828</v>
      </c>
      <c r="Z85" s="10">
        <f t="shared" si="110"/>
        <v>2.1966973523988428E-3</v>
      </c>
      <c r="AA85" s="3">
        <f t="shared" si="80"/>
        <v>1.8441906069759904E-2</v>
      </c>
      <c r="AB85" s="3">
        <f t="shared" si="81"/>
        <v>7.6667707493804985E-3</v>
      </c>
      <c r="AC85" s="3">
        <f>IF($E$5="no",(1/((1+0.03+$Q$5)+AB85*3.141593*$S$5)),(1.075/((1+0.03+$Q$5)+AB85*3.141593*$S$5)))</f>
        <v>0.77781447921510483</v>
      </c>
      <c r="AD85" s="3">
        <f t="shared" si="82"/>
        <v>4.3077125535943513E-2</v>
      </c>
      <c r="AE85" s="1">
        <f t="shared" si="83"/>
        <v>0.68152938271296282</v>
      </c>
      <c r="AF85" s="1">
        <f>B85*$R$5/AE85</f>
        <v>1.0009514971784734</v>
      </c>
      <c r="AG85" s="8">
        <f t="shared" si="111"/>
        <v>9.5006274840708403E-4</v>
      </c>
      <c r="AH85" s="8"/>
      <c r="AI85" s="3">
        <f t="shared" si="112"/>
        <v>3.2852729287858956E-2</v>
      </c>
      <c r="AJ85" s="1">
        <f t="shared" si="113"/>
        <v>17.015314672576388</v>
      </c>
      <c r="AK85" s="1"/>
      <c r="AL85" s="1">
        <f t="shared" si="84"/>
        <v>5.8770585160655406E-2</v>
      </c>
      <c r="AM85" s="8">
        <f>AL85*(A85*9.80665)/(0.7*I85*B85*B85*$N$5)</f>
        <v>3.2852729287858956E-2</v>
      </c>
      <c r="AN85" s="1">
        <f>B85/$AI$5</f>
        <v>1</v>
      </c>
      <c r="AO85" s="1">
        <f>IF(B85&lt;0.4,1.3*(0.4-B85),0)</f>
        <v>0</v>
      </c>
      <c r="AP85" s="1">
        <f t="shared" si="114"/>
        <v>-0.43</v>
      </c>
      <c r="AQ85" s="1">
        <f t="shared" si="115"/>
        <v>0</v>
      </c>
      <c r="AR85" s="1">
        <f t="shared" si="85"/>
        <v>1</v>
      </c>
      <c r="AS85" s="1">
        <f t="shared" si="86"/>
        <v>0.30867472713898642</v>
      </c>
      <c r="AT85" s="1">
        <f>(((1+0.55*B85)/(1+0.55*$AI$5))/(AN85^2))</f>
        <v>1</v>
      </c>
      <c r="AU85" s="1">
        <f t="shared" si="87"/>
        <v>3.465254791234245E-2</v>
      </c>
      <c r="AV85" s="8">
        <f t="shared" si="88"/>
        <v>0.94806100177579034</v>
      </c>
      <c r="AW85" s="8">
        <f t="shared" si="116"/>
        <v>0.99884000639929016</v>
      </c>
      <c r="AX85" s="8"/>
      <c r="AY85" s="4"/>
      <c r="AZ85" s="1">
        <f t="shared" si="89"/>
        <v>0.30831666643080435</v>
      </c>
      <c r="BA85" s="14">
        <f t="shared" si="117"/>
        <v>0.30060874977003421</v>
      </c>
      <c r="BB85" s="1"/>
      <c r="BC85" s="14">
        <f t="shared" si="118"/>
        <v>5.1149524706669069</v>
      </c>
      <c r="BD85" s="14">
        <f>IF(0.7*(AM85*(B85^3)/BA85)*(I85*L85*$N$5/43000000)&lt;$AH$5*(1-0.178*(C85/100)+0.0085*((C85/100)^2)),$AH$5*(1-0.178*(C85/100)+0.0085*((C85/100)^2)),0.7*(AM85*(B85^3)/BA85)*(I85*L85*$N$5/43000000))</f>
        <v>0.5822801694724532</v>
      </c>
      <c r="BE85" s="4">
        <f t="shared" si="90"/>
        <v>2.6217298787884502E-3</v>
      </c>
      <c r="BF85" s="4"/>
      <c r="BG85" s="1">
        <f t="shared" si="91"/>
        <v>0.97922440071031602</v>
      </c>
      <c r="BH85" s="1">
        <f>0.6*$AN$5*(1-0.53*((B85-$AM$5)^2))*(1+((2/3)*AV85))</f>
        <v>5.465015446087925</v>
      </c>
      <c r="BJ85" s="1">
        <f t="shared" si="92"/>
        <v>5.9875200464035769</v>
      </c>
      <c r="BK85" s="5">
        <f t="shared" si="93"/>
        <v>23.519268086194057</v>
      </c>
      <c r="BL85" s="5">
        <f t="shared" si="119"/>
        <v>1.5634876018770147</v>
      </c>
      <c r="BM85" s="5">
        <f t="shared" si="120"/>
        <v>2.8565159360454069</v>
      </c>
      <c r="BN85" s="1">
        <f t="shared" si="121"/>
        <v>1.1601482998444008</v>
      </c>
      <c r="BO85" s="1">
        <f t="shared" si="94"/>
        <v>3.1905105206699078</v>
      </c>
      <c r="BP85" s="9">
        <f>(1+0.2*B85*B85)*K85</f>
        <v>241.19892737570004</v>
      </c>
      <c r="BQ85" s="9">
        <f t="shared" si="53"/>
        <v>688.98857980574587</v>
      </c>
      <c r="BR85" s="9">
        <f t="shared" si="54"/>
        <v>1318.1558636880404</v>
      </c>
      <c r="BS85" s="9">
        <f t="shared" si="122"/>
        <v>769.54771536646797</v>
      </c>
      <c r="BU85" s="9">
        <f>((1+0.2*B85*B85)^3.5)*I85</f>
        <v>30940.095317372547</v>
      </c>
      <c r="BV85" s="9">
        <f t="shared" si="123"/>
        <v>727688.39638168225</v>
      </c>
      <c r="BX85" s="3">
        <f t="shared" si="95"/>
        <v>2.1264996592467212E-2</v>
      </c>
      <c r="BZ85" s="3">
        <f t="shared" si="96"/>
        <v>3.6688497458200763E-2</v>
      </c>
      <c r="CA85"/>
      <c r="CB85" s="14">
        <f>$CB$12*($AO$5/K85)/($AN$5*(1-0.53*((B85-$AM$5)^2))*(1+0.2*B85*B85))</f>
        <v>1.3629629629629629</v>
      </c>
      <c r="CC85" s="1">
        <f t="shared" si="124"/>
        <v>1.9074074074074074</v>
      </c>
      <c r="CD85" s="3">
        <f t="shared" si="97"/>
        <v>6.6096526573542078E-2</v>
      </c>
      <c r="CE85" s="6">
        <f t="shared" si="98"/>
        <v>1.8015599207584314</v>
      </c>
      <c r="CF85" s="22" t="str">
        <f t="shared" si="125"/>
        <v/>
      </c>
      <c r="CG85" s="22"/>
      <c r="CH85" s="7">
        <f t="shared" si="99"/>
        <v>1.041253020249693</v>
      </c>
      <c r="CI85" s="23">
        <f>CH85*(0.7*I85*B85*B85)*$N$5/9.80665</f>
        <v>109527.24406345686</v>
      </c>
      <c r="CK85" s="1">
        <f>B85/$AI$5</f>
        <v>1</v>
      </c>
      <c r="CL85" s="14">
        <f t="shared" si="126"/>
        <v>1.4515200000000053</v>
      </c>
      <c r="CM85" s="1">
        <f t="shared" si="100"/>
        <v>0.8569758833631711</v>
      </c>
      <c r="CN85" s="14">
        <f>SQRT((A85*9.80665)/(0.7*I85*$N$5*CM85))</f>
        <v>0.60791566687156295</v>
      </c>
      <c r="CO85" s="1">
        <f t="shared" si="101"/>
        <v>0.65229318296812844</v>
      </c>
      <c r="CP85" s="29" t="str">
        <f>IF(C85&lt;30,"",IF(CO85&gt;1,"no",""))</f>
        <v/>
      </c>
      <c r="CQ85" s="22"/>
      <c r="CR85" s="23">
        <f>CM85*(0.7*I85*B85*B85)*$N$5/9.80665</f>
        <v>90143.514504386621</v>
      </c>
      <c r="CS85"/>
      <c r="CT85" s="6">
        <f t="shared" si="102"/>
        <v>0.91219512195121966</v>
      </c>
      <c r="CU85" s="22" t="str">
        <f t="shared" si="127"/>
        <v/>
      </c>
      <c r="CV85" s="5"/>
      <c r="CW85" s="6">
        <f>IF(C85&lt;100,SQRT(2)*SQRT(SQRT(1+(2/1.4)*(10510/I85))-1),IF(I85&gt;$AW$5,SQRT(2)*SQRT(SQRT(1+(2/1.4)*($AV$5/I85))-1),$AS$5))</f>
        <v>0.82</v>
      </c>
      <c r="CX85" s="22" t="str">
        <f>IF(B85&gt;CW85,"no","")</f>
        <v/>
      </c>
    </row>
    <row r="86" spans="1:102" x14ac:dyDescent="0.2">
      <c r="A86">
        <v>58800</v>
      </c>
      <c r="B86" s="1">
        <v>0.75270000000000004</v>
      </c>
      <c r="C86" s="5">
        <v>374.5</v>
      </c>
      <c r="D86" s="1">
        <v>0</v>
      </c>
      <c r="E86" s="1">
        <v>0</v>
      </c>
      <c r="G86">
        <f t="shared" si="78"/>
        <v>37450</v>
      </c>
      <c r="H86" s="9">
        <f t="shared" si="79"/>
        <v>11414.760000045659</v>
      </c>
      <c r="I86" s="5">
        <f t="shared" si="103"/>
        <v>21199.205595400683</v>
      </c>
      <c r="J86" s="5">
        <v>0</v>
      </c>
      <c r="K86" s="6">
        <f t="shared" si="104"/>
        <v>216.65</v>
      </c>
      <c r="L86" s="5">
        <f t="shared" si="105"/>
        <v>295.06801842964956</v>
      </c>
      <c r="M86" s="10">
        <f t="shared" si="106"/>
        <v>1.4216130796413355E-5</v>
      </c>
      <c r="O86" s="6">
        <f>B86*L86</f>
        <v>222.09769747199724</v>
      </c>
      <c r="P86" s="1">
        <f>IF(E86=0,0,E86/9.80665)</f>
        <v>0</v>
      </c>
      <c r="Q86" s="7">
        <f>IF(D86=0,0,(D86/O86))</f>
        <v>0</v>
      </c>
      <c r="R86" s="19">
        <f t="shared" si="107"/>
        <v>1</v>
      </c>
      <c r="S86" s="19">
        <f t="shared" si="108"/>
        <v>0</v>
      </c>
      <c r="T86" s="19">
        <f t="shared" si="109"/>
        <v>0</v>
      </c>
      <c r="U86" s="19"/>
      <c r="V86" s="19"/>
      <c r="W86" s="6"/>
      <c r="X86" s="1">
        <f>(A86*9.80665*R86)/(0.7*I86*B86*B86*$N$5)</f>
        <v>0.56034451478943137</v>
      </c>
      <c r="Y86" s="10">
        <f>(SQRT($N$5)*B86)*(I86/M86)*SQRT(1.4/(287.05*K86))</f>
        <v>58919180.369503587</v>
      </c>
      <c r="Z86" s="10">
        <f t="shared" si="110"/>
        <v>2.1974365429012995E-3</v>
      </c>
      <c r="AA86" s="3">
        <f t="shared" si="80"/>
        <v>1.8448111786628037E-2</v>
      </c>
      <c r="AB86" s="3">
        <f t="shared" si="81"/>
        <v>7.6693506241712912E-3</v>
      </c>
      <c r="AC86" s="3">
        <f>IF($E$5="no",(1/((1+0.03+$Q$5)+AB86*3.141593*$S$5)),(1.075/((1+0.03+$Q$5)+AB86*3.141593*$S$5)))</f>
        <v>0.77776789895306009</v>
      </c>
      <c r="AD86" s="3">
        <f t="shared" si="82"/>
        <v>4.3079705410734311E-2</v>
      </c>
      <c r="AE86" s="1">
        <f t="shared" si="83"/>
        <v>0.68136563809302964</v>
      </c>
      <c r="AF86" s="1">
        <f>B86*$R$5/AE86</f>
        <v>1.0011920441231885</v>
      </c>
      <c r="AG86" s="8">
        <f t="shared" si="111"/>
        <v>9.5352728827344626E-4</v>
      </c>
      <c r="AH86" s="8"/>
      <c r="AI86" s="3">
        <f t="shared" si="112"/>
        <v>3.2928062391971907E-2</v>
      </c>
      <c r="AJ86" s="1">
        <f t="shared" si="113"/>
        <v>17.017233146583422</v>
      </c>
      <c r="AK86" s="1"/>
      <c r="AL86" s="1">
        <f t="shared" si="84"/>
        <v>5.8763959533619695E-2</v>
      </c>
      <c r="AM86" s="8">
        <f>AL86*(A86*9.80665)/(0.7*I86*B86*B86*$N$5)</f>
        <v>3.2928062391971907E-2</v>
      </c>
      <c r="AN86" s="1">
        <f>B86/$AI$5</f>
        <v>1</v>
      </c>
      <c r="AO86" s="1">
        <f>IF(B86&lt;0.4,1.3*(0.4-B86),0)</f>
        <v>0</v>
      </c>
      <c r="AP86" s="1">
        <f t="shared" si="114"/>
        <v>-0.43</v>
      </c>
      <c r="AQ86" s="1">
        <f t="shared" si="115"/>
        <v>0</v>
      </c>
      <c r="AR86" s="1">
        <f t="shared" si="85"/>
        <v>1</v>
      </c>
      <c r="AS86" s="1">
        <f t="shared" si="86"/>
        <v>0.30867472713898642</v>
      </c>
      <c r="AT86" s="1">
        <f>(((1+0.55*B86)/(1+0.55*$AI$5))/(AN86^2))</f>
        <v>1</v>
      </c>
      <c r="AU86" s="1">
        <f t="shared" si="87"/>
        <v>3.465254791234245E-2</v>
      </c>
      <c r="AV86" s="8">
        <f t="shared" si="88"/>
        <v>0.95023495747750431</v>
      </c>
      <c r="AW86" s="8">
        <f t="shared" si="116"/>
        <v>0.99893507943337567</v>
      </c>
      <c r="AX86" s="8"/>
      <c r="AY86" s="4"/>
      <c r="AZ86" s="1">
        <f t="shared" si="89"/>
        <v>0.30834601307365894</v>
      </c>
      <c r="BA86" s="14">
        <f t="shared" si="117"/>
        <v>0.30063736274681746</v>
      </c>
      <c r="BB86" s="1"/>
      <c r="BC86" s="14">
        <f t="shared" si="118"/>
        <v>5.1160160944365662</v>
      </c>
      <c r="BD86" s="14">
        <f>IF(0.7*(AM86*(B86^3)/BA86)*(I86*L86*$N$5/43000000)&lt;$AH$5*(1-0.178*(C86/100)+0.0085*((C86/100)^2)),$AH$5*(1-0.178*(C86/100)+0.0085*((C86/100)^2)),0.7*(AM86*(B86^3)/BA86)*(I86*L86*$N$5/43000000))</f>
        <v>0.5821591129672703</v>
      </c>
      <c r="BE86" s="4">
        <f t="shared" si="90"/>
        <v>2.6211848190847214E-3</v>
      </c>
      <c r="BF86" s="4"/>
      <c r="BG86" s="1">
        <f t="shared" si="91"/>
        <v>0.9800939829910017</v>
      </c>
      <c r="BH86" s="1">
        <f>0.6*$AN$5*(1-0.53*((B86-$AM$5)^2))*(1+((2/3)*AV86))</f>
        <v>5.4698685528856554</v>
      </c>
      <c r="BJ86" s="1">
        <f t="shared" si="92"/>
        <v>5.9815173921484135</v>
      </c>
      <c r="BK86" s="5">
        <f t="shared" si="93"/>
        <v>23.571517504867785</v>
      </c>
      <c r="BL86" s="5">
        <f t="shared" si="119"/>
        <v>1.5648760283844401</v>
      </c>
      <c r="BM86" s="5">
        <f t="shared" si="120"/>
        <v>2.8586236423074163</v>
      </c>
      <c r="BN86" s="1">
        <f t="shared" si="121"/>
        <v>1.1604906344686337</v>
      </c>
      <c r="BO86" s="1">
        <f t="shared" si="94"/>
        <v>3.192783207647091</v>
      </c>
      <c r="BP86" s="9">
        <f>(1+0.2*B86*B86)*K86</f>
        <v>241.19892737570004</v>
      </c>
      <c r="BQ86" s="9">
        <f t="shared" si="53"/>
        <v>689.49695629536564</v>
      </c>
      <c r="BR86" s="9">
        <f t="shared" si="54"/>
        <v>1319.3264278420927</v>
      </c>
      <c r="BS86" s="9">
        <f t="shared" si="122"/>
        <v>770.09588502762529</v>
      </c>
      <c r="BU86" s="9">
        <f>((1+0.2*B86*B86)^3.5)*I86</f>
        <v>30865.830184001792</v>
      </c>
      <c r="BV86" s="9">
        <f t="shared" si="123"/>
        <v>727554.45648447471</v>
      </c>
      <c r="BX86" s="3">
        <f t="shared" si="95"/>
        <v>2.1288684449043093E-2</v>
      </c>
      <c r="BZ86" s="3">
        <f t="shared" si="96"/>
        <v>3.6773059662359026E-2</v>
      </c>
      <c r="CA86"/>
      <c r="CB86" s="14">
        <f>$CB$12*($AO$5/K86)/($AN$5*(1-0.53*((B86-$AM$5)^2))*(1+0.2*B86*B86))</f>
        <v>1.3629629629629629</v>
      </c>
      <c r="CC86" s="1">
        <f t="shared" si="124"/>
        <v>1.9074074074074074</v>
      </c>
      <c r="CD86" s="3">
        <f t="shared" si="97"/>
        <v>6.6096526573542078E-2</v>
      </c>
      <c r="CE86" s="6">
        <f t="shared" si="98"/>
        <v>1.7974171086230992</v>
      </c>
      <c r="CF86" s="22" t="str">
        <f t="shared" si="125"/>
        <v/>
      </c>
      <c r="CG86" s="22"/>
      <c r="CH86" s="7">
        <f t="shared" si="99"/>
        <v>1.0411140425593266</v>
      </c>
      <c r="CI86" s="23">
        <f>CH86*(0.7*I86*B86*B86)*$N$5/9.80665</f>
        <v>109249.76347005555</v>
      </c>
      <c r="CK86" s="1">
        <f>B86/$AI$5</f>
        <v>1</v>
      </c>
      <c r="CL86" s="14">
        <f t="shared" si="126"/>
        <v>1.4515200000000053</v>
      </c>
      <c r="CM86" s="1">
        <f t="shared" si="100"/>
        <v>0.8569758833631711</v>
      </c>
      <c r="CN86" s="14">
        <f>SQRT((A86*9.80665)/(0.7*I86*$N$5*CM86))</f>
        <v>0.6086465691968167</v>
      </c>
      <c r="CO86" s="1">
        <f t="shared" si="101"/>
        <v>0.65386264149042261</v>
      </c>
      <c r="CP86" s="29" t="str">
        <f>IF(C86&lt;30,"",IF(CO86&gt;1,"no",""))</f>
        <v/>
      </c>
      <c r="CQ86" s="22"/>
      <c r="CR86" s="23">
        <f>CM86*(0.7*I86*B86*B86)*$N$5/9.80665</f>
        <v>89927.144126128012</v>
      </c>
      <c r="CS86"/>
      <c r="CT86" s="6">
        <f t="shared" si="102"/>
        <v>0.91341463414634161</v>
      </c>
      <c r="CU86" s="22" t="str">
        <f t="shared" si="127"/>
        <v/>
      </c>
      <c r="CV86" s="5"/>
      <c r="CW86" s="6">
        <f>IF(C86&lt;100,SQRT(2)*SQRT(SQRT(1+(2/1.4)*(10510/I86))-1),IF(I86&gt;$AW$5,SQRT(2)*SQRT(SQRT(1+(2/1.4)*($AV$5/I86))-1),$AS$5))</f>
        <v>0.82</v>
      </c>
      <c r="CX86" s="22" t="str">
        <f>IF(B86&gt;CW86,"no","")</f>
        <v/>
      </c>
    </row>
    <row r="87" spans="1:102" x14ac:dyDescent="0.2">
      <c r="A87">
        <v>58800</v>
      </c>
      <c r="B87" s="1">
        <v>0.75270000000000004</v>
      </c>
      <c r="C87" s="5">
        <v>375</v>
      </c>
      <c r="D87" s="1">
        <v>0</v>
      </c>
      <c r="E87" s="1">
        <v>0</v>
      </c>
      <c r="G87">
        <f t="shared" si="78"/>
        <v>37500</v>
      </c>
      <c r="H87" s="9">
        <f t="shared" si="79"/>
        <v>11430.00000004572</v>
      </c>
      <c r="I87" s="5">
        <f t="shared" si="103"/>
        <v>21148.321400806344</v>
      </c>
      <c r="J87" s="5">
        <v>0</v>
      </c>
      <c r="K87" s="6">
        <f t="shared" si="104"/>
        <v>216.65</v>
      </c>
      <c r="L87" s="5">
        <f t="shared" si="105"/>
        <v>295.06801842964956</v>
      </c>
      <c r="M87" s="10">
        <f t="shared" si="106"/>
        <v>1.4216130796413355E-5</v>
      </c>
      <c r="O87" s="6">
        <f>B87*L87</f>
        <v>222.09769747199724</v>
      </c>
      <c r="P87" s="1">
        <f>IF(E87=0,0,E87/9.80665)</f>
        <v>0</v>
      </c>
      <c r="Q87" s="7">
        <f>IF(D87=0,0,(D87/O87))</f>
        <v>0</v>
      </c>
      <c r="R87" s="19">
        <f t="shared" si="107"/>
        <v>1</v>
      </c>
      <c r="S87" s="19">
        <f t="shared" si="108"/>
        <v>0</v>
      </c>
      <c r="T87" s="19">
        <f t="shared" si="109"/>
        <v>0</v>
      </c>
      <c r="U87" s="19"/>
      <c r="V87" s="19"/>
      <c r="W87" s="6"/>
      <c r="X87" s="1">
        <f>(A87*9.80665*R87)/(0.7*I87*B87*B87*$N$5)</f>
        <v>0.56169273901914873</v>
      </c>
      <c r="Y87" s="10">
        <f>(SQRT($N$5)*B87)*(I87/M87)*SQRT(1.4/(287.05*K87))</f>
        <v>58777757.379582152</v>
      </c>
      <c r="Z87" s="10">
        <f t="shared" si="110"/>
        <v>2.1981759821419812E-3</v>
      </c>
      <c r="AA87" s="3">
        <f t="shared" si="80"/>
        <v>1.845431959172511E-2</v>
      </c>
      <c r="AB87" s="3">
        <f t="shared" si="81"/>
        <v>7.6719313670921187E-3</v>
      </c>
      <c r="AC87" s="3">
        <f>IF($E$5="no",(1/((1+0.03+$Q$5)+AB87*3.141593*$S$5)),(1.075/((1+0.03+$Q$5)+AB87*3.141593*$S$5)))</f>
        <v>0.77772130859821875</v>
      </c>
      <c r="AD87" s="3">
        <f t="shared" si="82"/>
        <v>4.3082286153655142E-2</v>
      </c>
      <c r="AE87" s="1">
        <f t="shared" si="83"/>
        <v>0.68120149949321762</v>
      </c>
      <c r="AF87" s="1">
        <f>B87*$R$5/AE87</f>
        <v>1.0014332859002362</v>
      </c>
      <c r="AG87" s="8">
        <f t="shared" si="111"/>
        <v>9.5700816846855537E-4</v>
      </c>
      <c r="AH87" s="8"/>
      <c r="AI87" s="3">
        <f t="shared" si="112"/>
        <v>3.3003734459294651E-2</v>
      </c>
      <c r="AJ87" s="1">
        <f t="shared" si="113"/>
        <v>17.019066121499545</v>
      </c>
      <c r="AK87" s="1"/>
      <c r="AL87" s="1">
        <f t="shared" si="84"/>
        <v>5.8757630580959883E-2</v>
      </c>
      <c r="AM87" s="8">
        <f>AL87*(A87*9.80665)/(0.7*I87*B87*B87*$N$5)</f>
        <v>3.3003734459294651E-2</v>
      </c>
      <c r="AN87" s="1">
        <f>B87/$AI$5</f>
        <v>1</v>
      </c>
      <c r="AO87" s="1">
        <f>IF(B87&lt;0.4,1.3*(0.4-B87),0)</f>
        <v>0</v>
      </c>
      <c r="AP87" s="1">
        <f t="shared" si="114"/>
        <v>-0.43</v>
      </c>
      <c r="AQ87" s="1">
        <f t="shared" si="115"/>
        <v>0</v>
      </c>
      <c r="AR87" s="1">
        <f t="shared" si="85"/>
        <v>1</v>
      </c>
      <c r="AS87" s="1">
        <f t="shared" si="86"/>
        <v>0.30867472713898642</v>
      </c>
      <c r="AT87" s="1">
        <f>(((1+0.55*B87)/(1+0.55*$AI$5))/(AN87^2))</f>
        <v>1</v>
      </c>
      <c r="AU87" s="1">
        <f t="shared" si="87"/>
        <v>3.465254791234245E-2</v>
      </c>
      <c r="AV87" s="8">
        <f t="shared" si="88"/>
        <v>0.95241869494795417</v>
      </c>
      <c r="AW87" s="8">
        <f t="shared" si="116"/>
        <v>0.99902648834610397</v>
      </c>
      <c r="AX87" s="8"/>
      <c r="AY87" s="4"/>
      <c r="AZ87" s="1">
        <f t="shared" si="89"/>
        <v>0.30837422869485343</v>
      </c>
      <c r="BA87" s="14">
        <f t="shared" si="117"/>
        <v>0.30066487297748207</v>
      </c>
      <c r="BB87" s="1"/>
      <c r="BC87" s="14">
        <f t="shared" si="118"/>
        <v>5.1170353536160293</v>
      </c>
      <c r="BD87" s="14">
        <f>IF(0.7*(AM87*(B87^3)/BA87)*(I87*L87*$N$5/43000000)&lt;$AH$5*(1-0.178*(C87/100)+0.0085*((C87/100)^2)),$AH$5*(1-0.178*(C87/100)+0.0085*((C87/100)^2)),0.7*(AM87*(B87^3)/BA87)*(I87*L87*$N$5/43000000))</f>
        <v>0.58204315304540255</v>
      </c>
      <c r="BE87" s="4">
        <f t="shared" si="90"/>
        <v>2.6206627068647947E-3</v>
      </c>
      <c r="BF87" s="4"/>
      <c r="BG87" s="1">
        <f t="shared" si="91"/>
        <v>0.9809674779791816</v>
      </c>
      <c r="BH87" s="1">
        <f>0.6*$AN$5*(1-0.53*((B87-$AM$5)^2))*(1+((2/3)*AV87))</f>
        <v>5.474743496360329</v>
      </c>
      <c r="BJ87" s="1">
        <f t="shared" si="92"/>
        <v>5.9754991386394263</v>
      </c>
      <c r="BK87" s="5">
        <f t="shared" si="93"/>
        <v>23.624072074764314</v>
      </c>
      <c r="BL87" s="5">
        <f t="shared" si="119"/>
        <v>1.5662707021520978</v>
      </c>
      <c r="BM87" s="5">
        <f t="shared" si="120"/>
        <v>2.8607405140123916</v>
      </c>
      <c r="BN87" s="1">
        <f t="shared" si="121"/>
        <v>1.1608343053479364</v>
      </c>
      <c r="BO87" s="1">
        <f t="shared" si="94"/>
        <v>3.1950692231142925</v>
      </c>
      <c r="BP87" s="9">
        <f>(1+0.2*B87*B87)*K87</f>
        <v>241.19892737570004</v>
      </c>
      <c r="BQ87" s="9">
        <f t="shared" si="53"/>
        <v>690.00754347999759</v>
      </c>
      <c r="BR87" s="9">
        <f t="shared" si="54"/>
        <v>1320.5022589792011</v>
      </c>
      <c r="BS87" s="9">
        <f t="shared" si="122"/>
        <v>770.64726950627858</v>
      </c>
      <c r="BU87" s="9">
        <f>((1+0.2*B87*B87)^3.5)*I87</f>
        <v>30791.743308324745</v>
      </c>
      <c r="BV87" s="9">
        <f t="shared" si="123"/>
        <v>727426.36322350556</v>
      </c>
      <c r="BX87" s="3">
        <f t="shared" si="95"/>
        <v>2.1312482431216067E-2</v>
      </c>
      <c r="BZ87" s="3">
        <f t="shared" si="96"/>
        <v>3.6857983035523643E-2</v>
      </c>
      <c r="CA87"/>
      <c r="CB87" s="14">
        <f>$CB$12*($AO$5/K87)/($AN$5*(1-0.53*((B87-$AM$5)^2))*(1+0.2*B87*B87))</f>
        <v>1.3629629629629629</v>
      </c>
      <c r="CC87" s="1">
        <f t="shared" si="124"/>
        <v>1.9074074074074074</v>
      </c>
      <c r="CD87" s="3">
        <f t="shared" si="97"/>
        <v>6.6096526573542078E-2</v>
      </c>
      <c r="CE87" s="6">
        <f t="shared" si="98"/>
        <v>1.7932757337762728</v>
      </c>
      <c r="CF87" s="22" t="str">
        <f t="shared" si="125"/>
        <v/>
      </c>
      <c r="CG87" s="22"/>
      <c r="CH87" s="7">
        <f t="shared" si="99"/>
        <v>1.040974847016684</v>
      </c>
      <c r="CI87" s="23">
        <f>CH87*(0.7*I87*B87*B87)*$N$5/9.80665</f>
        <v>108972.96110942666</v>
      </c>
      <c r="CK87" s="1">
        <f>B87/$AI$5</f>
        <v>1</v>
      </c>
      <c r="CL87" s="14">
        <f t="shared" si="126"/>
        <v>1.4515200000000053</v>
      </c>
      <c r="CM87" s="1">
        <f t="shared" si="100"/>
        <v>0.8569758833631711</v>
      </c>
      <c r="CN87" s="14">
        <f>SQRT((A87*9.80665)/(0.7*I87*$N$5*CM87))</f>
        <v>0.60937835029233134</v>
      </c>
      <c r="CO87" s="1">
        <f t="shared" si="101"/>
        <v>0.65543587622886856</v>
      </c>
      <c r="CP87" s="29" t="str">
        <f>IF(C87&lt;30,"",IF(CO87&gt;1,"no",""))</f>
        <v/>
      </c>
      <c r="CQ87" s="22"/>
      <c r="CR87" s="23">
        <f>CM87*(0.7*I87*B87*B87)*$N$5/9.80665</f>
        <v>89711.293099048955</v>
      </c>
      <c r="CS87"/>
      <c r="CT87" s="6">
        <f t="shared" si="102"/>
        <v>0.91463414634146356</v>
      </c>
      <c r="CU87" s="22" t="str">
        <f t="shared" si="127"/>
        <v/>
      </c>
      <c r="CV87" s="5"/>
      <c r="CW87" s="6">
        <f>IF(C87&lt;100,SQRT(2)*SQRT(SQRT(1+(2/1.4)*(10510/I87))-1),IF(I87&gt;$AW$5,SQRT(2)*SQRT(SQRT(1+(2/1.4)*($AV$5/I87))-1),$AS$5))</f>
        <v>0.82</v>
      </c>
      <c r="CX87" s="22" t="str">
        <f>IF(B87&gt;CW87,"no","")</f>
        <v/>
      </c>
    </row>
    <row r="88" spans="1:102" x14ac:dyDescent="0.2">
      <c r="A88">
        <v>58800</v>
      </c>
      <c r="B88" s="1">
        <v>0.75270000000000004</v>
      </c>
      <c r="C88" s="5">
        <v>375.5</v>
      </c>
      <c r="D88" s="1">
        <v>0</v>
      </c>
      <c r="E88" s="1">
        <v>0</v>
      </c>
      <c r="G88">
        <f t="shared" si="78"/>
        <v>37550</v>
      </c>
      <c r="H88" s="9">
        <f t="shared" si="79"/>
        <v>11445.24000004578</v>
      </c>
      <c r="I88" s="5">
        <f t="shared" si="103"/>
        <v>21097.559342923589</v>
      </c>
      <c r="J88" s="5">
        <v>0</v>
      </c>
      <c r="K88" s="6">
        <f t="shared" si="104"/>
        <v>216.65</v>
      </c>
      <c r="L88" s="5">
        <f t="shared" si="105"/>
        <v>295.06801842964956</v>
      </c>
      <c r="M88" s="10">
        <f t="shared" si="106"/>
        <v>1.4216130796413355E-5</v>
      </c>
      <c r="O88" s="6">
        <f>B88*L88</f>
        <v>222.09769747199724</v>
      </c>
      <c r="P88" s="1">
        <f>IF(E88=0,0,E88/9.80665)</f>
        <v>0</v>
      </c>
      <c r="Q88" s="7">
        <f>IF(D88=0,0,(D88/O88))</f>
        <v>0</v>
      </c>
      <c r="R88" s="19">
        <f t="shared" si="107"/>
        <v>1</v>
      </c>
      <c r="S88" s="19">
        <f t="shared" si="108"/>
        <v>0</v>
      </c>
      <c r="T88" s="19">
        <f t="shared" si="109"/>
        <v>0</v>
      </c>
      <c r="U88" s="19"/>
      <c r="V88" s="19"/>
      <c r="W88" s="6"/>
      <c r="X88" s="1">
        <f>(A88*9.80665*R88)/(0.7*I88*B88*B88*$N$5)</f>
        <v>0.56304420716136183</v>
      </c>
      <c r="Y88" s="10">
        <f>(SQRT($N$5)*B88)*(I88/M88)*SQRT(1.4/(287.05*K88))</f>
        <v>58636673.845538296</v>
      </c>
      <c r="Z88" s="10">
        <f t="shared" si="110"/>
        <v>2.1989156702045876E-3</v>
      </c>
      <c r="AA88" s="3">
        <f t="shared" si="80"/>
        <v>1.8460529485753805E-2</v>
      </c>
      <c r="AB88" s="3">
        <f t="shared" si="81"/>
        <v>7.6745129784351034E-3</v>
      </c>
      <c r="AC88" s="3">
        <f>IF($E$5="no",(1/((1+0.03+$Q$5)+AB88*3.141593*$S$5)),(1.075/((1+0.03+$Q$5)+AB88*3.141593*$S$5)))</f>
        <v>0.77767470814993833</v>
      </c>
      <c r="AD88" s="3">
        <f t="shared" si="82"/>
        <v>4.3084867764998119E-2</v>
      </c>
      <c r="AE88" s="1">
        <f t="shared" si="83"/>
        <v>0.68103696596558616</v>
      </c>
      <c r="AF88" s="1">
        <f>B88*$R$5/AE88</f>
        <v>1.0016752248249217</v>
      </c>
      <c r="AG88" s="8">
        <f t="shared" si="111"/>
        <v>9.6050547729039282E-4</v>
      </c>
      <c r="AH88" s="8"/>
      <c r="AI88" s="3">
        <f t="shared" si="112"/>
        <v>3.3079747144671427E-2</v>
      </c>
      <c r="AJ88" s="1">
        <f t="shared" si="113"/>
        <v>17.020813511631044</v>
      </c>
      <c r="AK88" s="1"/>
      <c r="AL88" s="1">
        <f t="shared" si="84"/>
        <v>5.875159840724755E-2</v>
      </c>
      <c r="AM88" s="8">
        <f>AL88*(A88*9.80665)/(0.7*I88*B88*B88*$N$5)</f>
        <v>3.3079747144671427E-2</v>
      </c>
      <c r="AN88" s="1">
        <f>B88/$AI$5</f>
        <v>1</v>
      </c>
      <c r="AO88" s="1">
        <f>IF(B88&lt;0.4,1.3*(0.4-B88),0)</f>
        <v>0</v>
      </c>
      <c r="AP88" s="1">
        <f t="shared" si="114"/>
        <v>-0.43</v>
      </c>
      <c r="AQ88" s="1">
        <f t="shared" si="115"/>
        <v>0</v>
      </c>
      <c r="AR88" s="1">
        <f t="shared" si="85"/>
        <v>1</v>
      </c>
      <c r="AS88" s="1">
        <f t="shared" si="86"/>
        <v>0.30867472713898642</v>
      </c>
      <c r="AT88" s="1">
        <f>(((1+0.55*B88)/(1+0.55*$AI$5))/(AN88^2))</f>
        <v>1</v>
      </c>
      <c r="AU88" s="1">
        <f t="shared" si="87"/>
        <v>3.465254791234245E-2</v>
      </c>
      <c r="AV88" s="8">
        <f t="shared" si="88"/>
        <v>0.95461226194248106</v>
      </c>
      <c r="AW88" s="8">
        <f t="shared" si="116"/>
        <v>0.99911417989062945</v>
      </c>
      <c r="AX88" s="8"/>
      <c r="AY88" s="4"/>
      <c r="AZ88" s="1">
        <f t="shared" si="89"/>
        <v>0.30840129685843226</v>
      </c>
      <c r="BA88" s="14">
        <f t="shared" si="117"/>
        <v>0.30069126443697147</v>
      </c>
      <c r="BB88" s="1"/>
      <c r="BC88" s="14">
        <f t="shared" si="118"/>
        <v>5.1180099365582272</v>
      </c>
      <c r="BD88" s="14">
        <f>IF(0.7*(AM88*(B88^3)/BA88)*(I88*L88*$N$5/43000000)&lt;$AH$5*(1-0.178*(C88/100)+0.0085*((C88/100)^2)),$AH$5*(1-0.178*(C88/100)+0.0085*((C88/100)^2)),0.7*(AM88*(B88^3)/BA88)*(I88*L88*$N$5/43000000))</f>
        <v>0.58193231908149612</v>
      </c>
      <c r="BE88" s="4">
        <f t="shared" si="90"/>
        <v>2.6201636743886907E-3</v>
      </c>
      <c r="BF88" s="4"/>
      <c r="BG88" s="1">
        <f t="shared" si="91"/>
        <v>0.98184490477699227</v>
      </c>
      <c r="BH88" s="1">
        <f>0.6*$AN$5*(1-0.53*((B88-$AM$5)^2))*(1+((2/3)*AV88))</f>
        <v>5.4796403831202678</v>
      </c>
      <c r="BJ88" s="1">
        <f t="shared" si="92"/>
        <v>5.9694652762560043</v>
      </c>
      <c r="BK88" s="5">
        <f t="shared" si="93"/>
        <v>23.676933922483585</v>
      </c>
      <c r="BL88" s="5">
        <f t="shared" si="119"/>
        <v>1.5676716536795889</v>
      </c>
      <c r="BM88" s="5">
        <f t="shared" si="120"/>
        <v>2.8628665934910789</v>
      </c>
      <c r="BN88" s="1">
        <f t="shared" si="121"/>
        <v>1.1611793175481715</v>
      </c>
      <c r="BO88" s="1">
        <f t="shared" si="94"/>
        <v>3.1973686487876662</v>
      </c>
      <c r="BP88" s="9">
        <f>(1+0.2*B88*B88)*K88</f>
        <v>241.19892737570004</v>
      </c>
      <c r="BQ88" s="9">
        <f t="shared" si="53"/>
        <v>690.52035156977252</v>
      </c>
      <c r="BR88" s="9">
        <f t="shared" si="54"/>
        <v>1321.6833828131787</v>
      </c>
      <c r="BS88" s="9">
        <f t="shared" si="122"/>
        <v>771.20188851227647</v>
      </c>
      <c r="BU88" s="9">
        <f>((1+0.2*B88*B88)^3.5)*I88</f>
        <v>30717.834262471653</v>
      </c>
      <c r="BV88" s="9">
        <f t="shared" si="123"/>
        <v>727304.13207434362</v>
      </c>
      <c r="BX88" s="3">
        <f t="shared" si="95"/>
        <v>2.1336391105639986E-2</v>
      </c>
      <c r="BZ88" s="3">
        <f t="shared" si="96"/>
        <v>3.6943269285967396E-2</v>
      </c>
      <c r="CA88"/>
      <c r="CB88" s="14">
        <f>$CB$12*($AO$5/K88)/($AN$5*(1-0.53*((B88-$AM$5)^2))*(1+0.2*B88*B88))</f>
        <v>1.3629629629629629</v>
      </c>
      <c r="CC88" s="1">
        <f t="shared" si="124"/>
        <v>1.9074074074074074</v>
      </c>
      <c r="CD88" s="3">
        <f t="shared" si="97"/>
        <v>6.6096526573542078E-2</v>
      </c>
      <c r="CE88" s="6">
        <f t="shared" si="98"/>
        <v>1.7891358250377778</v>
      </c>
      <c r="CF88" s="22" t="str">
        <f t="shared" si="125"/>
        <v/>
      </c>
      <c r="CG88" s="22"/>
      <c r="CH88" s="7">
        <f t="shared" si="99"/>
        <v>1.0408354325827365</v>
      </c>
      <c r="CI88" s="23">
        <f>CH88*(0.7*I88*B88*B88)*$N$5/9.80665</f>
        <v>108696.83527056588</v>
      </c>
      <c r="CK88" s="1">
        <f>B88/$AI$5</f>
        <v>1</v>
      </c>
      <c r="CL88" s="14">
        <f t="shared" si="126"/>
        <v>1.4515200000000053</v>
      </c>
      <c r="CM88" s="1">
        <f t="shared" si="100"/>
        <v>0.8569758833631711</v>
      </c>
      <c r="CN88" s="14">
        <f>SQRT((A88*9.80665)/(0.7*I88*$N$5*CM88))</f>
        <v>0.6101110112146596</v>
      </c>
      <c r="CO88" s="1">
        <f t="shared" si="101"/>
        <v>0.65701289626928017</v>
      </c>
      <c r="CP88" s="29" t="str">
        <f>IF(C88&lt;30,"",IF(CO88&gt;1,"no",""))</f>
        <v/>
      </c>
      <c r="CQ88" s="22"/>
      <c r="CR88" s="23">
        <f>CM88*(0.7*I88*B88*B88)*$N$5/9.80665</f>
        <v>89495.960176557201</v>
      </c>
      <c r="CS88"/>
      <c r="CT88" s="6">
        <f t="shared" si="102"/>
        <v>0.91585365853658551</v>
      </c>
      <c r="CU88" s="22" t="str">
        <f t="shared" si="127"/>
        <v/>
      </c>
      <c r="CV88" s="5"/>
      <c r="CW88" s="6">
        <f>IF(C88&lt;100,SQRT(2)*SQRT(SQRT(1+(2/1.4)*(10510/I88))-1),IF(I88&gt;$AW$5,SQRT(2)*SQRT(SQRT(1+(2/1.4)*($AV$5/I88))-1),$AS$5))</f>
        <v>0.82</v>
      </c>
      <c r="CX88" s="22" t="str">
        <f>IF(B88&gt;CW88,"no","")</f>
        <v/>
      </c>
    </row>
    <row r="89" spans="1:102" x14ac:dyDescent="0.2">
      <c r="A89">
        <v>58800</v>
      </c>
      <c r="B89" s="1">
        <v>0.75270000000000004</v>
      </c>
      <c r="C89" s="5">
        <v>376</v>
      </c>
      <c r="D89" s="1">
        <v>0</v>
      </c>
      <c r="E89" s="1">
        <v>0</v>
      </c>
      <c r="G89">
        <f t="shared" si="78"/>
        <v>37600</v>
      </c>
      <c r="H89" s="9">
        <f t="shared" si="79"/>
        <v>11460.480000045842</v>
      </c>
      <c r="I89" s="5">
        <f t="shared" si="103"/>
        <v>21046.919128589147</v>
      </c>
      <c r="J89" s="5">
        <v>0</v>
      </c>
      <c r="K89" s="6">
        <f t="shared" si="104"/>
        <v>216.65</v>
      </c>
      <c r="L89" s="5">
        <f t="shared" si="105"/>
        <v>295.06801842964956</v>
      </c>
      <c r="M89" s="10">
        <f t="shared" si="106"/>
        <v>1.4216130796413355E-5</v>
      </c>
      <c r="O89" s="6">
        <f>B89*L89</f>
        <v>222.09769747199724</v>
      </c>
      <c r="P89" s="1">
        <f>IF(E89=0,0,E89/9.80665)</f>
        <v>0</v>
      </c>
      <c r="Q89" s="7">
        <f>IF(D89=0,0,(D89/O89))</f>
        <v>0</v>
      </c>
      <c r="R89" s="19">
        <f t="shared" si="107"/>
        <v>1</v>
      </c>
      <c r="S89" s="19">
        <f t="shared" si="108"/>
        <v>0</v>
      </c>
      <c r="T89" s="19">
        <f t="shared" si="109"/>
        <v>0</v>
      </c>
      <c r="U89" s="19"/>
      <c r="V89" s="19"/>
      <c r="W89" s="6"/>
      <c r="X89" s="1">
        <f>(A89*9.80665*R89)/(0.7*I89*B89*B89*$N$5)</f>
        <v>0.56439892702112926</v>
      </c>
      <c r="Y89" s="10">
        <f>(SQRT($N$5)*B89)*(I89/M89)*SQRT(1.4/(287.05*K89))</f>
        <v>58495928.952580206</v>
      </c>
      <c r="Z89" s="10">
        <f t="shared" si="110"/>
        <v>2.199655607172848E-3</v>
      </c>
      <c r="AA89" s="3">
        <f t="shared" si="80"/>
        <v>1.8466741469417052E-2</v>
      </c>
      <c r="AB89" s="3">
        <f t="shared" si="81"/>
        <v>7.6770954584924715E-3</v>
      </c>
      <c r="AC89" s="3">
        <f>IF($E$5="no",(1/((1+0.03+$Q$5)+AB89*3.141593*$S$5)),(1.075/((1+0.03+$Q$5)+AB89*3.141593*$S$5)))</f>
        <v>0.77762809760757634</v>
      </c>
      <c r="AD89" s="3">
        <f t="shared" si="82"/>
        <v>4.3087450245055489E-2</v>
      </c>
      <c r="AE89" s="1">
        <f t="shared" si="83"/>
        <v>0.68087203655991424</v>
      </c>
      <c r="AF89" s="1">
        <f>B89*$R$5/AE89</f>
        <v>1.0019178632219123</v>
      </c>
      <c r="AG89" s="8">
        <f t="shared" si="111"/>
        <v>9.6401930357534866E-4</v>
      </c>
      <c r="AH89" s="8"/>
      <c r="AI89" s="3">
        <f t="shared" si="112"/>
        <v>3.3156102111140305E-2</v>
      </c>
      <c r="AJ89" s="1">
        <f t="shared" si="113"/>
        <v>17.022475233344565</v>
      </c>
      <c r="AK89" s="1"/>
      <c r="AL89" s="1">
        <f t="shared" si="84"/>
        <v>5.8745863118728162E-2</v>
      </c>
      <c r="AM89" s="8">
        <f>AL89*(A89*9.80665)/(0.7*I89*B89*B89*$N$5)</f>
        <v>3.3156102111140305E-2</v>
      </c>
      <c r="AN89" s="1">
        <f>B89/$AI$5</f>
        <v>1</v>
      </c>
      <c r="AO89" s="1">
        <f>IF(B89&lt;0.4,1.3*(0.4-B89),0)</f>
        <v>0</v>
      </c>
      <c r="AP89" s="1">
        <f t="shared" si="114"/>
        <v>-0.43</v>
      </c>
      <c r="AQ89" s="1">
        <f t="shared" si="115"/>
        <v>0</v>
      </c>
      <c r="AR89" s="1">
        <f t="shared" si="85"/>
        <v>1</v>
      </c>
      <c r="AS89" s="1">
        <f t="shared" si="86"/>
        <v>0.30867472713898642</v>
      </c>
      <c r="AT89" s="1">
        <f>(((1+0.55*B89)/(1+0.55*$AI$5))/(AN89^2))</f>
        <v>1</v>
      </c>
      <c r="AU89" s="1">
        <f t="shared" si="87"/>
        <v>3.465254791234245E-2</v>
      </c>
      <c r="AV89" s="8">
        <f t="shared" si="88"/>
        <v>0.95681570645288261</v>
      </c>
      <c r="AW89" s="8">
        <f t="shared" si="116"/>
        <v>0.99919810022005962</v>
      </c>
      <c r="AX89" s="8"/>
      <c r="AY89" s="4"/>
      <c r="AZ89" s="1">
        <f t="shared" si="89"/>
        <v>0.30842720094322051</v>
      </c>
      <c r="BA89" s="14">
        <f t="shared" si="117"/>
        <v>0.30071652091964002</v>
      </c>
      <c r="BB89" s="1"/>
      <c r="BC89" s="14">
        <f t="shared" si="118"/>
        <v>5.1189395296121152</v>
      </c>
      <c r="BD89" s="14">
        <f>IF(0.7*(AM89*(B89^3)/BA89)*(I89*L89*$N$5/43000000)&lt;$AH$5*(1-0.178*(C89/100)+0.0085*((C89/100)^2)),$AH$5*(1-0.178*(C89/100)+0.0085*((C89/100)^2)),0.7*(AM89*(B89^3)/BA89)*(I89*L89*$N$5/43000000))</f>
        <v>0.58182664089590286</v>
      </c>
      <c r="BE89" s="4">
        <f t="shared" si="90"/>
        <v>2.619687855923231E-3</v>
      </c>
      <c r="BF89" s="4"/>
      <c r="BG89" s="1">
        <f t="shared" si="91"/>
        <v>0.98272628258115291</v>
      </c>
      <c r="BH89" s="1">
        <f>0.6*$AN$5*(1-0.53*((B89-$AM$5)^2))*(1+((2/3)*AV89))</f>
        <v>5.4845593203016563</v>
      </c>
      <c r="BJ89" s="1">
        <f t="shared" si="92"/>
        <v>5.9634157956775828</v>
      </c>
      <c r="BK89" s="5">
        <f t="shared" si="93"/>
        <v>23.730105191597669</v>
      </c>
      <c r="BL89" s="5">
        <f t="shared" si="119"/>
        <v>1.5690789136175309</v>
      </c>
      <c r="BM89" s="5">
        <f t="shared" si="120"/>
        <v>2.8650019232644106</v>
      </c>
      <c r="BN89" s="1">
        <f t="shared" si="121"/>
        <v>1.1615256761495398</v>
      </c>
      <c r="BO89" s="1">
        <f t="shared" si="94"/>
        <v>3.1996815668601863</v>
      </c>
      <c r="BP89" s="9">
        <f>(1+0.2*B89*B89)*K89</f>
        <v>241.19892737570004</v>
      </c>
      <c r="BQ89" s="9">
        <f t="shared" si="53"/>
        <v>691.03539082069346</v>
      </c>
      <c r="BR89" s="9">
        <f t="shared" si="54"/>
        <v>1322.8698251851579</v>
      </c>
      <c r="BS89" s="9">
        <f t="shared" si="122"/>
        <v>771.75976187047615</v>
      </c>
      <c r="BU89" s="9">
        <f>((1+0.2*B89*B89)^3.5)*I89</f>
        <v>30644.10261959974</v>
      </c>
      <c r="BV89" s="9">
        <f t="shared" si="123"/>
        <v>727187.77866521548</v>
      </c>
      <c r="BX89" s="3">
        <f t="shared" si="95"/>
        <v>2.1360411042033973E-2</v>
      </c>
      <c r="BZ89" s="3">
        <f t="shared" si="96"/>
        <v>3.7028920130285463E-2</v>
      </c>
      <c r="CA89"/>
      <c r="CB89" s="14">
        <f>$CB$12*($AO$5/K89)/($AN$5*(1-0.53*((B89-$AM$5)^2))*(1+0.2*B89*B89))</f>
        <v>1.3629629629629629</v>
      </c>
      <c r="CC89" s="1">
        <f t="shared" si="124"/>
        <v>1.9074074074074074</v>
      </c>
      <c r="CD89" s="3">
        <f t="shared" si="97"/>
        <v>6.6096526573542078E-2</v>
      </c>
      <c r="CE89" s="6">
        <f t="shared" si="98"/>
        <v>1.7849974112391844</v>
      </c>
      <c r="CF89" s="22" t="str">
        <f t="shared" si="125"/>
        <v/>
      </c>
      <c r="CG89" s="22"/>
      <c r="CH89" s="7">
        <f t="shared" si="99"/>
        <v>1.0406957982120097</v>
      </c>
      <c r="CI89" s="23">
        <f>CH89*(0.7*I89*B89*B89)*$N$5/9.80665</f>
        <v>108421.38424649293</v>
      </c>
      <c r="CK89" s="1">
        <f>B89/$AI$5</f>
        <v>1</v>
      </c>
      <c r="CL89" s="14">
        <f t="shared" si="126"/>
        <v>1.4515200000000053</v>
      </c>
      <c r="CM89" s="1">
        <f t="shared" si="100"/>
        <v>0.8569758833631711</v>
      </c>
      <c r="CN89" s="14">
        <f>SQRT((A89*9.80665)/(0.7*I89*$N$5*CM89))</f>
        <v>0.61084455302162544</v>
      </c>
      <c r="CO89" s="1">
        <f t="shared" si="101"/>
        <v>0.65859371071933315</v>
      </c>
      <c r="CP89" s="29" t="str">
        <f>IF(C89&lt;30,"",IF(CO89&gt;1,"no",""))</f>
        <v/>
      </c>
      <c r="CQ89" s="22"/>
      <c r="CR89" s="23">
        <f>CM89*(0.7*I89*B89*B89)*$N$5/9.80665</f>
        <v>89281.14411505255</v>
      </c>
      <c r="CS89"/>
      <c r="CT89" s="6">
        <f t="shared" si="102"/>
        <v>0.91707317073170747</v>
      </c>
      <c r="CU89" s="22" t="str">
        <f t="shared" si="127"/>
        <v/>
      </c>
      <c r="CV89" s="5"/>
      <c r="CW89" s="6">
        <f>IF(C89&lt;100,SQRT(2)*SQRT(SQRT(1+(2/1.4)*(10510/I89))-1),IF(I89&gt;$AW$5,SQRT(2)*SQRT(SQRT(1+(2/1.4)*($AV$5/I89))-1),$AS$5))</f>
        <v>0.82</v>
      </c>
      <c r="CX89" s="22" t="str">
        <f>IF(B89&gt;CW89,"no","")</f>
        <v/>
      </c>
    </row>
    <row r="90" spans="1:102" x14ac:dyDescent="0.2">
      <c r="A90">
        <v>58800</v>
      </c>
      <c r="B90" s="1">
        <v>0.75270000000000004</v>
      </c>
      <c r="C90" s="5">
        <v>376.5</v>
      </c>
      <c r="D90" s="1">
        <v>0</v>
      </c>
      <c r="E90" s="1">
        <v>0</v>
      </c>
      <c r="G90">
        <f t="shared" si="78"/>
        <v>37650</v>
      </c>
      <c r="H90" s="9">
        <f t="shared" si="79"/>
        <v>11475.720000045902</v>
      </c>
      <c r="I90" s="5">
        <f t="shared" si="103"/>
        <v>20996.400465343453</v>
      </c>
      <c r="J90" s="5">
        <v>0</v>
      </c>
      <c r="K90" s="6">
        <f t="shared" si="104"/>
        <v>216.65</v>
      </c>
      <c r="L90" s="5">
        <f t="shared" si="105"/>
        <v>295.06801842964956</v>
      </c>
      <c r="M90" s="10">
        <f t="shared" si="106"/>
        <v>1.4216130796413355E-5</v>
      </c>
      <c r="O90" s="6">
        <f>B90*L90</f>
        <v>222.09769747199724</v>
      </c>
      <c r="P90" s="1">
        <f>IF(E90=0,0,E90/9.80665)</f>
        <v>0</v>
      </c>
      <c r="Q90" s="7">
        <f>IF(D90=0,0,(D90/O90))</f>
        <v>0</v>
      </c>
      <c r="R90" s="19">
        <f t="shared" si="107"/>
        <v>1</v>
      </c>
      <c r="S90" s="19">
        <f t="shared" si="108"/>
        <v>0</v>
      </c>
      <c r="T90" s="19">
        <f t="shared" si="109"/>
        <v>0</v>
      </c>
      <c r="U90" s="19"/>
      <c r="V90" s="19"/>
      <c r="W90" s="6"/>
      <c r="X90" s="1">
        <f>(A90*9.80665*R90)/(0.7*I90*B90*B90*$N$5)</f>
        <v>0.56575690642228771</v>
      </c>
      <c r="Y90" s="10">
        <f>(SQRT($N$5)*B90)*(I90/M90)*SQRT(1.4/(287.05*K90))</f>
        <v>58355521.887871847</v>
      </c>
      <c r="Z90" s="10">
        <f t="shared" si="110"/>
        <v>2.2003957931305195E-3</v>
      </c>
      <c r="AA90" s="3">
        <f t="shared" si="80"/>
        <v>1.8472955543418018E-2</v>
      </c>
      <c r="AB90" s="3">
        <f t="shared" si="81"/>
        <v>7.6796788075565474E-3</v>
      </c>
      <c r="AC90" s="3">
        <f>IF($E$5="no",(1/((1+0.03+$Q$5)+AB90*3.141593*$S$5)),(1.075/((1+0.03+$Q$5)+AB90*3.141593*$S$5)))</f>
        <v>0.77758147697049174</v>
      </c>
      <c r="AD90" s="3">
        <f t="shared" si="82"/>
        <v>4.3090033594119566E-2</v>
      </c>
      <c r="AE90" s="1">
        <f t="shared" si="83"/>
        <v>0.68070671032369423</v>
      </c>
      <c r="AF90" s="1">
        <f>B90*$R$5/AE90</f>
        <v>1.002161203425286</v>
      </c>
      <c r="AG90" s="8">
        <f t="shared" si="111"/>
        <v>9.6754973670192814E-4</v>
      </c>
      <c r="AH90" s="8"/>
      <c r="AI90" s="3">
        <f t="shared" si="112"/>
        <v>3.3232801029974252E-2</v>
      </c>
      <c r="AJ90" s="1">
        <f t="shared" si="113"/>
        <v>17.0240512050731</v>
      </c>
      <c r="AK90" s="1"/>
      <c r="AL90" s="1">
        <f t="shared" si="84"/>
        <v>5.8740424823323131E-2</v>
      </c>
      <c r="AM90" s="8">
        <f>AL90*(A90*9.80665)/(0.7*I90*B90*B90*$N$5)</f>
        <v>3.3232801029974252E-2</v>
      </c>
      <c r="AN90" s="1">
        <f>B90/$AI$5</f>
        <v>1</v>
      </c>
      <c r="AO90" s="1">
        <f>IF(B90&lt;0.4,1.3*(0.4-B90),0)</f>
        <v>0</v>
      </c>
      <c r="AP90" s="1">
        <f t="shared" si="114"/>
        <v>-0.43</v>
      </c>
      <c r="AQ90" s="1">
        <f t="shared" si="115"/>
        <v>0</v>
      </c>
      <c r="AR90" s="1">
        <f t="shared" si="85"/>
        <v>1</v>
      </c>
      <c r="AS90" s="1">
        <f t="shared" si="86"/>
        <v>0.30867472713898642</v>
      </c>
      <c r="AT90" s="1">
        <f>(((1+0.55*B90)/(1+0.55*$AI$5))/(AN90^2))</f>
        <v>1</v>
      </c>
      <c r="AU90" s="1">
        <f t="shared" si="87"/>
        <v>3.465254791234245E-2</v>
      </c>
      <c r="AV90" s="8">
        <f t="shared" si="88"/>
        <v>0.95902907670859849</v>
      </c>
      <c r="AW90" s="8">
        <f t="shared" si="116"/>
        <v>0.99927819488119951</v>
      </c>
      <c r="AX90" s="8"/>
      <c r="AY90" s="4"/>
      <c r="AZ90" s="1">
        <f t="shared" si="89"/>
        <v>0.30845192414089317</v>
      </c>
      <c r="BA90" s="14">
        <f t="shared" si="117"/>
        <v>0.30074062603737084</v>
      </c>
      <c r="BB90" s="1"/>
      <c r="BC90" s="14">
        <f t="shared" si="118"/>
        <v>5.1198238171059414</v>
      </c>
      <c r="BD90" s="14">
        <f>IF(0.7*(AM90*(B90^3)/BA90)*(I90*L90*$N$5/43000000)&lt;$AH$5*(1-0.178*(C90/100)+0.0085*((C90/100)^2)),$AH$5*(1-0.178*(C90/100)+0.0085*((C90/100)^2)),0.7*(AM90*(B90^3)/BA90)*(I90*L90*$N$5/43000000))</f>
        <v>0.58172614876170081</v>
      </c>
      <c r="BE90" s="4">
        <f t="shared" si="90"/>
        <v>2.6192353877736471E-3</v>
      </c>
      <c r="BF90" s="4"/>
      <c r="BG90" s="1">
        <f t="shared" si="91"/>
        <v>0.98361163068343938</v>
      </c>
      <c r="BH90" s="1">
        <f>0.6*$AN$5*(1-0.53*((B90-$AM$5)^2))*(1+((2/3)*AV90))</f>
        <v>5.4895004155711877</v>
      </c>
      <c r="BJ90" s="1">
        <f t="shared" si="92"/>
        <v>5.9573506878859188</v>
      </c>
      <c r="BK90" s="5">
        <f t="shared" si="93"/>
        <v>23.783588042802954</v>
      </c>
      <c r="BL90" s="5">
        <f t="shared" si="119"/>
        <v>1.5704925127683138</v>
      </c>
      <c r="BM90" s="5">
        <f t="shared" si="120"/>
        <v>2.8671465460443026</v>
      </c>
      <c r="BN90" s="1">
        <f t="shared" si="121"/>
        <v>1.1618733862465809</v>
      </c>
      <c r="BO90" s="1">
        <f t="shared" si="94"/>
        <v>3.2020080600040268</v>
      </c>
      <c r="BP90" s="9">
        <f>(1+0.2*B90*B90)*K90</f>
        <v>241.19892737570004</v>
      </c>
      <c r="BQ90" s="9">
        <f t="shared" si="53"/>
        <v>691.55267153482896</v>
      </c>
      <c r="BR90" s="9">
        <f t="shared" si="54"/>
        <v>1324.0616120642301</v>
      </c>
      <c r="BS90" s="9">
        <f t="shared" si="122"/>
        <v>772.32090952131739</v>
      </c>
      <c r="BU90" s="9">
        <f>((1+0.2*B90*B90)^3.5)*I90</f>
        <v>30570.547953890822</v>
      </c>
      <c r="BV90" s="9">
        <f t="shared" si="123"/>
        <v>727077.31877809204</v>
      </c>
      <c r="BX90" s="3">
        <f t="shared" si="95"/>
        <v>2.1384542813200208E-2</v>
      </c>
      <c r="BZ90" s="3">
        <f t="shared" si="96"/>
        <v>3.7114937293436762E-2</v>
      </c>
      <c r="CA90"/>
      <c r="CB90" s="14">
        <f>$CB$12*($AO$5/K90)/($AN$5*(1-0.53*((B90-$AM$5)^2))*(1+0.2*B90*B90))</f>
        <v>1.3629629629629629</v>
      </c>
      <c r="CC90" s="1">
        <f t="shared" si="124"/>
        <v>1.9074074074074074</v>
      </c>
      <c r="CD90" s="3">
        <f t="shared" si="97"/>
        <v>6.6096526573542078E-2</v>
      </c>
      <c r="CE90" s="6">
        <f t="shared" si="98"/>
        <v>1.7808605212228201</v>
      </c>
      <c r="CF90" s="22" t="str">
        <f t="shared" si="125"/>
        <v/>
      </c>
      <c r="CG90" s="22"/>
      <c r="CH90" s="7">
        <f t="shared" si="99"/>
        <v>1.0405559428525379</v>
      </c>
      <c r="CI90" s="23">
        <f>CH90*(0.7*I90*B90*B90)*$N$5/9.80665</f>
        <v>108146.60633424112</v>
      </c>
      <c r="CK90" s="1">
        <f>B90/$AI$5</f>
        <v>1</v>
      </c>
      <c r="CL90" s="14">
        <f t="shared" si="126"/>
        <v>1.4515200000000053</v>
      </c>
      <c r="CM90" s="1">
        <f t="shared" si="100"/>
        <v>0.8569758833631711</v>
      </c>
      <c r="CN90" s="14">
        <f>SQRT((A90*9.80665)/(0.7*I90*$N$5*CM90))</f>
        <v>0.61157897677232365</v>
      </c>
      <c r="CO90" s="1">
        <f t="shared" si="101"/>
        <v>0.66017832870861548</v>
      </c>
      <c r="CP90" s="29" t="str">
        <f>IF(C90&lt;30,"",IF(CO90&gt;1,"no",""))</f>
        <v/>
      </c>
      <c r="CQ90" s="22"/>
      <c r="CR90" s="23">
        <f>CM90*(0.7*I90*B90*B90)*$N$5/9.80665</f>
        <v>89066.843673919968</v>
      </c>
      <c r="CS90"/>
      <c r="CT90" s="6">
        <f t="shared" si="102"/>
        <v>0.91829268292682942</v>
      </c>
      <c r="CU90" s="22" t="str">
        <f t="shared" si="127"/>
        <v/>
      </c>
      <c r="CV90" s="5"/>
      <c r="CW90" s="6">
        <f>IF(C90&lt;100,SQRT(2)*SQRT(SQRT(1+(2/1.4)*(10510/I90))-1),IF(I90&gt;$AW$5,SQRT(2)*SQRT(SQRT(1+(2/1.4)*($AV$5/I90))-1),$AS$5))</f>
        <v>0.82</v>
      </c>
      <c r="CX90" s="22" t="str">
        <f>IF(B90&gt;CW90,"no","")</f>
        <v/>
      </c>
    </row>
    <row r="91" spans="1:102" x14ac:dyDescent="0.2">
      <c r="A91">
        <v>58800</v>
      </c>
      <c r="B91" s="1">
        <v>0.75270000000000004</v>
      </c>
      <c r="C91" s="5">
        <v>377</v>
      </c>
      <c r="D91" s="1">
        <v>0</v>
      </c>
      <c r="E91" s="1">
        <v>0</v>
      </c>
      <c r="G91">
        <f t="shared" si="78"/>
        <v>37700</v>
      </c>
      <c r="H91" s="9">
        <f t="shared" si="79"/>
        <v>11490.960000045963</v>
      </c>
      <c r="I91" s="5">
        <f t="shared" si="103"/>
        <v>20946.003061428892</v>
      </c>
      <c r="J91" s="5">
        <v>0</v>
      </c>
      <c r="K91" s="6">
        <f t="shared" si="104"/>
        <v>216.65</v>
      </c>
      <c r="L91" s="5">
        <f t="shared" si="105"/>
        <v>295.06801842964956</v>
      </c>
      <c r="M91" s="10">
        <f t="shared" si="106"/>
        <v>1.4216130796413355E-5</v>
      </c>
      <c r="O91" s="6">
        <f>B91*L91</f>
        <v>222.09769747199724</v>
      </c>
      <c r="P91" s="1">
        <f>IF(E91=0,0,E91/9.80665)</f>
        <v>0</v>
      </c>
      <c r="Q91" s="7">
        <f>IF(D91=0,0,(D91/O91))</f>
        <v>0</v>
      </c>
      <c r="R91" s="19">
        <f t="shared" si="107"/>
        <v>1</v>
      </c>
      <c r="S91" s="19">
        <f t="shared" si="108"/>
        <v>0</v>
      </c>
      <c r="T91" s="19">
        <f t="shared" si="109"/>
        <v>0</v>
      </c>
      <c r="U91" s="19"/>
      <c r="V91" s="19"/>
      <c r="W91" s="6"/>
      <c r="X91" s="1">
        <f>(A91*9.80665*R91)/(0.7*I91*B91*B91*$N$5)</f>
        <v>0.56711815320750003</v>
      </c>
      <c r="Y91" s="10">
        <f>(SQRT($N$5)*B91)*(I91/M91)*SQRT(1.4/(287.05*K91))</f>
        <v>58215451.840528145</v>
      </c>
      <c r="Z91" s="10">
        <f t="shared" si="110"/>
        <v>2.2011362281613863E-3</v>
      </c>
      <c r="AA91" s="3">
        <f t="shared" si="80"/>
        <v>1.8479171708460095E-2</v>
      </c>
      <c r="AB91" s="3">
        <f t="shared" si="81"/>
        <v>7.6822630259197498E-3</v>
      </c>
      <c r="AC91" s="3">
        <f>IF($E$5="no",(1/((1+0.03+$Q$5)+AB91*3.141593*$S$5)),(1.075/((1+0.03+$Q$5)+AB91*3.141593*$S$5)))</f>
        <v>0.77753484623804436</v>
      </c>
      <c r="AD91" s="3">
        <f t="shared" si="82"/>
        <v>4.3092617812482761E-2</v>
      </c>
      <c r="AE91" s="1">
        <f t="shared" si="83"/>
        <v>0.68054098630212678</v>
      </c>
      <c r="AF91" s="1">
        <f>B91*$R$5/AE91</f>
        <v>1.0024052477785776</v>
      </c>
      <c r="AG91" s="8">
        <f t="shared" si="111"/>
        <v>9.7109686659445577E-4</v>
      </c>
      <c r="AH91" s="8"/>
      <c r="AI91" s="3">
        <f t="shared" si="112"/>
        <v>3.3309845580722551E-2</v>
      </c>
      <c r="AJ91" s="1">
        <f t="shared" si="113"/>
        <v>17.025541347321916</v>
      </c>
      <c r="AK91" s="1"/>
      <c r="AL91" s="1">
        <f t="shared" si="84"/>
        <v>5.8735283630631692E-2</v>
      </c>
      <c r="AM91" s="8">
        <f>AL91*(A91*9.80665)/(0.7*I91*B91*B91*$N$5)</f>
        <v>3.3309845580722558E-2</v>
      </c>
      <c r="AN91" s="1">
        <f>B91/$AI$5</f>
        <v>1</v>
      </c>
      <c r="AO91" s="1">
        <f>IF(B91&lt;0.4,1.3*(0.4-B91),0)</f>
        <v>0</v>
      </c>
      <c r="AP91" s="1">
        <f t="shared" si="114"/>
        <v>-0.43</v>
      </c>
      <c r="AQ91" s="1">
        <f t="shared" si="115"/>
        <v>0</v>
      </c>
      <c r="AR91" s="1">
        <f t="shared" si="85"/>
        <v>1</v>
      </c>
      <c r="AS91" s="1">
        <f t="shared" si="86"/>
        <v>0.30867472713898642</v>
      </c>
      <c r="AT91" s="1">
        <f>(((1+0.55*B91)/(1+0.55*$AI$5))/(AN91^2))</f>
        <v>1</v>
      </c>
      <c r="AU91" s="1">
        <f t="shared" si="87"/>
        <v>3.465254791234245E-2</v>
      </c>
      <c r="AV91" s="8">
        <f t="shared" si="88"/>
        <v>0.96125242117790555</v>
      </c>
      <c r="AW91" s="8">
        <f t="shared" si="116"/>
        <v>0.99935440880823301</v>
      </c>
      <c r="AX91" s="8"/>
      <c r="AY91" s="4"/>
      <c r="AZ91" s="1">
        <f t="shared" si="89"/>
        <v>0.30847544945402439</v>
      </c>
      <c r="BA91" s="14">
        <f t="shared" si="117"/>
        <v>0.30076356321767378</v>
      </c>
      <c r="BB91" s="1"/>
      <c r="BC91" s="14">
        <f t="shared" si="118"/>
        <v>5.120662481330374</v>
      </c>
      <c r="BD91" s="14">
        <f>IF(0.7*(AM91*(B91^3)/BA91)*(I91*L91*$N$5/43000000)&lt;$AH$5*(1-0.178*(C91/100)+0.0085*((C91/100)^2)),$AH$5*(1-0.178*(C91/100)+0.0085*((C91/100)^2)),0.7*(AM91*(B91^3)/BA91)*(I91*L91*$N$5/43000000))</f>
        <v>0.58163087341184883</v>
      </c>
      <c r="BE91" s="4">
        <f t="shared" si="90"/>
        <v>2.6188064083157939E-3</v>
      </c>
      <c r="BF91" s="4"/>
      <c r="BG91" s="1">
        <f t="shared" si="91"/>
        <v>0.9845009684711622</v>
      </c>
      <c r="BH91" s="1">
        <f>0.6*$AN$5*(1-0.53*((B91-$AM$5)^2))*(1+((2/3)*AV91))</f>
        <v>5.4944637771287326</v>
      </c>
      <c r="BJ91" s="1">
        <f t="shared" si="92"/>
        <v>5.951269944167322</v>
      </c>
      <c r="BK91" s="5">
        <f t="shared" si="93"/>
        <v>23.837384654074395</v>
      </c>
      <c r="BL91" s="5">
        <f t="shared" si="119"/>
        <v>1.5719124820868653</v>
      </c>
      <c r="BM91" s="5">
        <f t="shared" si="120"/>
        <v>2.8693005047344777</v>
      </c>
      <c r="BN91" s="1">
        <f t="shared" si="121"/>
        <v>1.1622224529481782</v>
      </c>
      <c r="BO91" s="1">
        <f t="shared" si="94"/>
        <v>3.2043482113729143</v>
      </c>
      <c r="BP91" s="9">
        <f>(1+0.2*B91*B91)*K91</f>
        <v>241.19892737570004</v>
      </c>
      <c r="BQ91" s="9">
        <f t="shared" si="53"/>
        <v>692.07220406051078</v>
      </c>
      <c r="BR91" s="9">
        <f t="shared" si="54"/>
        <v>1325.2587695480877</v>
      </c>
      <c r="BS91" s="9">
        <f t="shared" si="122"/>
        <v>772.88535152138991</v>
      </c>
      <c r="BU91" s="9">
        <f>((1+0.2*B91*B91)^3.5)*I91</f>
        <v>30497.16984054874</v>
      </c>
      <c r="BV91" s="9">
        <f t="shared" si="123"/>
        <v>726972.768349797</v>
      </c>
      <c r="BX91" s="3">
        <f t="shared" si="95"/>
        <v>2.1408786995041652E-2</v>
      </c>
      <c r="BZ91" s="3">
        <f t="shared" si="96"/>
        <v>3.7201322508785724E-2</v>
      </c>
      <c r="CA91"/>
      <c r="CB91" s="14">
        <f>$CB$12*($AO$5/K91)/($AN$5*(1-0.53*((B91-$AM$5)^2))*(1+0.2*B91*B91))</f>
        <v>1.3629629629629629</v>
      </c>
      <c r="CC91" s="1">
        <f t="shared" si="124"/>
        <v>1.9074074074074074</v>
      </c>
      <c r="CD91" s="3">
        <f t="shared" si="97"/>
        <v>6.6096526573542078E-2</v>
      </c>
      <c r="CE91" s="6">
        <f t="shared" si="98"/>
        <v>1.7767251838407696</v>
      </c>
      <c r="CF91" s="22" t="str">
        <f t="shared" si="125"/>
        <v/>
      </c>
      <c r="CG91" s="22"/>
      <c r="CH91" s="7">
        <f t="shared" si="99"/>
        <v>1.0404158654458173</v>
      </c>
      <c r="CI91" s="23">
        <f>CH91*(0.7*I91*B91*B91)*$N$5/9.80665</f>
        <v>107872.49983484572</v>
      </c>
      <c r="CK91" s="1">
        <f>B91/$AI$5</f>
        <v>1</v>
      </c>
      <c r="CL91" s="14">
        <f t="shared" si="126"/>
        <v>1.4515200000000053</v>
      </c>
      <c r="CM91" s="1">
        <f t="shared" si="100"/>
        <v>0.8569758833631711</v>
      </c>
      <c r="CN91" s="14">
        <f>SQRT((A91*9.80665)/(0.7*I91*$N$5*CM91))</f>
        <v>0.61231428352712347</v>
      </c>
      <c r="CO91" s="1">
        <f t="shared" si="101"/>
        <v>0.66176675938868335</v>
      </c>
      <c r="CP91" s="29" t="str">
        <f>IF(C91&lt;30,"",IF(CO91&gt;1,"no",""))</f>
        <v/>
      </c>
      <c r="CQ91" s="22"/>
      <c r="CR91" s="23">
        <f>CM91*(0.7*I91*B91*B91)*$N$5/9.80665</f>
        <v>88853.057615522062</v>
      </c>
      <c r="CS91"/>
      <c r="CT91" s="6">
        <f t="shared" si="102"/>
        <v>0.91951219512195137</v>
      </c>
      <c r="CU91" s="22" t="str">
        <f t="shared" si="127"/>
        <v/>
      </c>
      <c r="CV91" s="5"/>
      <c r="CW91" s="6">
        <f>IF(C91&lt;100,SQRT(2)*SQRT(SQRT(1+(2/1.4)*(10510/I91))-1),IF(I91&gt;$AW$5,SQRT(2)*SQRT(SQRT(1+(2/1.4)*($AV$5/I91))-1),$AS$5))</f>
        <v>0.82</v>
      </c>
      <c r="CX91" s="22" t="str">
        <f>IF(B91&gt;CW91,"no","")</f>
        <v/>
      </c>
    </row>
    <row r="92" spans="1:102" x14ac:dyDescent="0.2">
      <c r="A92">
        <v>58800</v>
      </c>
      <c r="B92" s="1">
        <v>0.75270000000000004</v>
      </c>
      <c r="C92" s="5">
        <v>377.5</v>
      </c>
      <c r="D92" s="1">
        <v>0</v>
      </c>
      <c r="E92" s="1">
        <v>0</v>
      </c>
      <c r="G92">
        <f t="shared" si="78"/>
        <v>37750</v>
      </c>
      <c r="H92" s="9">
        <f t="shared" si="79"/>
        <v>11506.200000046025</v>
      </c>
      <c r="I92" s="5">
        <f t="shared" si="103"/>
        <v>20895.726625788182</v>
      </c>
      <c r="J92" s="5">
        <v>0</v>
      </c>
      <c r="K92" s="6">
        <f t="shared" si="104"/>
        <v>216.65</v>
      </c>
      <c r="L92" s="5">
        <f t="shared" si="105"/>
        <v>295.06801842964956</v>
      </c>
      <c r="M92" s="10">
        <f t="shared" si="106"/>
        <v>1.4216130796413355E-5</v>
      </c>
      <c r="O92" s="6">
        <f>B92*L92</f>
        <v>222.09769747199724</v>
      </c>
      <c r="P92" s="1">
        <f>IF(E92=0,0,E92/9.80665)</f>
        <v>0</v>
      </c>
      <c r="Q92" s="7">
        <f>IF(D92=0,0,(D92/O92))</f>
        <v>0</v>
      </c>
      <c r="R92" s="19">
        <f t="shared" si="107"/>
        <v>1</v>
      </c>
      <c r="S92" s="19">
        <f t="shared" si="108"/>
        <v>0</v>
      </c>
      <c r="T92" s="19">
        <f t="shared" si="109"/>
        <v>0</v>
      </c>
      <c r="U92" s="19"/>
      <c r="V92" s="19"/>
      <c r="W92" s="6"/>
      <c r="X92" s="1">
        <f>(A92*9.80665*R92)/(0.7*I92*B92*B92*$N$5)</f>
        <v>0.56848267523829776</v>
      </c>
      <c r="Y92" s="10">
        <f>(SQRT($N$5)*B92)*(I92/M92)*SQRT(1.4/(287.05*K92))</f>
        <v>58075718.001610443</v>
      </c>
      <c r="Z92" s="10">
        <f t="shared" si="110"/>
        <v>2.2018769123492614E-3</v>
      </c>
      <c r="AA92" s="3">
        <f t="shared" si="80"/>
        <v>1.8485389965246918E-2</v>
      </c>
      <c r="AB92" s="3">
        <f t="shared" si="81"/>
        <v>7.6848481138745966E-3</v>
      </c>
      <c r="AC92" s="3">
        <f>IF($E$5="no",(1/((1+0.03+$Q$5)+AB92*3.141593*$S$5)),(1.075/((1+0.03+$Q$5)+AB92*3.141593*$S$5)))</f>
        <v>0.77748820540959462</v>
      </c>
      <c r="AD92" s="3">
        <f t="shared" si="82"/>
        <v>4.3095202900437612E-2</v>
      </c>
      <c r="AE92" s="1">
        <f t="shared" si="83"/>
        <v>0.68037486353811538</v>
      </c>
      <c r="AF92" s="1">
        <f>B92*$R$5/AE92</f>
        <v>1.0026499986348256</v>
      </c>
      <c r="AG92" s="8">
        <f t="shared" si="111"/>
        <v>9.746607837268019E-4</v>
      </c>
      <c r="AH92" s="8"/>
      <c r="AI92" s="3">
        <f t="shared" si="112"/>
        <v>3.3387237451252286E-2</v>
      </c>
      <c r="AJ92" s="1">
        <f t="shared" si="113"/>
        <v>17.026945582674291</v>
      </c>
      <c r="AK92" s="1"/>
      <c r="AL92" s="1">
        <f t="shared" si="84"/>
        <v>5.8730439651933024E-2</v>
      </c>
      <c r="AM92" s="8">
        <f>AL92*(A92*9.80665)/(0.7*I92*B92*B92*$N$5)</f>
        <v>3.3387237451252293E-2</v>
      </c>
      <c r="AN92" s="1">
        <f>B92/$AI$5</f>
        <v>1</v>
      </c>
      <c r="AO92" s="1">
        <f>IF(B92&lt;0.4,1.3*(0.4-B92),0)</f>
        <v>0</v>
      </c>
      <c r="AP92" s="1">
        <f t="shared" si="114"/>
        <v>-0.43</v>
      </c>
      <c r="AQ92" s="1">
        <f t="shared" si="115"/>
        <v>0</v>
      </c>
      <c r="AR92" s="1">
        <f t="shared" si="85"/>
        <v>1</v>
      </c>
      <c r="AS92" s="1">
        <f t="shared" si="86"/>
        <v>0.30867472713898642</v>
      </c>
      <c r="AT92" s="1">
        <f>(((1+0.55*B92)/(1+0.55*$AI$5))/(AN92^2))</f>
        <v>1</v>
      </c>
      <c r="AU92" s="1">
        <f t="shared" si="87"/>
        <v>3.465254791234245E-2</v>
      </c>
      <c r="AV92" s="8">
        <f t="shared" si="88"/>
        <v>0.9634857885691146</v>
      </c>
      <c r="AW92" s="8">
        <f t="shared" si="116"/>
        <v>0.99942668631633969</v>
      </c>
      <c r="AX92" s="8"/>
      <c r="AY92" s="4"/>
      <c r="AZ92" s="1">
        <f t="shared" si="89"/>
        <v>0.30849775969411752</v>
      </c>
      <c r="BA92" s="14">
        <f t="shared" si="117"/>
        <v>0.30078531570176459</v>
      </c>
      <c r="BB92" s="1"/>
      <c r="BC92" s="14">
        <f t="shared" si="118"/>
        <v>5.1214552025214521</v>
      </c>
      <c r="BD92" s="14">
        <f>IF(0.7*(AM92*(B92^3)/BA92)*(I92*L92*$N$5/43000000)&lt;$AH$5*(1-0.178*(C92/100)+0.0085*((C92/100)^2)),$AH$5*(1-0.178*(C92/100)+0.0085*((C92/100)^2)),0.7*(AM92*(B92^3)/BA92)*(I92*L92*$N$5/43000000))</f>
        <v>0.58154084604647971</v>
      </c>
      <c r="BE92" s="4">
        <f t="shared" si="90"/>
        <v>2.6184010580289881E-3</v>
      </c>
      <c r="BF92" s="4"/>
      <c r="BG92" s="1">
        <f t="shared" si="91"/>
        <v>0.98539431542764566</v>
      </c>
      <c r="BH92" s="1">
        <f>0.6*$AN$5*(1-0.53*((B92-$AM$5)^2))*(1+((2/3)*AV92))</f>
        <v>5.4994495137100072</v>
      </c>
      <c r="BJ92" s="1">
        <f t="shared" si="92"/>
        <v>5.9451735561149412</v>
      </c>
      <c r="BK92" s="5">
        <f t="shared" si="93"/>
        <v>23.891497220820803</v>
      </c>
      <c r="BL92" s="5">
        <f t="shared" si="119"/>
        <v>1.5733388526814127</v>
      </c>
      <c r="BM92" s="5">
        <f t="shared" si="120"/>
        <v>2.8714638424312673</v>
      </c>
      <c r="BN92" s="1">
        <f t="shared" si="121"/>
        <v>1.162572881377558</v>
      </c>
      <c r="BO92" s="1">
        <f t="shared" si="94"/>
        <v>3.2067021046045179</v>
      </c>
      <c r="BP92" s="9">
        <f>(1+0.2*B92*B92)*K92</f>
        <v>241.19892737570004</v>
      </c>
      <c r="BQ92" s="9">
        <f t="shared" si="53"/>
        <v>692.59399879252783</v>
      </c>
      <c r="BR92" s="9">
        <f t="shared" si="54"/>
        <v>1326.4613238636689</v>
      </c>
      <c r="BS92" s="9">
        <f t="shared" si="122"/>
        <v>773.45310804400958</v>
      </c>
      <c r="BU92" s="9">
        <f>((1+0.2*B92*B92)^3.5)*I92</f>
        <v>30423.967855797022</v>
      </c>
      <c r="BV92" s="9">
        <f t="shared" si="123"/>
        <v>726874.14347311598</v>
      </c>
      <c r="BX92" s="3">
        <f t="shared" si="95"/>
        <v>2.143314416658007E-2</v>
      </c>
      <c r="BZ92" s="3">
        <f t="shared" si="96"/>
        <v>3.7288077518144024E-2</v>
      </c>
      <c r="CA92"/>
      <c r="CB92" s="14">
        <f>$CB$12*($AO$5/K92)/($AN$5*(1-0.53*((B92-$AM$5)^2))*(1+0.2*B92*B92))</f>
        <v>1.3629629629629629</v>
      </c>
      <c r="CC92" s="1">
        <f t="shared" si="124"/>
        <v>1.9074074074074074</v>
      </c>
      <c r="CD92" s="3">
        <f t="shared" si="97"/>
        <v>6.6096526573542078E-2</v>
      </c>
      <c r="CE92" s="6">
        <f t="shared" si="98"/>
        <v>1.7725914279538852</v>
      </c>
      <c r="CF92" s="22" t="str">
        <f t="shared" si="125"/>
        <v/>
      </c>
      <c r="CG92" s="22"/>
      <c r="CH92" s="7">
        <f t="shared" si="99"/>
        <v>1.0402755649267605</v>
      </c>
      <c r="CI92" s="23">
        <f>CH92*(0.7*I92*B92*B92)*$N$5/9.80665</f>
        <v>107599.06305333388</v>
      </c>
      <c r="CK92" s="1">
        <f>B92/$AI$5</f>
        <v>1</v>
      </c>
      <c r="CL92" s="14">
        <f t="shared" si="126"/>
        <v>1.4515200000000053</v>
      </c>
      <c r="CM92" s="1">
        <f t="shared" si="100"/>
        <v>0.8569758833631711</v>
      </c>
      <c r="CN92" s="14">
        <f>SQRT((A92*9.80665)/(0.7*I92*$N$5*CM92))</f>
        <v>0.61305047434766802</v>
      </c>
      <c r="CO92" s="1">
        <f t="shared" si="101"/>
        <v>0.66335901193311053</v>
      </c>
      <c r="CP92" s="29" t="str">
        <f>IF(C92&lt;30,"",IF(CO92&gt;1,"no",""))</f>
        <v/>
      </c>
      <c r="CQ92" s="22"/>
      <c r="CR92" s="23">
        <f>CM92*(0.7*I92*B92*B92)*$N$5/9.80665</f>
        <v>88639.784705192302</v>
      </c>
      <c r="CS92"/>
      <c r="CT92" s="6">
        <f t="shared" si="102"/>
        <v>0.92073170731707332</v>
      </c>
      <c r="CU92" s="22" t="str">
        <f t="shared" si="127"/>
        <v/>
      </c>
      <c r="CV92" s="5"/>
      <c r="CW92" s="6">
        <f>IF(C92&lt;100,SQRT(2)*SQRT(SQRT(1+(2/1.4)*(10510/I92))-1),IF(I92&gt;$AW$5,SQRT(2)*SQRT(SQRT(1+(2/1.4)*($AV$5/I92))-1),$AS$5))</f>
        <v>0.82</v>
      </c>
      <c r="CX92" s="22" t="str">
        <f>IF(B92&gt;CW92,"no","")</f>
        <v/>
      </c>
    </row>
    <row r="93" spans="1:102" x14ac:dyDescent="0.2">
      <c r="A93">
        <v>58800</v>
      </c>
      <c r="B93" s="1">
        <v>0.75270000000000004</v>
      </c>
      <c r="C93" s="5">
        <v>378</v>
      </c>
      <c r="D93" s="1">
        <v>0</v>
      </c>
      <c r="E93" s="1">
        <v>0</v>
      </c>
      <c r="G93">
        <f t="shared" si="78"/>
        <v>37800</v>
      </c>
      <c r="H93" s="9">
        <f t="shared" si="79"/>
        <v>11521.440000046085</v>
      </c>
      <c r="I93" s="5">
        <f t="shared" si="103"/>
        <v>20845.570868062652</v>
      </c>
      <c r="J93" s="5">
        <v>0</v>
      </c>
      <c r="K93" s="6">
        <f t="shared" si="104"/>
        <v>216.65</v>
      </c>
      <c r="L93" s="5">
        <f t="shared" si="105"/>
        <v>295.06801842964956</v>
      </c>
      <c r="M93" s="10">
        <f t="shared" si="106"/>
        <v>1.4216130796413355E-5</v>
      </c>
      <c r="O93" s="6">
        <f>B93*L93</f>
        <v>222.09769747199724</v>
      </c>
      <c r="P93" s="1">
        <f>IF(E93=0,0,E93/9.80665)</f>
        <v>0</v>
      </c>
      <c r="Q93" s="7">
        <f>IF(D93=0,0,(D93/O93))</f>
        <v>0</v>
      </c>
      <c r="R93" s="19">
        <f t="shared" si="107"/>
        <v>1</v>
      </c>
      <c r="S93" s="19">
        <f t="shared" si="108"/>
        <v>0</v>
      </c>
      <c r="T93" s="19">
        <f t="shared" si="109"/>
        <v>0</v>
      </c>
      <c r="U93" s="19"/>
      <c r="V93" s="19"/>
      <c r="W93" s="6"/>
      <c r="X93" s="1">
        <f>(A93*9.80665*R93)/(0.7*I93*B93*B93*$N$5)</f>
        <v>0.56985048039512842</v>
      </c>
      <c r="Y93" s="10">
        <f>(SQRT($N$5)*B93)*(I93/M93)*SQRT(1.4/(287.05*K93))</f>
        <v>57936319.564121798</v>
      </c>
      <c r="Z93" s="10">
        <f t="shared" si="110"/>
        <v>2.2026178457779885E-3</v>
      </c>
      <c r="AA93" s="3">
        <f t="shared" si="80"/>
        <v>1.8491610314482376E-2</v>
      </c>
      <c r="AB93" s="3">
        <f t="shared" si="81"/>
        <v>7.6874340717137122E-3</v>
      </c>
      <c r="AC93" s="3">
        <f>IF($E$5="no",(1/((1+0.03+$Q$5)+AB93*3.141593*$S$5)),(1.075/((1+0.03+$Q$5)+AB93*3.141593*$S$5)))</f>
        <v>0.77744155448450403</v>
      </c>
      <c r="AD93" s="3">
        <f t="shared" si="82"/>
        <v>4.3097788858276725E-2</v>
      </c>
      <c r="AE93" s="1">
        <f t="shared" si="83"/>
        <v>0.68020834107226036</v>
      </c>
      <c r="AF93" s="1">
        <f>B93*$R$5/AE93</f>
        <v>1.0028954583566205</v>
      </c>
      <c r="AG93" s="8">
        <f t="shared" si="111"/>
        <v>9.7824157912616361E-4</v>
      </c>
      <c r="AH93" s="8"/>
      <c r="AI93" s="3">
        <f t="shared" si="112"/>
        <v>3.3464978337790191E-2</v>
      </c>
      <c r="AJ93" s="1">
        <f t="shared" si="113"/>
        <v>17.028263835797169</v>
      </c>
      <c r="AK93" s="1"/>
      <c r="AL93" s="1">
        <f t="shared" si="84"/>
        <v>5.8725893000188267E-2</v>
      </c>
      <c r="AM93" s="8">
        <f>AL93*(A93*9.80665)/(0.7*I93*B93*B93*$N$5)</f>
        <v>3.3464978337790198E-2</v>
      </c>
      <c r="AN93" s="1">
        <f>B93/$AI$5</f>
        <v>1</v>
      </c>
      <c r="AO93" s="1">
        <f>IF(B93&lt;0.4,1.3*(0.4-B93),0)</f>
        <v>0</v>
      </c>
      <c r="AP93" s="1">
        <f t="shared" si="114"/>
        <v>-0.43</v>
      </c>
      <c r="AQ93" s="1">
        <f t="shared" si="115"/>
        <v>0</v>
      </c>
      <c r="AR93" s="1">
        <f t="shared" si="85"/>
        <v>1</v>
      </c>
      <c r="AS93" s="1">
        <f t="shared" si="86"/>
        <v>0.30867472713898642</v>
      </c>
      <c r="AT93" s="1">
        <f>(((1+0.55*B93)/(1+0.55*$AI$5))/(AN93^2))</f>
        <v>1</v>
      </c>
      <c r="AU93" s="1">
        <f t="shared" si="87"/>
        <v>3.465254791234245E-2</v>
      </c>
      <c r="AV93" s="8">
        <f t="shared" si="88"/>
        <v>0.96572922783177895</v>
      </c>
      <c r="AW93" s="8">
        <f t="shared" si="116"/>
        <v>0.99949497109524732</v>
      </c>
      <c r="AX93" s="8"/>
      <c r="AY93" s="4"/>
      <c r="AZ93" s="1">
        <f t="shared" si="89"/>
        <v>0.30851883747961456</v>
      </c>
      <c r="BA93" s="14">
        <f t="shared" si="117"/>
        <v>0.3008058665426242</v>
      </c>
      <c r="BB93" s="1"/>
      <c r="BC93" s="14">
        <f t="shared" si="118"/>
        <v>5.1222016588433972</v>
      </c>
      <c r="BD93" s="14">
        <f>IF(0.7*(AM93*(B93^3)/BA93)*(I93*L93*$N$5/43000000)&lt;$AH$5*(1-0.178*(C93/100)+0.0085*((C93/100)^2)),$AH$5*(1-0.178*(C93/100)+0.0085*((C93/100)^2)),0.7*(AM93*(B93^3)/BA93)*(I93*L93*$N$5/43000000))</f>
        <v>0.5814560983403344</v>
      </c>
      <c r="BE93" s="4">
        <f t="shared" si="90"/>
        <v>2.6180194795294813E-3</v>
      </c>
      <c r="BF93" s="4"/>
      <c r="BG93" s="1">
        <f t="shared" si="91"/>
        <v>0.98629169113271153</v>
      </c>
      <c r="BH93" s="1">
        <f>0.6*$AN$5*(1-0.53*((B93-$AM$5)^2))*(1+((2/3)*AV93))</f>
        <v>5.5044577345892778</v>
      </c>
      <c r="BJ93" s="1">
        <f t="shared" si="92"/>
        <v>5.9390615156309909</v>
      </c>
      <c r="BK93" s="5">
        <f t="shared" si="93"/>
        <v>23.945927956042134</v>
      </c>
      <c r="BL93" s="5">
        <f t="shared" si="119"/>
        <v>1.5747716558142577</v>
      </c>
      <c r="BM93" s="5">
        <f t="shared" si="120"/>
        <v>2.8736366024244462</v>
      </c>
      <c r="BN93" s="1">
        <f t="shared" si="121"/>
        <v>1.1629246766722943</v>
      </c>
      <c r="BO93" s="1">
        <f t="shared" si="94"/>
        <v>3.2090698238228241</v>
      </c>
      <c r="BP93" s="9">
        <f>(1+0.2*B93*B93)*K93</f>
        <v>241.19892737570004</v>
      </c>
      <c r="BQ93" s="9">
        <f t="shared" si="53"/>
        <v>693.11806617232742</v>
      </c>
      <c r="BR93" s="9">
        <f t="shared" si="54"/>
        <v>1327.6693013678096</v>
      </c>
      <c r="BS93" s="9">
        <f t="shared" si="122"/>
        <v>774.02419937979187</v>
      </c>
      <c r="BU93" s="9">
        <f>((1+0.2*B93*B93)^3.5)*I93</f>
        <v>30350.941576876365</v>
      </c>
      <c r="BV93" s="9">
        <f t="shared" si="123"/>
        <v>726781.46039792523</v>
      </c>
      <c r="BX93" s="3">
        <f t="shared" si="95"/>
        <v>2.145761490997402E-2</v>
      </c>
      <c r="BZ93" s="3">
        <f t="shared" si="96"/>
        <v>3.7375204071812822E-2</v>
      </c>
      <c r="CA93"/>
      <c r="CB93" s="14">
        <f>$CB$12*($AO$5/K93)/($AN$5*(1-0.53*((B93-$AM$5)^2))*(1+0.2*B93*B93))</f>
        <v>1.3629629629629629</v>
      </c>
      <c r="CC93" s="1">
        <f t="shared" si="124"/>
        <v>1.9074074074074074</v>
      </c>
      <c r="CD93" s="3">
        <f t="shared" si="97"/>
        <v>6.6096526573542078E-2</v>
      </c>
      <c r="CE93" s="6">
        <f t="shared" si="98"/>
        <v>1.7684592824307803</v>
      </c>
      <c r="CF93" s="22" t="str">
        <f t="shared" si="125"/>
        <v/>
      </c>
      <c r="CG93" s="22"/>
      <c r="CH93" s="7">
        <f t="shared" si="99"/>
        <v>1.0401350402236491</v>
      </c>
      <c r="CI93" s="23">
        <f>CH93*(0.7*I93*B93*B93)*$N$5/9.80665</f>
        <v>107326.29429871307</v>
      </c>
      <c r="CK93" s="1">
        <f>B93/$AI$5</f>
        <v>1</v>
      </c>
      <c r="CL93" s="14">
        <f t="shared" si="126"/>
        <v>1.4515200000000053</v>
      </c>
      <c r="CM93" s="1">
        <f t="shared" si="100"/>
        <v>0.8569758833631711</v>
      </c>
      <c r="CN93" s="14">
        <f>SQRT((A93*9.80665)/(0.7*I93*$N$5*CM93))</f>
        <v>0.61378755029687748</v>
      </c>
      <c r="CO93" s="1">
        <f t="shared" si="101"/>
        <v>0.66495509553754384</v>
      </c>
      <c r="CP93" s="29" t="str">
        <f>IF(C93&lt;30,"",IF(CO93&gt;1,"no",""))</f>
        <v/>
      </c>
      <c r="CQ93" s="22"/>
      <c r="CR93" s="23">
        <f>CM93*(0.7*I93*B93*B93)*$N$5/9.80665</f>
        <v>88427.023711227623</v>
      </c>
      <c r="CS93"/>
      <c r="CT93" s="6">
        <f t="shared" si="102"/>
        <v>0.92195121951219527</v>
      </c>
      <c r="CU93" s="22" t="str">
        <f t="shared" si="127"/>
        <v/>
      </c>
      <c r="CV93" s="5"/>
      <c r="CW93" s="6">
        <f>IF(C93&lt;100,SQRT(2)*SQRT(SQRT(1+(2/1.4)*(10510/I93))-1),IF(I93&gt;$AW$5,SQRT(2)*SQRT(SQRT(1+(2/1.4)*($AV$5/I93))-1),$AS$5))</f>
        <v>0.82</v>
      </c>
      <c r="CX93" s="22" t="str">
        <f>IF(B93&gt;CW93,"no","")</f>
        <v/>
      </c>
    </row>
    <row r="94" spans="1:102" x14ac:dyDescent="0.2">
      <c r="A94">
        <v>58800</v>
      </c>
      <c r="B94" s="1">
        <v>0.75270000000000004</v>
      </c>
      <c r="C94" s="5">
        <v>378.5</v>
      </c>
      <c r="D94" s="1">
        <v>0</v>
      </c>
      <c r="E94" s="1">
        <v>0</v>
      </c>
      <c r="G94">
        <f t="shared" si="78"/>
        <v>37850</v>
      </c>
      <c r="H94" s="9">
        <f t="shared" si="79"/>
        <v>11536.680000046146</v>
      </c>
      <c r="I94" s="5">
        <f t="shared" si="103"/>
        <v>20795.535498590565</v>
      </c>
      <c r="J94" s="5">
        <v>0</v>
      </c>
      <c r="K94" s="6">
        <f t="shared" si="104"/>
        <v>216.65</v>
      </c>
      <c r="L94" s="5">
        <f t="shared" si="105"/>
        <v>295.06801842964956</v>
      </c>
      <c r="M94" s="10">
        <f t="shared" si="106"/>
        <v>1.4216130796413355E-5</v>
      </c>
      <c r="O94" s="6">
        <f>B94*L94</f>
        <v>222.09769747199724</v>
      </c>
      <c r="P94" s="1">
        <f>IF(E94=0,0,E94/9.80665)</f>
        <v>0</v>
      </c>
      <c r="Q94" s="7">
        <f>IF(D94=0,0,(D94/O94))</f>
        <v>0</v>
      </c>
      <c r="R94" s="19">
        <f t="shared" si="107"/>
        <v>1</v>
      </c>
      <c r="S94" s="19">
        <f t="shared" si="108"/>
        <v>0</v>
      </c>
      <c r="T94" s="19">
        <f t="shared" si="109"/>
        <v>0</v>
      </c>
      <c r="U94" s="19"/>
      <c r="V94" s="19"/>
      <c r="W94" s="6"/>
      <c r="X94" s="1">
        <f>(A94*9.80665*R94)/(0.7*I94*B94*B94*$N$5)</f>
        <v>0.57122157657740025</v>
      </c>
      <c r="Y94" s="10">
        <f>(SQRT($N$5)*B94)*(I94/M94)*SQRT(1.4/(287.05*K94))</f>
        <v>57797255.723002188</v>
      </c>
      <c r="Z94" s="10">
        <f t="shared" si="110"/>
        <v>2.2033590285314361E-3</v>
      </c>
      <c r="AA94" s="3">
        <f t="shared" si="80"/>
        <v>1.8497832756870575E-2</v>
      </c>
      <c r="AB94" s="3">
        <f t="shared" si="81"/>
        <v>7.6900208997298129E-3</v>
      </c>
      <c r="AC94" s="3">
        <f>IF($E$5="no",(1/((1+0.03+$Q$5)+AB94*3.141593*$S$5)),(1.075/((1+0.03+$Q$5)+AB94*3.141593*$S$5)))</f>
        <v>0.77739489346213475</v>
      </c>
      <c r="AD94" s="3">
        <f t="shared" si="82"/>
        <v>4.3100375686292831E-2</v>
      </c>
      <c r="AE94" s="1">
        <f t="shared" si="83"/>
        <v>0.68004141794285411</v>
      </c>
      <c r="AF94" s="1">
        <f>B94*$R$5/AE94</f>
        <v>1.0031416293161521</v>
      </c>
      <c r="AG94" s="8">
        <f t="shared" si="111"/>
        <v>9.8183934437684971E-4</v>
      </c>
      <c r="AH94" s="8"/>
      <c r="AI94" s="3">
        <f t="shared" si="112"/>
        <v>3.3543069944964601E-2</v>
      </c>
      <c r="AJ94" s="1">
        <f t="shared" si="113"/>
        <v>17.029496033446712</v>
      </c>
      <c r="AK94" s="1"/>
      <c r="AL94" s="1">
        <f t="shared" si="84"/>
        <v>5.8721643790042528E-2</v>
      </c>
      <c r="AM94" s="8">
        <f>AL94*(A94*9.80665)/(0.7*I94*B94*B94*$N$5)</f>
        <v>3.3543069944964601E-2</v>
      </c>
      <c r="AN94" s="1">
        <f>B94/$AI$5</f>
        <v>1</v>
      </c>
      <c r="AO94" s="1">
        <f>IF(B94&lt;0.4,1.3*(0.4-B94),0)</f>
        <v>0</v>
      </c>
      <c r="AP94" s="1">
        <f t="shared" si="114"/>
        <v>-0.43</v>
      </c>
      <c r="AQ94" s="1">
        <f t="shared" si="115"/>
        <v>0</v>
      </c>
      <c r="AR94" s="1">
        <f t="shared" si="85"/>
        <v>1</v>
      </c>
      <c r="AS94" s="1">
        <f t="shared" si="86"/>
        <v>0.30867472713898642</v>
      </c>
      <c r="AT94" s="1">
        <f>(((1+0.55*B94)/(1+0.55*$AI$5))/(AN94^2))</f>
        <v>1</v>
      </c>
      <c r="AU94" s="1">
        <f t="shared" si="87"/>
        <v>3.465254791234245E-2</v>
      </c>
      <c r="AV94" s="8">
        <f t="shared" si="88"/>
        <v>0.96798278815790406</v>
      </c>
      <c r="AW94" s="8">
        <f t="shared" si="116"/>
        <v>0.9995592062027191</v>
      </c>
      <c r="AX94" s="8"/>
      <c r="AY94" s="4"/>
      <c r="AZ94" s="1">
        <f t="shared" si="89"/>
        <v>0.30853866523388618</v>
      </c>
      <c r="BA94" s="14">
        <f t="shared" si="117"/>
        <v>0.30082519860303902</v>
      </c>
      <c r="BB94" s="1"/>
      <c r="BC94" s="14">
        <f t="shared" si="118"/>
        <v>5.1229015263712725</v>
      </c>
      <c r="BD94" s="14">
        <f>IF(0.7*(AM94*(B94^3)/BA94)*(I94*L94*$N$5/43000000)&lt;$AH$5*(1-0.178*(C94/100)+0.0085*((C94/100)^2)),$AH$5*(1-0.178*(C94/100)+0.0085*((C94/100)^2)),0.7*(AM94*(B94^3)/BA94)*(I94*L94*$N$5/43000000))</f>
        <v>0.58137666245033759</v>
      </c>
      <c r="BE94" s="4">
        <f t="shared" si="90"/>
        <v>2.6176618176045672E-3</v>
      </c>
      <c r="BF94" s="4"/>
      <c r="BG94" s="1">
        <f t="shared" si="91"/>
        <v>0.98719311526316156</v>
      </c>
      <c r="BH94" s="1">
        <f>0.6*$AN$5*(1-0.53*((B94-$AM$5)^2))*(1+((2/3)*AV94))</f>
        <v>5.5094885495820538</v>
      </c>
      <c r="BJ94" s="1">
        <f t="shared" si="92"/>
        <v>5.9329338149290285</v>
      </c>
      <c r="BK94" s="5">
        <f t="shared" si="93"/>
        <v>24.000679090487836</v>
      </c>
      <c r="BL94" s="5">
        <f t="shared" si="119"/>
        <v>1.5762109229025461</v>
      </c>
      <c r="BM94" s="5">
        <f t="shared" si="120"/>
        <v>2.8758188281980397</v>
      </c>
      <c r="BN94" s="1">
        <f t="shared" si="121"/>
        <v>1.1632778439843081</v>
      </c>
      <c r="BO94" s="1">
        <f t="shared" si="94"/>
        <v>3.2114514536405316</v>
      </c>
      <c r="BP94" s="9">
        <f>(1+0.2*B94*B94)*K94</f>
        <v>241.19892737570004</v>
      </c>
      <c r="BQ94" s="9">
        <f t="shared" si="53"/>
        <v>693.64441668820973</v>
      </c>
      <c r="BR94" s="9">
        <f t="shared" si="54"/>
        <v>1328.8827285478928</v>
      </c>
      <c r="BS94" s="9">
        <f t="shared" si="122"/>
        <v>774.59864593722887</v>
      </c>
      <c r="BU94" s="9">
        <f>((1+0.2*B94*B94)^3.5)*I94</f>
        <v>30278.090582042183</v>
      </c>
      <c r="BV94" s="9">
        <f t="shared" si="123"/>
        <v>726694.7355323165</v>
      </c>
      <c r="BX94" s="3">
        <f t="shared" si="95"/>
        <v>2.1482199810537044E-2</v>
      </c>
      <c r="BZ94" s="3">
        <f t="shared" si="96"/>
        <v>3.7462703928624962E-2</v>
      </c>
      <c r="CA94"/>
      <c r="CB94" s="14">
        <f>$CB$12*($AO$5/K94)/($AN$5*(1-0.53*((B94-$AM$5)^2))*(1+0.2*B94*B94))</f>
        <v>1.3629629629629629</v>
      </c>
      <c r="CC94" s="1">
        <f t="shared" si="124"/>
        <v>1.9074074074074074</v>
      </c>
      <c r="CD94" s="3">
        <f t="shared" si="97"/>
        <v>6.6096526573542078E-2</v>
      </c>
      <c r="CE94" s="6">
        <f t="shared" si="98"/>
        <v>1.7643287761468343</v>
      </c>
      <c r="CF94" s="22" t="str">
        <f t="shared" si="125"/>
        <v/>
      </c>
      <c r="CG94" s="22"/>
      <c r="CH94" s="7">
        <f t="shared" si="99"/>
        <v>1.0399942902580865</v>
      </c>
      <c r="CI94" s="23">
        <f>CH94*(0.7*I94*B94*B94)*$N$5/9.80665</f>
        <v>107054.19188396061</v>
      </c>
      <c r="CK94" s="1">
        <f>B94/$AI$5</f>
        <v>1</v>
      </c>
      <c r="CL94" s="14">
        <f t="shared" si="126"/>
        <v>1.4515200000000053</v>
      </c>
      <c r="CM94" s="1">
        <f t="shared" si="100"/>
        <v>0.8569758833631711</v>
      </c>
      <c r="CN94" s="14">
        <f>SQRT((A94*9.80665)/(0.7*I94*$N$5*CM94))</f>
        <v>0.61452551243894971</v>
      </c>
      <c r="CO94" s="1">
        <f t="shared" si="101"/>
        <v>0.66655501941975503</v>
      </c>
      <c r="CP94" s="29" t="str">
        <f>IF(C94&lt;30,"",IF(CO94&gt;1,"no",""))</f>
        <v/>
      </c>
      <c r="CQ94" s="22"/>
      <c r="CR94" s="23">
        <f>CM94*(0.7*I94*B94*B94)*$N$5/9.80665</f>
        <v>88214.773404881402</v>
      </c>
      <c r="CS94"/>
      <c r="CT94" s="6">
        <f t="shared" si="102"/>
        <v>0.92317073170731723</v>
      </c>
      <c r="CU94" s="22" t="str">
        <f t="shared" si="127"/>
        <v/>
      </c>
      <c r="CV94" s="5"/>
      <c r="CW94" s="6">
        <f>IF(C94&lt;100,SQRT(2)*SQRT(SQRT(1+(2/1.4)*(10510/I94))-1),IF(I94&gt;$AW$5,SQRT(2)*SQRT(SQRT(1+(2/1.4)*($AV$5/I94))-1),$AS$5))</f>
        <v>0.82</v>
      </c>
      <c r="CX94" s="22" t="str">
        <f>IF(B94&gt;CW94,"no","")</f>
        <v/>
      </c>
    </row>
    <row r="95" spans="1:102" x14ac:dyDescent="0.2">
      <c r="A95">
        <v>58800</v>
      </c>
      <c r="B95" s="1">
        <v>0.75270000000000004</v>
      </c>
      <c r="C95" s="5">
        <v>379</v>
      </c>
      <c r="D95" s="1">
        <v>0</v>
      </c>
      <c r="E95" s="1">
        <v>0</v>
      </c>
      <c r="G95">
        <f t="shared" si="78"/>
        <v>37900</v>
      </c>
      <c r="H95" s="9">
        <f t="shared" si="79"/>
        <v>11551.920000046208</v>
      </c>
      <c r="I95" s="5">
        <f t="shared" si="103"/>
        <v>20745.620228405474</v>
      </c>
      <c r="J95" s="5">
        <v>0</v>
      </c>
      <c r="K95" s="6">
        <f t="shared" si="104"/>
        <v>216.65</v>
      </c>
      <c r="L95" s="5">
        <f t="shared" si="105"/>
        <v>295.06801842964956</v>
      </c>
      <c r="M95" s="10">
        <f t="shared" si="106"/>
        <v>1.4216130796413355E-5</v>
      </c>
      <c r="O95" s="6">
        <f>B95*L95</f>
        <v>222.09769747199724</v>
      </c>
      <c r="P95" s="1">
        <f>IF(E95=0,0,E95/9.80665)</f>
        <v>0</v>
      </c>
      <c r="Q95" s="7">
        <f>IF(D95=0,0,(D95/O95))</f>
        <v>0</v>
      </c>
      <c r="R95" s="19">
        <f t="shared" si="107"/>
        <v>1</v>
      </c>
      <c r="S95" s="19">
        <f t="shared" si="108"/>
        <v>0</v>
      </c>
      <c r="T95" s="19">
        <f t="shared" si="109"/>
        <v>0</v>
      </c>
      <c r="U95" s="19"/>
      <c r="V95" s="19"/>
      <c r="W95" s="6"/>
      <c r="X95" s="1">
        <f>(A95*9.80665*R95)/(0.7*I95*B95*B95*$N$5)</f>
        <v>0.57259597170352783</v>
      </c>
      <c r="Y95" s="10">
        <f>(SQRT($N$5)*B95)*(I95/M95)*SQRT(1.4/(287.05*K95))</f>
        <v>57658525.675124072</v>
      </c>
      <c r="Z95" s="10">
        <f t="shared" si="110"/>
        <v>2.2041004606935021E-3</v>
      </c>
      <c r="AA95" s="3">
        <f t="shared" si="80"/>
        <v>1.8504057293115855E-2</v>
      </c>
      <c r="AB95" s="3">
        <f t="shared" si="81"/>
        <v>7.6926085982157097E-3</v>
      </c>
      <c r="AC95" s="3">
        <f>IF($E$5="no",(1/((1+0.03+$Q$5)+AB95*3.141593*$S$5)),(1.075/((1+0.03+$Q$5)+AB95*3.141593*$S$5)))</f>
        <v>0.77734822234185019</v>
      </c>
      <c r="AD95" s="3">
        <f t="shared" si="82"/>
        <v>4.3102963384778717E-2</v>
      </c>
      <c r="AE95" s="1">
        <f t="shared" si="83"/>
        <v>0.67987409318587477</v>
      </c>
      <c r="AF95" s="1">
        <f>B95*$R$5/AE95</f>
        <v>1.0033885138952578</v>
      </c>
      <c r="AG95" s="8">
        <f t="shared" si="111"/>
        <v>9.8545417162411073E-4</v>
      </c>
      <c r="AH95" s="8"/>
      <c r="AI95" s="3">
        <f t="shared" si="112"/>
        <v>3.3621513985847604E-2</v>
      </c>
      <c r="AJ95" s="1">
        <f t="shared" si="113"/>
        <v>17.030642104473706</v>
      </c>
      <c r="AK95" s="1"/>
      <c r="AL95" s="1">
        <f t="shared" si="84"/>
        <v>5.8717692137826925E-2</v>
      </c>
      <c r="AM95" s="8">
        <f>AL95*(A95*9.80665)/(0.7*I95*B95*B95*$N$5)</f>
        <v>3.3621513985847604E-2</v>
      </c>
      <c r="AN95" s="1">
        <f>B95/$AI$5</f>
        <v>1</v>
      </c>
      <c r="AO95" s="1">
        <f>IF(B95&lt;0.4,1.3*(0.4-B95),0)</f>
        <v>0</v>
      </c>
      <c r="AP95" s="1">
        <f t="shared" si="114"/>
        <v>-0.43</v>
      </c>
      <c r="AQ95" s="1">
        <f t="shared" si="115"/>
        <v>0</v>
      </c>
      <c r="AR95" s="1">
        <f t="shared" si="85"/>
        <v>1</v>
      </c>
      <c r="AS95" s="1">
        <f t="shared" si="86"/>
        <v>0.30867472713898642</v>
      </c>
      <c r="AT95" s="1">
        <f>(((1+0.55*B95)/(1+0.55*$AI$5))/(AN95^2))</f>
        <v>1</v>
      </c>
      <c r="AU95" s="1">
        <f t="shared" si="87"/>
        <v>3.465254791234245E-2</v>
      </c>
      <c r="AV95" s="8">
        <f t="shared" si="88"/>
        <v>0.97024651898316494</v>
      </c>
      <c r="AW95" s="8">
        <f t="shared" si="116"/>
        <v>0.99961933405797376</v>
      </c>
      <c r="AX95" s="8"/>
      <c r="AY95" s="4"/>
      <c r="AZ95" s="1">
        <f t="shared" si="89"/>
        <v>0.30855722518320033</v>
      </c>
      <c r="BA95" s="14">
        <f t="shared" si="117"/>
        <v>0.3008432945536203</v>
      </c>
      <c r="BB95" s="1"/>
      <c r="BC95" s="14">
        <f t="shared" si="118"/>
        <v>5.1235544790734711</v>
      </c>
      <c r="BD95" s="14">
        <f>IF(0.7*(AM95*(B95^3)/BA95)*(I95*L95*$N$5/43000000)&lt;$AH$5*(1-0.178*(C95/100)+0.0085*((C95/100)^2)),$AH$5*(1-0.178*(C95/100)+0.0085*((C95/100)^2)),0.7*(AM95*(B95^3)/BA95)*(I95*L95*$N$5/43000000))</f>
        <v>0.58130257102332272</v>
      </c>
      <c r="BE95" s="4">
        <f t="shared" si="90"/>
        <v>2.6173282192473659E-3</v>
      </c>
      <c r="BF95" s="4"/>
      <c r="BG95" s="1">
        <f t="shared" si="91"/>
        <v>0.98809860759326595</v>
      </c>
      <c r="BH95" s="1">
        <f>0.6*$AN$5*(1-0.53*((B95-$AM$5)^2))*(1+((2/3)*AV95))</f>
        <v>5.5145420690478115</v>
      </c>
      <c r="BJ95" s="1">
        <f t="shared" si="92"/>
        <v>5.9267904465362022</v>
      </c>
      <c r="BK95" s="5">
        <f t="shared" si="93"/>
        <v>24.05575287281728</v>
      </c>
      <c r="BL95" s="5">
        <f t="shared" si="119"/>
        <v>1.5776566855190475</v>
      </c>
      <c r="BM95" s="5">
        <f t="shared" si="120"/>
        <v>2.8780105634311592</v>
      </c>
      <c r="BN95" s="1">
        <f t="shared" si="121"/>
        <v>1.1636323884798689</v>
      </c>
      <c r="BO95" s="1">
        <f t="shared" si="94"/>
        <v>3.2138470791614493</v>
      </c>
      <c r="BP95" s="9">
        <f>(1+0.2*B95*B95)*K95</f>
        <v>241.19892737570004</v>
      </c>
      <c r="BQ95" s="9">
        <f t="shared" si="53"/>
        <v>694.1730608755297</v>
      </c>
      <c r="BR95" s="9">
        <f t="shared" si="54"/>
        <v>1330.1016320225058</v>
      </c>
      <c r="BS95" s="9">
        <f t="shared" si="122"/>
        <v>775.17646824326812</v>
      </c>
      <c r="BU95" s="9">
        <f>((1+0.2*B95*B95)^3.5)*I95</f>
        <v>30205.414450562246</v>
      </c>
      <c r="BV95" s="9">
        <f t="shared" si="123"/>
        <v>726613.98544374935</v>
      </c>
      <c r="BX95" s="3">
        <f t="shared" si="95"/>
        <v>2.1506899456755907E-2</v>
      </c>
      <c r="BZ95" s="3">
        <f t="shared" si="96"/>
        <v>3.7550578855987476E-2</v>
      </c>
      <c r="CA95"/>
      <c r="CB95" s="14">
        <f>$CB$12*($AO$5/K95)/($AN$5*(1-0.53*((B95-$AM$5)^2))*(1+0.2*B95*B95))</f>
        <v>1.3629629629629629</v>
      </c>
      <c r="CC95" s="1">
        <f t="shared" si="124"/>
        <v>1.9074074074074074</v>
      </c>
      <c r="CD95" s="3">
        <f t="shared" si="97"/>
        <v>6.6096526573542078E-2</v>
      </c>
      <c r="CE95" s="6">
        <f t="shared" si="98"/>
        <v>1.760199937983191</v>
      </c>
      <c r="CF95" s="22" t="str">
        <f t="shared" si="125"/>
        <v/>
      </c>
      <c r="CG95" s="22"/>
      <c r="CH95" s="7">
        <f t="shared" si="99"/>
        <v>1.0398533139449524</v>
      </c>
      <c r="CI95" s="23">
        <f>CH95*(0.7*I95*B95*B95)*$N$5/9.80665</f>
        <v>106782.75412601282</v>
      </c>
      <c r="CK95" s="1">
        <f>B95/$AI$5</f>
        <v>1</v>
      </c>
      <c r="CL95" s="14">
        <f t="shared" si="126"/>
        <v>1.4515200000000053</v>
      </c>
      <c r="CM95" s="1">
        <f t="shared" si="100"/>
        <v>0.8569758833631711</v>
      </c>
      <c r="CN95" s="14">
        <f>SQRT((A95*9.80665)/(0.7*I95*$N$5*CM95))</f>
        <v>0.61526436183936228</v>
      </c>
      <c r="CO95" s="1">
        <f t="shared" si="101"/>
        <v>0.66815879281969459</v>
      </c>
      <c r="CP95" s="29" t="str">
        <f>IF(C95&lt;30,"",IF(CO95&gt;1,"no",""))</f>
        <v/>
      </c>
      <c r="CQ95" s="22"/>
      <c r="CR95" s="23">
        <f>CM95*(0.7*I95*B95*B95)*$N$5/9.80665</f>
        <v>88003.032560356398</v>
      </c>
      <c r="CS95"/>
      <c r="CT95" s="6">
        <f t="shared" si="102"/>
        <v>0.92439024390243918</v>
      </c>
      <c r="CU95" s="22" t="str">
        <f t="shared" si="127"/>
        <v/>
      </c>
      <c r="CV95" s="5"/>
      <c r="CW95" s="6">
        <f>IF(C95&lt;100,SQRT(2)*SQRT(SQRT(1+(2/1.4)*(10510/I95))-1),IF(I95&gt;$AW$5,SQRT(2)*SQRT(SQRT(1+(2/1.4)*($AV$5/I95))-1),$AS$5))</f>
        <v>0.82</v>
      </c>
      <c r="CX95" s="22" t="str">
        <f>IF(B95&gt;CW95,"no","")</f>
        <v/>
      </c>
    </row>
    <row r="96" spans="1:102" x14ac:dyDescent="0.2">
      <c r="A96">
        <v>58800</v>
      </c>
      <c r="B96" s="1">
        <v>0.75270000000000004</v>
      </c>
      <c r="C96" s="5">
        <v>379.5</v>
      </c>
      <c r="D96" s="1">
        <v>0</v>
      </c>
      <c r="E96" s="1">
        <v>0</v>
      </c>
      <c r="G96">
        <f t="shared" si="78"/>
        <v>37950</v>
      </c>
      <c r="H96" s="9">
        <f t="shared" si="79"/>
        <v>11567.160000046268</v>
      </c>
      <c r="I96" s="5">
        <f t="shared" si="103"/>
        <v>20695.824769234525</v>
      </c>
      <c r="J96" s="5">
        <v>0</v>
      </c>
      <c r="K96" s="6">
        <f t="shared" si="104"/>
        <v>216.65</v>
      </c>
      <c r="L96" s="5">
        <f t="shared" si="105"/>
        <v>295.06801842964956</v>
      </c>
      <c r="M96" s="10">
        <f t="shared" si="106"/>
        <v>1.4216130796413355E-5</v>
      </c>
      <c r="O96" s="6">
        <f>B96*L96</f>
        <v>222.09769747199724</v>
      </c>
      <c r="P96" s="1">
        <f>IF(E96=0,0,E96/9.80665)</f>
        <v>0</v>
      </c>
      <c r="Q96" s="7">
        <f>IF(D96=0,0,(D96/O96))</f>
        <v>0</v>
      </c>
      <c r="R96" s="19">
        <f t="shared" si="107"/>
        <v>1</v>
      </c>
      <c r="S96" s="19">
        <f t="shared" si="108"/>
        <v>0</v>
      </c>
      <c r="T96" s="19">
        <f t="shared" si="109"/>
        <v>0</v>
      </c>
      <c r="U96" s="19"/>
      <c r="V96" s="19"/>
      <c r="X96" s="1">
        <f>(A96*9.80665*R96)/(0.7*I96*B96*B96*$N$5)</f>
        <v>0.57397367371097785</v>
      </c>
      <c r="Y96" s="10">
        <f>(SQRT($N$5)*B96)*(I96/M96)*SQRT(1.4/(287.05*K96))</f>
        <v>57520128.61928761</v>
      </c>
      <c r="Z96" s="10">
        <f t="shared" si="110"/>
        <v>2.2048421423481127E-3</v>
      </c>
      <c r="AA96" s="3">
        <f t="shared" si="80"/>
        <v>1.8510283923922805E-2</v>
      </c>
      <c r="AB96" s="3">
        <f t="shared" si="81"/>
        <v>7.6951971674643184E-3</v>
      </c>
      <c r="AC96" s="3">
        <f>IF($E$5="no",(1/((1+0.03+$Q$5)+AB96*3.141593*$S$5)),(1.075/((1+0.03+$Q$5)+AB96*3.141593*$S$5)))</f>
        <v>0.77730154112301408</v>
      </c>
      <c r="AD96" s="3">
        <f t="shared" si="82"/>
        <v>4.3105551954027335E-2</v>
      </c>
      <c r="AE96" s="1">
        <f t="shared" si="83"/>
        <v>0.67970636583498112</v>
      </c>
      <c r="AF96" s="1">
        <f>B96*$R$5/AE96</f>
        <v>1.0036361144854717</v>
      </c>
      <c r="AG96" s="8">
        <f t="shared" si="111"/>
        <v>9.8908615357800028E-4</v>
      </c>
      <c r="AH96" s="8"/>
      <c r="AI96" s="3">
        <f t="shared" si="112"/>
        <v>3.3700312181997587E-2</v>
      </c>
      <c r="AJ96" s="1">
        <f t="shared" si="113"/>
        <v>17.031701979828828</v>
      </c>
      <c r="AK96" s="1"/>
      <c r="AL96" s="1">
        <f t="shared" si="84"/>
        <v>5.8714038161560775E-2</v>
      </c>
      <c r="AM96" s="8">
        <f>AL96*(A96*9.80665)/(0.7*I96*B96*B96*$N$5)</f>
        <v>3.3700312181997587E-2</v>
      </c>
      <c r="AN96" s="1">
        <f>B96/$AI$5</f>
        <v>1</v>
      </c>
      <c r="AO96" s="1">
        <f>IF(B96&lt;0.4,1.3*(0.4-B96),0)</f>
        <v>0</v>
      </c>
      <c r="AP96" s="1">
        <f t="shared" si="114"/>
        <v>-0.43</v>
      </c>
      <c r="AQ96" s="1">
        <f t="shared" si="115"/>
        <v>0</v>
      </c>
      <c r="AR96" s="1">
        <f t="shared" si="85"/>
        <v>1</v>
      </c>
      <c r="AS96" s="1">
        <f t="shared" si="86"/>
        <v>0.30867472713898642</v>
      </c>
      <c r="AT96" s="1">
        <f>(((1+0.55*B96)/(1+0.55*$AI$5))/(AN96^2))</f>
        <v>1</v>
      </c>
      <c r="AU96" s="1">
        <f t="shared" si="87"/>
        <v>3.465254791234245E-2</v>
      </c>
      <c r="AV96" s="8">
        <f t="shared" si="88"/>
        <v>0.97252046998813324</v>
      </c>
      <c r="AW96" s="8">
        <f t="shared" si="116"/>
        <v>0.99967529643504061</v>
      </c>
      <c r="AX96" s="8"/>
      <c r="AY96" s="4"/>
      <c r="AZ96" s="1">
        <f t="shared" si="89"/>
        <v>0.30857449935467152</v>
      </c>
      <c r="BA96" s="14">
        <f t="shared" si="117"/>
        <v>0.30086013687080471</v>
      </c>
      <c r="BB96" s="1"/>
      <c r="BC96" s="14">
        <f t="shared" si="118"/>
        <v>5.1241601887940567</v>
      </c>
      <c r="BD96" s="14">
        <f>IF(0.7*(AM96*(B96^3)/BA96)*(I96*L96*$N$5/43000000)&lt;$AH$5*(1-0.178*(C96/100)+0.0085*((C96/100)^2)),$AH$5*(1-0.178*(C96/100)+0.0085*((C96/100)^2)),0.7*(AM96*(B96^3)/BA96)*(I96*L96*$N$5/43000000))</f>
        <v>0.58123385720390697</v>
      </c>
      <c r="BE96" s="4">
        <f t="shared" si="90"/>
        <v>2.6170188336922797E-3</v>
      </c>
      <c r="BF96" s="4"/>
      <c r="BG96" s="1">
        <f t="shared" si="91"/>
        <v>0.98900818799525325</v>
      </c>
      <c r="BH96" s="1">
        <f>0.6*$AN$5*(1-0.53*((B96-$AM$5)^2))*(1+((2/3)*AV96))</f>
        <v>5.5196184038927294</v>
      </c>
      <c r="BJ96" s="1">
        <f t="shared" si="92"/>
        <v>5.9206314032954932</v>
      </c>
      <c r="BK96" s="5">
        <f t="shared" si="93"/>
        <v>24.111151569761347</v>
      </c>
      <c r="BL96" s="5">
        <f t="shared" si="119"/>
        <v>1.5791089753929373</v>
      </c>
      <c r="BM96" s="5">
        <f t="shared" si="120"/>
        <v>2.880211851998824</v>
      </c>
      <c r="BN96" s="1">
        <f t="shared" si="121"/>
        <v>1.1639883153395965</v>
      </c>
      <c r="BO96" s="1">
        <f t="shared" si="94"/>
        <v>3.2162567859829041</v>
      </c>
      <c r="BP96" s="9">
        <f>(1+0.2*B96*B96)*K96</f>
        <v>241.19892737570004</v>
      </c>
      <c r="BQ96" s="9">
        <f t="shared" si="53"/>
        <v>694.70400931689483</v>
      </c>
      <c r="BR96" s="9">
        <f t="shared" si="54"/>
        <v>1331.3260385420997</v>
      </c>
      <c r="BS96" s="9">
        <f t="shared" si="122"/>
        <v>775.75768694389285</v>
      </c>
      <c r="BU96" s="9">
        <f>((1+0.2*B96*B96)^3.5)*I96</f>
        <v>30132.912762714172</v>
      </c>
      <c r="BV96" s="9">
        <f t="shared" si="123"/>
        <v>726539.22686019749</v>
      </c>
      <c r="BX96" s="3">
        <f t="shared" si="95"/>
        <v>2.1531714440309026E-2</v>
      </c>
      <c r="BZ96" s="3">
        <f t="shared" si="96"/>
        <v>3.7638830629924402E-2</v>
      </c>
      <c r="CA96"/>
      <c r="CB96" s="14">
        <f>$CB$12*($AO$5/K96)/($AN$5*(1-0.53*((B96-$AM$5)^2))*(1+0.2*B96*B96))</f>
        <v>1.3629629629629629</v>
      </c>
      <c r="CC96" s="1">
        <f t="shared" si="124"/>
        <v>1.9074074074074074</v>
      </c>
      <c r="CD96" s="3">
        <f t="shared" si="97"/>
        <v>6.6096526573542078E-2</v>
      </c>
      <c r="CE96" s="6">
        <f t="shared" si="98"/>
        <v>1.7560727968257508</v>
      </c>
      <c r="CF96" s="22" t="str">
        <f t="shared" si="125"/>
        <v/>
      </c>
      <c r="CG96" s="22"/>
      <c r="CH96" s="7">
        <f t="shared" si="99"/>
        <v>1.0397121101923508</v>
      </c>
      <c r="CI96" s="23">
        <f>CH96*(0.7*I96*B96*B96)*$N$5/9.80665</f>
        <v>106511.97934575401</v>
      </c>
      <c r="CK96" s="1">
        <f>B96/$AI$5</f>
        <v>1</v>
      </c>
      <c r="CL96" s="14">
        <f t="shared" si="126"/>
        <v>1.4515200000000053</v>
      </c>
      <c r="CM96" s="1">
        <f t="shared" si="100"/>
        <v>0.8569758833631711</v>
      </c>
      <c r="CN96" s="14">
        <f>SQRT((A96*9.80665)/(0.7*I96*$N$5*CM96))</f>
        <v>0.61600409956487334</v>
      </c>
      <c r="CO96" s="1">
        <f t="shared" si="101"/>
        <v>0.66976642499954464</v>
      </c>
      <c r="CP96" s="29" t="str">
        <f>IF(C96&lt;30,"",IF(CO96&gt;1,"no",""))</f>
        <v/>
      </c>
      <c r="CQ96" s="22"/>
      <c r="CR96" s="23">
        <f>CM96*(0.7*I96*B96*B96)*$N$5/9.80665</f>
        <v>87791.799954797621</v>
      </c>
      <c r="CS96"/>
      <c r="CT96" s="6">
        <f t="shared" si="102"/>
        <v>0.92560975609756113</v>
      </c>
      <c r="CU96" s="22" t="str">
        <f t="shared" si="127"/>
        <v/>
      </c>
      <c r="CV96" s="5"/>
      <c r="CW96" s="6">
        <f>IF(C96&lt;100,SQRT(2)*SQRT(SQRT(1+(2/1.4)*(10510/I96))-1),IF(I96&gt;$AW$5,SQRT(2)*SQRT(SQRT(1+(2/1.4)*($AV$5/I96))-1),$AS$5))</f>
        <v>0.82</v>
      </c>
      <c r="CX96" s="22" t="str">
        <f>IF(B96&gt;CW96,"no","")</f>
        <v/>
      </c>
    </row>
    <row r="97" spans="1:102" x14ac:dyDescent="0.2">
      <c r="A97">
        <v>58800</v>
      </c>
      <c r="B97" s="1">
        <v>0.75270000000000004</v>
      </c>
      <c r="C97" s="5">
        <v>380</v>
      </c>
      <c r="D97" s="1">
        <v>0</v>
      </c>
      <c r="E97" s="1">
        <v>0</v>
      </c>
      <c r="G97">
        <f t="shared" si="78"/>
        <v>38000</v>
      </c>
      <c r="H97" s="9">
        <f t="shared" si="79"/>
        <v>11582.400000046329</v>
      </c>
      <c r="I97" s="5">
        <f t="shared" si="103"/>
        <v>20646.148833496794</v>
      </c>
      <c r="J97" s="5">
        <v>0</v>
      </c>
      <c r="K97" s="6">
        <f t="shared" si="104"/>
        <v>216.65</v>
      </c>
      <c r="L97" s="5">
        <f t="shared" si="105"/>
        <v>295.06801842964956</v>
      </c>
      <c r="M97" s="10">
        <f t="shared" si="106"/>
        <v>1.4216130796413355E-5</v>
      </c>
      <c r="O97" s="6">
        <f>B97*L97</f>
        <v>222.09769747199724</v>
      </c>
      <c r="P97" s="1">
        <f>IF(E97=0,0,E97/9.80665)</f>
        <v>0</v>
      </c>
      <c r="Q97" s="7">
        <f>IF(D97=0,0,(D97/O97))</f>
        <v>0</v>
      </c>
      <c r="R97" s="19">
        <f t="shared" si="107"/>
        <v>1</v>
      </c>
      <c r="S97" s="19">
        <f t="shared" si="108"/>
        <v>0</v>
      </c>
      <c r="T97" s="19">
        <f t="shared" si="109"/>
        <v>0</v>
      </c>
      <c r="U97" s="19"/>
      <c r="V97" s="19"/>
      <c r="X97" s="1">
        <f>(A97*9.80665*R97)/(0.7*I97*B97*B97*$N$5)</f>
        <v>0.57535469055631605</v>
      </c>
      <c r="Y97" s="10">
        <f>(SQRT($N$5)*B97)*(I97/M97)*SQRT(1.4/(287.05*K97))</f>
        <v>57382063.756216034</v>
      </c>
      <c r="Z97" s="10">
        <f t="shared" si="110"/>
        <v>2.2055840735792217E-3</v>
      </c>
      <c r="AA97" s="3">
        <f t="shared" si="80"/>
        <v>1.851651264999624E-2</v>
      </c>
      <c r="AB97" s="3">
        <f t="shared" si="81"/>
        <v>7.6977866077686495E-3</v>
      </c>
      <c r="AC97" s="3">
        <f>IF($E$5="no",(1/((1+0.03+$Q$5)+AB97*3.141593*$S$5)),(1.075/((1+0.03+$Q$5)+AB97*3.141593*$S$5)))</f>
        <v>0.7772548498049916</v>
      </c>
      <c r="AD97" s="3">
        <f t="shared" si="82"/>
        <v>4.310814139433166E-2</v>
      </c>
      <c r="AE97" s="1">
        <f t="shared" si="83"/>
        <v>0.67953823492150678</v>
      </c>
      <c r="AF97" s="1">
        <f>B97*$R$5/AE97</f>
        <v>1.0038844334880717</v>
      </c>
      <c r="AG97" s="8">
        <f t="shared" si="111"/>
        <v>9.9273538351723665E-4</v>
      </c>
      <c r="AH97" s="8"/>
      <c r="AI97" s="3">
        <f t="shared" si="112"/>
        <v>3.3779466263501791E-2</v>
      </c>
      <c r="AJ97" s="1">
        <f t="shared" si="113"/>
        <v>17.032675592567848</v>
      </c>
      <c r="AK97" s="1"/>
      <c r="AL97" s="1">
        <f t="shared" si="84"/>
        <v>5.871068198095352E-2</v>
      </c>
      <c r="AM97" s="8">
        <f>AL97*(A97*9.80665)/(0.7*I97*B97*B97*$N$5)</f>
        <v>3.3779466263501791E-2</v>
      </c>
      <c r="AN97" s="1">
        <f>B97/$AI$5</f>
        <v>1</v>
      </c>
      <c r="AO97" s="1">
        <f>IF(B97&lt;0.4,1.3*(0.4-B97),0)</f>
        <v>0</v>
      </c>
      <c r="AP97" s="1">
        <f t="shared" si="114"/>
        <v>-0.43</v>
      </c>
      <c r="AQ97" s="1">
        <f t="shared" si="115"/>
        <v>0</v>
      </c>
      <c r="AR97" s="1">
        <f t="shared" si="85"/>
        <v>1</v>
      </c>
      <c r="AS97" s="1">
        <f t="shared" si="86"/>
        <v>0.30867472713898642</v>
      </c>
      <c r="AT97" s="1">
        <f>(((1+0.55*B97)/(1+0.55*$AI$5))/(AN97^2))</f>
        <v>1</v>
      </c>
      <c r="AU97" s="1">
        <f t="shared" si="87"/>
        <v>3.465254791234245E-2</v>
      </c>
      <c r="AV97" s="8">
        <f t="shared" si="88"/>
        <v>0.97480469109950529</v>
      </c>
      <c r="AW97" s="8">
        <f t="shared" si="116"/>
        <v>0.99972703445604572</v>
      </c>
      <c r="AX97" s="8"/>
      <c r="AY97" s="4"/>
      <c r="AZ97" s="1">
        <f t="shared" si="89"/>
        <v>0.30859046957418801</v>
      </c>
      <c r="BA97" s="14">
        <f t="shared" si="117"/>
        <v>0.30087570783483331</v>
      </c>
      <c r="BB97" s="1"/>
      <c r="BC97" s="14">
        <f t="shared" si="118"/>
        <v>5.12471832523494</v>
      </c>
      <c r="BD97" s="14">
        <f>IF(0.7*(AM97*(B97^3)/BA97)*(I97*L97*$N$5/43000000)&lt;$AH$5*(1-0.178*(C97/100)+0.0085*((C97/100)^2)),$AH$5*(1-0.178*(C97/100)+0.0085*((C97/100)^2)),0.7*(AM97*(B97^3)/BA97)*(I97*L97*$N$5/43000000))</f>
        <v>0.58117055464251866</v>
      </c>
      <c r="BE97" s="4">
        <f t="shared" si="90"/>
        <v>2.6167338124511372E-3</v>
      </c>
      <c r="BF97" s="4"/>
      <c r="BG97" s="1">
        <f t="shared" si="91"/>
        <v>0.98992187643980212</v>
      </c>
      <c r="BH97" s="1">
        <f>0.6*$AN$5*(1-0.53*((B97-$AM$5)^2))*(1+((2/3)*AV97))</f>
        <v>5.5247176655724317</v>
      </c>
      <c r="BJ97" s="1">
        <f t="shared" si="92"/>
        <v>5.9144566783679853</v>
      </c>
      <c r="BK97" s="5">
        <f t="shared" si="93"/>
        <v>24.166877466285829</v>
      </c>
      <c r="BL97" s="5">
        <f t="shared" si="119"/>
        <v>1.5805678244105825</v>
      </c>
      <c r="BM97" s="5">
        <f t="shared" si="120"/>
        <v>2.8824227379727967</v>
      </c>
      <c r="BN97" s="1">
        <f t="shared" si="121"/>
        <v>1.1643456297584602</v>
      </c>
      <c r="BO97" s="1">
        <f t="shared" si="94"/>
        <v>3.2186806601981508</v>
      </c>
      <c r="BP97" s="9">
        <f>(1+0.2*B97*B97)*K97</f>
        <v>241.19892737570004</v>
      </c>
      <c r="BQ97" s="9">
        <f t="shared" ref="BQ97:BQ160" si="128">BM97*BP97</f>
        <v>695.23727264236709</v>
      </c>
      <c r="BR97" s="9">
        <f t="shared" ref="BR97:BR160" si="129">BH97*BP97</f>
        <v>1332.555974989652</v>
      </c>
      <c r="BS97" s="9">
        <f t="shared" si="122"/>
        <v>776.34232280470405</v>
      </c>
      <c r="BU97" s="9">
        <f>((1+0.2*B97*B97)^3.5)*I97</f>
        <v>30060.585099783028</v>
      </c>
      <c r="BV97" s="9">
        <f t="shared" si="123"/>
        <v>726470.47667131398</v>
      </c>
      <c r="BX97" s="3">
        <f t="shared" si="95"/>
        <v>2.1556645356084984E-2</v>
      </c>
      <c r="BZ97" s="3">
        <f t="shared" si="96"/>
        <v>3.7727461035119723E-2</v>
      </c>
      <c r="CA97"/>
      <c r="CB97" s="14">
        <f>$CB$12*($AO$5/K97)/($AN$5*(1-0.53*((B97-$AM$5)^2))*(1+0.2*B97*B97))</f>
        <v>1.3629629629629629</v>
      </c>
      <c r="CC97" s="1">
        <f t="shared" si="124"/>
        <v>1.9074074074074074</v>
      </c>
      <c r="CD97" s="3">
        <f t="shared" si="97"/>
        <v>6.6096526573542078E-2</v>
      </c>
      <c r="CE97" s="6">
        <f t="shared" si="98"/>
        <v>1.7519473815641655</v>
      </c>
      <c r="CF97" s="22" t="str">
        <f t="shared" si="125"/>
        <v/>
      </c>
      <c r="CG97" s="22"/>
      <c r="CH97" s="7">
        <f t="shared" si="99"/>
        <v>1.0395706779015663</v>
      </c>
      <c r="CI97" s="23">
        <f>CH97*(0.7*I97*B97*B97)*$N$5/9.80665</f>
        <v>106241.8658680058</v>
      </c>
      <c r="CK97" s="1">
        <f>B97/$AI$5</f>
        <v>1</v>
      </c>
      <c r="CL97" s="14">
        <f t="shared" si="126"/>
        <v>1.4515200000000053</v>
      </c>
      <c r="CM97" s="1">
        <f t="shared" si="100"/>
        <v>0.8569758833631711</v>
      </c>
      <c r="CN97" s="14">
        <f>SQRT((A97*9.80665)/(0.7*I97*$N$5*CM97))</f>
        <v>0.61674472668352431</v>
      </c>
      <c r="CO97" s="1">
        <f t="shared" si="101"/>
        <v>0.67137792524377371</v>
      </c>
      <c r="CP97" s="29" t="str">
        <f>IF(C97&lt;30,"",IF(CO97&gt;1,"no",""))</f>
        <v/>
      </c>
      <c r="CQ97" s="22"/>
      <c r="CR97" s="23">
        <f>CM97*(0.7*I97*B97*B97)*$N$5/9.80665</f>
        <v>87581.074368285263</v>
      </c>
      <c r="CS97"/>
      <c r="CT97" s="6">
        <f t="shared" si="102"/>
        <v>0.92682926829268308</v>
      </c>
      <c r="CU97" s="22" t="str">
        <f t="shared" si="127"/>
        <v/>
      </c>
      <c r="CV97" s="5"/>
      <c r="CW97" s="6">
        <f>IF(C97&lt;100,SQRT(2)*SQRT(SQRT(1+(2/1.4)*(10510/I97))-1),IF(I97&gt;$AW$5,SQRT(2)*SQRT(SQRT(1+(2/1.4)*($AV$5/I97))-1),$AS$5))</f>
        <v>0.82</v>
      </c>
      <c r="CX97" s="22" t="str">
        <f>IF(B97&gt;CW97,"no","")</f>
        <v/>
      </c>
    </row>
    <row r="98" spans="1:102" x14ac:dyDescent="0.2">
      <c r="A98">
        <v>58800</v>
      </c>
      <c r="B98" s="1">
        <v>0.75270000000000004</v>
      </c>
      <c r="C98" s="5">
        <v>380.5</v>
      </c>
      <c r="D98" s="1">
        <v>0</v>
      </c>
      <c r="E98" s="1">
        <v>0</v>
      </c>
      <c r="G98">
        <f t="shared" si="78"/>
        <v>38050</v>
      </c>
      <c r="H98" s="9">
        <f t="shared" si="79"/>
        <v>11597.640000046389</v>
      </c>
      <c r="I98" s="5">
        <f t="shared" si="103"/>
        <v>20596.592134301653</v>
      </c>
      <c r="J98" s="5">
        <v>0</v>
      </c>
      <c r="K98" s="6">
        <f t="shared" si="104"/>
        <v>216.65</v>
      </c>
      <c r="L98" s="5">
        <f t="shared" si="105"/>
        <v>295.06801842964956</v>
      </c>
      <c r="M98" s="10">
        <f t="shared" si="106"/>
        <v>1.4216130796413355E-5</v>
      </c>
      <c r="O98" s="6">
        <f>B98*L98</f>
        <v>222.09769747199724</v>
      </c>
      <c r="P98" s="1">
        <f>IF(E98=0,0,E98/9.80665)</f>
        <v>0</v>
      </c>
      <c r="Q98" s="7">
        <f>IF(D98=0,0,(D98/O98))</f>
        <v>0</v>
      </c>
      <c r="R98" s="19">
        <f t="shared" si="107"/>
        <v>1</v>
      </c>
      <c r="S98" s="19">
        <f t="shared" si="108"/>
        <v>0</v>
      </c>
      <c r="T98" s="19">
        <f t="shared" si="109"/>
        <v>0</v>
      </c>
      <c r="U98" s="19"/>
      <c r="V98" s="19"/>
      <c r="X98" s="1">
        <f>(A98*9.80665*R98)/(0.7*I98*B98*B98*$N$5)</f>
        <v>0.57673903021525064</v>
      </c>
      <c r="Y98" s="10">
        <f>(SQRT($N$5)*B98)*(I98/M98)*SQRT(1.4/(287.05*K98))</f>
        <v>57244330.288551129</v>
      </c>
      <c r="Z98" s="10">
        <f t="shared" si="110"/>
        <v>2.2063262544708136E-3</v>
      </c>
      <c r="AA98" s="3">
        <f t="shared" si="80"/>
        <v>1.8522743472041234E-2</v>
      </c>
      <c r="AB98" s="3">
        <f t="shared" si="81"/>
        <v>7.7003769194218183E-3</v>
      </c>
      <c r="AC98" s="3">
        <f>IF($E$5="no",(1/((1+0.03+$Q$5)+AB98*3.141593*$S$5)),(1.075/((1+0.03+$Q$5)+AB98*3.141593*$S$5)))</f>
        <v>0.77720814838714813</v>
      </c>
      <c r="AD98" s="3">
        <f t="shared" si="82"/>
        <v>4.3110731705984839E-2</v>
      </c>
      <c r="AE98" s="1">
        <f t="shared" si="83"/>
        <v>0.67936969947445469</v>
      </c>
      <c r="AF98" s="1">
        <f>B98*$R$5/AE98</f>
        <v>1.0041334733141303</v>
      </c>
      <c r="AG98" s="8">
        <f t="shared" si="111"/>
        <v>9.9640195529314608E-4</v>
      </c>
      <c r="AH98" s="8"/>
      <c r="AI98" s="3">
        <f t="shared" si="112"/>
        <v>3.385897796901919E-2</v>
      </c>
      <c r="AJ98" s="1">
        <f t="shared" si="113"/>
        <v>17.033562877856628</v>
      </c>
      <c r="AK98" s="1"/>
      <c r="AL98" s="1">
        <f t="shared" si="84"/>
        <v>5.8707623717407044E-2</v>
      </c>
      <c r="AM98" s="8">
        <f>AL98*(A98*9.80665)/(0.7*I98*B98*B98*$N$5)</f>
        <v>3.385897796901919E-2</v>
      </c>
      <c r="AN98" s="1">
        <f>B98/$AI$5</f>
        <v>1</v>
      </c>
      <c r="AO98" s="1">
        <f>IF(B98&lt;0.4,1.3*(0.4-B98),0)</f>
        <v>0</v>
      </c>
      <c r="AP98" s="1">
        <f t="shared" si="114"/>
        <v>-0.43</v>
      </c>
      <c r="AQ98" s="1">
        <f t="shared" si="115"/>
        <v>0</v>
      </c>
      <c r="AR98" s="1">
        <f t="shared" si="85"/>
        <v>1</v>
      </c>
      <c r="AS98" s="1">
        <f t="shared" si="86"/>
        <v>0.30867472713898642</v>
      </c>
      <c r="AT98" s="1">
        <f>(((1+0.55*B98)/(1+0.55*$AI$5))/(AN98^2))</f>
        <v>1</v>
      </c>
      <c r="AU98" s="1">
        <f t="shared" si="87"/>
        <v>3.465254791234245E-2</v>
      </c>
      <c r="AV98" s="8">
        <f t="shared" si="88"/>
        <v>0.9770992324913399</v>
      </c>
      <c r="AW98" s="8">
        <f t="shared" si="116"/>
        <v>0.99977448858443119</v>
      </c>
      <c r="AX98" s="8"/>
      <c r="AY98" s="4"/>
      <c r="AZ98" s="1">
        <f t="shared" si="89"/>
        <v>0.30860511746431901</v>
      </c>
      <c r="BA98" s="14">
        <f t="shared" si="117"/>
        <v>0.30088998952771101</v>
      </c>
      <c r="BB98" s="1"/>
      <c r="BC98" s="14">
        <f t="shared" si="118"/>
        <v>5.1252285559378876</v>
      </c>
      <c r="BD98" s="14">
        <f>IF(0.7*(AM98*(B98^3)/BA98)*(I98*L98*$N$5/43000000)&lt;$AH$5*(1-0.178*(C98/100)+0.0085*((C98/100)^2)),$AH$5*(1-0.178*(C98/100)+0.0085*((C98/100)^2)),0.7*(AM98*(B98^3)/BA98)*(I98*L98*$N$5/43000000))</f>
        <v>0.58111269750358518</v>
      </c>
      <c r="BE98" s="4">
        <f t="shared" si="90"/>
        <v>2.6164733093500606E-3</v>
      </c>
      <c r="BF98" s="4"/>
      <c r="BG98" s="1">
        <f t="shared" si="91"/>
        <v>0.99083969299653585</v>
      </c>
      <c r="BH98" s="1">
        <f>0.6*$AN$5*(1-0.53*((B98-$AM$5)^2))*(1+((2/3)*AV98))</f>
        <v>5.5298399660947499</v>
      </c>
      <c r="BJ98" s="1">
        <f t="shared" si="92"/>
        <v>5.9082662652351017</v>
      </c>
      <c r="BK98" s="5">
        <f t="shared" si="93"/>
        <v>24.222932865756434</v>
      </c>
      <c r="BL98" s="5">
        <f t="shared" si="119"/>
        <v>1.5820332646163309</v>
      </c>
      <c r="BM98" s="5">
        <f t="shared" si="120"/>
        <v>2.8846432656224148</v>
      </c>
      <c r="BN98" s="1">
        <f t="shared" si="121"/>
        <v>1.1647043369457799</v>
      </c>
      <c r="BO98" s="1">
        <f t="shared" si="94"/>
        <v>3.2211187883987957</v>
      </c>
      <c r="BP98" s="9">
        <f>(1+0.2*B98*B98)*K98</f>
        <v>241.19892737570004</v>
      </c>
      <c r="BQ98" s="9">
        <f t="shared" si="128"/>
        <v>695.77286152966303</v>
      </c>
      <c r="BR98" s="9">
        <f t="shared" si="129"/>
        <v>1333.7914683813312</v>
      </c>
      <c r="BS98" s="9">
        <f t="shared" si="122"/>
        <v>776.93039671150405</v>
      </c>
      <c r="BU98" s="9">
        <f>((1+0.2*B98*B98)^3.5)*I98</f>
        <v>29988.43104405894</v>
      </c>
      <c r="BV98" s="9">
        <f t="shared" si="123"/>
        <v>726407.75192960585</v>
      </c>
      <c r="BX98" s="3">
        <f t="shared" si="95"/>
        <v>2.158169280220109E-2</v>
      </c>
      <c r="BZ98" s="3">
        <f t="shared" si="96"/>
        <v>3.7816471864960469E-2</v>
      </c>
      <c r="CA98"/>
      <c r="CB98" s="14">
        <f>$CB$12*($AO$5/K98)/($AN$5*(1-0.53*((B98-$AM$5)^2))*(1+0.2*B98*B98))</f>
        <v>1.3629629629629629</v>
      </c>
      <c r="CC98" s="1">
        <f t="shared" si="124"/>
        <v>1.9074074074074074</v>
      </c>
      <c r="CD98" s="3">
        <f t="shared" si="97"/>
        <v>6.6096526573542078E-2</v>
      </c>
      <c r="CE98" s="6">
        <f t="shared" si="98"/>
        <v>1.7478237210908352</v>
      </c>
      <c r="CF98" s="22" t="str">
        <f t="shared" si="125"/>
        <v/>
      </c>
      <c r="CG98" s="22"/>
      <c r="CH98" s="7">
        <f t="shared" si="99"/>
        <v>1.0394290159670116</v>
      </c>
      <c r="CI98" s="23">
        <f>CH98*(0.7*I98*B98*B98)*$N$5/9.80665</f>
        <v>105972.41202151631</v>
      </c>
      <c r="CK98" s="1">
        <f>B98/$AI$5</f>
        <v>1</v>
      </c>
      <c r="CL98" s="14">
        <f t="shared" si="126"/>
        <v>1.4515200000000053</v>
      </c>
      <c r="CM98" s="1">
        <f t="shared" si="100"/>
        <v>0.8569758833631711</v>
      </c>
      <c r="CN98" s="14">
        <f>SQRT((A98*9.80665)/(0.7*I98*$N$5*CM98))</f>
        <v>0.61748624426464005</v>
      </c>
      <c r="CO98" s="1">
        <f t="shared" si="101"/>
        <v>0.67299330285918779</v>
      </c>
      <c r="CP98" s="29" t="str">
        <f>IF(C98&lt;30,"",IF(CO98&gt;1,"no",""))</f>
        <v/>
      </c>
      <c r="CQ98" s="22"/>
      <c r="CR98" s="23">
        <f>CM98*(0.7*I98*B98*B98)*$N$5/9.80665</f>
        <v>87370.854583827677</v>
      </c>
      <c r="CS98"/>
      <c r="CT98" s="6">
        <f t="shared" si="102"/>
        <v>0.92804878048780504</v>
      </c>
      <c r="CU98" s="22" t="str">
        <f t="shared" si="127"/>
        <v/>
      </c>
      <c r="CV98" s="5"/>
      <c r="CW98" s="6">
        <f>IF(C98&lt;100,SQRT(2)*SQRT(SQRT(1+(2/1.4)*(10510/I98))-1),IF(I98&gt;$AW$5,SQRT(2)*SQRT(SQRT(1+(2/1.4)*($AV$5/I98))-1),$AS$5))</f>
        <v>0.82</v>
      </c>
      <c r="CX98" s="22" t="str">
        <f>IF(B98&gt;CW98,"no","")</f>
        <v/>
      </c>
    </row>
    <row r="99" spans="1:102" x14ac:dyDescent="0.2">
      <c r="A99">
        <v>58800</v>
      </c>
      <c r="B99" s="1">
        <v>0.75270000000000004</v>
      </c>
      <c r="C99" s="5">
        <v>381</v>
      </c>
      <c r="D99" s="1">
        <v>0</v>
      </c>
      <c r="E99" s="1">
        <v>0</v>
      </c>
      <c r="G99">
        <f t="shared" si="78"/>
        <v>38100</v>
      </c>
      <c r="H99" s="9">
        <f t="shared" si="79"/>
        <v>11612.880000046451</v>
      </c>
      <c r="I99" s="5">
        <f t="shared" si="103"/>
        <v>20547.154385447073</v>
      </c>
      <c r="J99" s="5">
        <v>0</v>
      </c>
      <c r="K99" s="6">
        <f t="shared" si="104"/>
        <v>216.65</v>
      </c>
      <c r="L99" s="5">
        <f t="shared" si="105"/>
        <v>295.06801842964956</v>
      </c>
      <c r="M99" s="10">
        <f t="shared" si="106"/>
        <v>1.4216130796413355E-5</v>
      </c>
      <c r="O99" s="6">
        <f>B99*L99</f>
        <v>222.09769747199724</v>
      </c>
      <c r="P99" s="1">
        <f>IF(E99=0,0,E99/9.80665)</f>
        <v>0</v>
      </c>
      <c r="Q99" s="7">
        <f>IF(D99=0,0,(D99/O99))</f>
        <v>0</v>
      </c>
      <c r="R99" s="19">
        <f t="shared" si="107"/>
        <v>1</v>
      </c>
      <c r="S99" s="19">
        <f t="shared" si="108"/>
        <v>0</v>
      </c>
      <c r="T99" s="19">
        <f t="shared" si="109"/>
        <v>0</v>
      </c>
      <c r="U99" s="19"/>
      <c r="V99" s="19"/>
      <c r="X99" s="1">
        <f>(A99*9.80665*R99)/(0.7*I99*B99*B99*$N$5)</f>
        <v>0.57812670068268079</v>
      </c>
      <c r="Y99" s="10">
        <f>(SQRT($N$5)*B99)*(I99/M99)*SQRT(1.4/(287.05*K99))</f>
        <v>57106927.420848519</v>
      </c>
      <c r="Z99" s="10">
        <f t="shared" si="110"/>
        <v>2.2070686851068991E-3</v>
      </c>
      <c r="AA99" s="3">
        <f t="shared" si="80"/>
        <v>1.8528976390763084E-2</v>
      </c>
      <c r="AB99" s="3">
        <f t="shared" si="81"/>
        <v>7.7029681027170373E-3</v>
      </c>
      <c r="AC99" s="3">
        <f>IF($E$5="no",(1/((1+0.03+$Q$5)+AB99*3.141593*$S$5)),(1.075/((1+0.03+$Q$5)+AB99*3.141593*$S$5)))</f>
        <v>0.77716143686885075</v>
      </c>
      <c r="AD99" s="3">
        <f t="shared" si="82"/>
        <v>4.3113322889280055E-2</v>
      </c>
      <c r="AE99" s="1">
        <f t="shared" si="83"/>
        <v>0.67920075852049167</v>
      </c>
      <c r="AF99" s="1">
        <f>B99*$R$5/AE99</f>
        <v>1.0043832363845624</v>
      </c>
      <c r="AG99" s="8">
        <f t="shared" si="111"/>
        <v>1.0000859633335765E-3</v>
      </c>
      <c r="AH99" s="8"/>
      <c r="AI99" s="3">
        <f t="shared" si="112"/>
        <v>3.393884904582356E-2</v>
      </c>
      <c r="AJ99" s="1">
        <f t="shared" si="113"/>
        <v>17.034363772976086</v>
      </c>
      <c r="AK99" s="1"/>
      <c r="AL99" s="1">
        <f t="shared" si="84"/>
        <v>5.8704863494017615E-2</v>
      </c>
      <c r="AM99" s="8">
        <f>AL99*(A99*9.80665)/(0.7*I99*B99*B99*$N$5)</f>
        <v>3.393884904582356E-2</v>
      </c>
      <c r="AN99" s="1">
        <f>B99/$AI$5</f>
        <v>1</v>
      </c>
      <c r="AO99" s="1">
        <f>IF(B99&lt;0.4,1.3*(0.4-B99),0)</f>
        <v>0</v>
      </c>
      <c r="AP99" s="1">
        <f t="shared" si="114"/>
        <v>-0.43</v>
      </c>
      <c r="AQ99" s="1">
        <f t="shared" si="115"/>
        <v>0</v>
      </c>
      <c r="AR99" s="1">
        <f t="shared" si="85"/>
        <v>1</v>
      </c>
      <c r="AS99" s="1">
        <f t="shared" si="86"/>
        <v>0.30867472713898642</v>
      </c>
      <c r="AT99" s="1">
        <f>(((1+0.55*B99)/(1+0.55*$AI$5))/(AN99^2))</f>
        <v>1</v>
      </c>
      <c r="AU99" s="1">
        <f t="shared" si="87"/>
        <v>3.465254791234245E-2</v>
      </c>
      <c r="AV99" s="8">
        <f t="shared" si="88"/>
        <v>0.97940414458630076</v>
      </c>
      <c r="AW99" s="8">
        <f t="shared" si="116"/>
        <v>0.99981759861810449</v>
      </c>
      <c r="AX99" s="8"/>
      <c r="AY99" s="4"/>
      <c r="AZ99" s="1">
        <f t="shared" si="89"/>
        <v>0.30861842444220006</v>
      </c>
      <c r="BA99" s="14">
        <f t="shared" si="117"/>
        <v>0.30090296383114506</v>
      </c>
      <c r="BB99" s="1"/>
      <c r="BC99" s="14">
        <f t="shared" si="118"/>
        <v>5.1256905462663909</v>
      </c>
      <c r="BD99" s="14">
        <f>IF(0.7*(AM99*(B99^3)/BA99)*(I99*L99*$N$5/43000000)&lt;$AH$5*(1-0.178*(C99/100)+0.0085*((C99/100)^2)),$AH$5*(1-0.178*(C99/100)+0.0085*((C99/100)^2)),0.7*(AM99*(B99^3)/BA99)*(I99*L99*$N$5/43000000))</f>
        <v>0.58106032047387679</v>
      </c>
      <c r="BE99" s="4">
        <f t="shared" si="90"/>
        <v>2.6162374805670315E-3</v>
      </c>
      <c r="BF99" s="4"/>
      <c r="BG99" s="1">
        <f t="shared" si="91"/>
        <v>0.9917616578345203</v>
      </c>
      <c r="BH99" s="1">
        <f>0.6*$AN$5*(1-0.53*((B99-$AM$5)^2))*(1+((2/3)*AV99))</f>
        <v>5.5349854180225</v>
      </c>
      <c r="BJ99" s="1">
        <f t="shared" si="92"/>
        <v>5.9020601577008591</v>
      </c>
      <c r="BK99" s="5">
        <f t="shared" si="93"/>
        <v>24.279320090105379</v>
      </c>
      <c r="BL99" s="5">
        <f t="shared" si="119"/>
        <v>1.5835053282133058</v>
      </c>
      <c r="BM99" s="5">
        <f t="shared" si="120"/>
        <v>2.8868734794154336</v>
      </c>
      <c r="BN99" s="1">
        <f t="shared" si="121"/>
        <v>1.1650644421252256</v>
      </c>
      <c r="BO99" s="1">
        <f t="shared" si="94"/>
        <v>3.2235712576772215</v>
      </c>
      <c r="BP99" s="9">
        <f>(1+0.2*B99*B99)*K99</f>
        <v>241.19892737570004</v>
      </c>
      <c r="BQ99" s="9">
        <f t="shared" si="128"/>
        <v>696.31078670435761</v>
      </c>
      <c r="BR99" s="9">
        <f t="shared" si="129"/>
        <v>1335.0325458671678</v>
      </c>
      <c r="BS99" s="9">
        <f t="shared" si="122"/>
        <v>777.52192967088217</v>
      </c>
      <c r="BU99" s="9">
        <f>((1+0.2*B99*B99)^3.5)*I99</f>
        <v>29916.450178834639</v>
      </c>
      <c r="BV99" s="9">
        <f t="shared" si="123"/>
        <v>726351.06985161651</v>
      </c>
      <c r="BX99" s="3">
        <f t="shared" si="95"/>
        <v>2.1606857380022191E-2</v>
      </c>
      <c r="BZ99" s="3">
        <f t="shared" si="96"/>
        <v>3.7905864921580185E-2</v>
      </c>
      <c r="CA99"/>
      <c r="CB99" s="14">
        <f>$CB$12*($AO$5/K99)/($AN$5*(1-0.53*((B99-$AM$5)^2))*(1+0.2*B99*B99))</f>
        <v>1.3629629629629629</v>
      </c>
      <c r="CC99" s="1">
        <f t="shared" si="124"/>
        <v>1.9074074074074074</v>
      </c>
      <c r="CD99" s="3">
        <f t="shared" si="97"/>
        <v>6.6096526573542078E-2</v>
      </c>
      <c r="CE99" s="6">
        <f t="shared" si="98"/>
        <v>1.7437018442998955</v>
      </c>
      <c r="CF99" s="22" t="str">
        <f t="shared" si="125"/>
        <v/>
      </c>
      <c r="CG99" s="22"/>
      <c r="CH99" s="7">
        <f t="shared" si="99"/>
        <v>1.0392871232761813</v>
      </c>
      <c r="CI99" s="23">
        <f>CH99*(0.7*I99*B99*B99)*$N$5/9.80665</f>
        <v>105703.61613894954</v>
      </c>
      <c r="CK99" s="1">
        <f>B99/$AI$5</f>
        <v>1</v>
      </c>
      <c r="CL99" s="14">
        <f t="shared" si="126"/>
        <v>1.4515200000000053</v>
      </c>
      <c r="CM99" s="1">
        <f t="shared" si="100"/>
        <v>0.8569758833631711</v>
      </c>
      <c r="CN99" s="14">
        <f>SQRT((A99*9.80665)/(0.7*I99*$N$5*CM99))</f>
        <v>0.61822865337883171</v>
      </c>
      <c r="CO99" s="1">
        <f t="shared" si="101"/>
        <v>0.67461256717498663</v>
      </c>
      <c r="CP99" s="29" t="str">
        <f>IF(C99&lt;30,"",IF(CO99&gt;1,"no",""))</f>
        <v/>
      </c>
      <c r="CQ99" s="22"/>
      <c r="CR99" s="23">
        <f>CM99*(0.7*I99*B99*B99)*$N$5/9.80665</f>
        <v>87161.1393873544</v>
      </c>
      <c r="CS99"/>
      <c r="CT99" s="6">
        <f t="shared" si="102"/>
        <v>0.92926829268292699</v>
      </c>
      <c r="CU99" s="22" t="str">
        <f t="shared" si="127"/>
        <v/>
      </c>
      <c r="CV99" s="5"/>
      <c r="CW99" s="6">
        <f>IF(C99&lt;100,SQRT(2)*SQRT(SQRT(1+(2/1.4)*(10510/I99))-1),IF(I99&gt;$AW$5,SQRT(2)*SQRT(SQRT(1+(2/1.4)*($AV$5/I99))-1),$AS$5))</f>
        <v>0.82</v>
      </c>
      <c r="CX99" s="22" t="str">
        <f>IF(B99&gt;CW99,"no","")</f>
        <v/>
      </c>
    </row>
    <row r="100" spans="1:102" x14ac:dyDescent="0.2">
      <c r="A100">
        <v>58800</v>
      </c>
      <c r="B100" s="1">
        <v>0.75270000000000004</v>
      </c>
      <c r="C100" s="5">
        <v>381.5</v>
      </c>
      <c r="D100" s="1">
        <v>0</v>
      </c>
      <c r="E100" s="1">
        <v>0</v>
      </c>
      <c r="G100">
        <f t="shared" si="78"/>
        <v>38150</v>
      </c>
      <c r="H100" s="9">
        <f t="shared" si="79"/>
        <v>11628.120000046512</v>
      </c>
      <c r="I100" s="5">
        <f t="shared" si="103"/>
        <v>20497.835301418007</v>
      </c>
      <c r="J100" s="5">
        <v>0</v>
      </c>
      <c r="K100" s="6">
        <f t="shared" si="104"/>
        <v>216.65</v>
      </c>
      <c r="L100" s="5">
        <f t="shared" si="105"/>
        <v>295.06801842964956</v>
      </c>
      <c r="M100" s="10">
        <f t="shared" si="106"/>
        <v>1.4216130796413355E-5</v>
      </c>
      <c r="O100" s="6">
        <f>B100*L100</f>
        <v>222.09769747199724</v>
      </c>
      <c r="P100" s="1">
        <f>IF(E100=0,0,E100/9.80665)</f>
        <v>0</v>
      </c>
      <c r="Q100" s="7">
        <f>IF(D100=0,0,(D100/O100))</f>
        <v>0</v>
      </c>
      <c r="R100" s="7">
        <f t="shared" si="107"/>
        <v>1</v>
      </c>
      <c r="S100" s="7">
        <f t="shared" si="108"/>
        <v>0</v>
      </c>
      <c r="T100" s="7">
        <f t="shared" si="109"/>
        <v>0</v>
      </c>
      <c r="U100" s="7"/>
      <c r="V100" s="7"/>
      <c r="X100" s="1">
        <f>(A100*9.80665*R100)/(0.7*I100*B100*B100*$N$5)</f>
        <v>0.5795177099727421</v>
      </c>
      <c r="Y100" s="10">
        <f>(SQRT($N$5)*B100)*(I100/M100)*SQRT(1.4/(287.05*K100))</f>
        <v>56969854.359573171</v>
      </c>
      <c r="Z100" s="10">
        <f t="shared" si="110"/>
        <v>2.2078113655715158E-3</v>
      </c>
      <c r="AA100" s="3">
        <f t="shared" si="80"/>
        <v>1.8535211406867307E-2</v>
      </c>
      <c r="AB100" s="3">
        <f t="shared" si="81"/>
        <v>7.7055601579476048E-3</v>
      </c>
      <c r="AC100" s="3">
        <f>IF($E$5="no",(1/((1+0.03+$Q$5)+AB100*3.141593*$S$5)),(1.075/((1+0.03+$Q$5)+AB100*3.141593*$S$5)))</f>
        <v>0.77711471524946663</v>
      </c>
      <c r="AD100" s="3">
        <f t="shared" si="82"/>
        <v>4.3115914944510628E-2</v>
      </c>
      <c r="AE100" s="1">
        <f t="shared" si="83"/>
        <v>0.67903141108394238</v>
      </c>
      <c r="AF100" s="1">
        <f>B100*$R$5/AE100</f>
        <v>1.0046337251301762</v>
      </c>
      <c r="AG100" s="8">
        <f t="shared" si="111"/>
        <v>1.0037875026468973E-3</v>
      </c>
      <c r="AH100" s="8"/>
      <c r="AI100" s="3">
        <f t="shared" si="112"/>
        <v>3.4019081249846796E-2</v>
      </c>
      <c r="AJ100" s="1">
        <f t="shared" si="113"/>
        <v>17.035078217326987</v>
      </c>
      <c r="AK100" s="1"/>
      <c r="AL100" s="1">
        <f t="shared" si="84"/>
        <v>5.8702401435578047E-2</v>
      </c>
      <c r="AM100" s="8">
        <f>AL100*(A100*9.80665)/(0.7*I100*B100*B100*$N$5)</f>
        <v>3.4019081249846803E-2</v>
      </c>
      <c r="AN100" s="1">
        <f>B100/$AI$5</f>
        <v>1</v>
      </c>
      <c r="AO100" s="1">
        <f>IF(B100&lt;0.4,1.3*(0.4-B100),0)</f>
        <v>0</v>
      </c>
      <c r="AP100" s="1">
        <f t="shared" si="114"/>
        <v>-0.43</v>
      </c>
      <c r="AQ100" s="1">
        <f t="shared" si="115"/>
        <v>0</v>
      </c>
      <c r="AR100" s="1">
        <f t="shared" si="85"/>
        <v>1</v>
      </c>
      <c r="AS100" s="1">
        <f t="shared" si="86"/>
        <v>0.30867472713898642</v>
      </c>
      <c r="AT100" s="1">
        <f>(((1+0.55*B100)/(1+0.55*$AI$5))/(AN100^2))</f>
        <v>1</v>
      </c>
      <c r="AU100" s="1">
        <f t="shared" si="87"/>
        <v>3.465254791234245E-2</v>
      </c>
      <c r="AV100" s="8">
        <f t="shared" si="88"/>
        <v>0.98171947805690729</v>
      </c>
      <c r="AW100" s="8">
        <f t="shared" si="116"/>
        <v>0.99985630368251988</v>
      </c>
      <c r="AX100" s="8"/>
      <c r="AY100" s="4"/>
      <c r="AZ100" s="1">
        <f t="shared" si="89"/>
        <v>0.30863037171739738</v>
      </c>
      <c r="BA100" s="14">
        <f t="shared" si="117"/>
        <v>0.30091461242446244</v>
      </c>
      <c r="BB100" s="1"/>
      <c r="BC100" s="14">
        <f t="shared" si="118"/>
        <v>5.1261039593873532</v>
      </c>
      <c r="BD100" s="14">
        <f>IF(0.7*(AM100*(B100^3)/BA100)*(I100*L100*$N$5/43000000)&lt;$AH$5*(1-0.178*(C100/100)+0.0085*((C100/100)^2)),$AH$5*(1-0.178*(C100/100)+0.0085*((C100/100)^2)),0.7*(AM100*(B100^3)/BA100)*(I100*L100*$N$5/43000000))</f>
        <v>0.58101345877102095</v>
      </c>
      <c r="BE100" s="4">
        <f t="shared" si="90"/>
        <v>2.6160264846702289E-3</v>
      </c>
      <c r="BF100" s="4"/>
      <c r="BG100" s="1">
        <f t="shared" si="91"/>
        <v>0.99268779122276285</v>
      </c>
      <c r="BH100" s="1">
        <f>0.6*$AN$5*(1-0.53*((B100-$AM$5)^2))*(1+((2/3)*AV100))</f>
        <v>5.5401541344762686</v>
      </c>
      <c r="BJ100" s="1">
        <f t="shared" si="92"/>
        <v>5.8958383498941149</v>
      </c>
      <c r="BK100" s="5">
        <f t="shared" si="93"/>
        <v>24.336041479999675</v>
      </c>
      <c r="BL100" s="5">
        <f t="shared" si="119"/>
        <v>1.5849840475642034</v>
      </c>
      <c r="BM100" s="5">
        <f t="shared" si="120"/>
        <v>2.8891134240188627</v>
      </c>
      <c r="BN100" s="1">
        <f t="shared" si="121"/>
        <v>1.1654259505348168</v>
      </c>
      <c r="BO100" s="1">
        <f t="shared" si="94"/>
        <v>3.2260381556290252</v>
      </c>
      <c r="BP100" s="9">
        <f>(1+0.2*B100*B100)*K100</f>
        <v>241.19892737570004</v>
      </c>
      <c r="BQ100" s="9">
        <f t="shared" si="128"/>
        <v>696.85105894008575</v>
      </c>
      <c r="BR100" s="9">
        <f t="shared" si="129"/>
        <v>1336.2792347317259</v>
      </c>
      <c r="BS100" s="9">
        <f t="shared" si="122"/>
        <v>778.11694281080258</v>
      </c>
      <c r="BU100" s="9">
        <f>((1+0.2*B100*B100)^3.5)*I100</f>
        <v>29844.642088403085</v>
      </c>
      <c r="BV100" s="9">
        <f t="shared" si="123"/>
        <v>726300.44781912165</v>
      </c>
      <c r="BX100" s="3">
        <f t="shared" si="95"/>
        <v>2.1632139694179479E-2</v>
      </c>
      <c r="BZ100" s="3">
        <f t="shared" si="96"/>
        <v>3.7995642015902525E-2</v>
      </c>
      <c r="CA100"/>
      <c r="CB100" s="14">
        <f>$CB$12*($AO$5/K100)/($AN$5*(1-0.53*((B100-$AM$5)^2))*(1+0.2*B100*B100))</f>
        <v>1.3629629629629629</v>
      </c>
      <c r="CC100" s="1">
        <f t="shared" si="124"/>
        <v>1.9074074074074074</v>
      </c>
      <c r="CD100" s="3">
        <f t="shared" si="97"/>
        <v>6.6096526573542078E-2</v>
      </c>
      <c r="CE100" s="6">
        <f t="shared" si="98"/>
        <v>1.7395817800862092</v>
      </c>
      <c r="CF100" s="22" t="str">
        <f t="shared" si="125"/>
        <v/>
      </c>
      <c r="CG100" s="22"/>
      <c r="CH100" s="7">
        <f t="shared" si="99"/>
        <v>1.0391449987096015</v>
      </c>
      <c r="CI100" s="23">
        <f>CH100*(0.7*I100*B100*B100)*$N$5/9.80665</f>
        <v>105435.47655687439</v>
      </c>
      <c r="CK100" s="1">
        <f>B100/$AI$5</f>
        <v>1</v>
      </c>
      <c r="CL100" s="14">
        <f t="shared" si="126"/>
        <v>1.4515200000000053</v>
      </c>
      <c r="CM100" s="1">
        <f t="shared" si="100"/>
        <v>0.8569758833631711</v>
      </c>
      <c r="CN100" s="14">
        <f>SQRT((A100*9.80665)/(0.7*I100*$N$5*CM100))</f>
        <v>0.61897195509799685</v>
      </c>
      <c r="CO100" s="1">
        <f t="shared" si="101"/>
        <v>0.6762357275428168</v>
      </c>
      <c r="CP100" s="29" t="str">
        <f>IF(C100&lt;30,"",IF(CO100&gt;1,"no",""))</f>
        <v/>
      </c>
      <c r="CQ100" s="22"/>
      <c r="CR100" s="23">
        <f>CM100*(0.7*I100*B100*B100)*$N$5/9.80665</f>
        <v>86951.927567709005</v>
      </c>
      <c r="CS100"/>
      <c r="CT100" s="6">
        <f t="shared" si="102"/>
        <v>0.93048780487804894</v>
      </c>
      <c r="CU100" s="22" t="str">
        <f t="shared" si="127"/>
        <v/>
      </c>
      <c r="CV100" s="5"/>
      <c r="CW100" s="6">
        <f>IF(C100&lt;100,SQRT(2)*SQRT(SQRT(1+(2/1.4)*(10510/I100))-1),IF(I100&gt;$AW$5,SQRT(2)*SQRT(SQRT(1+(2/1.4)*($AV$5/I100))-1),$AS$5))</f>
        <v>0.82</v>
      </c>
      <c r="CX100" s="22" t="str">
        <f>IF(B100&gt;CW100,"no","")</f>
        <v/>
      </c>
    </row>
    <row r="101" spans="1:102" x14ac:dyDescent="0.2">
      <c r="A101">
        <v>58800</v>
      </c>
      <c r="B101" s="1">
        <v>0.75270000000000004</v>
      </c>
      <c r="C101" s="5">
        <v>382</v>
      </c>
      <c r="D101" s="1">
        <v>0</v>
      </c>
      <c r="E101" s="1">
        <v>0</v>
      </c>
      <c r="G101">
        <f t="shared" si="78"/>
        <v>38200</v>
      </c>
      <c r="H101" s="9">
        <f t="shared" si="79"/>
        <v>11643.360000046572</v>
      </c>
      <c r="I101" s="5">
        <f t="shared" si="103"/>
        <v>20448.634597384727</v>
      </c>
      <c r="J101" s="5">
        <v>0</v>
      </c>
      <c r="K101" s="6">
        <f t="shared" si="104"/>
        <v>216.65</v>
      </c>
      <c r="L101" s="5">
        <f t="shared" si="105"/>
        <v>295.06801842964956</v>
      </c>
      <c r="M101" s="10">
        <f t="shared" si="106"/>
        <v>1.4216130796413355E-5</v>
      </c>
      <c r="O101" s="6">
        <f>B101*L101</f>
        <v>222.09769747199724</v>
      </c>
      <c r="P101" s="1">
        <f>IF(E101=0,0,E101/9.80665)</f>
        <v>0</v>
      </c>
      <c r="Q101" s="7">
        <f>IF(D101=0,0,(D101/O101))</f>
        <v>0</v>
      </c>
      <c r="R101" s="19">
        <f t="shared" si="107"/>
        <v>1</v>
      </c>
      <c r="S101" s="19">
        <f t="shared" si="108"/>
        <v>0</v>
      </c>
      <c r="T101" s="19">
        <f t="shared" si="109"/>
        <v>0</v>
      </c>
      <c r="U101" s="19"/>
      <c r="V101" s="19"/>
      <c r="X101" s="1">
        <f>(A101*9.80665*R101)/(0.7*I101*B101*B101*$N$5)</f>
        <v>0.5809120661188516</v>
      </c>
      <c r="Y101" s="10">
        <f>(SQRT($N$5)*B101)*(I101/M101)*SQRT(1.4/(287.05*K101))</f>
        <v>56833110.313094728</v>
      </c>
      <c r="Z101" s="10">
        <f t="shared" si="110"/>
        <v>2.2085542959487323E-3</v>
      </c>
      <c r="AA101" s="3">
        <f t="shared" si="80"/>
        <v>1.854144852105968E-2</v>
      </c>
      <c r="AB101" s="3">
        <f t="shared" si="81"/>
        <v>7.7081530854069338E-3</v>
      </c>
      <c r="AC101" s="3">
        <f>IF($E$5="no",(1/((1+0.03+$Q$5)+AB101*3.141593*$S$5)),(1.075/((1+0.03+$Q$5)+AB101*3.141593*$S$5)))</f>
        <v>0.77706798352836448</v>
      </c>
      <c r="AD101" s="3">
        <f t="shared" si="82"/>
        <v>4.3118507871969948E-2</v>
      </c>
      <c r="AE101" s="1">
        <f t="shared" si="83"/>
        <v>0.67886165618678429</v>
      </c>
      <c r="AF101" s="1">
        <f>B101*$R$5/AE101</f>
        <v>1.0048849419917218</v>
      </c>
      <c r="AG101" s="8">
        <f t="shared" si="111"/>
        <v>1.0075066688259816E-3</v>
      </c>
      <c r="AH101" s="8"/>
      <c r="AI101" s="3">
        <f t="shared" si="112"/>
        <v>3.4099676345722411E-2</v>
      </c>
      <c r="AJ101" s="1">
        <f t="shared" si="113"/>
        <v>17.035706152434592</v>
      </c>
      <c r="AK101" s="1"/>
      <c r="AL101" s="1">
        <f t="shared" si="84"/>
        <v>5.8700237668579937E-2</v>
      </c>
      <c r="AM101" s="8">
        <f>AL101*(A101*9.80665)/(0.7*I101*B101*B101*$N$5)</f>
        <v>3.4099676345722411E-2</v>
      </c>
      <c r="AN101" s="1">
        <f>B101/$AI$5</f>
        <v>1</v>
      </c>
      <c r="AO101" s="1">
        <f>IF(B101&lt;0.4,1.3*(0.4-B101),0)</f>
        <v>0</v>
      </c>
      <c r="AP101" s="1">
        <f t="shared" si="114"/>
        <v>-0.43</v>
      </c>
      <c r="AQ101" s="1">
        <f t="shared" si="115"/>
        <v>0</v>
      </c>
      <c r="AR101" s="1">
        <f t="shared" si="85"/>
        <v>1</v>
      </c>
      <c r="AS101" s="1">
        <f t="shared" si="86"/>
        <v>0.30867472713898642</v>
      </c>
      <c r="AT101" s="1">
        <f>(((1+0.55*B101)/(1+0.55*$AI$5))/(AN101^2))</f>
        <v>1</v>
      </c>
      <c r="AU101" s="1">
        <f t="shared" si="87"/>
        <v>3.465254791234245E-2</v>
      </c>
      <c r="AV101" s="8">
        <f t="shared" si="88"/>
        <v>0.98404528382678846</v>
      </c>
      <c r="AW101" s="8">
        <f t="shared" si="116"/>
        <v>0.99989054222368789</v>
      </c>
      <c r="AX101" s="8"/>
      <c r="AY101" s="4"/>
      <c r="AZ101" s="1">
        <f t="shared" si="89"/>
        <v>0.30864094028975003</v>
      </c>
      <c r="BA101" s="14">
        <f t="shared" si="117"/>
        <v>0.30092491678250627</v>
      </c>
      <c r="BB101" s="1"/>
      <c r="BC101" s="14">
        <f t="shared" si="118"/>
        <v>5.1264684562526099</v>
      </c>
      <c r="BD101" s="14">
        <f>IF(0.7*(AM101*(B101^3)/BA101)*(I101*L101*$N$5/43000000)&lt;$AH$5*(1-0.178*(C101/100)+0.0085*((C101/100)^2)),$AH$5*(1-0.178*(C101/100)+0.0085*((C101/100)^2)),0.7*(AM101*(B101^3)/BA101)*(I101*L101*$N$5/43000000))</f>
        <v>0.58097214815218012</v>
      </c>
      <c r="BE101" s="4">
        <f t="shared" si="90"/>
        <v>2.6158404826571013E-3</v>
      </c>
      <c r="BF101" s="4"/>
      <c r="BG101" s="1">
        <f t="shared" si="91"/>
        <v>0.99361811353071539</v>
      </c>
      <c r="BH101" s="1">
        <f>0.6*$AN$5*(1-0.53*((B101-$AM$5)^2))*(1+((2/3)*AV101))</f>
        <v>5.5453462291372198</v>
      </c>
      <c r="BJ101" s="1">
        <f t="shared" si="92"/>
        <v>5.8896008362708079</v>
      </c>
      <c r="BK101" s="5">
        <f t="shared" si="93"/>
        <v>24.393099395010978</v>
      </c>
      <c r="BL101" s="5">
        <f t="shared" si="119"/>
        <v>1.5864694551920959</v>
      </c>
      <c r="BM101" s="5">
        <f t="shared" si="120"/>
        <v>2.8913631442998109</v>
      </c>
      <c r="BN101" s="1">
        <f t="shared" si="121"/>
        <v>1.1657888674269219</v>
      </c>
      <c r="BO101" s="1">
        <f t="shared" si="94"/>
        <v>3.2285195703554601</v>
      </c>
      <c r="BP101" s="9">
        <f>(1+0.2*B101*B101)*K101</f>
        <v>241.19892737570004</v>
      </c>
      <c r="BQ101" s="9">
        <f t="shared" si="128"/>
        <v>697.39368905874585</v>
      </c>
      <c r="BR101" s="9">
        <f t="shared" si="129"/>
        <v>1337.5315623947804</v>
      </c>
      <c r="BS101" s="9">
        <f t="shared" si="122"/>
        <v>778.71545738119289</v>
      </c>
      <c r="BU101" s="9">
        <f>((1+0.2*B101*B101)^3.5)*I101</f>
        <v>29773.006358055056</v>
      </c>
      <c r="BV101" s="9">
        <f t="shared" si="123"/>
        <v>726255.90338033077</v>
      </c>
      <c r="BX101" s="3">
        <f t="shared" si="95"/>
        <v>2.165754035258953E-2</v>
      </c>
      <c r="BZ101" s="3">
        <f t="shared" si="96"/>
        <v>3.8085804967685065E-2</v>
      </c>
      <c r="CA101"/>
      <c r="CB101" s="14">
        <f>$CB$12*($AO$5/K101)/($AN$5*(1-0.53*((B101-$AM$5)^2))*(1+0.2*B101*B101))</f>
        <v>1.3629629629629629</v>
      </c>
      <c r="CC101" s="1">
        <f t="shared" si="124"/>
        <v>1.9074074074074074</v>
      </c>
      <c r="CD101" s="3">
        <f t="shared" si="97"/>
        <v>6.6096526573542078E-2</v>
      </c>
      <c r="CE101" s="6">
        <f t="shared" si="98"/>
        <v>1.7354635573443562</v>
      </c>
      <c r="CF101" s="22" t="str">
        <f t="shared" si="125"/>
        <v/>
      </c>
      <c r="CG101" s="22"/>
      <c r="CH101" s="7">
        <f t="shared" si="99"/>
        <v>1.0390026411407787</v>
      </c>
      <c r="CI101" s="23">
        <f>CH101*(0.7*I101*B101*B101)*$N$5/9.80665</f>
        <v>105167.99161575412</v>
      </c>
      <c r="CK101" s="1">
        <f>B101/$AI$5</f>
        <v>1</v>
      </c>
      <c r="CL101" s="14">
        <f t="shared" si="126"/>
        <v>1.4515200000000053</v>
      </c>
      <c r="CM101" s="1">
        <f t="shared" si="100"/>
        <v>0.8569758833631711</v>
      </c>
      <c r="CN101" s="14">
        <f>SQRT((A101*9.80665)/(0.7*I101*$N$5*CM101))</f>
        <v>0.61971615049532247</v>
      </c>
      <c r="CO101" s="1">
        <f t="shared" si="101"/>
        <v>0.6778627933368242</v>
      </c>
      <c r="CP101" s="29" t="str">
        <f>IF(C101&lt;30,"",IF(CO101&gt;1,"no",""))</f>
        <v/>
      </c>
      <c r="CQ101" s="22"/>
      <c r="CR101" s="23">
        <f>CM101*(0.7*I101*B101*B101)*$N$5/9.80665</f>
        <v>86743.217916642287</v>
      </c>
      <c r="CS101"/>
      <c r="CT101" s="6">
        <f t="shared" si="102"/>
        <v>0.93170731707317089</v>
      </c>
      <c r="CU101" s="22" t="str">
        <f t="shared" si="127"/>
        <v/>
      </c>
      <c r="CV101" s="5"/>
      <c r="CW101" s="6">
        <f>IF(C101&lt;100,SQRT(2)*SQRT(SQRT(1+(2/1.4)*(10510/I101))-1),IF(I101&gt;$AW$5,SQRT(2)*SQRT(SQRT(1+(2/1.4)*($AV$5/I101))-1),$AS$5))</f>
        <v>0.82</v>
      </c>
      <c r="CX101" s="22" t="str">
        <f>IF(B101&gt;CW101,"no","")</f>
        <v/>
      </c>
    </row>
    <row r="102" spans="1:102" x14ac:dyDescent="0.2">
      <c r="A102">
        <v>58800</v>
      </c>
      <c r="B102" s="1">
        <v>0.75270000000000004</v>
      </c>
      <c r="C102" s="5">
        <v>382.5</v>
      </c>
      <c r="D102" s="1">
        <v>0</v>
      </c>
      <c r="E102" s="1">
        <v>0</v>
      </c>
      <c r="G102">
        <f t="shared" si="78"/>
        <v>38250</v>
      </c>
      <c r="H102" s="9">
        <f t="shared" si="79"/>
        <v>11658.600000046634</v>
      </c>
      <c r="I102" s="5">
        <f t="shared" si="103"/>
        <v>20399.551989201165</v>
      </c>
      <c r="J102" s="5">
        <v>0</v>
      </c>
      <c r="K102" s="6">
        <f t="shared" si="104"/>
        <v>216.65</v>
      </c>
      <c r="L102" s="5">
        <f t="shared" si="105"/>
        <v>295.06801842964956</v>
      </c>
      <c r="M102" s="10">
        <f t="shared" si="106"/>
        <v>1.4216130796413355E-5</v>
      </c>
      <c r="O102" s="6">
        <f>B102*L102</f>
        <v>222.09769747199724</v>
      </c>
      <c r="P102" s="1">
        <f>IF(E102=0,0,E102/9.80665)</f>
        <v>0</v>
      </c>
      <c r="Q102" s="7">
        <f>IF(D102=0,0,(D102/O102))</f>
        <v>0</v>
      </c>
      <c r="R102" s="19">
        <f t="shared" si="107"/>
        <v>1</v>
      </c>
      <c r="S102" s="19">
        <f t="shared" si="108"/>
        <v>0</v>
      </c>
      <c r="T102" s="19">
        <f t="shared" si="109"/>
        <v>0</v>
      </c>
      <c r="U102" s="19"/>
      <c r="V102" s="19"/>
      <c r="X102" s="1">
        <f>(A102*9.80665*R102)/(0.7*I102*B102*B102*$N$5)</f>
        <v>0.58230977717375654</v>
      </c>
      <c r="Y102" s="10">
        <f>(SQRT($N$5)*B102)*(I102/M102)*SQRT(1.4/(287.05*K102))</f>
        <v>56696694.491682984</v>
      </c>
      <c r="Z102" s="10">
        <f t="shared" si="110"/>
        <v>2.2092974763226435E-3</v>
      </c>
      <c r="AA102" s="3">
        <f t="shared" si="80"/>
        <v>1.8547687734046206E-2</v>
      </c>
      <c r="AB102" s="3">
        <f t="shared" si="81"/>
        <v>7.7107468853885247E-3</v>
      </c>
      <c r="AC102" s="3">
        <f>IF($E$5="no",(1/((1+0.03+$Q$5)+AB102*3.141593*$S$5)),(1.075/((1+0.03+$Q$5)+AB102*3.141593*$S$5)))</f>
        <v>0.77702124170491327</v>
      </c>
      <c r="AD102" s="3">
        <f t="shared" si="82"/>
        <v>4.3121101671951538E-2</v>
      </c>
      <c r="AE102" s="1">
        <f t="shared" si="83"/>
        <v>0.67869149284864128</v>
      </c>
      <c r="AF102" s="1">
        <f>B102*$R$5/AE102</f>
        <v>1.0051368894199433</v>
      </c>
      <c r="AG102" s="8">
        <f t="shared" si="111"/>
        <v>1.0112435580522715E-3</v>
      </c>
      <c r="AH102" s="8"/>
      <c r="AI102" s="3">
        <f t="shared" si="112"/>
        <v>3.4180636106829386E-2</v>
      </c>
      <c r="AJ102" s="1">
        <f t="shared" si="113"/>
        <v>17.036247521953211</v>
      </c>
      <c r="AK102" s="1"/>
      <c r="AL102" s="1">
        <f t="shared" si="84"/>
        <v>5.8698372321215823E-2</v>
      </c>
      <c r="AM102" s="8">
        <f>AL102*(A102*9.80665)/(0.7*I102*B102*B102*$N$5)</f>
        <v>3.4180636106829386E-2</v>
      </c>
      <c r="AN102" s="1">
        <f>B102/$AI$5</f>
        <v>1</v>
      </c>
      <c r="AO102" s="1">
        <f>IF(B102&lt;0.4,1.3*(0.4-B102),0)</f>
        <v>0</v>
      </c>
      <c r="AP102" s="1">
        <f t="shared" si="114"/>
        <v>-0.43</v>
      </c>
      <c r="AQ102" s="1">
        <f t="shared" si="115"/>
        <v>0</v>
      </c>
      <c r="AR102" s="1">
        <f t="shared" si="85"/>
        <v>1</v>
      </c>
      <c r="AS102" s="1">
        <f t="shared" si="86"/>
        <v>0.30867472713898642</v>
      </c>
      <c r="AT102" s="1">
        <f>(((1+0.55*B102)/(1+0.55*$AI$5))/(AN102^2))</f>
        <v>1</v>
      </c>
      <c r="AU102" s="1">
        <f t="shared" si="87"/>
        <v>3.465254791234245E-2</v>
      </c>
      <c r="AV102" s="8">
        <f t="shared" si="88"/>
        <v>0.98638161307195016</v>
      </c>
      <c r="AW102" s="8">
        <f t="shared" si="116"/>
        <v>0.99992025200111556</v>
      </c>
      <c r="AX102" s="8"/>
      <c r="AY102" s="4"/>
      <c r="AZ102" s="1">
        <f t="shared" si="89"/>
        <v>0.30865011094719086</v>
      </c>
      <c r="BA102" s="14">
        <f t="shared" si="117"/>
        <v>0.30093385817351109</v>
      </c>
      <c r="BB102" s="1"/>
      <c r="BC102" s="14">
        <f t="shared" si="118"/>
        <v>5.126783695580297</v>
      </c>
      <c r="BD102" s="14">
        <f>IF(0.7*(AM102*(B102^3)/BA102)*(I102*L102*$N$5/43000000)&lt;$AH$5*(1-0.178*(C102/100)+0.0085*((C102/100)^2)),$AH$5*(1-0.178*(C102/100)+0.0085*((C102/100)^2)),0.7*(AM102*(B102^3)/BA102)*(I102*L102*$N$5/43000000))</f>
        <v>0.58093642492290742</v>
      </c>
      <c r="BE102" s="4">
        <f t="shared" si="90"/>
        <v>2.6156796379942374E-3</v>
      </c>
      <c r="BF102" s="4"/>
      <c r="BG102" s="1">
        <f t="shared" si="91"/>
        <v>0.99455264522878006</v>
      </c>
      <c r="BH102" s="1">
        <f>0.6*$AN$5*(1-0.53*((B102-$AM$5)^2))*(1+((2/3)*AV102))</f>
        <v>5.5505618162499157</v>
      </c>
      <c r="BJ102" s="1">
        <f t="shared" si="92"/>
        <v>5.8833476116162009</v>
      </c>
      <c r="BK102" s="5">
        <f t="shared" si="93"/>
        <v>24.450496213787439</v>
      </c>
      <c r="BL102" s="5">
        <f t="shared" si="119"/>
        <v>1.5879615837812378</v>
      </c>
      <c r="BM102" s="5">
        <f t="shared" si="120"/>
        <v>2.8936226853263429</v>
      </c>
      <c r="BN102" s="1">
        <f t="shared" si="121"/>
        <v>1.1661531980682571</v>
      </c>
      <c r="BO102" s="1">
        <f t="shared" si="94"/>
        <v>3.2310155904658844</v>
      </c>
      <c r="BP102" s="9">
        <f>(1+0.2*B102*B102)*K102</f>
        <v>241.19892737570004</v>
      </c>
      <c r="BQ102" s="9">
        <f t="shared" si="128"/>
        <v>697.93868793070669</v>
      </c>
      <c r="BR102" s="9">
        <f t="shared" si="129"/>
        <v>1338.7895564119972</v>
      </c>
      <c r="BS102" s="9">
        <f t="shared" si="122"/>
        <v>779.31749475453546</v>
      </c>
      <c r="BU102" s="9">
        <f>((1+0.2*B102*B102)^3.5)*I102</f>
        <v>29701.542574076735</v>
      </c>
      <c r="BV102" s="9">
        <f t="shared" si="123"/>
        <v>726217.45425110962</v>
      </c>
      <c r="BX102" s="3">
        <f t="shared" si="95"/>
        <v>2.1683059966473333E-2</v>
      </c>
      <c r="BZ102" s="3">
        <f t="shared" si="96"/>
        <v>3.8176355605563483E-2</v>
      </c>
      <c r="CA102"/>
      <c r="CB102" s="14">
        <f>$CB$12*($AO$5/K102)/($AN$5*(1-0.53*((B102-$AM$5)^2))*(1+0.2*B102*B102))</f>
        <v>1.3629629629629629</v>
      </c>
      <c r="CC102" s="1">
        <f t="shared" si="124"/>
        <v>1.9074074074074074</v>
      </c>
      <c r="CD102" s="3">
        <f t="shared" si="97"/>
        <v>6.6096526573542078E-2</v>
      </c>
      <c r="CE102" s="6">
        <f t="shared" si="98"/>
        <v>1.7313472049676151</v>
      </c>
      <c r="CF102" s="22" t="str">
        <f t="shared" si="125"/>
        <v/>
      </c>
      <c r="CG102" s="22"/>
      <c r="CH102" s="7">
        <f t="shared" si="99"/>
        <v>1.0388600494361508</v>
      </c>
      <c r="CI102" s="23">
        <f>CH102*(0.7*I102*B102*B102)*$N$5/9.80665</f>
        <v>104901.15965993545</v>
      </c>
      <c r="CK102" s="1">
        <f>B102/$AI$5</f>
        <v>1</v>
      </c>
      <c r="CL102" s="14">
        <f t="shared" si="126"/>
        <v>1.4515200000000053</v>
      </c>
      <c r="CM102" s="1">
        <f t="shared" si="100"/>
        <v>0.8569758833631711</v>
      </c>
      <c r="CN102" s="14">
        <f>SQRT((A102*9.80665)/(0.7*I102*$N$5*CM102))</f>
        <v>0.62046124064528585</v>
      </c>
      <c r="CO102" s="1">
        <f t="shared" si="101"/>
        <v>0.67949377395371113</v>
      </c>
      <c r="CP102" s="29" t="str">
        <f>IF(C102&lt;30,"",IF(CO102&gt;1,"no",""))</f>
        <v/>
      </c>
      <c r="CQ102" s="22"/>
      <c r="CR102" s="23">
        <f>CM102*(0.7*I102*B102*B102)*$N$5/9.80665</f>
        <v>86535.009228805095</v>
      </c>
      <c r="CS102"/>
      <c r="CT102" s="6">
        <f t="shared" si="102"/>
        <v>0.93292682926829285</v>
      </c>
      <c r="CU102" s="22" t="str">
        <f t="shared" si="127"/>
        <v/>
      </c>
      <c r="CV102" s="5"/>
      <c r="CW102" s="6">
        <f>IF(C102&lt;100,SQRT(2)*SQRT(SQRT(1+(2/1.4)*(10510/I102))-1),IF(I102&gt;$AW$5,SQRT(2)*SQRT(SQRT(1+(2/1.4)*($AV$5/I102))-1),$AS$5))</f>
        <v>0.82</v>
      </c>
      <c r="CX102" s="22" t="str">
        <f>IF(B102&gt;CW102,"no","")</f>
        <v/>
      </c>
    </row>
    <row r="103" spans="1:102" x14ac:dyDescent="0.2">
      <c r="A103">
        <v>58800</v>
      </c>
      <c r="B103" s="1">
        <v>0.75270000000000004</v>
      </c>
      <c r="C103" s="5">
        <v>383</v>
      </c>
      <c r="D103" s="1">
        <v>0</v>
      </c>
      <c r="E103" s="1">
        <v>0</v>
      </c>
      <c r="G103">
        <f t="shared" si="78"/>
        <v>38300</v>
      </c>
      <c r="H103" s="9">
        <f t="shared" si="79"/>
        <v>11673.840000046695</v>
      </c>
      <c r="I103" s="5">
        <f t="shared" si="103"/>
        <v>20350.587193403295</v>
      </c>
      <c r="J103" s="5">
        <v>0</v>
      </c>
      <c r="K103" s="6">
        <f t="shared" si="104"/>
        <v>216.65</v>
      </c>
      <c r="L103" s="5">
        <f t="shared" si="105"/>
        <v>295.06801842964956</v>
      </c>
      <c r="M103" s="10">
        <f t="shared" si="106"/>
        <v>1.4216130796413355E-5</v>
      </c>
      <c r="O103" s="6">
        <f>B103*L103</f>
        <v>222.09769747199724</v>
      </c>
      <c r="P103" s="1">
        <f>IF(E103=0,0,E103/9.80665)</f>
        <v>0</v>
      </c>
      <c r="Q103" s="7">
        <f>IF(D103=0,0,(D103/O103))</f>
        <v>0</v>
      </c>
      <c r="R103" s="19">
        <f t="shared" si="107"/>
        <v>1</v>
      </c>
      <c r="S103" s="19">
        <f t="shared" si="108"/>
        <v>0</v>
      </c>
      <c r="T103" s="19">
        <f t="shared" si="109"/>
        <v>0</v>
      </c>
      <c r="U103" s="19"/>
      <c r="V103" s="19"/>
      <c r="X103" s="1">
        <f>(A103*9.80665*R103)/(0.7*I103*B103*B103*$N$5)</f>
        <v>0.583710851209579</v>
      </c>
      <c r="Y103" s="10">
        <f>(SQRT($N$5)*B103)*(I103/M103)*SQRT(1.4/(287.05*K103))</f>
        <v>56560606.107503325</v>
      </c>
      <c r="Z103" s="10">
        <f t="shared" si="110"/>
        <v>2.210040906777374E-3</v>
      </c>
      <c r="AA103" s="3">
        <f t="shared" si="80"/>
        <v>1.8553929046533142E-2</v>
      </c>
      <c r="AB103" s="3">
        <f t="shared" si="81"/>
        <v>7.7133415581859882E-3</v>
      </c>
      <c r="AC103" s="3">
        <f>IF($E$5="no",(1/((1+0.03+$Q$5)+AB103*3.141593*$S$5)),(1.075/((1+0.03+$Q$5)+AB103*3.141593*$S$5)))</f>
        <v>0.77697448977848305</v>
      </c>
      <c r="AD103" s="3">
        <f t="shared" si="82"/>
        <v>4.312369634474901E-2</v>
      </c>
      <c r="AE103" s="1">
        <f t="shared" si="83"/>
        <v>0.67852092008677867</v>
      </c>
      <c r="AF103" s="1">
        <f>B103*$R$5/AE103</f>
        <v>1.005389569875627</v>
      </c>
      <c r="AG103" s="8">
        <f t="shared" si="111"/>
        <v>1.0149982670998134E-3</v>
      </c>
      <c r="AH103" s="8"/>
      <c r="AI103" s="3">
        <f t="shared" si="112"/>
        <v>3.4261962315336035E-2</v>
      </c>
      <c r="AJ103" s="1">
        <f t="shared" si="113"/>
        <v>17.036702271670631</v>
      </c>
      <c r="AK103" s="1"/>
      <c r="AL103" s="1">
        <f t="shared" si="84"/>
        <v>5.8696805523381336E-2</v>
      </c>
      <c r="AM103" s="8">
        <f>AL103*(A103*9.80665)/(0.7*I103*B103*B103*$N$5)</f>
        <v>3.4261962315336035E-2</v>
      </c>
      <c r="AN103" s="1">
        <f>B103/$AI$5</f>
        <v>1</v>
      </c>
      <c r="AO103" s="1">
        <f>IF(B103&lt;0.4,1.3*(0.4-B103),0)</f>
        <v>0</v>
      </c>
      <c r="AP103" s="1">
        <f t="shared" si="114"/>
        <v>-0.43</v>
      </c>
      <c r="AQ103" s="1">
        <f t="shared" si="115"/>
        <v>0</v>
      </c>
      <c r="AR103" s="1">
        <f t="shared" si="85"/>
        <v>1</v>
      </c>
      <c r="AS103" s="1">
        <f t="shared" si="86"/>
        <v>0.30867472713898642</v>
      </c>
      <c r="AT103" s="1">
        <f>(((1+0.55*B103)/(1+0.55*$AI$5))/(AN103^2))</f>
        <v>1</v>
      </c>
      <c r="AU103" s="1">
        <f t="shared" si="87"/>
        <v>3.465254791234245E-2</v>
      </c>
      <c r="AV103" s="8">
        <f t="shared" si="88"/>
        <v>0.98872851722203958</v>
      </c>
      <c r="AW103" s="8">
        <f t="shared" si="116"/>
        <v>0.99994537008067408</v>
      </c>
      <c r="AX103" s="8"/>
      <c r="AY103" s="4"/>
      <c r="AZ103" s="1">
        <f t="shared" si="89"/>
        <v>0.30865786426354486</v>
      </c>
      <c r="BA103" s="14">
        <f t="shared" si="117"/>
        <v>0.30094141765695626</v>
      </c>
      <c r="BB103" s="1"/>
      <c r="BC103" s="14">
        <f t="shared" si="118"/>
        <v>5.1270493338360463</v>
      </c>
      <c r="BD103" s="14">
        <f>IF(0.7*(AM103*(B103^3)/BA103)*(I103*L103*$N$5/43000000)&lt;$AH$5*(1-0.178*(C103/100)+0.0085*((C103/100)^2)),$AH$5*(1-0.178*(C103/100)+0.0085*((C103/100)^2)),0.7*(AM103*(B103^3)/BA103)*(I103*L103*$N$5/43000000))</f>
        <v>0.58090632594617242</v>
      </c>
      <c r="BE103" s="4">
        <f t="shared" si="90"/>
        <v>2.6155441166580075E-3</v>
      </c>
      <c r="BF103" s="4"/>
      <c r="BG103" s="1">
        <f t="shared" si="91"/>
        <v>0.99549140688881577</v>
      </c>
      <c r="BH103" s="1">
        <f>0.6*$AN$5*(1-0.53*((B103-$AM$5)^2))*(1+((2/3)*AV103))</f>
        <v>5.5558010106251468</v>
      </c>
      <c r="BJ103" s="1">
        <f t="shared" si="92"/>
        <v>5.8770786710471175</v>
      </c>
      <c r="BK103" s="5">
        <f t="shared" si="93"/>
        <v>24.50823433422682</v>
      </c>
      <c r="BL103" s="5">
        <f t="shared" si="119"/>
        <v>1.589460466177876</v>
      </c>
      <c r="BM103" s="5">
        <f t="shared" si="120"/>
        <v>2.8958920923683209</v>
      </c>
      <c r="BN103" s="1">
        <f t="shared" si="121"/>
        <v>1.1665189477398856</v>
      </c>
      <c r="BO103" s="1">
        <f t="shared" si="94"/>
        <v>3.2335263050802192</v>
      </c>
      <c r="BP103" s="9">
        <f>(1+0.2*B103*B103)*K103</f>
        <v>241.19892737570004</v>
      </c>
      <c r="BQ103" s="9">
        <f t="shared" si="128"/>
        <v>698.4860664750106</v>
      </c>
      <c r="BR103" s="9">
        <f t="shared" si="129"/>
        <v>1340.0532444756157</v>
      </c>
      <c r="BS103" s="9">
        <f t="shared" si="122"/>
        <v>779.92307642645949</v>
      </c>
      <c r="BU103" s="9">
        <f>((1+0.2*B103*B103)^3.5)*I103</f>
        <v>29630.25032374735</v>
      </c>
      <c r="BV103" s="9">
        <f t="shared" si="123"/>
        <v>726185.11831620021</v>
      </c>
      <c r="BX103" s="3">
        <f t="shared" si="95"/>
        <v>2.1708699150375606E-2</v>
      </c>
      <c r="BZ103" s="3">
        <f t="shared" si="96"/>
        <v>3.8267295767095748E-2</v>
      </c>
      <c r="CA103"/>
      <c r="CB103" s="14">
        <f>$CB$12*($AO$5/K103)/($AN$5*(1-0.53*((B103-$AM$5)^2))*(1+0.2*B103*B103))</f>
        <v>1.3629629629629629</v>
      </c>
      <c r="CC103" s="1">
        <f t="shared" si="124"/>
        <v>1.9074074074074074</v>
      </c>
      <c r="CD103" s="3">
        <f t="shared" si="97"/>
        <v>6.6096526573542078E-2</v>
      </c>
      <c r="CE103" s="6">
        <f t="shared" si="98"/>
        <v>1.7272327518469539</v>
      </c>
      <c r="CF103" s="22" t="str">
        <f t="shared" si="125"/>
        <v/>
      </c>
      <c r="CG103" s="22"/>
      <c r="CH103" s="7">
        <f t="shared" si="99"/>
        <v>1.0387172224550367</v>
      </c>
      <c r="CI103" s="23">
        <f>CH103*(0.7*I103*B103*B103)*$N$5/9.80665</f>
        <v>104634.97903763806</v>
      </c>
      <c r="CK103" s="1">
        <f>B103/$AI$5</f>
        <v>1</v>
      </c>
      <c r="CL103" s="14">
        <f t="shared" si="126"/>
        <v>1.4515200000000053</v>
      </c>
      <c r="CM103" s="1">
        <f t="shared" si="100"/>
        <v>0.8569758833631711</v>
      </c>
      <c r="CN103" s="14">
        <f>SQRT((A103*9.80665)/(0.7*I103*$N$5*CM103))</f>
        <v>0.62120722662365568</v>
      </c>
      <c r="CO103" s="1">
        <f t="shared" si="101"/>
        <v>0.68112867881278838</v>
      </c>
      <c r="CP103" s="29" t="str">
        <f>IF(C103&lt;30,"",IF(CO103&gt;1,"no",""))</f>
        <v/>
      </c>
      <c r="CQ103" s="22"/>
      <c r="CR103" s="23">
        <f>CM103*(0.7*I103*B103*B103)*$N$5/9.80665</f>
        <v>86327.300301741489</v>
      </c>
      <c r="CS103"/>
      <c r="CT103" s="6">
        <f t="shared" si="102"/>
        <v>0.9341463414634148</v>
      </c>
      <c r="CU103" s="22" t="str">
        <f t="shared" si="127"/>
        <v/>
      </c>
      <c r="CV103" s="5"/>
      <c r="CW103" s="6">
        <f>IF(C103&lt;100,SQRT(2)*SQRT(SQRT(1+(2/1.4)*(10510/I103))-1),IF(I103&gt;$AW$5,SQRT(2)*SQRT(SQRT(1+(2/1.4)*($AV$5/I103))-1),$AS$5))</f>
        <v>0.82</v>
      </c>
      <c r="CX103" s="22" t="str">
        <f>IF(B103&gt;CW103,"no","")</f>
        <v/>
      </c>
    </row>
    <row r="104" spans="1:102" x14ac:dyDescent="0.2">
      <c r="A104">
        <v>58800</v>
      </c>
      <c r="B104" s="1">
        <v>0.75270000000000004</v>
      </c>
      <c r="C104" s="5">
        <v>383.5</v>
      </c>
      <c r="D104" s="1">
        <v>0</v>
      </c>
      <c r="E104" s="1">
        <v>0</v>
      </c>
      <c r="G104">
        <f t="shared" si="78"/>
        <v>38350</v>
      </c>
      <c r="H104" s="9">
        <f t="shared" si="79"/>
        <v>11689.080000046755</v>
      </c>
      <c r="I104" s="5">
        <f t="shared" si="103"/>
        <v>20301.739927207491</v>
      </c>
      <c r="J104" s="5">
        <v>0</v>
      </c>
      <c r="K104" s="6">
        <f t="shared" si="104"/>
        <v>216.65</v>
      </c>
      <c r="L104" s="5">
        <f t="shared" si="105"/>
        <v>295.06801842964956</v>
      </c>
      <c r="M104" s="10">
        <f t="shared" si="106"/>
        <v>1.4216130796413355E-5</v>
      </c>
      <c r="O104" s="6">
        <f>B104*L104</f>
        <v>222.09769747199724</v>
      </c>
      <c r="P104" s="1">
        <f>IF(E104=0,0,E104/9.80665)</f>
        <v>0</v>
      </c>
      <c r="Q104" s="7">
        <f>IF(D104=0,0,(D104/O104))</f>
        <v>0</v>
      </c>
      <c r="R104" s="19">
        <f t="shared" si="107"/>
        <v>1</v>
      </c>
      <c r="S104" s="19">
        <f t="shared" si="108"/>
        <v>0</v>
      </c>
      <c r="T104" s="19">
        <f t="shared" si="109"/>
        <v>0</v>
      </c>
      <c r="U104" s="19"/>
      <c r="V104" s="19"/>
      <c r="X104" s="1">
        <f>(A104*9.80665*R104)/(0.7*I104*B104*B104*$N$5)</f>
        <v>0.58511529631786263</v>
      </c>
      <c r="Y104" s="10">
        <f>(SQRT($N$5)*B104)*(I104/M104)*SQRT(1.4/(287.05*K104))</f>
        <v>56424844.374612153</v>
      </c>
      <c r="Z104" s="10">
        <f t="shared" si="110"/>
        <v>2.2107845873970767E-3</v>
      </c>
      <c r="AA104" s="3">
        <f t="shared" si="80"/>
        <v>1.8560172459226965E-2</v>
      </c>
      <c r="AB104" s="3">
        <f t="shared" si="81"/>
        <v>7.715937104093025E-3</v>
      </c>
      <c r="AC104" s="3">
        <f>IF($E$5="no",(1/((1+0.03+$Q$5)+AB104*3.141593*$S$5)),(1.075/((1+0.03+$Q$5)+AB104*3.141593*$S$5)))</f>
        <v>0.7769277277484451</v>
      </c>
      <c r="AD104" s="3">
        <f t="shared" si="82"/>
        <v>4.3126291890656046E-2</v>
      </c>
      <c r="AE104" s="1">
        <f t="shared" si="83"/>
        <v>0.67834993691609724</v>
      </c>
      <c r="AF104" s="1">
        <f>B104*$R$5/AE104</f>
        <v>1.0056429858296534</v>
      </c>
      <c r="AG104" s="8">
        <f t="shared" si="111"/>
        <v>1.0187708933393671E-3</v>
      </c>
      <c r="AH104" s="8"/>
      <c r="AI104" s="3">
        <f t="shared" si="112"/>
        <v>3.4343656762244219E-2</v>
      </c>
      <c r="AJ104" s="1">
        <f t="shared" si="113"/>
        <v>17.037070349512419</v>
      </c>
      <c r="AK104" s="1"/>
      <c r="AL104" s="1">
        <f t="shared" si="84"/>
        <v>5.8695537406677364E-2</v>
      </c>
      <c r="AM104" s="8">
        <f>AL104*(A104*9.80665)/(0.7*I104*B104*B104*$N$5)</f>
        <v>3.4343656762244212E-2</v>
      </c>
      <c r="AN104" s="1">
        <f>B104/$AI$5</f>
        <v>1</v>
      </c>
      <c r="AO104" s="1">
        <f>IF(B104&lt;0.4,1.3*(0.4-B104),0)</f>
        <v>0</v>
      </c>
      <c r="AP104" s="1">
        <f t="shared" si="114"/>
        <v>-0.43</v>
      </c>
      <c r="AQ104" s="1">
        <f t="shared" si="115"/>
        <v>0</v>
      </c>
      <c r="AR104" s="1">
        <f t="shared" si="85"/>
        <v>1</v>
      </c>
      <c r="AS104" s="1">
        <f t="shared" si="86"/>
        <v>0.30867472713898642</v>
      </c>
      <c r="AT104" s="1">
        <f>(((1+0.55*B104)/(1+0.55*$AI$5))/(AN104^2))</f>
        <v>1</v>
      </c>
      <c r="AU104" s="1">
        <f t="shared" si="87"/>
        <v>3.465254791234245E-2</v>
      </c>
      <c r="AV104" s="8">
        <f t="shared" si="88"/>
        <v>0.99108604796162136</v>
      </c>
      <c r="AW104" s="8">
        <f t="shared" si="116"/>
        <v>0.99996583282739471</v>
      </c>
      <c r="AX104" s="8"/>
      <c r="AY104" s="4"/>
      <c r="AZ104" s="1">
        <f t="shared" si="89"/>
        <v>0.30866418059630535</v>
      </c>
      <c r="BA104" s="14">
        <f t="shared" si="117"/>
        <v>0.30094757608139772</v>
      </c>
      <c r="BB104" s="1"/>
      <c r="BC104" s="14">
        <f t="shared" si="118"/>
        <v>5.1272650252140135</v>
      </c>
      <c r="BD104" s="14">
        <f>IF(0.7*(AM104*(B104^3)/BA104)*(I104*L104*$N$5/43000000)&lt;$AH$5*(1-0.178*(C104/100)+0.0085*((C104/100)^2)),$AH$5*(1-0.178*(C104/100)+0.0085*((C104/100)^2)),0.7*(AM104*(B104^3)/BA104)*(I104*L104*$N$5/43000000))</f>
        <v>0.58088188865157253</v>
      </c>
      <c r="BE104" s="4">
        <f t="shared" si="90"/>
        <v>2.6154340871760362E-3</v>
      </c>
      <c r="BF104" s="4"/>
      <c r="BG104" s="1">
        <f t="shared" si="91"/>
        <v>0.99643441918464859</v>
      </c>
      <c r="BH104" s="1">
        <f>0.6*$AN$5*(1-0.53*((B104-$AM$5)^2))*(1+((2/3)*AV104))</f>
        <v>5.5610639276427767</v>
      </c>
      <c r="BJ104" s="1">
        <f t="shared" si="92"/>
        <v>5.8707940100141904</v>
      </c>
      <c r="BK104" s="5">
        <f t="shared" si="93"/>
        <v>24.566316173651582</v>
      </c>
      <c r="BL104" s="5">
        <f t="shared" si="119"/>
        <v>1.590966135391064</v>
      </c>
      <c r="BM104" s="5">
        <f t="shared" si="120"/>
        <v>2.8981714108982626</v>
      </c>
      <c r="BN104" s="1">
        <f t="shared" si="121"/>
        <v>1.1668861217372146</v>
      </c>
      <c r="BO104" s="1">
        <f t="shared" si="94"/>
        <v>3.236051803831411</v>
      </c>
      <c r="BP104" s="9">
        <f>(1+0.2*B104*B104)*K104</f>
        <v>241.19892737570004</v>
      </c>
      <c r="BQ104" s="9">
        <f t="shared" si="128"/>
        <v>699.03583565958013</v>
      </c>
      <c r="BR104" s="9">
        <f t="shared" si="129"/>
        <v>1341.3226544151353</v>
      </c>
      <c r="BS104" s="9">
        <f t="shared" si="122"/>
        <v>780.53222401633559</v>
      </c>
      <c r="BU104" s="9">
        <f>((1+0.2*B104*B104)^3.5)*I104</f>
        <v>29559.129195336787</v>
      </c>
      <c r="BV104" s="9">
        <f t="shared" si="123"/>
        <v>726158.91363045876</v>
      </c>
      <c r="BX104" s="3">
        <f t="shared" si="95"/>
        <v>2.1734458522184023E-2</v>
      </c>
      <c r="BZ104" s="3">
        <f t="shared" si="96"/>
        <v>3.8358627298806638E-2</v>
      </c>
      <c r="CA104"/>
      <c r="CB104" s="14">
        <f>$CB$12*($AO$5/K104)/($AN$5*(1-0.53*((B104-$AM$5)^2))*(1+0.2*B104*B104))</f>
        <v>1.3629629629629629</v>
      </c>
      <c r="CC104" s="1">
        <f t="shared" si="124"/>
        <v>1.9074074074074074</v>
      </c>
      <c r="CD104" s="3">
        <f t="shared" si="97"/>
        <v>6.6096526573542078E-2</v>
      </c>
      <c r="CE104" s="6">
        <f t="shared" si="98"/>
        <v>1.7231202268700159</v>
      </c>
      <c r="CF104" s="22" t="str">
        <f t="shared" si="125"/>
        <v/>
      </c>
      <c r="CG104" s="22"/>
      <c r="CH104" s="7">
        <f t="shared" si="99"/>
        <v>1.0385741590495841</v>
      </c>
      <c r="CI104" s="23">
        <f>CH104*(0.7*I104*B104*B104)*$N$5/9.80665</f>
        <v>104369.44810094386</v>
      </c>
      <c r="CK104" s="1">
        <f>B104/$AI$5</f>
        <v>1</v>
      </c>
      <c r="CL104" s="14">
        <f t="shared" si="126"/>
        <v>1.4515200000000053</v>
      </c>
      <c r="CM104" s="1">
        <f t="shared" si="100"/>
        <v>0.8569758833631711</v>
      </c>
      <c r="CN104" s="14">
        <f>SQRT((A104*9.80665)/(0.7*I104*$N$5*CM104))</f>
        <v>0.62195410950749419</v>
      </c>
      <c r="CO104" s="1">
        <f t="shared" si="101"/>
        <v>0.68276751735602947</v>
      </c>
      <c r="CP104" s="29" t="str">
        <f>IF(C104&lt;30,"",IF(CO104&gt;1,"no",""))</f>
        <v/>
      </c>
      <c r="CQ104" s="22"/>
      <c r="CR104" s="23">
        <f>CM104*(0.7*I104*B104*B104)*$N$5/9.80665</f>
        <v>86120.089935881813</v>
      </c>
      <c r="CS104"/>
      <c r="CT104" s="6">
        <f t="shared" si="102"/>
        <v>0.93536585365853675</v>
      </c>
      <c r="CU104" s="22" t="str">
        <f t="shared" si="127"/>
        <v/>
      </c>
      <c r="CV104" s="5"/>
      <c r="CW104" s="6">
        <f>IF(C104&lt;100,SQRT(2)*SQRT(SQRT(1+(2/1.4)*(10510/I104))-1),IF(I104&gt;$AW$5,SQRT(2)*SQRT(SQRT(1+(2/1.4)*($AV$5/I104))-1),$AS$5))</f>
        <v>0.82</v>
      </c>
      <c r="CX104" s="22" t="str">
        <f>IF(B104&gt;CW104,"no","")</f>
        <v/>
      </c>
    </row>
    <row r="105" spans="1:102" x14ac:dyDescent="0.2">
      <c r="A105">
        <v>58800</v>
      </c>
      <c r="B105" s="1">
        <v>0.75270000000000004</v>
      </c>
      <c r="C105" s="5">
        <v>384</v>
      </c>
      <c r="D105" s="1">
        <v>0</v>
      </c>
      <c r="E105" s="1">
        <v>0</v>
      </c>
      <c r="G105">
        <f t="shared" si="78"/>
        <v>38400</v>
      </c>
      <c r="H105" s="9">
        <f t="shared" si="79"/>
        <v>11704.320000046817</v>
      </c>
      <c r="I105" s="5">
        <f t="shared" si="103"/>
        <v>20253.009908508873</v>
      </c>
      <c r="J105" s="5">
        <v>0</v>
      </c>
      <c r="K105" s="6">
        <f t="shared" si="104"/>
        <v>216.65</v>
      </c>
      <c r="L105" s="5">
        <f t="shared" si="105"/>
        <v>295.06801842964956</v>
      </c>
      <c r="M105" s="10">
        <f t="shared" si="106"/>
        <v>1.4216130796413355E-5</v>
      </c>
      <c r="O105" s="6">
        <f>B105*L105</f>
        <v>222.09769747199724</v>
      </c>
      <c r="P105" s="1">
        <f>IF(E105=0,0,E105/9.80665)</f>
        <v>0</v>
      </c>
      <c r="Q105" s="7">
        <f>IF(D105=0,0,(D105/O105))</f>
        <v>0</v>
      </c>
      <c r="R105" s="7">
        <f t="shared" si="107"/>
        <v>1</v>
      </c>
      <c r="S105" s="7">
        <f t="shared" si="108"/>
        <v>0</v>
      </c>
      <c r="T105" s="7">
        <f t="shared" si="109"/>
        <v>0</v>
      </c>
      <c r="U105" s="7"/>
      <c r="V105" s="7"/>
      <c r="X105" s="1">
        <f>(A105*9.80665*R105)/(0.7*I105*B105*B105*$N$5)</f>
        <v>0.58652312060962075</v>
      </c>
      <c r="Y105" s="10">
        <f>(SQRT($N$5)*B105)*(I105/M105)*SQRT(1.4/(287.05*K105))</f>
        <v>56289408.508952357</v>
      </c>
      <c r="Z105" s="10">
        <f t="shared" si="110"/>
        <v>2.2115285182659323E-3</v>
      </c>
      <c r="AA105" s="3">
        <f t="shared" si="80"/>
        <v>1.8566417972834402E-2</v>
      </c>
      <c r="AB105" s="3">
        <f t="shared" si="81"/>
        <v>7.7185335234034383E-3</v>
      </c>
      <c r="AC105" s="3">
        <f>IF($E$5="no",(1/((1+0.03+$Q$5)+AB105*3.141593*$S$5)),(1.075/((1+0.03+$Q$5)+AB105*3.141593*$S$5)))</f>
        <v>0.77688095561417114</v>
      </c>
      <c r="AD105" s="3">
        <f t="shared" si="82"/>
        <v>4.3128888309966459E-2</v>
      </c>
      <c r="AE105" s="1">
        <f t="shared" si="83"/>
        <v>0.67817854234912744</v>
      </c>
      <c r="AF105" s="1">
        <f>B105*$R$5/AE105</f>
        <v>1.005897139763049</v>
      </c>
      <c r="AG105" s="8">
        <f t="shared" si="111"/>
        <v>1.022561534742551E-3</v>
      </c>
      <c r="AH105" s="8"/>
      <c r="AI105" s="3">
        <f t="shared" si="112"/>
        <v>3.4425721247433864E-2</v>
      </c>
      <c r="AJ105" s="1">
        <f t="shared" si="113"/>
        <v>17.037351705546065</v>
      </c>
      <c r="AK105" s="1"/>
      <c r="AL105" s="1">
        <f t="shared" si="84"/>
        <v>5.8694568104412384E-2</v>
      </c>
      <c r="AM105" s="8">
        <f>AL105*(A105*9.80665)/(0.7*I105*B105*B105*$N$5)</f>
        <v>3.4425721247433864E-2</v>
      </c>
      <c r="AN105" s="1">
        <f>B105/$AI$5</f>
        <v>1</v>
      </c>
      <c r="AO105" s="1">
        <f>IF(B105&lt;0.4,1.3*(0.4-B105),0)</f>
        <v>0</v>
      </c>
      <c r="AP105" s="1">
        <f t="shared" si="114"/>
        <v>-0.43</v>
      </c>
      <c r="AQ105" s="1">
        <f t="shared" si="115"/>
        <v>0</v>
      </c>
      <c r="AR105" s="1">
        <f t="shared" si="85"/>
        <v>1</v>
      </c>
      <c r="AS105" s="1">
        <f t="shared" si="86"/>
        <v>0.30867472713898642</v>
      </c>
      <c r="AT105" s="1">
        <f>(((1+0.55*B105)/(1+0.55*$AI$5))/(AN105^2))</f>
        <v>1</v>
      </c>
      <c r="AU105" s="1">
        <f t="shared" si="87"/>
        <v>3.465254791234245E-2</v>
      </c>
      <c r="AV105" s="8">
        <f t="shared" si="88"/>
        <v>0.9934542572314633</v>
      </c>
      <c r="AW105" s="8">
        <f t="shared" si="116"/>
        <v>0.99998157589819148</v>
      </c>
      <c r="AX105" s="8"/>
      <c r="AY105" s="4"/>
      <c r="AZ105" s="1">
        <f t="shared" si="89"/>
        <v>0.30866904008438789</v>
      </c>
      <c r="BA105" s="14">
        <f t="shared" si="117"/>
        <v>0.30095231408227818</v>
      </c>
      <c r="BB105" s="1"/>
      <c r="BC105" s="14">
        <f t="shared" si="118"/>
        <v>5.1274304216177375</v>
      </c>
      <c r="BD105" s="14">
        <f>IF(0.7*(AM105*(B105^3)/BA105)*(I105*L105*$N$5/43000000)&lt;$AH$5*(1-0.178*(C105/100)+0.0085*((C105/100)^2)),$AH$5*(1-0.178*(C105/100)+0.0085*((C105/100)^2)),0.7*(AM105*(B105^3)/BA105)*(I105*L105*$N$5/43000000))</f>
        <v>0.58086315104472674</v>
      </c>
      <c r="BE105" s="4">
        <f t="shared" si="90"/>
        <v>2.6153497206694984E-3</v>
      </c>
      <c r="BF105" s="4"/>
      <c r="BG105" s="1">
        <f t="shared" si="91"/>
        <v>0.99738170289258521</v>
      </c>
      <c r="BH105" s="1">
        <f>0.6*$AN$5*(1-0.53*((B105-$AM$5)^2))*(1+((2/3)*AV105))</f>
        <v>5.5663506832546119</v>
      </c>
      <c r="BJ105" s="1">
        <f t="shared" si="92"/>
        <v>5.8644936243040782</v>
      </c>
      <c r="BK105" s="5">
        <f t="shared" si="93"/>
        <v>24.624744168985835</v>
      </c>
      <c r="BL105" s="5">
        <f t="shared" si="119"/>
        <v>1.5924786245934826</v>
      </c>
      <c r="BM105" s="5">
        <f t="shared" si="120"/>
        <v>2.9004606865922025</v>
      </c>
      <c r="BN105" s="1">
        <f t="shared" si="121"/>
        <v>1.1672547253699939</v>
      </c>
      <c r="BO105" s="1">
        <f t="shared" si="94"/>
        <v>3.2385921768679098</v>
      </c>
      <c r="BP105" s="9">
        <f>(1+0.2*B105*B105)*K105</f>
        <v>241.19892737570004</v>
      </c>
      <c r="BQ105" s="9">
        <f t="shared" si="128"/>
        <v>699.58800650142575</v>
      </c>
      <c r="BR105" s="9">
        <f t="shared" si="129"/>
        <v>1342.5978141980074</v>
      </c>
      <c r="BS105" s="9">
        <f t="shared" si="122"/>
        <v>781.14495926787322</v>
      </c>
      <c r="BU105" s="9">
        <f>((1+0.2*B105*B105)^3.5)*I105</f>
        <v>29488.178778103178</v>
      </c>
      <c r="BV105" s="9">
        <f t="shared" si="123"/>
        <v>726138.8584201081</v>
      </c>
      <c r="BX105" s="3">
        <f t="shared" si="95"/>
        <v>2.1760338703148783E-2</v>
      </c>
      <c r="BZ105" s="3">
        <f t="shared" si="96"/>
        <v>3.8450352056232602E-2</v>
      </c>
      <c r="CA105"/>
      <c r="CB105" s="14">
        <f>$CB$12*($AO$5/K105)/($AN$5*(1-0.53*((B105-$AM$5)^2))*(1+0.2*B105*B105))</f>
        <v>1.3629629629629629</v>
      </c>
      <c r="CC105" s="1">
        <f t="shared" si="124"/>
        <v>1.9074074074074074</v>
      </c>
      <c r="CD105" s="3">
        <f t="shared" si="97"/>
        <v>6.6096526573542078E-2</v>
      </c>
      <c r="CE105" s="6">
        <f t="shared" si="98"/>
        <v>1.7190096589200976</v>
      </c>
      <c r="CF105" s="22" t="str">
        <f t="shared" si="125"/>
        <v/>
      </c>
      <c r="CG105" s="22"/>
      <c r="CH105" s="7">
        <f t="shared" si="99"/>
        <v>1.0384308580647188</v>
      </c>
      <c r="CI105" s="23">
        <f>CH105*(0.7*I105*B105*B105)*$N$5/9.80665</f>
        <v>104104.56520578622</v>
      </c>
      <c r="CK105" s="1">
        <f>B105/$AI$5</f>
        <v>1</v>
      </c>
      <c r="CL105" s="14">
        <f t="shared" si="126"/>
        <v>1.4515200000000053</v>
      </c>
      <c r="CM105" s="1">
        <f t="shared" si="100"/>
        <v>0.8569758833631711</v>
      </c>
      <c r="CN105" s="14">
        <f>SQRT((A105*9.80665)/(0.7*I105*$N$5*CM105))</f>
        <v>0.622701890375159</v>
      </c>
      <c r="CO105" s="1">
        <f t="shared" si="101"/>
        <v>0.684410299048127</v>
      </c>
      <c r="CP105" s="29" t="str">
        <f>IF(C105&lt;30,"",IF(CO105&gt;1,"no",""))</f>
        <v/>
      </c>
      <c r="CQ105" s="22"/>
      <c r="CR105" s="23">
        <f>CM105*(0.7*I105*B105*B105)*$N$5/9.80665</f>
        <v>85913.376934535656</v>
      </c>
      <c r="CS105"/>
      <c r="CT105" s="6">
        <f t="shared" si="102"/>
        <v>0.9365853658536587</v>
      </c>
      <c r="CU105" s="22" t="str">
        <f t="shared" si="127"/>
        <v/>
      </c>
      <c r="CV105" s="5"/>
      <c r="CW105" s="6">
        <f>IF(C105&lt;100,SQRT(2)*SQRT(SQRT(1+(2/1.4)*(10510/I105))-1),IF(I105&gt;$AW$5,SQRT(2)*SQRT(SQRT(1+(2/1.4)*($AV$5/I105))-1),$AS$5))</f>
        <v>0.82</v>
      </c>
      <c r="CX105" s="22" t="str">
        <f>IF(B105&gt;CW105,"no","")</f>
        <v/>
      </c>
    </row>
    <row r="106" spans="1:102" x14ac:dyDescent="0.2">
      <c r="A106">
        <v>58800</v>
      </c>
      <c r="B106" s="1">
        <v>0.75270000000000004</v>
      </c>
      <c r="C106" s="5">
        <v>384.5</v>
      </c>
      <c r="D106" s="1">
        <v>0</v>
      </c>
      <c r="E106" s="1">
        <v>0</v>
      </c>
      <c r="G106">
        <f t="shared" si="78"/>
        <v>38450</v>
      </c>
      <c r="H106" s="9">
        <f t="shared" si="79"/>
        <v>11719.560000046878</v>
      </c>
      <c r="I106" s="5">
        <f t="shared" si="103"/>
        <v>20204.396855879713</v>
      </c>
      <c r="J106" s="5">
        <v>0</v>
      </c>
      <c r="K106" s="6">
        <f t="shared" si="104"/>
        <v>216.65</v>
      </c>
      <c r="L106" s="5">
        <f t="shared" si="105"/>
        <v>295.06801842964956</v>
      </c>
      <c r="M106" s="10">
        <f t="shared" si="106"/>
        <v>1.4216130796413355E-5</v>
      </c>
      <c r="O106" s="6">
        <f>B106*L106</f>
        <v>222.09769747199724</v>
      </c>
      <c r="P106" s="1">
        <f>IF(E106=0,0,E106/9.80665)</f>
        <v>0</v>
      </c>
      <c r="Q106" s="7">
        <f>IF(D106=0,0,(D106/O106))</f>
        <v>0</v>
      </c>
      <c r="R106" s="7">
        <f t="shared" si="107"/>
        <v>1</v>
      </c>
      <c r="S106" s="7">
        <f t="shared" si="108"/>
        <v>0</v>
      </c>
      <c r="T106" s="7">
        <f t="shared" si="109"/>
        <v>0</v>
      </c>
      <c r="U106" s="7"/>
      <c r="V106" s="7"/>
      <c r="X106" s="1">
        <f>(A106*9.80665*R106)/(0.7*I106*B106*B106*$N$5)</f>
        <v>0.58793433221538149</v>
      </c>
      <c r="Y106" s="10">
        <f>(SQRT($N$5)*B106)*(I106/M106)*SQRT(1.4/(287.05*K106))</f>
        <v>56154297.728348814</v>
      </c>
      <c r="Z106" s="10">
        <f t="shared" si="110"/>
        <v>2.2122726994681496E-3</v>
      </c>
      <c r="AA106" s="3">
        <f t="shared" si="80"/>
        <v>1.857266558806241E-2</v>
      </c>
      <c r="AB106" s="3">
        <f t="shared" si="81"/>
        <v>7.7211308164111285E-3</v>
      </c>
      <c r="AC106" s="3">
        <f>IF($E$5="no",(1/((1+0.03+$Q$5)+AB106*3.141593*$S$5)),(1.075/((1+0.03+$Q$5)+AB106*3.141593*$S$5)))</f>
        <v>0.77683417337503391</v>
      </c>
      <c r="AD106" s="3">
        <f t="shared" si="82"/>
        <v>4.3131485602974147E-2</v>
      </c>
      <c r="AE106" s="1">
        <f t="shared" si="83"/>
        <v>0.67800673539602396</v>
      </c>
      <c r="AF106" s="1">
        <f>B106*$R$5/AE106</f>
        <v>1.0061520341670362</v>
      </c>
      <c r="AG106" s="8">
        <f t="shared" si="111"/>
        <v>1.0263702898859822E-3</v>
      </c>
      <c r="AH106" s="8"/>
      <c r="AI106" s="3">
        <f t="shared" si="112"/>
        <v>3.4508157579707516E-2</v>
      </c>
      <c r="AJ106" s="1">
        <f t="shared" si="113"/>
        <v>17.037546291985048</v>
      </c>
      <c r="AK106" s="1"/>
      <c r="AL106" s="1">
        <f t="shared" si="84"/>
        <v>5.8693897751604572E-2</v>
      </c>
      <c r="AM106" s="8">
        <f>AL106*(A106*9.80665)/(0.7*I106*B106*B106*$N$5)</f>
        <v>3.4508157579707516E-2</v>
      </c>
      <c r="AN106" s="1">
        <f>B106/$AI$5</f>
        <v>1</v>
      </c>
      <c r="AO106" s="1">
        <f>IF(B106&lt;0.4,1.3*(0.4-B106),0)</f>
        <v>0</v>
      </c>
      <c r="AP106" s="1">
        <f t="shared" si="114"/>
        <v>-0.43</v>
      </c>
      <c r="AQ106" s="1">
        <f t="shared" si="115"/>
        <v>0</v>
      </c>
      <c r="AR106" s="1">
        <f t="shared" si="85"/>
        <v>1</v>
      </c>
      <c r="AS106" s="1">
        <f t="shared" si="86"/>
        <v>0.30867472713898642</v>
      </c>
      <c r="AT106" s="1">
        <f>(((1+0.55*B106)/(1+0.55*$AI$5))/(AN106^2))</f>
        <v>1</v>
      </c>
      <c r="AU106" s="1">
        <f t="shared" si="87"/>
        <v>3.465254791234245E-2</v>
      </c>
      <c r="AV106" s="8">
        <f t="shared" si="88"/>
        <v>0.99583319722982022</v>
      </c>
      <c r="AW106" s="8">
        <f t="shared" si="116"/>
        <v>0.99999253423450996</v>
      </c>
      <c r="AX106" s="8"/>
      <c r="AY106" s="4"/>
      <c r="AZ106" s="1">
        <f t="shared" si="89"/>
        <v>0.30867242264586087</v>
      </c>
      <c r="BA106" s="14">
        <f t="shared" si="117"/>
        <v>0.30095561207971433</v>
      </c>
      <c r="BB106" s="1"/>
      <c r="BC106" s="14">
        <f t="shared" si="118"/>
        <v>5.1275451726408274</v>
      </c>
      <c r="BD106" s="14">
        <f>IF(0.7*(AM106*(B106^3)/BA106)*(I106*L106*$N$5/43000000)&lt;$AH$5*(1-0.178*(C106/100)+0.0085*((C106/100)^2)),$AH$5*(1-0.178*(C106/100)+0.0085*((C106/100)^2)),0.7*(AM106*(B106^3)/BA106)*(I106*L106*$N$5/43000000))</f>
        <v>0.58085015171685839</v>
      </c>
      <c r="BE106" s="4">
        <f t="shared" si="90"/>
        <v>2.6152911908962667E-3</v>
      </c>
      <c r="BF106" s="4"/>
      <c r="BG106" s="1">
        <f t="shared" si="91"/>
        <v>0.99833327889192791</v>
      </c>
      <c r="BH106" s="1">
        <f>0.6*$AN$5*(1-0.53*((B106-$AM$5)^2))*(1+((2/3)*AV106))</f>
        <v>5.5716613939872719</v>
      </c>
      <c r="BJ106" s="1">
        <f t="shared" si="92"/>
        <v>5.8581775100417079</v>
      </c>
      <c r="BK106" s="5">
        <f t="shared" si="93"/>
        <v>24.683520776933779</v>
      </c>
      <c r="BL106" s="5">
        <f t="shared" si="119"/>
        <v>1.5939979671222604</v>
      </c>
      <c r="BM106" s="5">
        <f t="shared" si="120"/>
        <v>2.9027599653305511</v>
      </c>
      <c r="BN106" s="1">
        <f t="shared" si="121"/>
        <v>1.1676247639623138</v>
      </c>
      <c r="BO106" s="1">
        <f t="shared" si="94"/>
        <v>3.2411475148561379</v>
      </c>
      <c r="BP106" s="9">
        <f>(1+0.2*B106*B106)*K106</f>
        <v>241.19892737570004</v>
      </c>
      <c r="BQ106" s="9">
        <f t="shared" si="128"/>
        <v>700.14259006685313</v>
      </c>
      <c r="BR106" s="9">
        <f t="shared" si="129"/>
        <v>1343.8787519303276</v>
      </c>
      <c r="BS106" s="9">
        <f t="shared" si="122"/>
        <v>781.76130404971627</v>
      </c>
      <c r="BU106" s="9">
        <f>((1+0.2*B106*B106)^3.5)*I106</f>
        <v>29417.398662290576</v>
      </c>
      <c r="BV106" s="9">
        <f t="shared" si="123"/>
        <v>726124.97108399344</v>
      </c>
      <c r="BX106" s="3">
        <f t="shared" si="95"/>
        <v>2.1786340317902168E-2</v>
      </c>
      <c r="BZ106" s="3">
        <f t="shared" si="96"/>
        <v>3.8542471903966612E-2</v>
      </c>
      <c r="CA106"/>
      <c r="CB106" s="14">
        <f>$CB$12*($AO$5/K106)/($AN$5*(1-0.53*((B106-$AM$5)^2))*(1+0.2*B106*B106))</f>
        <v>1.3629629629629629</v>
      </c>
      <c r="CC106" s="1">
        <f t="shared" si="124"/>
        <v>1.9074074074074074</v>
      </c>
      <c r="CD106" s="3">
        <f t="shared" si="97"/>
        <v>6.6096526573542078E-2</v>
      </c>
      <c r="CE106" s="6">
        <f t="shared" si="98"/>
        <v>1.7149010768751376</v>
      </c>
      <c r="CF106" s="22" t="str">
        <f t="shared" si="125"/>
        <v/>
      </c>
      <c r="CG106" s="22"/>
      <c r="CH106" s="7">
        <f t="shared" si="99"/>
        <v>1.0382873183380932</v>
      </c>
      <c r="CI106" s="23">
        <f>CH106*(0.7*I106*B106*B106)*$N$5/9.80665</f>
        <v>103840.32871193955</v>
      </c>
      <c r="CK106" s="1">
        <f>B106/$AI$5</f>
        <v>1</v>
      </c>
      <c r="CL106" s="14">
        <f t="shared" si="126"/>
        <v>1.4515200000000053</v>
      </c>
      <c r="CM106" s="1">
        <f t="shared" si="100"/>
        <v>0.8569758833631711</v>
      </c>
      <c r="CN106" s="14">
        <f>SQRT((A106*9.80665)/(0.7*I106*$N$5*CM106))</f>
        <v>0.62345057030630358</v>
      </c>
      <c r="CO106" s="1">
        <f t="shared" si="101"/>
        <v>0.68605703337654533</v>
      </c>
      <c r="CP106" s="29" t="str">
        <f>IF(C106&lt;30,"",IF(CO106&gt;1,"no",""))</f>
        <v/>
      </c>
      <c r="CQ106" s="22"/>
      <c r="CR106" s="23">
        <f>CM106*(0.7*I106*B106*B106)*$N$5/9.80665</f>
        <v>85707.160103885079</v>
      </c>
      <c r="CS106"/>
      <c r="CT106" s="6">
        <f t="shared" si="102"/>
        <v>0.93780487804878065</v>
      </c>
      <c r="CU106" s="22" t="str">
        <f t="shared" si="127"/>
        <v/>
      </c>
      <c r="CV106" s="5"/>
      <c r="CW106" s="6">
        <f>IF(C106&lt;100,SQRT(2)*SQRT(SQRT(1+(2/1.4)*(10510/I106))-1),IF(I106&gt;$AW$5,SQRT(2)*SQRT(SQRT(1+(2/1.4)*($AV$5/I106))-1),$AS$5))</f>
        <v>0.82</v>
      </c>
      <c r="CX106" s="22" t="str">
        <f>IF(B106&gt;CW106,"no","")</f>
        <v/>
      </c>
    </row>
    <row r="107" spans="1:102" x14ac:dyDescent="0.2">
      <c r="A107">
        <v>58800</v>
      </c>
      <c r="B107" s="1">
        <v>0.75270000000000004</v>
      </c>
      <c r="C107" s="5">
        <v>385</v>
      </c>
      <c r="D107" s="1">
        <v>0</v>
      </c>
      <c r="E107" s="1">
        <v>0</v>
      </c>
      <c r="G107">
        <f t="shared" si="78"/>
        <v>38500</v>
      </c>
      <c r="H107" s="9">
        <f t="shared" si="79"/>
        <v>11734.800000046938</v>
      </c>
      <c r="I107" s="5">
        <f t="shared" si="103"/>
        <v>20155.900488567782</v>
      </c>
      <c r="J107" s="5">
        <v>0</v>
      </c>
      <c r="K107" s="6">
        <f t="shared" si="104"/>
        <v>216.65</v>
      </c>
      <c r="L107" s="5">
        <f t="shared" si="105"/>
        <v>295.06801842964956</v>
      </c>
      <c r="M107" s="10">
        <f t="shared" si="106"/>
        <v>1.4216130796413355E-5</v>
      </c>
      <c r="O107" s="6">
        <f>B107*L107</f>
        <v>222.09769747199724</v>
      </c>
      <c r="P107" s="1">
        <f>IF(E107=0,0,E107/9.80665)</f>
        <v>0</v>
      </c>
      <c r="Q107" s="7">
        <f>IF(D107=0,0,(D107/O107))</f>
        <v>0</v>
      </c>
      <c r="R107" s="19">
        <f t="shared" si="107"/>
        <v>1</v>
      </c>
      <c r="S107" s="19">
        <f t="shared" si="108"/>
        <v>0</v>
      </c>
      <c r="T107" s="19">
        <f t="shared" si="109"/>
        <v>0</v>
      </c>
      <c r="U107" s="19"/>
      <c r="V107" s="19"/>
      <c r="X107" s="1">
        <f>(A107*9.80665*R107)/(0.7*I107*B107*B107*$N$5)</f>
        <v>0.58934893928523613</v>
      </c>
      <c r="Y107" s="10">
        <f>(SQRT($N$5)*B107)*(I107/M107)*SQRT(1.4/(287.05*K107))</f>
        <v>56019511.252503827</v>
      </c>
      <c r="Z107" s="10">
        <f t="shared" si="110"/>
        <v>2.2130171310879654E-3</v>
      </c>
      <c r="AA107" s="3">
        <f t="shared" si="80"/>
        <v>1.8578915305618181E-2</v>
      </c>
      <c r="AB107" s="3">
        <f t="shared" si="81"/>
        <v>7.7237289834100947E-3</v>
      </c>
      <c r="AC107" s="3">
        <f>IF($E$5="no",(1/((1+0.03+$Q$5)+AB107*3.141593*$S$5)),(1.075/((1+0.03+$Q$5)+AB107*3.141593*$S$5)))</f>
        <v>0.77678738103040701</v>
      </c>
      <c r="AD107" s="3">
        <f t="shared" si="82"/>
        <v>4.313408376997311E-2</v>
      </c>
      <c r="AE107" s="1">
        <f t="shared" si="83"/>
        <v>0.67783451506455961</v>
      </c>
      <c r="AF107" s="1">
        <f>B107*$R$5/AE107</f>
        <v>1.006407671543087</v>
      </c>
      <c r="AG107" s="8">
        <f t="shared" si="111"/>
        <v>1.0301972579554914E-3</v>
      </c>
      <c r="AH107" s="8"/>
      <c r="AI107" s="3">
        <f t="shared" si="112"/>
        <v>3.459096757683533E-2</v>
      </c>
      <c r="AJ107" s="1">
        <f t="shared" si="113"/>
        <v>17.037654063192722</v>
      </c>
      <c r="AK107" s="1"/>
      <c r="AL107" s="1">
        <f t="shared" si="84"/>
        <v>5.869352648498416E-2</v>
      </c>
      <c r="AM107" s="8">
        <f>AL107*(A107*9.80665)/(0.7*I107*B107*B107*$N$5)</f>
        <v>3.4590967576835323E-2</v>
      </c>
      <c r="AN107" s="1">
        <f>B107/$AI$5</f>
        <v>1</v>
      </c>
      <c r="AO107" s="1">
        <f>IF(B107&lt;0.4,1.3*(0.4-B107),0)</f>
        <v>0</v>
      </c>
      <c r="AP107" s="1">
        <f t="shared" si="114"/>
        <v>-0.43</v>
      </c>
      <c r="AQ107" s="1">
        <f t="shared" si="115"/>
        <v>0</v>
      </c>
      <c r="AR107" s="1">
        <f t="shared" si="85"/>
        <v>1</v>
      </c>
      <c r="AS107" s="1">
        <f t="shared" si="86"/>
        <v>0.30867472713898642</v>
      </c>
      <c r="AT107" s="1">
        <f>(((1+0.55*B107)/(1+0.55*$AI$5))/(AN107^2))</f>
        <v>1</v>
      </c>
      <c r="AU107" s="1">
        <f t="shared" si="87"/>
        <v>3.465254791234245E-2</v>
      </c>
      <c r="AV107" s="8">
        <f t="shared" si="88"/>
        <v>0.99822292041373406</v>
      </c>
      <c r="AW107" s="8">
        <f t="shared" si="116"/>
        <v>0.99999864205490197</v>
      </c>
      <c r="AX107" s="8"/>
      <c r="AY107" s="4"/>
      <c r="AZ107" s="1">
        <f t="shared" si="89"/>
        <v>0.30867430797565382</v>
      </c>
      <c r="BA107" s="14">
        <f t="shared" si="117"/>
        <v>0.30095745027626247</v>
      </c>
      <c r="BB107" s="1"/>
      <c r="BC107" s="14">
        <f t="shared" si="118"/>
        <v>5.1276089255474853</v>
      </c>
      <c r="BD107" s="14">
        <f>IF(0.7*(AM107*(B107^3)/BA107)*(I107*L107*$N$5/43000000)&lt;$AH$5*(1-0.178*(C107/100)+0.0085*((C107/100)^2)),$AH$5*(1-0.178*(C107/100)+0.0085*((C107/100)^2)),0.7*(AM107*(B107^3)/BA107)*(I107*L107*$N$5/43000000))</f>
        <v>0.58084292985457486</v>
      </c>
      <c r="BE107" s="4">
        <f t="shared" si="90"/>
        <v>2.6152586742949433E-3</v>
      </c>
      <c r="BF107" s="4"/>
      <c r="BG107" s="1">
        <f t="shared" si="91"/>
        <v>0.99928916816549351</v>
      </c>
      <c r="BH107" s="1">
        <f>0.6*$AN$5*(1-0.53*((B107-$AM$5)^2))*(1+((2/3)*AV107))</f>
        <v>5.5769961769450864</v>
      </c>
      <c r="BJ107" s="1">
        <f t="shared" si="92"/>
        <v>5.8518456636924965</v>
      </c>
      <c r="BK107" s="5">
        <f t="shared" si="93"/>
        <v>24.742648474160053</v>
      </c>
      <c r="BL107" s="5">
        <f t="shared" si="119"/>
        <v>1.5955241964798037</v>
      </c>
      <c r="BM107" s="5">
        <f t="shared" si="120"/>
        <v>2.9050692931989603</v>
      </c>
      <c r="BN107" s="1">
        <f t="shared" si="121"/>
        <v>1.1679962428526021</v>
      </c>
      <c r="BO107" s="1">
        <f t="shared" si="94"/>
        <v>3.2437179089829851</v>
      </c>
      <c r="BP107" s="9">
        <f>(1+0.2*B107*B107)*K107</f>
        <v>241.19892737570004</v>
      </c>
      <c r="BQ107" s="9">
        <f t="shared" si="128"/>
        <v>700.69959747167229</v>
      </c>
      <c r="BR107" s="9">
        <f t="shared" si="129"/>
        <v>1345.1654958575346</v>
      </c>
      <c r="BS107" s="9">
        <f t="shared" si="122"/>
        <v>782.38128035604461</v>
      </c>
      <c r="BU107" s="9">
        <f>((1+0.2*B107*B107)^3.5)*I107</f>
        <v>29346.788439126562</v>
      </c>
      <c r="BV107" s="9">
        <f t="shared" si="123"/>
        <v>726117.27019485272</v>
      </c>
      <c r="BX107" s="3">
        <f t="shared" si="95"/>
        <v>2.181246399447823E-2</v>
      </c>
      <c r="BZ107" s="3">
        <f t="shared" si="96"/>
        <v>3.8634988715703478E-2</v>
      </c>
      <c r="CA107"/>
      <c r="CB107" s="14">
        <f>$CB$12*($AO$5/K107)/($AN$5*(1-0.53*((B107-$AM$5)^2))*(1+0.2*B107*B107))</f>
        <v>1.3629629629629629</v>
      </c>
      <c r="CC107" s="1">
        <f t="shared" si="124"/>
        <v>1.9074074074074074</v>
      </c>
      <c r="CD107" s="3">
        <f t="shared" si="97"/>
        <v>6.6096526573542078E-2</v>
      </c>
      <c r="CE107" s="6">
        <f t="shared" si="98"/>
        <v>1.7107945096066937</v>
      </c>
      <c r="CF107" s="22" t="str">
        <f t="shared" si="125"/>
        <v/>
      </c>
      <c r="CG107" s="22"/>
      <c r="CH107" s="7">
        <f t="shared" si="99"/>
        <v>1.0381435387000322</v>
      </c>
      <c r="CI107" s="23">
        <f>CH107*(0.7*I107*B107*B107)*$N$5/9.80665</f>
        <v>103576.73698300841</v>
      </c>
      <c r="CK107" s="1">
        <f>B107/$AI$5</f>
        <v>1</v>
      </c>
      <c r="CL107" s="14">
        <f t="shared" si="126"/>
        <v>1.4515200000000053</v>
      </c>
      <c r="CM107" s="1">
        <f t="shared" si="100"/>
        <v>0.8569758833631711</v>
      </c>
      <c r="CN107" s="14">
        <f>SQRT((A107*9.80665)/(0.7*I107*$N$5*CM107))</f>
        <v>0.62420015038187993</v>
      </c>
      <c r="CO107" s="1">
        <f t="shared" si="101"/>
        <v>0.68770772985157691</v>
      </c>
      <c r="CP107" s="29" t="str">
        <f>IF(C107&lt;30,"",IF(CO107&gt;1,"no",""))</f>
        <v/>
      </c>
      <c r="CQ107" s="22"/>
      <c r="CR107" s="23">
        <f>CM107*(0.7*I107*B107*B107)*$N$5/9.80665</f>
        <v>85501.438252977619</v>
      </c>
      <c r="CS107"/>
      <c r="CT107" s="6">
        <f t="shared" si="102"/>
        <v>0.93902439024390261</v>
      </c>
      <c r="CU107" s="22" t="str">
        <f t="shared" si="127"/>
        <v/>
      </c>
      <c r="CV107" s="5"/>
      <c r="CW107" s="6">
        <f>IF(C107&lt;100,SQRT(2)*SQRT(SQRT(1+(2/1.4)*(10510/I107))-1),IF(I107&gt;$AW$5,SQRT(2)*SQRT(SQRT(1+(2/1.4)*($AV$5/I107))-1),$AS$5))</f>
        <v>0.82</v>
      </c>
      <c r="CX107" s="22" t="str">
        <f>IF(B107&gt;CW107,"no","")</f>
        <v/>
      </c>
    </row>
    <row r="108" spans="1:102" x14ac:dyDescent="0.2">
      <c r="A108">
        <v>58800</v>
      </c>
      <c r="B108" s="1">
        <v>0.75270000000000004</v>
      </c>
      <c r="C108" s="5">
        <v>385.5</v>
      </c>
      <c r="D108" s="1">
        <v>0</v>
      </c>
      <c r="E108" s="1">
        <v>0</v>
      </c>
      <c r="G108">
        <f t="shared" si="78"/>
        <v>38550</v>
      </c>
      <c r="H108" s="9">
        <f t="shared" si="79"/>
        <v>11750.040000047</v>
      </c>
      <c r="I108" s="5">
        <f t="shared" si="103"/>
        <v>20107.520526494722</v>
      </c>
      <c r="J108" s="5">
        <v>0</v>
      </c>
      <c r="K108" s="6">
        <f t="shared" si="104"/>
        <v>216.65</v>
      </c>
      <c r="L108" s="5">
        <f t="shared" si="105"/>
        <v>295.06801842964956</v>
      </c>
      <c r="M108" s="10">
        <f t="shared" si="106"/>
        <v>1.4216130796413355E-5</v>
      </c>
      <c r="O108" s="6">
        <f>B108*L108</f>
        <v>222.09769747199724</v>
      </c>
      <c r="P108" s="1">
        <f>IF(E108=0,0,E108/9.80665)</f>
        <v>0</v>
      </c>
      <c r="Q108" s="7">
        <f>IF(D108=0,0,(D108/O108))</f>
        <v>0</v>
      </c>
      <c r="R108" s="19">
        <f t="shared" si="107"/>
        <v>1</v>
      </c>
      <c r="S108" s="19">
        <f t="shared" si="108"/>
        <v>0</v>
      </c>
      <c r="T108" s="19">
        <f t="shared" si="109"/>
        <v>0</v>
      </c>
      <c r="U108" s="19"/>
      <c r="V108" s="19"/>
      <c r="X108" s="1">
        <f>(A108*9.80665*R108)/(0.7*I108*B108*B108*$N$5)</f>
        <v>0.59076694998888546</v>
      </c>
      <c r="Y108" s="10">
        <f>(SQRT($N$5)*B108)*(I108/M108)*SQRT(1.4/(287.05*K108))</f>
        <v>55885048.302992605</v>
      </c>
      <c r="Z108" s="10">
        <f t="shared" si="110"/>
        <v>2.2137618132096453E-3</v>
      </c>
      <c r="AA108" s="3">
        <f t="shared" si="80"/>
        <v>1.858516712620915E-2</v>
      </c>
      <c r="AB108" s="3">
        <f t="shared" si="81"/>
        <v>7.7263280246944342E-3</v>
      </c>
      <c r="AC108" s="3">
        <f>IF($E$5="no",(1/((1+0.03+$Q$5)+AB108*3.141593*$S$5)),(1.075/((1+0.03+$Q$5)+AB108*3.141593*$S$5)))</f>
        <v>0.77674057857966483</v>
      </c>
      <c r="AD108" s="3">
        <f t="shared" si="82"/>
        <v>4.3136682811257453E-2</v>
      </c>
      <c r="AE108" s="1">
        <f t="shared" si="83"/>
        <v>0.67766188036011998</v>
      </c>
      <c r="AF108" s="1">
        <f>B108*$R$5/AE108</f>
        <v>1.0066640544029732</v>
      </c>
      <c r="AG108" s="8">
        <f t="shared" si="111"/>
        <v>1.0340425387511214E-3</v>
      </c>
      <c r="AH108" s="8"/>
      <c r="AI108" s="3">
        <f t="shared" si="112"/>
        <v>3.4674153065600899E-2</v>
      </c>
      <c r="AJ108" s="1">
        <f t="shared" si="113"/>
        <v>17.037674975685739</v>
      </c>
      <c r="AK108" s="1"/>
      <c r="AL108" s="1">
        <f t="shared" si="84"/>
        <v>5.8693454442996944E-2</v>
      </c>
      <c r="AM108" s="8">
        <f>AL108*(A108*9.80665)/(0.7*I108*B108*B108*$N$5)</f>
        <v>3.4674153065600906E-2</v>
      </c>
      <c r="AN108" s="1">
        <f>B108/$AI$5</f>
        <v>1</v>
      </c>
      <c r="AO108" s="1">
        <f>IF(B108&lt;0.4,1.3*(0.4-B108),0)</f>
        <v>0</v>
      </c>
      <c r="AP108" s="1">
        <f t="shared" si="114"/>
        <v>-0.43</v>
      </c>
      <c r="AQ108" s="1">
        <f t="shared" si="115"/>
        <v>0</v>
      </c>
      <c r="AR108" s="1">
        <f t="shared" si="85"/>
        <v>1</v>
      </c>
      <c r="AS108" s="1">
        <f t="shared" si="86"/>
        <v>0.30867472713898642</v>
      </c>
      <c r="AT108" s="1">
        <f>(((1+0.55*B108)/(1+0.55*$AI$5))/(AN108^2))</f>
        <v>1</v>
      </c>
      <c r="AU108" s="1">
        <f t="shared" si="87"/>
        <v>3.465254791234245E-2</v>
      </c>
      <c r="AV108" s="8">
        <f t="shared" si="88"/>
        <v>1.0006234795003561</v>
      </c>
      <c r="AW108" s="8">
        <f t="shared" si="116"/>
        <v>0.99999983284752447</v>
      </c>
      <c r="AX108" s="8"/>
      <c r="AY108" s="4"/>
      <c r="AZ108" s="1">
        <f t="shared" si="89"/>
        <v>0.30867467554324163</v>
      </c>
      <c r="BA108" s="14">
        <f t="shared" si="117"/>
        <v>0.3009578086546606</v>
      </c>
      <c r="BB108" s="1"/>
      <c r="BC108" s="14">
        <f t="shared" si="118"/>
        <v>5.1276213252527283</v>
      </c>
      <c r="BD108" s="14">
        <f>IF(0.7*(AM108*(B108^3)/BA108)*(I108*L108*$N$5/43000000)&lt;$AH$5*(1-0.178*(C108/100)+0.0085*((C108/100)^2)),$AH$5*(1-0.178*(C108/100)+0.0085*((C108/100)^2)),0.7*(AM108*(B108^3)/BA108)*(I108*L108*$N$5/43000000))</f>
        <v>0.58084152524985366</v>
      </c>
      <c r="BE108" s="4">
        <f t="shared" si="90"/>
        <v>2.6152523500298239E-3</v>
      </c>
      <c r="BF108" s="4"/>
      <c r="BG108" s="1">
        <f t="shared" si="91"/>
        <v>1.0002493918001423</v>
      </c>
      <c r="BH108" s="1">
        <f>0.6*$AN$5*(1-0.53*((B108-$AM$5)^2))*(1+((2/3)*AV108))</f>
        <v>5.5823551498130497</v>
      </c>
      <c r="BJ108" s="1">
        <f t="shared" si="92"/>
        <v>5.8454980820645188</v>
      </c>
      <c r="BK108" s="5">
        <f t="shared" si="93"/>
        <v>24.802129757472489</v>
      </c>
      <c r="BL108" s="5">
        <f t="shared" si="119"/>
        <v>1.5970573463346416</v>
      </c>
      <c r="BM108" s="5">
        <f t="shared" si="120"/>
        <v>2.9073887164892147</v>
      </c>
      <c r="BN108" s="1">
        <f t="shared" si="121"/>
        <v>1.1683691673936243</v>
      </c>
      <c r="BO108" s="1">
        <f t="shared" si="94"/>
        <v>3.2463034509583211</v>
      </c>
      <c r="BP108" s="9">
        <f>(1+0.2*B108*B108)*K108</f>
        <v>241.19892737570004</v>
      </c>
      <c r="BQ108" s="9">
        <f t="shared" si="128"/>
        <v>701.25903988141181</v>
      </c>
      <c r="BR108" s="9">
        <f t="shared" si="129"/>
        <v>1346.4580743651229</v>
      </c>
      <c r="BS108" s="9">
        <f t="shared" si="122"/>
        <v>783.00491030718047</v>
      </c>
      <c r="BU108" s="9">
        <f>((1+0.2*B108*B108)^3.5)*I108</f>
        <v>29276.347700819864</v>
      </c>
      <c r="BV108" s="9">
        <f t="shared" si="123"/>
        <v>726115.77450061566</v>
      </c>
      <c r="BX108" s="3">
        <f t="shared" si="95"/>
        <v>2.1838710364332929E-2</v>
      </c>
      <c r="BZ108" s="3">
        <f t="shared" si="96"/>
        <v>3.8727904374286026E-2</v>
      </c>
      <c r="CA108"/>
      <c r="CB108" s="14">
        <f>$CB$12*($AO$5/K108)/($AN$5*(1-0.53*((B108-$AM$5)^2))*(1+0.2*B108*B108))</f>
        <v>1.3629629629629629</v>
      </c>
      <c r="CC108" s="1">
        <f t="shared" si="124"/>
        <v>1.9074074074074074</v>
      </c>
      <c r="CD108" s="3">
        <f t="shared" si="97"/>
        <v>6.6096526573542078E-2</v>
      </c>
      <c r="CE108" s="6">
        <f t="shared" si="98"/>
        <v>1.7066899859788918</v>
      </c>
      <c r="CF108" s="22" t="str">
        <f t="shared" si="125"/>
        <v/>
      </c>
      <c r="CG108" s="22"/>
      <c r="CH108" s="7">
        <f t="shared" si="99"/>
        <v>1.0379995179734736</v>
      </c>
      <c r="CI108" s="23">
        <f>CH108*(0.7*I108*B108*B108)*$N$5/9.80665</f>
        <v>103313.78838641624</v>
      </c>
      <c r="CK108" s="1">
        <f>B108/$AI$5</f>
        <v>1</v>
      </c>
      <c r="CL108" s="14">
        <f t="shared" si="126"/>
        <v>1.4515200000000053</v>
      </c>
      <c r="CM108" s="1">
        <f t="shared" si="100"/>
        <v>0.8569758833631711</v>
      </c>
      <c r="CN108" s="14">
        <f>SQRT((A108*9.80665)/(0.7*I108*$N$5*CM108))</f>
        <v>0.62495063168413978</v>
      </c>
      <c r="CO108" s="1">
        <f t="shared" si="101"/>
        <v>0.68936239800639632</v>
      </c>
      <c r="CP108" s="29" t="str">
        <f>IF(C108&lt;30,"",IF(CO108&gt;1,"no",""))</f>
        <v/>
      </c>
      <c r="CQ108" s="22"/>
      <c r="CR108" s="23">
        <f>CM108*(0.7*I108*B108*B108)*$N$5/9.80665</f>
        <v>85296.210193719366</v>
      </c>
      <c r="CS108"/>
      <c r="CT108" s="6">
        <f t="shared" si="102"/>
        <v>0.94024390243902456</v>
      </c>
      <c r="CU108" s="22" t="str">
        <f t="shared" si="127"/>
        <v/>
      </c>
      <c r="CV108" s="5"/>
      <c r="CW108" s="6">
        <f>IF(C108&lt;100,SQRT(2)*SQRT(SQRT(1+(2/1.4)*(10510/I108))-1),IF(I108&gt;$AW$5,SQRT(2)*SQRT(SQRT(1+(2/1.4)*($AV$5/I108))-1),$AS$5))</f>
        <v>0.82</v>
      </c>
      <c r="CX108" s="22" t="str">
        <f>IF(B108&gt;CW108,"no","")</f>
        <v/>
      </c>
    </row>
    <row r="109" spans="1:102" x14ac:dyDescent="0.2">
      <c r="A109">
        <v>58800</v>
      </c>
      <c r="B109" s="1">
        <v>0.75270000000000004</v>
      </c>
      <c r="C109" s="5">
        <v>386</v>
      </c>
      <c r="D109" s="1">
        <v>0</v>
      </c>
      <c r="E109" s="1">
        <v>0</v>
      </c>
      <c r="G109">
        <f t="shared" si="78"/>
        <v>38600</v>
      </c>
      <c r="H109" s="9">
        <f t="shared" si="79"/>
        <v>11765.28000004706</v>
      </c>
      <c r="I109" s="5">
        <f t="shared" si="103"/>
        <v>20059.256690254479</v>
      </c>
      <c r="J109" s="5">
        <v>0</v>
      </c>
      <c r="K109" s="6">
        <f t="shared" si="104"/>
        <v>216.65</v>
      </c>
      <c r="L109" s="5">
        <f t="shared" si="105"/>
        <v>295.06801842964956</v>
      </c>
      <c r="M109" s="10">
        <f t="shared" si="106"/>
        <v>1.4216130796413355E-5</v>
      </c>
      <c r="O109" s="6">
        <f>B109*L109</f>
        <v>222.09769747199724</v>
      </c>
      <c r="P109" s="1">
        <f>IF(E109=0,0,E109/9.80665)</f>
        <v>0</v>
      </c>
      <c r="Q109" s="7">
        <f>IF(D109=0,0,(D109/O109))</f>
        <v>0</v>
      </c>
      <c r="R109" s="19">
        <f t="shared" si="107"/>
        <v>1</v>
      </c>
      <c r="S109" s="19">
        <f t="shared" si="108"/>
        <v>0</v>
      </c>
      <c r="T109" s="19">
        <f t="shared" si="109"/>
        <v>0</v>
      </c>
      <c r="U109" s="19"/>
      <c r="V109" s="19"/>
      <c r="X109" s="1">
        <f>(A109*9.80665*R109)/(0.7*I109*B109*B109*$N$5)</f>
        <v>0.59218837251568646</v>
      </c>
      <c r="Y109" s="10">
        <f>(SQRT($N$5)*B109)*(I109/M109)*SQRT(1.4/(287.05*K109))</f>
        <v>55750908.103258893</v>
      </c>
      <c r="Z109" s="10">
        <f t="shared" si="110"/>
        <v>2.2145067459174855E-3</v>
      </c>
      <c r="AA109" s="3">
        <f t="shared" si="80"/>
        <v>1.8591421050543004E-2</v>
      </c>
      <c r="AB109" s="3">
        <f t="shared" si="81"/>
        <v>7.7289279405583508E-3</v>
      </c>
      <c r="AC109" s="3">
        <f>IF($E$5="no",(1/((1+0.03+$Q$5)+AB109*3.141593*$S$5)),(1.075/((1+0.03+$Q$5)+AB109*3.141593*$S$5)))</f>
        <v>0.77669376602218276</v>
      </c>
      <c r="AD109" s="3">
        <f t="shared" si="82"/>
        <v>4.3139282727121371E-2</v>
      </c>
      <c r="AE109" s="1">
        <f t="shared" si="83"/>
        <v>0.67748883028569773</v>
      </c>
      <c r="AF109" s="1">
        <f>B109*$R$5/AE109</f>
        <v>1.0069211852688198</v>
      </c>
      <c r="AG109" s="8">
        <f t="shared" si="111"/>
        <v>1.0379062331265195E-3</v>
      </c>
      <c r="AH109" s="8"/>
      <c r="AI109" s="3">
        <f t="shared" si="112"/>
        <v>3.4757715882281791E-2</v>
      </c>
      <c r="AJ109" s="1">
        <f t="shared" si="113"/>
        <v>17.037608987924386</v>
      </c>
      <c r="AK109" s="1"/>
      <c r="AL109" s="1">
        <f t="shared" si="84"/>
        <v>5.8693681766541432E-2</v>
      </c>
      <c r="AM109" s="8">
        <f>AL109*(A109*9.80665)/(0.7*I109*B109*B109*$N$5)</f>
        <v>3.4757715882281791E-2</v>
      </c>
      <c r="AN109" s="1">
        <f>B109/$AI$5</f>
        <v>1</v>
      </c>
      <c r="AO109" s="1">
        <f>IF(B109&lt;0.4,1.3*(0.4-B109),0)</f>
        <v>0</v>
      </c>
      <c r="AP109" s="1">
        <f t="shared" si="114"/>
        <v>-0.43</v>
      </c>
      <c r="AQ109" s="1">
        <f t="shared" si="115"/>
        <v>0</v>
      </c>
      <c r="AR109" s="1">
        <f t="shared" si="85"/>
        <v>1</v>
      </c>
      <c r="AS109" s="1">
        <f t="shared" si="86"/>
        <v>0.30867472713898642</v>
      </c>
      <c r="AT109" s="1">
        <f>(((1+0.55*B109)/(1+0.55*$AI$5))/(AN109^2))</f>
        <v>1</v>
      </c>
      <c r="AU109" s="1">
        <f t="shared" si="87"/>
        <v>3.465254791234245E-2</v>
      </c>
      <c r="AV109" s="8">
        <f t="shared" si="88"/>
        <v>1.0030349274808126</v>
      </c>
      <c r="AW109" s="8">
        <f t="shared" si="116"/>
        <v>0.99999603936253012</v>
      </c>
      <c r="AX109" s="8"/>
      <c r="AY109" s="4"/>
      <c r="AZ109" s="1">
        <f t="shared" si="89"/>
        <v>0.30867350459029608</v>
      </c>
      <c r="BA109" s="14">
        <f t="shared" si="117"/>
        <v>0.30095666697553869</v>
      </c>
      <c r="BB109" s="1"/>
      <c r="BC109" s="14">
        <f t="shared" si="118"/>
        <v>5.1275820142382047</v>
      </c>
      <c r="BD109" s="14">
        <f>IF(0.7*(AM109*(B109^3)/BA109)*(I109*L109*$N$5/43000000)&lt;$AH$5*(1-0.178*(C109/100)+0.0085*((C109/100)^2)),$AH$5*(1-0.178*(C109/100)+0.0085*((C109/100)^2)),0.7*(AM109*(B109^3)/BA109)*(I109*L109*$N$5/43000000))</f>
        <v>0.58084597831751217</v>
      </c>
      <c r="BE109" s="4">
        <f t="shared" si="90"/>
        <v>2.6152724000695553E-3</v>
      </c>
      <c r="BF109" s="4"/>
      <c r="BG109" s="1">
        <f t="shared" si="91"/>
        <v>1.0012139709923249</v>
      </c>
      <c r="BH109" s="1">
        <f>0.6*$AN$5*(1-0.53*((B109-$AM$5)^2))*(1+((2/3)*AV109))</f>
        <v>5.5877384308877751</v>
      </c>
      <c r="BJ109" s="1">
        <f t="shared" si="92"/>
        <v>5.8391347622776202</v>
      </c>
      <c r="BK109" s="5">
        <f t="shared" si="93"/>
        <v>24.861967144317923</v>
      </c>
      <c r="BL109" s="5">
        <f t="shared" si="119"/>
        <v>1.5985974505302807</v>
      </c>
      <c r="BM109" s="5">
        <f t="shared" si="120"/>
        <v>2.9097182817122338</v>
      </c>
      <c r="BN109" s="1">
        <f t="shared" si="121"/>
        <v>1.1687435429544291</v>
      </c>
      <c r="BO109" s="1">
        <f t="shared" si="94"/>
        <v>3.2489042330310518</v>
      </c>
      <c r="BP109" s="9">
        <f>(1+0.2*B109*B109)*K109</f>
        <v>241.19892737570004</v>
      </c>
      <c r="BQ109" s="9">
        <f t="shared" si="128"/>
        <v>701.82092851445577</v>
      </c>
      <c r="BR109" s="9">
        <f t="shared" si="129"/>
        <v>1347.7565159861085</v>
      </c>
      <c r="BS109" s="9">
        <f t="shared" si="122"/>
        <v>783.63221615346106</v>
      </c>
      <c r="BU109" s="9">
        <f>((1+0.2*B109*B109)^3.5)*I109</f>
        <v>29206.076040558073</v>
      </c>
      <c r="BV109" s="9">
        <f t="shared" si="123"/>
        <v>726120.5029348057</v>
      </c>
      <c r="BX109" s="3">
        <f t="shared" si="95"/>
        <v>2.1865080062501381E-2</v>
      </c>
      <c r="BZ109" s="3">
        <f t="shared" si="96"/>
        <v>3.8821220772185909E-2</v>
      </c>
      <c r="CA109"/>
      <c r="CB109" s="14">
        <f>$CB$12*($AO$5/K109)/($AN$5*(1-0.53*((B109-$AM$5)^2))*(1+0.2*B109*B109))</f>
        <v>1.3629629629629629</v>
      </c>
      <c r="CC109" s="1">
        <f t="shared" si="124"/>
        <v>1.9074074074074074</v>
      </c>
      <c r="CD109" s="3">
        <f t="shared" si="97"/>
        <v>6.6096526573542078E-2</v>
      </c>
      <c r="CE109" s="6">
        <f t="shared" si="98"/>
        <v>1.7025875348283226</v>
      </c>
      <c r="CF109" s="22" t="str">
        <f t="shared" si="125"/>
        <v/>
      </c>
      <c r="CG109" s="22"/>
      <c r="CH109" s="7">
        <f t="shared" si="99"/>
        <v>1.0378552549690541</v>
      </c>
      <c r="CI109" s="23">
        <f>CH109*(0.7*I109*B109*B109)*$N$5/9.80665</f>
        <v>103051.48129291221</v>
      </c>
      <c r="CK109" s="1">
        <f>B109/$AI$5</f>
        <v>1</v>
      </c>
      <c r="CL109" s="14">
        <f t="shared" si="126"/>
        <v>1.4515200000000053</v>
      </c>
      <c r="CM109" s="1">
        <f t="shared" si="100"/>
        <v>0.8569758833631711</v>
      </c>
      <c r="CN109" s="14">
        <f>SQRT((A109*9.80665)/(0.7*I109*$N$5*CM109))</f>
        <v>0.62570201529663549</v>
      </c>
      <c r="CO109" s="1">
        <f t="shared" si="101"/>
        <v>0.69102104739711512</v>
      </c>
      <c r="CP109" s="29" t="str">
        <f>IF(C109&lt;30,"",IF(CO109&gt;1,"no",""))</f>
        <v/>
      </c>
      <c r="CQ109" s="22"/>
      <c r="CR109" s="23">
        <f>CM109*(0.7*I109*B109*B109)*$N$5/9.80665</f>
        <v>85091.474740868347</v>
      </c>
      <c r="CS109"/>
      <c r="CT109" s="6">
        <f t="shared" si="102"/>
        <v>0.94146341463414651</v>
      </c>
      <c r="CU109" s="22" t="str">
        <f t="shared" si="127"/>
        <v/>
      </c>
      <c r="CV109" s="5"/>
      <c r="CW109" s="6">
        <f>IF(C109&lt;100,SQRT(2)*SQRT(SQRT(1+(2/1.4)*(10510/I109))-1),IF(I109&gt;$AW$5,SQRT(2)*SQRT(SQRT(1+(2/1.4)*($AV$5/I109))-1),$AS$5))</f>
        <v>0.82</v>
      </c>
      <c r="CX109" s="22" t="str">
        <f>IF(B109&gt;CW109,"no","")</f>
        <v/>
      </c>
    </row>
    <row r="110" spans="1:102" x14ac:dyDescent="0.2">
      <c r="A110">
        <v>58800</v>
      </c>
      <c r="B110" s="1">
        <v>0.75270000000000004</v>
      </c>
      <c r="C110" s="5">
        <v>386.5</v>
      </c>
      <c r="D110" s="1">
        <v>0</v>
      </c>
      <c r="E110" s="1">
        <v>0</v>
      </c>
      <c r="G110">
        <f t="shared" si="78"/>
        <v>38650</v>
      </c>
      <c r="H110" s="9">
        <f t="shared" si="79"/>
        <v>11780.520000047121</v>
      </c>
      <c r="I110" s="5">
        <f t="shared" si="103"/>
        <v>20011.108701111614</v>
      </c>
      <c r="J110" s="5">
        <v>0</v>
      </c>
      <c r="K110" s="6">
        <f t="shared" si="104"/>
        <v>216.65</v>
      </c>
      <c r="L110" s="5">
        <f t="shared" si="105"/>
        <v>295.06801842964956</v>
      </c>
      <c r="M110" s="10">
        <f t="shared" si="106"/>
        <v>1.4216130796413355E-5</v>
      </c>
      <c r="O110" s="6">
        <f>B110*L110</f>
        <v>222.09769747199724</v>
      </c>
      <c r="P110" s="1">
        <f>IF(E110=0,0,E110/9.80665)</f>
        <v>0</v>
      </c>
      <c r="Q110" s="7">
        <f>IF(D110=0,0,(D110/O110))</f>
        <v>0</v>
      </c>
      <c r="R110" s="19">
        <f t="shared" si="107"/>
        <v>1</v>
      </c>
      <c r="S110" s="19">
        <f t="shared" si="108"/>
        <v>0</v>
      </c>
      <c r="T110" s="19">
        <f t="shared" si="109"/>
        <v>0</v>
      </c>
      <c r="U110" s="19"/>
      <c r="V110" s="19"/>
      <c r="X110" s="1">
        <f>(A110*9.80665*R110)/(0.7*I110*B110*B110*$N$5)</f>
        <v>0.59361321507470133</v>
      </c>
      <c r="Y110" s="10">
        <f>(SQRT($N$5)*B110)*(I110/M110)*SQRT(1.4/(287.05*K110))</f>
        <v>55617089.878610276</v>
      </c>
      <c r="Z110" s="10">
        <f t="shared" si="110"/>
        <v>2.2152519292958062E-3</v>
      </c>
      <c r="AA110" s="3">
        <f t="shared" si="80"/>
        <v>1.8597677079327638E-2</v>
      </c>
      <c r="AB110" s="3">
        <f t="shared" si="81"/>
        <v>7.7315287312961344E-3</v>
      </c>
      <c r="AC110" s="3">
        <f>IF($E$5="no",(1/((1+0.03+$Q$5)+AB110*3.141593*$S$5)),(1.075/((1+0.03+$Q$5)+AB110*3.141593*$S$5)))</f>
        <v>0.77664694335733719</v>
      </c>
      <c r="AD110" s="3">
        <f t="shared" si="82"/>
        <v>4.314188351785915E-2</v>
      </c>
      <c r="AE110" s="1">
        <f t="shared" si="83"/>
        <v>0.6773153638418864</v>
      </c>
      <c r="AF110" s="1">
        <f>B110*$R$5/AE110</f>
        <v>1.0071790666731573</v>
      </c>
      <c r="AG110" s="8">
        <f t="shared" si="111"/>
        <v>1.0417884453813233E-3</v>
      </c>
      <c r="AH110" s="8"/>
      <c r="AI110" s="3">
        <f t="shared" si="112"/>
        <v>3.4841657875083212E-2</v>
      </c>
      <c r="AJ110" s="1">
        <f t="shared" si="113"/>
        <v>17.037456059150962</v>
      </c>
      <c r="AK110" s="1"/>
      <c r="AL110" s="1">
        <f t="shared" si="84"/>
        <v>5.869420860298516E-2</v>
      </c>
      <c r="AM110" s="8">
        <f>AL110*(A110*9.80665)/(0.7*I110*B110*B110*$N$5)</f>
        <v>3.4841657875083212E-2</v>
      </c>
      <c r="AN110" s="1">
        <f>B110/$AI$5</f>
        <v>1</v>
      </c>
      <c r="AO110" s="1">
        <f>IF(B110&lt;0.4,1.3*(0.4-B110),0)</f>
        <v>0</v>
      </c>
      <c r="AP110" s="1">
        <f t="shared" si="114"/>
        <v>-0.43</v>
      </c>
      <c r="AQ110" s="1">
        <f t="shared" si="115"/>
        <v>0</v>
      </c>
      <c r="AR110" s="1">
        <f t="shared" si="85"/>
        <v>1</v>
      </c>
      <c r="AS110" s="1">
        <f t="shared" si="86"/>
        <v>0.30867472713898642</v>
      </c>
      <c r="AT110" s="1">
        <f>(((1+0.55*B110)/(1+0.55*$AI$5))/(AN110^2))</f>
        <v>1</v>
      </c>
      <c r="AU110" s="1">
        <f t="shared" si="87"/>
        <v>3.465254791234245E-2</v>
      </c>
      <c r="AV110" s="8">
        <f t="shared" si="88"/>
        <v>1.0054573176904376</v>
      </c>
      <c r="AW110" s="8">
        <f t="shared" si="116"/>
        <v>0.99998719360395905</v>
      </c>
      <c r="AX110" s="8"/>
      <c r="AY110" s="4"/>
      <c r="AZ110" s="1">
        <f t="shared" si="89"/>
        <v>0.30867077412818283</v>
      </c>
      <c r="BA110" s="14">
        <f t="shared" si="117"/>
        <v>0.30095400477497825</v>
      </c>
      <c r="BB110" s="1"/>
      <c r="BC110" s="14">
        <f t="shared" si="118"/>
        <v>5.1274906321792004</v>
      </c>
      <c r="BD110" s="14">
        <f>IF(0.7*(AM110*(B110^3)/BA110)*(I110*L110*$N$5/43000000)&lt;$AH$5*(1-0.178*(C110/100)+0.0085*((C110/100)^2)),$AH$5*(1-0.178*(C110/100)+0.0085*((C110/100)^2)),0.7*(AM110*(B110^3)/BA110)*(I110*L110*$N$5/43000000))</f>
        <v>0.5808563301455838</v>
      </c>
      <c r="BE110" s="4">
        <f t="shared" si="90"/>
        <v>2.6153190094139536E-3</v>
      </c>
      <c r="BF110" s="4"/>
      <c r="BG110" s="1">
        <f t="shared" si="91"/>
        <v>1.0021829270761748</v>
      </c>
      <c r="BH110" s="1">
        <f>0.6*$AN$5*(1-0.53*((B110-$AM$5)^2))*(1+((2/3)*AV110))</f>
        <v>5.5931461392342783</v>
      </c>
      <c r="BJ110" s="1">
        <f t="shared" si="92"/>
        <v>5.8327557015846914</v>
      </c>
      <c r="BK110" s="5">
        <f t="shared" si="93"/>
        <v>24.922163174683895</v>
      </c>
      <c r="BL110" s="5">
        <f t="shared" si="119"/>
        <v>1.6001445431300605</v>
      </c>
      <c r="BM110" s="5">
        <f t="shared" si="120"/>
        <v>2.9120580356654928</v>
      </c>
      <c r="BN110" s="1">
        <f t="shared" si="121"/>
        <v>1.1691193749310278</v>
      </c>
      <c r="BO110" s="1">
        <f t="shared" si="94"/>
        <v>3.2515203480661925</v>
      </c>
      <c r="BP110" s="9">
        <f>(1+0.2*B110*B110)*K110</f>
        <v>241.19892737570004</v>
      </c>
      <c r="BQ110" s="9">
        <f t="shared" si="128"/>
        <v>702.38527465830487</v>
      </c>
      <c r="BR110" s="9">
        <f t="shared" si="129"/>
        <v>1349.0608494388457</v>
      </c>
      <c r="BS110" s="9">
        <f t="shared" si="122"/>
        <v>784.26322029382845</v>
      </c>
      <c r="BU110" s="9">
        <f>((1+0.2*B110*B110)^3.5)*I110</f>
        <v>29135.9730525052</v>
      </c>
      <c r="BV110" s="9">
        <f t="shared" si="123"/>
        <v>726131.47466772737</v>
      </c>
      <c r="BX110" s="3">
        <f t="shared" si="95"/>
        <v>2.1891573728371902E-2</v>
      </c>
      <c r="BZ110" s="3">
        <f t="shared" si="96"/>
        <v>3.8914939813937656E-2</v>
      </c>
      <c r="CA110"/>
      <c r="CB110" s="14">
        <f>$CB$12*($AO$5/K110)/($AN$5*(1-0.53*((B110-$AM$5)^2))*(1+0.2*B110*B110))</f>
        <v>1.3629629629629629</v>
      </c>
      <c r="CC110" s="1">
        <f t="shared" si="124"/>
        <v>1.9074074074074074</v>
      </c>
      <c r="CD110" s="3">
        <f t="shared" si="97"/>
        <v>6.6096526573542078E-2</v>
      </c>
      <c r="CE110" s="6">
        <f t="shared" si="98"/>
        <v>1.6984871848592491</v>
      </c>
      <c r="CF110" s="22" t="str">
        <f t="shared" si="125"/>
        <v/>
      </c>
      <c r="CG110" s="22"/>
      <c r="CH110" s="7">
        <f t="shared" si="99"/>
        <v>1.0377107484583836</v>
      </c>
      <c r="CI110" s="23">
        <f>CH110*(0.7*I110*B110*B110)*$N$5/9.80665</f>
        <v>102789.81407392427</v>
      </c>
      <c r="CK110" s="1">
        <f>B110/$AI$5</f>
        <v>1</v>
      </c>
      <c r="CL110" s="14">
        <f t="shared" si="126"/>
        <v>1.4515200000000053</v>
      </c>
      <c r="CM110" s="1">
        <f t="shared" si="100"/>
        <v>0.8569758833631711</v>
      </c>
      <c r="CN110" s="14">
        <f>SQRT((A110*9.80665)/(0.7*I110*$N$5*CM110))</f>
        <v>0.62645430230422294</v>
      </c>
      <c r="CO110" s="1">
        <f t="shared" si="101"/>
        <v>0.69268368760283849</v>
      </c>
      <c r="CP110" s="29" t="str">
        <f>IF(C110&lt;30,"",IF(CO110&gt;1,"no",""))</f>
        <v/>
      </c>
      <c r="CQ110" s="22"/>
      <c r="CR110" s="23">
        <f>CM110*(0.7*I110*B110*B110)*$N$5/9.80665</f>
        <v>84887.230712027333</v>
      </c>
      <c r="CS110"/>
      <c r="CT110" s="6">
        <f t="shared" si="102"/>
        <v>0.94268292682926846</v>
      </c>
      <c r="CU110" s="22" t="str">
        <f t="shared" si="127"/>
        <v/>
      </c>
      <c r="CV110" s="5"/>
      <c r="CW110" s="6">
        <f>IF(C110&lt;100,SQRT(2)*SQRT(SQRT(1+(2/1.4)*(10510/I110))-1),IF(I110&gt;$AW$5,SQRT(2)*SQRT(SQRT(1+(2/1.4)*($AV$5/I110))-1),$AS$5))</f>
        <v>0.82</v>
      </c>
      <c r="CX110" s="22" t="str">
        <f>IF(B110&gt;CW110,"no","")</f>
        <v/>
      </c>
    </row>
    <row r="111" spans="1:102" x14ac:dyDescent="0.2">
      <c r="A111">
        <v>58800</v>
      </c>
      <c r="B111" s="1">
        <v>0.75270000000000004</v>
      </c>
      <c r="C111" s="5">
        <v>387</v>
      </c>
      <c r="D111" s="1">
        <v>0</v>
      </c>
      <c r="E111" s="1">
        <v>0</v>
      </c>
      <c r="G111">
        <f t="shared" si="78"/>
        <v>38700</v>
      </c>
      <c r="H111" s="9">
        <f t="shared" si="79"/>
        <v>11795.760000047183</v>
      </c>
      <c r="I111" s="5">
        <f t="shared" si="103"/>
        <v>19963.076280999761</v>
      </c>
      <c r="J111" s="5">
        <v>0</v>
      </c>
      <c r="K111" s="6">
        <f t="shared" si="104"/>
        <v>216.65</v>
      </c>
      <c r="L111" s="5">
        <f t="shared" si="105"/>
        <v>295.06801842964956</v>
      </c>
      <c r="M111" s="10">
        <f t="shared" si="106"/>
        <v>1.4216130796413355E-5</v>
      </c>
      <c r="O111" s="6">
        <f>B111*L111</f>
        <v>222.09769747199724</v>
      </c>
      <c r="P111" s="1">
        <f>IF(E111=0,0,E111/9.80665)</f>
        <v>0</v>
      </c>
      <c r="Q111" s="7">
        <f>IF(D111=0,0,(D111/O111))</f>
        <v>0</v>
      </c>
      <c r="R111" s="19">
        <f t="shared" si="107"/>
        <v>1</v>
      </c>
      <c r="S111" s="19">
        <f t="shared" si="108"/>
        <v>0</v>
      </c>
      <c r="T111" s="19">
        <f t="shared" si="109"/>
        <v>0</v>
      </c>
      <c r="U111" s="19"/>
      <c r="V111" s="19"/>
      <c r="X111" s="1">
        <f>(A111*9.80665*R111)/(0.7*I111*B111*B111*$N$5)</f>
        <v>0.59504148589474282</v>
      </c>
      <c r="Y111" s="10">
        <f>(SQRT($N$5)*B111)*(I111/M111)*SQRT(1.4/(287.05*K111))</f>
        <v>55483592.856213935</v>
      </c>
      <c r="Z111" s="10">
        <f t="shared" si="110"/>
        <v>2.2159973634289596E-3</v>
      </c>
      <c r="AA111" s="3">
        <f t="shared" si="80"/>
        <v>1.8603935213271212E-2</v>
      </c>
      <c r="AB111" s="3">
        <f t="shared" si="81"/>
        <v>7.7341303972021857E-3</v>
      </c>
      <c r="AC111" s="3">
        <f>IF($E$5="no",(1/((1+0.03+$Q$5)+AB111*3.141593*$S$5)),(1.075/((1+0.03+$Q$5)+AB111*3.141593*$S$5)))</f>
        <v>0.77660011058450507</v>
      </c>
      <c r="AD111" s="3">
        <f t="shared" si="82"/>
        <v>4.3144485183765201E-2</v>
      </c>
      <c r="AE111" s="1">
        <f t="shared" si="83"/>
        <v>0.67714148002687502</v>
      </c>
      <c r="AF111" s="1">
        <f>B111*$R$5/AE111</f>
        <v>1.007437701158975</v>
      </c>
      <c r="AG111" s="8">
        <f t="shared" si="111"/>
        <v>1.0456892847039792E-3</v>
      </c>
      <c r="AH111" s="8"/>
      <c r="AI111" s="3">
        <f t="shared" si="112"/>
        <v>3.4925980905622322E-2</v>
      </c>
      <c r="AJ111" s="1">
        <f t="shared" si="113"/>
        <v>17.037216148708197</v>
      </c>
      <c r="AK111" s="1"/>
      <c r="AL111" s="1">
        <f t="shared" si="84"/>
        <v>5.8695035108527541E-2</v>
      </c>
      <c r="AM111" s="8">
        <f>AL111*(A111*9.80665)/(0.7*I111*B111*B111*$N$5)</f>
        <v>3.4925980905622322E-2</v>
      </c>
      <c r="AN111" s="1">
        <f>B111/$AI$5</f>
        <v>1</v>
      </c>
      <c r="AO111" s="1">
        <f>IF(B111&lt;0.4,1.3*(0.4-B111),0)</f>
        <v>0</v>
      </c>
      <c r="AP111" s="1">
        <f t="shared" si="114"/>
        <v>-0.43</v>
      </c>
      <c r="AQ111" s="1">
        <f t="shared" si="115"/>
        <v>0</v>
      </c>
      <c r="AR111" s="1">
        <f t="shared" si="85"/>
        <v>1</v>
      </c>
      <c r="AS111" s="1">
        <f t="shared" si="86"/>
        <v>0.30867472713898642</v>
      </c>
      <c r="AT111" s="1">
        <f>(((1+0.55*B111)/(1+0.55*$AI$5))/(AN111^2))</f>
        <v>1</v>
      </c>
      <c r="AU111" s="1">
        <f t="shared" si="87"/>
        <v>3.465254791234245E-2</v>
      </c>
      <c r="AV111" s="8">
        <f t="shared" si="88"/>
        <v>1.0078907038516056</v>
      </c>
      <c r="AW111" s="8">
        <f t="shared" si="116"/>
        <v>0.99997322682087231</v>
      </c>
      <c r="AX111" s="8"/>
      <c r="AY111" s="4"/>
      <c r="AZ111" s="1">
        <f t="shared" si="89"/>
        <v>0.30866646293522454</v>
      </c>
      <c r="BA111" s="14">
        <f t="shared" si="117"/>
        <v>0.3009498013618439</v>
      </c>
      <c r="BB111" s="1"/>
      <c r="BC111" s="14">
        <f t="shared" si="118"/>
        <v>5.1273468157125315</v>
      </c>
      <c r="BD111" s="14">
        <f>IF(0.7*(AM111*(B111^3)/BA111)*(I111*L111*$N$5/43000000)&lt;$AH$5*(1-0.178*(C111/100)+0.0085*((C111/100)^2)),$AH$5*(1-0.178*(C111/100)+0.0085*((C111/100)^2)),0.7*(AM111*(B111^3)/BA111)*(I111*L111*$N$5/43000000))</f>
        <v>0.58087262252993899</v>
      </c>
      <c r="BE111" s="4">
        <f t="shared" si="90"/>
        <v>2.6153923662498896E-3</v>
      </c>
      <c r="BF111" s="4"/>
      <c r="BG111" s="1">
        <f t="shared" si="91"/>
        <v>1.0031562815406421</v>
      </c>
      <c r="BH111" s="1">
        <f>0.6*$AN$5*(1-0.53*((B111-$AM$5)^2))*(1+((2/3)*AV111))</f>
        <v>5.598578394781601</v>
      </c>
      <c r="BJ111" s="1">
        <f t="shared" si="92"/>
        <v>5.826360897267099</v>
      </c>
      <c r="BK111" s="5">
        <f t="shared" si="93"/>
        <v>24.982720412335148</v>
      </c>
      <c r="BL111" s="5">
        <f t="shared" si="119"/>
        <v>1.6016986584445096</v>
      </c>
      <c r="BM111" s="5">
        <f t="shared" si="120"/>
        <v>2.9144080254739291</v>
      </c>
      <c r="BN111" s="1">
        <f t="shared" si="121"/>
        <v>1.1694966687527824</v>
      </c>
      <c r="BO111" s="1">
        <f t="shared" si="94"/>
        <v>3.2541518895929071</v>
      </c>
      <c r="BP111" s="9">
        <f>(1+0.2*B111*B111)*K111</f>
        <v>241.19892737570004</v>
      </c>
      <c r="BQ111" s="9">
        <f t="shared" si="128"/>
        <v>702.95208967944359</v>
      </c>
      <c r="BR111" s="9">
        <f t="shared" si="129"/>
        <v>1350.3711036500906</v>
      </c>
      <c r="BS111" s="9">
        <f t="shared" si="122"/>
        <v>784.89794528741663</v>
      </c>
      <c r="BU111" s="9">
        <f>((1+0.2*B111*B111)^3.5)*I111</f>
        <v>29066.038331799406</v>
      </c>
      <c r="BV111" s="9">
        <f t="shared" si="123"/>
        <v>726148.70913756092</v>
      </c>
      <c r="BX111" s="3">
        <f t="shared" si="95"/>
        <v>2.1918192006161043E-2</v>
      </c>
      <c r="BZ111" s="3">
        <f t="shared" si="96"/>
        <v>3.9009063417623266E-2</v>
      </c>
      <c r="CA111"/>
      <c r="CB111" s="14">
        <f>$CB$12*($AO$5/K111)/($AN$5*(1-0.53*((B111-$AM$5)^2))*(1+0.2*B111*B111))</f>
        <v>1.3629629629629629</v>
      </c>
      <c r="CC111" s="1">
        <f t="shared" si="124"/>
        <v>1.9074074074074074</v>
      </c>
      <c r="CD111" s="3">
        <f t="shared" si="97"/>
        <v>6.6096526573542078E-2</v>
      </c>
      <c r="CE111" s="6">
        <f t="shared" si="98"/>
        <v>1.6943889645830721</v>
      </c>
      <c r="CF111" s="22" t="str">
        <f t="shared" si="125"/>
        <v/>
      </c>
      <c r="CG111" s="22"/>
      <c r="CH111" s="7">
        <f t="shared" si="99"/>
        <v>1.037565997157911</v>
      </c>
      <c r="CI111" s="23">
        <f>CH111*(0.7*I111*B111*B111)*$N$5/9.80665</f>
        <v>102528.78509999733</v>
      </c>
      <c r="CK111" s="1">
        <f>B111/$AI$5</f>
        <v>1</v>
      </c>
      <c r="CL111" s="14">
        <f t="shared" si="126"/>
        <v>1.4515200000000053</v>
      </c>
      <c r="CM111" s="1">
        <f t="shared" si="100"/>
        <v>0.8569758833631711</v>
      </c>
      <c r="CN111" s="14">
        <f>SQRT((A111*9.80665)/(0.7*I111*$N$5*CM111))</f>
        <v>0.62720749379306173</v>
      </c>
      <c r="CO111" s="1">
        <f t="shared" si="101"/>
        <v>0.69435032822571841</v>
      </c>
      <c r="CP111" s="29" t="str">
        <f>IF(C111&lt;30,"",IF(CO111&gt;1,"no",""))</f>
        <v/>
      </c>
      <c r="CQ111" s="22"/>
      <c r="CR111" s="23">
        <f>CM111*(0.7*I111*B111*B111)*$N$5/9.80665</f>
        <v>84683.476927637297</v>
      </c>
      <c r="CS111"/>
      <c r="CT111" s="6">
        <f t="shared" si="102"/>
        <v>0.94390243902439042</v>
      </c>
      <c r="CU111" s="22" t="str">
        <f t="shared" si="127"/>
        <v/>
      </c>
      <c r="CV111" s="5"/>
      <c r="CW111" s="6">
        <f>IF(C111&lt;100,SQRT(2)*SQRT(SQRT(1+(2/1.4)*(10510/I111))-1),IF(I111&gt;$AW$5,SQRT(2)*SQRT(SQRT(1+(2/1.4)*($AV$5/I111))-1),$AS$5))</f>
        <v>0.82</v>
      </c>
      <c r="CX111" s="22" t="str">
        <f>IF(B111&gt;CW111,"no","")</f>
        <v/>
      </c>
    </row>
    <row r="112" spans="1:102" x14ac:dyDescent="0.2">
      <c r="A112">
        <v>58800</v>
      </c>
      <c r="B112" s="1">
        <v>0.75270000000000004</v>
      </c>
      <c r="C112" s="5">
        <v>387.5</v>
      </c>
      <c r="D112" s="1">
        <v>0</v>
      </c>
      <c r="E112" s="1">
        <v>0</v>
      </c>
      <c r="G112">
        <f t="shared" si="78"/>
        <v>38750</v>
      </c>
      <c r="H112" s="9">
        <f t="shared" si="79"/>
        <v>11811.000000047243</v>
      </c>
      <c r="I112" s="5">
        <f t="shared" si="103"/>
        <v>19915.159152519991</v>
      </c>
      <c r="J112" s="5">
        <v>0</v>
      </c>
      <c r="K112" s="6">
        <f t="shared" si="104"/>
        <v>216.65</v>
      </c>
      <c r="L112" s="5">
        <f t="shared" si="105"/>
        <v>295.06801842964956</v>
      </c>
      <c r="M112" s="10">
        <f t="shared" si="106"/>
        <v>1.4216130796413355E-5</v>
      </c>
      <c r="O112" s="6">
        <f>B112*L112</f>
        <v>222.09769747199724</v>
      </c>
      <c r="P112" s="1">
        <f>IF(E112=0,0,E112/9.80665)</f>
        <v>0</v>
      </c>
      <c r="Q112" s="7">
        <f>IF(D112=0,0,(D112/O112))</f>
        <v>0</v>
      </c>
      <c r="R112" s="19">
        <f t="shared" si="107"/>
        <v>1</v>
      </c>
      <c r="S112" s="19">
        <f t="shared" si="108"/>
        <v>0</v>
      </c>
      <c r="T112" s="19">
        <f t="shared" si="109"/>
        <v>0</v>
      </c>
      <c r="U112" s="19"/>
      <c r="V112" s="19"/>
      <c r="X112" s="1">
        <f>(A112*9.80665*R112)/(0.7*I112*B112*B112*$N$5)</f>
        <v>0.59647319322442305</v>
      </c>
      <c r="Y112" s="10">
        <f>(SQRT($N$5)*B112)*(I112/M112)*SQRT(1.4/(287.05*K112))</f>
        <v>55350416.265092015</v>
      </c>
      <c r="Z112" s="10">
        <f t="shared" si="110"/>
        <v>2.2167430484013244E-3</v>
      </c>
      <c r="AA112" s="3">
        <f t="shared" si="80"/>
        <v>1.861019545308211E-2</v>
      </c>
      <c r="AB112" s="3">
        <f t="shared" si="81"/>
        <v>7.7367329385709983E-3</v>
      </c>
      <c r="AC112" s="3">
        <f>IF($E$5="no",(1/((1+0.03+$Q$5)+AB112*3.141593*$S$5)),(1.075/((1+0.03+$Q$5)+AB112*3.141593*$S$5)))</f>
        <v>0.77655326770306432</v>
      </c>
      <c r="AD112" s="3">
        <f t="shared" si="82"/>
        <v>4.3147087725134016E-2</v>
      </c>
      <c r="AE112" s="1">
        <f t="shared" si="83"/>
        <v>0.67696717783644211</v>
      </c>
      <c r="AF112" s="1">
        <f>B112*$R$5/AE112</f>
        <v>1.0076970912797751</v>
      </c>
      <c r="AG112" s="8">
        <f t="shared" si="111"/>
        <v>1.0496088653535309E-3</v>
      </c>
      <c r="AH112" s="8"/>
      <c r="AI112" s="3">
        <f t="shared" si="112"/>
        <v>3.5010686849151741E-2</v>
      </c>
      <c r="AJ112" s="1">
        <f t="shared" si="113"/>
        <v>17.036889215981628</v>
      </c>
      <c r="AK112" s="1"/>
      <c r="AL112" s="1">
        <f t="shared" si="84"/>
        <v>5.8696161448413942E-2</v>
      </c>
      <c r="AM112" s="8">
        <f>AL112*(A112*9.80665)/(0.7*I112*B112*B112*$N$5)</f>
        <v>3.5010686849151741E-2</v>
      </c>
      <c r="AN112" s="1">
        <f>B112/$AI$5</f>
        <v>1</v>
      </c>
      <c r="AO112" s="1">
        <f>IF(B112&lt;0.4,1.3*(0.4-B112),0)</f>
        <v>0</v>
      </c>
      <c r="AP112" s="1">
        <f t="shared" si="114"/>
        <v>-0.43</v>
      </c>
      <c r="AQ112" s="1">
        <f t="shared" si="115"/>
        <v>0</v>
      </c>
      <c r="AR112" s="1">
        <f t="shared" si="85"/>
        <v>1</v>
      </c>
      <c r="AS112" s="1">
        <f t="shared" si="86"/>
        <v>0.30867472713898642</v>
      </c>
      <c r="AT112" s="1">
        <f>(((1+0.55*B112)/(1+0.55*$AI$5))/(AN112^2))</f>
        <v>1</v>
      </c>
      <c r="AU112" s="1">
        <f t="shared" si="87"/>
        <v>3.465254791234245E-2</v>
      </c>
      <c r="AV112" s="8">
        <f t="shared" si="88"/>
        <v>1.0103351400801823</v>
      </c>
      <c r="AW112" s="8">
        <f t="shared" si="116"/>
        <v>0.99995406949819488</v>
      </c>
      <c r="AX112" s="8"/>
      <c r="AY112" s="4"/>
      <c r="AZ112" s="1">
        <f t="shared" si="89"/>
        <v>0.30866054955387434</v>
      </c>
      <c r="BA112" s="14">
        <f t="shared" si="117"/>
        <v>0.30094403581502749</v>
      </c>
      <c r="BB112" s="1"/>
      <c r="BC112" s="14">
        <f t="shared" si="118"/>
        <v>5.1271501983910301</v>
      </c>
      <c r="BD112" s="14">
        <f>IF(0.7*(AM112*(B112^3)/BA112)*(I112*L112*$N$5/43000000)&lt;$AH$5*(1-0.178*(C112/100)+0.0085*((C112/100)^2)),$AH$5*(1-0.178*(C112/100)+0.0085*((C112/100)^2)),0.7*(AM112*(B112^3)/BA112)*(I112*L112*$N$5/43000000))</f>
        <v>0.58089489798799177</v>
      </c>
      <c r="BE112" s="4">
        <f t="shared" si="90"/>
        <v>2.6154926620129992E-3</v>
      </c>
      <c r="BF112" s="4"/>
      <c r="BG112" s="1">
        <f t="shared" si="91"/>
        <v>1.0041340560320728</v>
      </c>
      <c r="BH112" s="1">
        <f>0.6*$AN$5*(1-0.53*((B112-$AM$5)^2))*(1+((2/3)*AV112))</f>
        <v>5.604035318337206</v>
      </c>
      <c r="BJ112" s="1">
        <f t="shared" si="92"/>
        <v>5.8199503466268521</v>
      </c>
      <c r="BK112" s="5">
        <f t="shared" si="93"/>
        <v>25.043641445153238</v>
      </c>
      <c r="BL112" s="5">
        <f t="shared" si="119"/>
        <v>1.6032598310354647</v>
      </c>
      <c r="BM112" s="5">
        <f t="shared" si="120"/>
        <v>2.9167682985956662</v>
      </c>
      <c r="BN112" s="1">
        <f t="shared" si="121"/>
        <v>1.1698754298831333</v>
      </c>
      <c r="BO112" s="1">
        <f t="shared" si="94"/>
        <v>3.2567989518134679</v>
      </c>
      <c r="BP112" s="9">
        <f>(1+0.2*B112*B112)*K112</f>
        <v>241.19892737570004</v>
      </c>
      <c r="BQ112" s="9">
        <f t="shared" si="128"/>
        <v>703.5213850247203</v>
      </c>
      <c r="BR112" s="9">
        <f t="shared" si="129"/>
        <v>1351.6873077584737</v>
      </c>
      <c r="BS112" s="9">
        <f t="shared" si="122"/>
        <v>785.53641385571268</v>
      </c>
      <c r="BU112" s="9">
        <f>((1+0.2*B112*B112)^3.5)*I112</f>
        <v>28996.271474550638</v>
      </c>
      <c r="BV112" s="9">
        <f t="shared" si="123"/>
        <v>726172.22605497099</v>
      </c>
      <c r="BX112" s="3">
        <f t="shared" si="95"/>
        <v>2.1944935544991117E-2</v>
      </c>
      <c r="BZ112" s="3">
        <f t="shared" si="96"/>
        <v>3.9103593515096048E-2</v>
      </c>
      <c r="CA112"/>
      <c r="CB112" s="14">
        <f>$CB$12*($AO$5/K112)/($AN$5*(1-0.53*((B112-$AM$5)^2))*(1+0.2*B112*B112))</f>
        <v>1.3629629629629629</v>
      </c>
      <c r="CC112" s="1">
        <f t="shared" si="124"/>
        <v>1.9074074074074074</v>
      </c>
      <c r="CD112" s="3">
        <f t="shared" si="97"/>
        <v>6.6096526573542078E-2</v>
      </c>
      <c r="CE112" s="6">
        <f t="shared" si="98"/>
        <v>1.6902929023140887</v>
      </c>
      <c r="CF112" s="22" t="str">
        <f t="shared" si="125"/>
        <v/>
      </c>
      <c r="CG112" s="22"/>
      <c r="CH112" s="7">
        <f t="shared" si="99"/>
        <v>1.0374209997268677</v>
      </c>
      <c r="CI112" s="23">
        <f>CH112*(0.7*I112*B112*B112)*$N$5/9.80665</f>
        <v>102268.39274064147</v>
      </c>
      <c r="CK112" s="1">
        <f>B112/$AI$5</f>
        <v>1</v>
      </c>
      <c r="CL112" s="14">
        <f t="shared" si="126"/>
        <v>1.4515200000000053</v>
      </c>
      <c r="CM112" s="1">
        <f t="shared" si="100"/>
        <v>0.8569758833631711</v>
      </c>
      <c r="CN112" s="14">
        <f>SQRT((A112*9.80665)/(0.7*I112*$N$5*CM112))</f>
        <v>0.62796159085061753</v>
      </c>
      <c r="CO112" s="1">
        <f t="shared" si="101"/>
        <v>0.69602097889101078</v>
      </c>
      <c r="CP112" s="29" t="str">
        <f>IF(C112&lt;30,"",IF(CO112&gt;1,"no",""))</f>
        <v/>
      </c>
      <c r="CQ112" s="22"/>
      <c r="CR112" s="23">
        <f>CM112*(0.7*I112*B112*B112)*$N$5/9.80665</f>
        <v>84480.21221097048</v>
      </c>
      <c r="CS112"/>
      <c r="CT112" s="6">
        <f t="shared" si="102"/>
        <v>0.94512195121951237</v>
      </c>
      <c r="CU112" s="22" t="str">
        <f t="shared" si="127"/>
        <v/>
      </c>
      <c r="CV112" s="5"/>
      <c r="CW112" s="6">
        <f>IF(C112&lt;100,SQRT(2)*SQRT(SQRT(1+(2/1.4)*(10510/I112))-1),IF(I112&gt;$AW$5,SQRT(2)*SQRT(SQRT(1+(2/1.4)*($AV$5/I112))-1),$AS$5))</f>
        <v>0.82</v>
      </c>
      <c r="CX112" s="22" t="str">
        <f>IF(B112&gt;CW112,"no","")</f>
        <v/>
      </c>
    </row>
    <row r="113" spans="1:102" x14ac:dyDescent="0.2">
      <c r="A113">
        <v>58800</v>
      </c>
      <c r="B113" s="1">
        <v>0.75270000000000004</v>
      </c>
      <c r="C113" s="5">
        <v>388</v>
      </c>
      <c r="D113" s="1">
        <v>0</v>
      </c>
      <c r="E113" s="1">
        <v>0</v>
      </c>
      <c r="G113">
        <f t="shared" si="78"/>
        <v>38800</v>
      </c>
      <c r="H113" s="9">
        <f t="shared" si="79"/>
        <v>11826.240000047304</v>
      </c>
      <c r="I113" s="5">
        <f t="shared" si="103"/>
        <v>19867.35703893919</v>
      </c>
      <c r="J113" s="5">
        <v>0</v>
      </c>
      <c r="K113" s="6">
        <f t="shared" si="104"/>
        <v>216.65</v>
      </c>
      <c r="L113" s="5">
        <f t="shared" si="105"/>
        <v>295.06801842964956</v>
      </c>
      <c r="M113" s="10">
        <f t="shared" si="106"/>
        <v>1.4216130796413355E-5</v>
      </c>
      <c r="O113" s="6">
        <f>B113*L113</f>
        <v>222.09769747199724</v>
      </c>
      <c r="P113" s="1">
        <f>IF(E113=0,0,E113/9.80665)</f>
        <v>0</v>
      </c>
      <c r="Q113" s="7">
        <f>IF(D113=0,0,(D113/O113))</f>
        <v>0</v>
      </c>
      <c r="R113" s="19">
        <f t="shared" si="107"/>
        <v>1</v>
      </c>
      <c r="S113" s="19">
        <f t="shared" si="108"/>
        <v>0</v>
      </c>
      <c r="T113" s="19">
        <f t="shared" si="109"/>
        <v>0</v>
      </c>
      <c r="U113" s="19"/>
      <c r="V113" s="19"/>
      <c r="X113" s="1">
        <f>(A113*9.80665*R113)/(0.7*I113*B113*B113*$N$5)</f>
        <v>0.59790834533220127</v>
      </c>
      <c r="Y113" s="10">
        <f>(SQRT($N$5)*B113)*(I113/M113)*SQRT(1.4/(287.05*K113))</f>
        <v>55217559.336117201</v>
      </c>
      <c r="Z113" s="10">
        <f t="shared" si="110"/>
        <v>2.2174889842973087E-3</v>
      </c>
      <c r="AA113" s="3">
        <f t="shared" ref="AA113:AA144" si="130">$U$5*Z113</f>
        <v>1.8616457799468963E-2</v>
      </c>
      <c r="AB113" s="3">
        <f t="shared" ref="AB113:AB144" si="131">0.8*(1-0.53*$R$5)*AA113</f>
        <v>7.7393363556971673E-3</v>
      </c>
      <c r="AC113" s="3">
        <f>IF($E$5="no",(1/((1+0.03+$Q$5)+AB113*3.141593*$S$5)),(1.075/((1+0.03+$Q$5)+AB113*3.141593*$S$5)))</f>
        <v>0.7765064147123939</v>
      </c>
      <c r="AD113" s="3">
        <f t="shared" ref="AD113:AD144" si="132">1/(3.141593*$S$5*AC113)</f>
        <v>4.314969114226018E-2</v>
      </c>
      <c r="AE113" s="1">
        <f t="shared" ref="AE113:AE144" si="133">$W$5-0.1*(X113/($R$5*$R$5))</f>
        <v>0.67679245626395013</v>
      </c>
      <c r="AF113" s="1">
        <f>B113*$R$5/AE113</f>
        <v>1.0079572395996248</v>
      </c>
      <c r="AG113" s="8">
        <f t="shared" si="111"/>
        <v>1.05354730679197E-3</v>
      </c>
      <c r="AH113" s="8"/>
      <c r="AI113" s="3">
        <f t="shared" si="112"/>
        <v>3.5095777594733812E-2</v>
      </c>
      <c r="AJ113" s="1">
        <f t="shared" si="113"/>
        <v>17.036475220367208</v>
      </c>
      <c r="AK113" s="1"/>
      <c r="AL113" s="1">
        <f t="shared" si="84"/>
        <v>5.8697587797063445E-2</v>
      </c>
      <c r="AM113" s="8">
        <f>AL113*(A113*9.80665)/(0.7*I113*B113*B113*$N$5)</f>
        <v>3.5095777594733812E-2</v>
      </c>
      <c r="AN113" s="1">
        <f>B113/$AI$5</f>
        <v>1</v>
      </c>
      <c r="AO113" s="1">
        <f>IF(B113&lt;0.4,1.3*(0.4-B113),0)</f>
        <v>0</v>
      </c>
      <c r="AP113" s="1">
        <f t="shared" si="114"/>
        <v>-0.43</v>
      </c>
      <c r="AQ113" s="1">
        <f t="shared" si="115"/>
        <v>0</v>
      </c>
      <c r="AR113" s="1">
        <f t="shared" ref="AR113:AR144" si="134">AN113^$AL$5</f>
        <v>1</v>
      </c>
      <c r="AS113" s="1">
        <f t="shared" ref="AS113:AS144" si="135">AR113*$AK$5*($AI$5^$AL$5)</f>
        <v>0.30867472713898642</v>
      </c>
      <c r="AT113" s="1">
        <f>(((1+0.55*B113)/(1+0.55*$AI$5))/(AN113^2))</f>
        <v>1</v>
      </c>
      <c r="AU113" s="1">
        <f t="shared" ref="AU113:AU144" si="136">AT113*$AJ$5</f>
        <v>3.465254791234245E-2</v>
      </c>
      <c r="AV113" s="8">
        <f t="shared" ref="AV113:AV144" si="137">AM113/AU113</f>
        <v>1.0127906808905527</v>
      </c>
      <c r="AW113" s="8">
        <f t="shared" si="116"/>
        <v>0.99992965134741307</v>
      </c>
      <c r="AX113" s="8"/>
      <c r="AY113" s="4"/>
      <c r="AZ113" s="1">
        <f t="shared" ref="AZ113:AZ144" si="138">AW113*AS113</f>
        <v>0.30865301228784453</v>
      </c>
      <c r="BA113" s="14">
        <f t="shared" si="117"/>
        <v>0.3009366869806484</v>
      </c>
      <c r="BB113" s="1"/>
      <c r="BC113" s="14">
        <f t="shared" si="118"/>
        <v>5.1269004106452192</v>
      </c>
      <c r="BD113" s="14">
        <f>IF(0.7*(AM113*(B113^3)/BA113)*(I113*L113*$N$5/43000000)&lt;$AH$5*(1-0.178*(C113/100)+0.0085*((C113/100)^2)),$AH$5*(1-0.178*(C113/100)+0.0085*((C113/100)^2)),0.7*(AM113*(B113^3)/BA113)*(I113*L113*$N$5/43000000))</f>
        <v>0.58092319977181828</v>
      </c>
      <c r="BE113" s="4">
        <f t="shared" ref="BE113:BE144" si="139">BD113/O113</f>
        <v>2.6156200914467511E-3</v>
      </c>
      <c r="BF113" s="4"/>
      <c r="BG113" s="1">
        <f t="shared" ref="BG113:BG144" si="140">0.6*(1+(2/3)*AV113)</f>
        <v>1.005116272356221</v>
      </c>
      <c r="BH113" s="1">
        <f>0.6*$AN$5*(1-0.53*((B113-$AM$5)^2))*(1+((2/3)*AV113))</f>
        <v>5.609517031598207</v>
      </c>
      <c r="BJ113" s="1">
        <f t="shared" ref="BJ113:BJ144" si="141">$AD$5*($AP$5^1.13)/(BH113^1.13)</f>
        <v>5.8135240469826481</v>
      </c>
      <c r="BK113" s="5">
        <f t="shared" ref="BK113:BK144" si="142">($AC$5/($AP$5^2.5))*(BH113^2.5)</f>
        <v>25.104928885444153</v>
      </c>
      <c r="BL113" s="5">
        <f t="shared" si="119"/>
        <v>1.6048280957192829</v>
      </c>
      <c r="BM113" s="5">
        <f t="shared" si="120"/>
        <v>2.919138902826361</v>
      </c>
      <c r="BN113" s="1">
        <f t="shared" si="121"/>
        <v>1.1702556638200998</v>
      </c>
      <c r="BO113" s="1">
        <f t="shared" ref="BO113:BO144" si="143">BH113-(1005/1244)*(BJ113*(BN113-1)+(BM113-1))</f>
        <v>3.2594616296107453</v>
      </c>
      <c r="BP113" s="9">
        <f>(1+0.2*B113*B113)*K113</f>
        <v>241.19892737570004</v>
      </c>
      <c r="BQ113" s="9">
        <f t="shared" si="128"/>
        <v>704.09317222239611</v>
      </c>
      <c r="BR113" s="9">
        <f t="shared" si="129"/>
        <v>1353.0094911172084</v>
      </c>
      <c r="BS113" s="9">
        <f t="shared" si="122"/>
        <v>786.17864888436304</v>
      </c>
      <c r="BU113" s="9">
        <f>((1+0.2*B113*B113)^3.5)*I113</f>
        <v>28926.672077838266</v>
      </c>
      <c r="BV113" s="9">
        <f t="shared" si="123"/>
        <v>726202.04540669266</v>
      </c>
      <c r="BX113" s="3">
        <f t="shared" ref="BX113:BX144" si="144">(($BX$10*(BH113-(298/BP113))-(BM113-(298/BP113)))/(($BX$13/($BX$9*BP113))-$BX$10*(BH113-(298/BP113))+$BX$12*(1-(298/BP113))))/$BX$14</f>
        <v>2.1971804998952245E-2</v>
      </c>
      <c r="BZ113" s="3">
        <f t="shared" ref="BZ113:BZ144" si="145">IF(AM113&gt;(X113*((1/AJ113)+(1.524/O113))),AM113,(X113*((1/AJ113)+(1.524/O113))))</f>
        <v>3.9198532052155254E-2</v>
      </c>
      <c r="CA113"/>
      <c r="CB113" s="14">
        <f>$CB$12*($AO$5/K113)/($AN$5*(1-0.53*((B113-$AM$5)^2))*(1+0.2*B113*B113))</f>
        <v>1.3629629629629629</v>
      </c>
      <c r="CC113" s="1">
        <f t="shared" si="124"/>
        <v>1.9074074074074074</v>
      </c>
      <c r="CD113" s="3">
        <f t="shared" ref="CD113:CD144" si="146">CC113*AU113</f>
        <v>6.6096526573542078E-2</v>
      </c>
      <c r="CE113" s="6">
        <f t="shared" ref="CE113:CE144" si="147">CD113/BZ113</f>
        <v>1.6861990261675601</v>
      </c>
      <c r="CF113" s="22" t="str">
        <f t="shared" si="125"/>
        <v/>
      </c>
      <c r="CG113" s="22"/>
      <c r="CH113" s="7">
        <f t="shared" ref="CH113:CH144" si="148">SQRT(((CD113-AA113-AG113)/AD113)+(((Q113+P113)/(2*AD113))^2))-((Q113+P113)/(2*AD113))</f>
        <v>1.0372757547657654</v>
      </c>
      <c r="CI113" s="23">
        <f>CH113*(0.7*I113*B113*B113)*$N$5/9.80665</f>
        <v>102008.63536423733</v>
      </c>
      <c r="CK113" s="1">
        <f>B113/$AI$5</f>
        <v>1</v>
      </c>
      <c r="CL113" s="14">
        <f t="shared" si="126"/>
        <v>1.4515200000000053</v>
      </c>
      <c r="CM113" s="1">
        <f t="shared" ref="CM113:CM144" si="149">CL113*$Z$5</f>
        <v>0.8569758833631711</v>
      </c>
      <c r="CN113" s="14">
        <f>SQRT((A113*9.80665)/(0.7*I113*$N$5*CM113))</f>
        <v>0.62871659456566376</v>
      </c>
      <c r="CO113" s="1">
        <f t="shared" ref="CO113:CO144" si="150">X113/CM113</f>
        <v>0.69769564924713101</v>
      </c>
      <c r="CP113" s="29" t="str">
        <f>IF(C113&lt;30,"",IF(CO113&gt;1,"no",""))</f>
        <v/>
      </c>
      <c r="CQ113" s="22"/>
      <c r="CR113" s="23">
        <f>CM113*(0.7*I113*B113*B113)*$N$5/9.80665</f>
        <v>84277.435388123558</v>
      </c>
      <c r="CS113"/>
      <c r="CT113" s="6">
        <f t="shared" ref="CT113:CT144" si="151">C113/$AT$5</f>
        <v>0.94634146341463432</v>
      </c>
      <c r="CU113" s="22" t="str">
        <f t="shared" si="127"/>
        <v/>
      </c>
      <c r="CV113" s="5"/>
      <c r="CW113" s="6">
        <f>IF(C113&lt;100,SQRT(2)*SQRT(SQRT(1+(2/1.4)*(10510/I113))-1),IF(I113&gt;$AW$5,SQRT(2)*SQRT(SQRT(1+(2/1.4)*($AV$5/I113))-1),$AS$5))</f>
        <v>0.82</v>
      </c>
      <c r="CX113" s="22" t="str">
        <f>IF(B113&gt;CW113,"no","")</f>
        <v/>
      </c>
    </row>
    <row r="114" spans="1:102" x14ac:dyDescent="0.2">
      <c r="A114">
        <v>58800</v>
      </c>
      <c r="B114" s="1">
        <v>0.75270000000000004</v>
      </c>
      <c r="C114" s="5">
        <v>388.5</v>
      </c>
      <c r="D114" s="1">
        <v>0</v>
      </c>
      <c r="E114" s="1">
        <v>0</v>
      </c>
      <c r="G114">
        <f t="shared" si="78"/>
        <v>38850</v>
      </c>
      <c r="H114" s="9">
        <f t="shared" si="79"/>
        <v>11841.480000047366</v>
      </c>
      <c r="I114" s="5">
        <f t="shared" si="103"/>
        <v>19819.66966418851</v>
      </c>
      <c r="J114" s="5">
        <v>0</v>
      </c>
      <c r="K114" s="6">
        <f t="shared" si="104"/>
        <v>216.65</v>
      </c>
      <c r="L114" s="5">
        <f t="shared" si="105"/>
        <v>295.06801842964956</v>
      </c>
      <c r="M114" s="10">
        <f t="shared" si="106"/>
        <v>1.4216130796413355E-5</v>
      </c>
      <c r="O114" s="6">
        <f>B114*L114</f>
        <v>222.09769747199724</v>
      </c>
      <c r="P114" s="1">
        <f>IF(E114=0,0,E114/9.80665)</f>
        <v>0</v>
      </c>
      <c r="Q114" s="7">
        <f>IF(D114=0,0,(D114/O114))</f>
        <v>0</v>
      </c>
      <c r="R114" s="19">
        <f t="shared" si="107"/>
        <v>1</v>
      </c>
      <c r="S114" s="19">
        <f t="shared" si="108"/>
        <v>0</v>
      </c>
      <c r="T114" s="19">
        <f t="shared" si="109"/>
        <v>0</v>
      </c>
      <c r="U114" s="19"/>
      <c r="V114" s="19"/>
      <c r="X114" s="1">
        <f>(A114*9.80665*R114)/(0.7*I114*B114*B114*$N$5)</f>
        <v>0.59934695050643061</v>
      </c>
      <c r="Y114" s="10">
        <f>(SQRT($N$5)*B114)*(I114/M114)*SQRT(1.4/(287.05*K114))</f>
        <v>55085021.302008353</v>
      </c>
      <c r="Z114" s="10">
        <f t="shared" si="110"/>
        <v>2.2182351712013463E-3</v>
      </c>
      <c r="AA114" s="3">
        <f t="shared" si="130"/>
        <v>1.8622722253140617E-2</v>
      </c>
      <c r="AB114" s="3">
        <f t="shared" si="131"/>
        <v>7.7419406488753789E-3</v>
      </c>
      <c r="AC114" s="3">
        <f>IF($E$5="no",(1/((1+0.03+$Q$5)+AB114*3.141593*$S$5)),(1.075/((1+0.03+$Q$5)+AB114*3.141593*$S$5)))</f>
        <v>0.77645955161187363</v>
      </c>
      <c r="AD114" s="3">
        <f t="shared" si="132"/>
        <v>4.3152295435438394E-2</v>
      </c>
      <c r="AE114" s="1">
        <f t="shared" si="133"/>
        <v>0.67661731430033933</v>
      </c>
      <c r="AF114" s="1">
        <f>B114*$R$5/AE114</f>
        <v>1.0082181486932116</v>
      </c>
      <c r="AG114" s="8">
        <f t="shared" si="111"/>
        <v>1.0575047338192069E-3</v>
      </c>
      <c r="AH114" s="8"/>
      <c r="AI114" s="3">
        <f t="shared" si="112"/>
        <v>3.5181255045417636E-2</v>
      </c>
      <c r="AJ114" s="1">
        <f t="shared" si="113"/>
        <v>17.035974121238624</v>
      </c>
      <c r="AK114" s="1"/>
      <c r="AL114" s="1">
        <f t="shared" si="84"/>
        <v>5.8699314338198444E-2</v>
      </c>
      <c r="AM114" s="8">
        <f>AL114*(A114*9.80665)/(0.7*I114*B114*B114*$N$5)</f>
        <v>3.5181255045417636E-2</v>
      </c>
      <c r="AN114" s="1">
        <f>B114/$AI$5</f>
        <v>1</v>
      </c>
      <c r="AO114" s="1">
        <f>IF(B114&lt;0.4,1.3*(0.4-B114),0)</f>
        <v>0</v>
      </c>
      <c r="AP114" s="1">
        <f t="shared" si="114"/>
        <v>-0.43</v>
      </c>
      <c r="AQ114" s="1">
        <f t="shared" si="115"/>
        <v>0</v>
      </c>
      <c r="AR114" s="1">
        <f t="shared" si="134"/>
        <v>1</v>
      </c>
      <c r="AS114" s="1">
        <f t="shared" si="135"/>
        <v>0.30867472713898642</v>
      </c>
      <c r="AT114" s="1">
        <f>(((1+0.55*B114)/(1+0.55*$AI$5))/(AN114^2))</f>
        <v>1</v>
      </c>
      <c r="AU114" s="1">
        <f t="shared" si="136"/>
        <v>3.465254791234245E-2</v>
      </c>
      <c r="AV114" s="8">
        <f t="shared" si="137"/>
        <v>1.0152573812007304</v>
      </c>
      <c r="AW114" s="8">
        <f t="shared" si="116"/>
        <v>0.99989990129712514</v>
      </c>
      <c r="AX114" s="8"/>
      <c r="AY114" s="4"/>
      <c r="AZ114" s="1">
        <f t="shared" si="138"/>
        <v>0.30864382919918953</v>
      </c>
      <c r="BA114" s="14">
        <f t="shared" si="117"/>
        <v>0.30092773346920981</v>
      </c>
      <c r="BB114" s="1"/>
      <c r="BC114" s="14">
        <f t="shared" si="118"/>
        <v>5.1265970797444522</v>
      </c>
      <c r="BD114" s="14">
        <f>IF(0.7*(AM114*(B114^3)/BA114)*(I114*L114*$N$5/43000000)&lt;$AH$5*(1-0.178*(C114/100)+0.0085*((C114/100)^2)),$AH$5*(1-0.178*(C114/100)+0.0085*((C114/100)^2)),0.7*(AM114*(B114^3)/BA114)*(I114*L114*$N$5/43000000))</f>
        <v>0.58095757188156727</v>
      </c>
      <c r="BE114" s="4">
        <f t="shared" si="139"/>
        <v>2.6157748526628296E-3</v>
      </c>
      <c r="BF114" s="4"/>
      <c r="BG114" s="1">
        <f t="shared" si="140"/>
        <v>1.006102952480292</v>
      </c>
      <c r="BH114" s="1">
        <f>0.6*$AN$5*(1-0.53*((B114-$AM$5)^2))*(1+((2/3)*AV114))</f>
        <v>5.6150236571627712</v>
      </c>
      <c r="BJ114" s="1">
        <f t="shared" si="141"/>
        <v>5.807081995665877</v>
      </c>
      <c r="BK114" s="5">
        <f t="shared" si="142"/>
        <v>25.166585370250715</v>
      </c>
      <c r="BL114" s="5">
        <f t="shared" si="119"/>
        <v>1.6064034875701034</v>
      </c>
      <c r="BM114" s="5">
        <f t="shared" ref="BM114:BM145" si="152">BK114^(0.4/(1.4*$AQ$5))</f>
        <v>2.9215198863036207</v>
      </c>
      <c r="BN114" s="1">
        <f t="shared" si="121"/>
        <v>1.1706373760967901</v>
      </c>
      <c r="BO114" s="1">
        <f t="shared" si="143"/>
        <v>3.2621400185558</v>
      </c>
      <c r="BP114" s="9">
        <f>(1+0.2*B114*B114)*K114</f>
        <v>241.19892737570004</v>
      </c>
      <c r="BQ114" s="9">
        <f t="shared" si="128"/>
        <v>704.66746288321042</v>
      </c>
      <c r="BR114" s="9">
        <f t="shared" si="129"/>
        <v>1354.3376832968409</v>
      </c>
      <c r="BS114" s="9">
        <f t="shared" si="122"/>
        <v>786.82467342500524</v>
      </c>
      <c r="BU114" s="9">
        <f>((1+0.2*B114*B114)^3.5)*I114</f>
        <v>28857.239739708828</v>
      </c>
      <c r="BV114" s="9">
        <f t="shared" si="123"/>
        <v>726238.18745917373</v>
      </c>
      <c r="BX114" s="3">
        <f t="shared" si="144"/>
        <v>2.1998801027165414E-2</v>
      </c>
      <c r="BZ114" s="3">
        <f t="shared" si="145"/>
        <v>3.929388098872335E-2</v>
      </c>
      <c r="CA114"/>
      <c r="CB114" s="14">
        <f>$CB$12*($AO$5/K114)/($AN$5*(1-0.53*((B114-$AM$5)^2))*(1+0.2*B114*B114))</f>
        <v>1.3629629629629629</v>
      </c>
      <c r="CC114" s="1">
        <f t="shared" si="124"/>
        <v>1.9074074074074074</v>
      </c>
      <c r="CD114" s="3">
        <f t="shared" si="146"/>
        <v>6.6096526573542078E-2</v>
      </c>
      <c r="CE114" s="6">
        <f t="shared" si="147"/>
        <v>1.6821073640577935</v>
      </c>
      <c r="CF114" s="22" t="str">
        <f t="shared" si="125"/>
        <v/>
      </c>
      <c r="CG114" s="22"/>
      <c r="CH114" s="7">
        <f t="shared" si="148"/>
        <v>1.0371302608148603</v>
      </c>
      <c r="CI114" s="23">
        <f>CH114*(0.7*I114*B114*B114)*$N$5/9.80665</f>
        <v>101749.51133793994</v>
      </c>
      <c r="CK114" s="1">
        <f>B114/$AI$5</f>
        <v>1</v>
      </c>
      <c r="CL114" s="14">
        <f t="shared" si="126"/>
        <v>1.4515200000000053</v>
      </c>
      <c r="CM114" s="1">
        <f t="shared" si="149"/>
        <v>0.8569758833631711</v>
      </c>
      <c r="CN114" s="14">
        <f>SQRT((A114*9.80665)/(0.7*I114*$N$5*CM114))</f>
        <v>0.62947250602828242</v>
      </c>
      <c r="CO114" s="1">
        <f t="shared" si="150"/>
        <v>0.69937434896570838</v>
      </c>
      <c r="CP114" s="29" t="str">
        <f>IF(C114&lt;30,"",IF(CO114&gt;1,"no",""))</f>
        <v/>
      </c>
      <c r="CQ114" s="22"/>
      <c r="CR114" s="23">
        <f>CM114*(0.7*I114*B114*B114)*$N$5/9.80665</f>
        <v>84075.145288010957</v>
      </c>
      <c r="CS114"/>
      <c r="CT114" s="6">
        <f t="shared" si="151"/>
        <v>0.94756097560975627</v>
      </c>
      <c r="CU114" s="22" t="str">
        <f t="shared" si="127"/>
        <v/>
      </c>
      <c r="CV114" s="5"/>
      <c r="CW114" s="6">
        <f>IF(C114&lt;100,SQRT(2)*SQRT(SQRT(1+(2/1.4)*(10510/I114))-1),IF(I114&gt;$AW$5,SQRT(2)*SQRT(SQRT(1+(2/1.4)*($AV$5/I114))-1),$AS$5))</f>
        <v>0.82</v>
      </c>
      <c r="CX114" s="22" t="str">
        <f>IF(B114&gt;CW114,"no","")</f>
        <v/>
      </c>
    </row>
    <row r="115" spans="1:102" x14ac:dyDescent="0.2">
      <c r="A115">
        <v>58800</v>
      </c>
      <c r="B115" s="1">
        <v>0.75270000000000004</v>
      </c>
      <c r="C115" s="5">
        <v>389</v>
      </c>
      <c r="D115" s="1">
        <v>0</v>
      </c>
      <c r="E115" s="1">
        <v>0</v>
      </c>
      <c r="G115">
        <f t="shared" si="78"/>
        <v>38900</v>
      </c>
      <c r="H115" s="9">
        <f t="shared" si="79"/>
        <v>11856.720000047426</v>
      </c>
      <c r="I115" s="5">
        <f t="shared" si="103"/>
        <v>19772.09675286174</v>
      </c>
      <c r="J115" s="5">
        <v>0</v>
      </c>
      <c r="K115" s="6">
        <f t="shared" si="104"/>
        <v>216.65</v>
      </c>
      <c r="L115" s="5">
        <f t="shared" si="105"/>
        <v>295.06801842964956</v>
      </c>
      <c r="M115" s="10">
        <f t="shared" si="106"/>
        <v>1.4216130796413355E-5</v>
      </c>
      <c r="O115" s="6">
        <f>B115*L115</f>
        <v>222.09769747199724</v>
      </c>
      <c r="P115" s="1">
        <f>IF(E115=0,0,E115/9.80665)</f>
        <v>0</v>
      </c>
      <c r="Q115" s="7">
        <f>IF(D115=0,0,(D115/O115))</f>
        <v>0</v>
      </c>
      <c r="R115" s="19">
        <f t="shared" si="107"/>
        <v>1</v>
      </c>
      <c r="S115" s="19">
        <f t="shared" si="108"/>
        <v>0</v>
      </c>
      <c r="T115" s="19">
        <f t="shared" si="109"/>
        <v>0</v>
      </c>
      <c r="U115" s="19"/>
      <c r="V115" s="19"/>
      <c r="X115" s="1">
        <f>(A115*9.80665*R115)/(0.7*I115*B115*B115*$N$5)</f>
        <v>0.60078901705540633</v>
      </c>
      <c r="Y115" s="10">
        <f>(SQRT($N$5)*B115)*(I115/M115)*SQRT(1.4/(287.05*K115))</f>
        <v>54952801.397326052</v>
      </c>
      <c r="Z115" s="10">
        <f t="shared" si="110"/>
        <v>2.218981609197904E-3</v>
      </c>
      <c r="AA115" s="3">
        <f t="shared" si="130"/>
        <v>1.8628988814806194E-2</v>
      </c>
      <c r="AB115" s="3">
        <f t="shared" si="131"/>
        <v>7.7445458184004319E-3</v>
      </c>
      <c r="AC115" s="3">
        <f>IF($E$5="no",(1/((1+0.03+$Q$5)+AB115*3.141593*$S$5)),(1.075/((1+0.03+$Q$5)+AB115*3.141593*$S$5)))</f>
        <v>0.7764126784008839</v>
      </c>
      <c r="AD115" s="3">
        <f t="shared" si="132"/>
        <v>4.315490060496345E-2</v>
      </c>
      <c r="AE115" s="1">
        <f t="shared" si="133"/>
        <v>0.67644175093412218</v>
      </c>
      <c r="AF115" s="1">
        <f>B115*$R$5/AE115</f>
        <v>1.0084798211458972</v>
      </c>
      <c r="AG115" s="8">
        <f t="shared" si="111"/>
        <v>1.0614812767106381E-3</v>
      </c>
      <c r="AH115" s="8"/>
      <c r="AI115" s="3">
        <f t="shared" si="112"/>
        <v>3.526712111841903E-2</v>
      </c>
      <c r="AJ115" s="1">
        <f t="shared" si="113"/>
        <v>17.035385877914234</v>
      </c>
      <c r="AK115" s="1"/>
      <c r="AL115" s="1">
        <f t="shared" si="84"/>
        <v>5.8701341264976226E-2</v>
      </c>
      <c r="AM115" s="8">
        <f>AL115*(A115*9.80665)/(0.7*I115*B115*B115*$N$5)</f>
        <v>3.526712111841903E-2</v>
      </c>
      <c r="AN115" s="1">
        <f>B115/$AI$5</f>
        <v>1</v>
      </c>
      <c r="AO115" s="1">
        <f>IF(B115&lt;0.4,1.3*(0.4-B115),0)</f>
        <v>0</v>
      </c>
      <c r="AP115" s="1">
        <f t="shared" si="114"/>
        <v>-0.43</v>
      </c>
      <c r="AQ115" s="1">
        <f t="shared" si="115"/>
        <v>0</v>
      </c>
      <c r="AR115" s="1">
        <f t="shared" si="134"/>
        <v>1</v>
      </c>
      <c r="AS115" s="1">
        <f t="shared" si="135"/>
        <v>0.30867472713898642</v>
      </c>
      <c r="AT115" s="1">
        <f>(((1+0.55*B115)/(1+0.55*$AI$5))/(AN115^2))</f>
        <v>1</v>
      </c>
      <c r="AU115" s="1">
        <f t="shared" si="136"/>
        <v>3.465254791234245E-2</v>
      </c>
      <c r="AV115" s="8">
        <f t="shared" si="137"/>
        <v>1.017735296337551</v>
      </c>
      <c r="AW115" s="8">
        <f t="shared" si="116"/>
        <v>0.99986474748344223</v>
      </c>
      <c r="AX115" s="8"/>
      <c r="AY115" s="4"/>
      <c r="AZ115" s="1">
        <f t="shared" si="138"/>
        <v>0.30863297810534307</v>
      </c>
      <c r="BA115" s="14">
        <f t="shared" si="117"/>
        <v>0.30091715365270949</v>
      </c>
      <c r="BB115" s="1"/>
      <c r="BC115" s="14">
        <f t="shared" si="118"/>
        <v>5.1262398297575151</v>
      </c>
      <c r="BD115" s="14">
        <f>IF(0.7*(AM115*(B115^3)/BA115)*(I115*L115*$N$5/43000000)&lt;$AH$5*(1-0.178*(C115/100)+0.0085*((C115/100)^2)),$AH$5*(1-0.178*(C115/100)+0.0085*((C115/100)^2)),0.7*(AM115*(B115^3)/BA115)*(I115*L115*$N$5/43000000))</f>
        <v>0.58099805907917368</v>
      </c>
      <c r="BE115" s="4">
        <f t="shared" si="139"/>
        <v>2.6159571472028778E-3</v>
      </c>
      <c r="BF115" s="4"/>
      <c r="BG115" s="1">
        <f t="shared" si="140"/>
        <v>1.0070941185350204</v>
      </c>
      <c r="BH115" s="1">
        <f>0.6*$AN$5*(1-0.53*((B115-$AM$5)^2))*(1+((2/3)*AV115))</f>
        <v>5.6205553185417143</v>
      </c>
      <c r="BJ115" s="1">
        <f t="shared" si="141"/>
        <v>5.8006241900165421</v>
      </c>
      <c r="BK115" s="5">
        <f t="shared" si="142"/>
        <v>25.228613561670176</v>
      </c>
      <c r="BL115" s="5">
        <f t="shared" si="119"/>
        <v>1.6079860419231657</v>
      </c>
      <c r="BM115" s="5">
        <f t="shared" si="152"/>
        <v>2.9239112975114971</v>
      </c>
      <c r="BN115" s="1">
        <f t="shared" si="121"/>
        <v>1.17102057228192</v>
      </c>
      <c r="BO115" s="1">
        <f t="shared" si="143"/>
        <v>3.2648342149156071</v>
      </c>
      <c r="BP115" s="9">
        <f>(1+0.2*B115*B115)*K115</f>
        <v>241.19892737570004</v>
      </c>
      <c r="BQ115" s="9">
        <f t="shared" si="128"/>
        <v>705.24426870146442</v>
      </c>
      <c r="BR115" s="9">
        <f t="shared" si="129"/>
        <v>1355.6719140880475</v>
      </c>
      <c r="BS115" s="9">
        <f t="shared" si="122"/>
        <v>787.4745106971302</v>
      </c>
      <c r="BU115" s="9">
        <f>((1+0.2*B115*B115)^3.5)*I115</f>
        <v>28787.974059173648</v>
      </c>
      <c r="BV115" s="9">
        <f t="shared" si="123"/>
        <v>726280.67276227754</v>
      </c>
      <c r="BX115" s="3">
        <f t="shared" si="144"/>
        <v>2.2025924293846571E-2</v>
      </c>
      <c r="BZ115" s="3">
        <f t="shared" si="145"/>
        <v>3.938964229902641E-2</v>
      </c>
      <c r="CA115"/>
      <c r="CB115" s="14">
        <f>$CB$12*($AO$5/K115)/($AN$5*(1-0.53*((B115-$AM$5)^2))*(1+0.2*B115*B115))</f>
        <v>1.3629629629629629</v>
      </c>
      <c r="CC115" s="1">
        <f t="shared" si="124"/>
        <v>1.9074074074074074</v>
      </c>
      <c r="CD115" s="3">
        <f t="shared" si="146"/>
        <v>6.6096526573542078E-2</v>
      </c>
      <c r="CE115" s="6">
        <f t="shared" si="147"/>
        <v>1.6780179436962235</v>
      </c>
      <c r="CF115" s="22" t="str">
        <f t="shared" si="125"/>
        <v/>
      </c>
      <c r="CG115" s="22"/>
      <c r="CH115" s="7">
        <f t="shared" si="148"/>
        <v>1.0369845163525875</v>
      </c>
      <c r="CI115" s="23">
        <f>CH115*(0.7*I115*B115*B115)*$N$5/9.80665</f>
        <v>101491.01902758137</v>
      </c>
      <c r="CK115" s="1">
        <f>B115/$AI$5</f>
        <v>1</v>
      </c>
      <c r="CL115" s="14">
        <f t="shared" si="126"/>
        <v>1.4515200000000053</v>
      </c>
      <c r="CM115" s="1">
        <f t="shared" si="149"/>
        <v>0.8569758833631711</v>
      </c>
      <c r="CN115" s="14">
        <f>SQRT((A115*9.80665)/(0.7*I115*$N$5*CM115))</f>
        <v>0.63022932632986639</v>
      </c>
      <c r="CO115" s="1">
        <f t="shared" si="150"/>
        <v>0.70105708774164266</v>
      </c>
      <c r="CP115" s="29" t="str">
        <f>IF(C115&lt;30,"",IF(CO115&gt;1,"no",""))</f>
        <v/>
      </c>
      <c r="CQ115" s="22"/>
      <c r="CR115" s="23">
        <f>CM115*(0.7*I115*B115*B115)*$N$5/9.80665</f>
        <v>83873.340742358065</v>
      </c>
      <c r="CS115"/>
      <c r="CT115" s="6">
        <f t="shared" si="151"/>
        <v>0.94878048780487823</v>
      </c>
      <c r="CU115" s="22" t="str">
        <f t="shared" si="127"/>
        <v/>
      </c>
      <c r="CV115" s="5"/>
      <c r="CW115" s="6">
        <f>IF(C115&lt;100,SQRT(2)*SQRT(SQRT(1+(2/1.4)*(10510/I115))-1),IF(I115&gt;$AW$5,SQRT(2)*SQRT(SQRT(1+(2/1.4)*($AV$5/I115))-1),$AS$5))</f>
        <v>0.82</v>
      </c>
      <c r="CX115" s="22" t="str">
        <f>IF(B115&gt;CW115,"no","")</f>
        <v/>
      </c>
    </row>
    <row r="116" spans="1:102" x14ac:dyDescent="0.2">
      <c r="A116">
        <v>58800</v>
      </c>
      <c r="B116" s="1">
        <v>0.75270000000000004</v>
      </c>
      <c r="C116" s="5">
        <v>389.5</v>
      </c>
      <c r="D116" s="1">
        <v>0</v>
      </c>
      <c r="E116" s="1">
        <v>0</v>
      </c>
      <c r="G116">
        <f t="shared" si="78"/>
        <v>38950</v>
      </c>
      <c r="H116" s="9">
        <f t="shared" si="79"/>
        <v>11871.960000047487</v>
      </c>
      <c r="I116" s="5">
        <f t="shared" si="103"/>
        <v>19724.638030213708</v>
      </c>
      <c r="J116" s="5">
        <v>0</v>
      </c>
      <c r="K116" s="6">
        <f t="shared" si="104"/>
        <v>216.65</v>
      </c>
      <c r="L116" s="5">
        <f t="shared" si="105"/>
        <v>295.06801842964956</v>
      </c>
      <c r="M116" s="10">
        <f t="shared" si="106"/>
        <v>1.4216130796413355E-5</v>
      </c>
      <c r="O116" s="6">
        <f>B116*L116</f>
        <v>222.09769747199724</v>
      </c>
      <c r="P116" s="1">
        <f>IF(E116=0,0,E116/9.80665)</f>
        <v>0</v>
      </c>
      <c r="Q116" s="7">
        <f>IF(D116=0,0,(D116/O116))</f>
        <v>0</v>
      </c>
      <c r="R116" s="19">
        <f t="shared" si="107"/>
        <v>1</v>
      </c>
      <c r="S116" s="19">
        <f t="shared" si="108"/>
        <v>0</v>
      </c>
      <c r="T116" s="19">
        <f t="shared" si="109"/>
        <v>0</v>
      </c>
      <c r="U116" s="19"/>
      <c r="V116" s="19"/>
      <c r="X116" s="1">
        <f>(A116*9.80665*R116)/(0.7*I116*B116*B116*$N$5)</f>
        <v>0.6022345533074146</v>
      </c>
      <c r="Y116" s="10">
        <f>(SQRT($N$5)*B116)*(I116/M116)*SQRT(1.4/(287.05*K116))</f>
        <v>54820898.858468071</v>
      </c>
      <c r="Z116" s="10">
        <f t="shared" si="110"/>
        <v>2.2197282983714745E-3</v>
      </c>
      <c r="AA116" s="3">
        <f t="shared" si="130"/>
        <v>1.8635257485175034E-2</v>
      </c>
      <c r="AB116" s="3">
        <f t="shared" si="131"/>
        <v>7.7471518645672189E-3</v>
      </c>
      <c r="AC116" s="3">
        <f>IF($E$5="no",(1/((1+0.03+$Q$5)+AB116*3.141593*$S$5)),(1.075/((1+0.03+$Q$5)+AB116*3.141593*$S$5)))</f>
        <v>0.77636579507880621</v>
      </c>
      <c r="AD116" s="3">
        <f t="shared" si="132"/>
        <v>4.3157506651130245E-2</v>
      </c>
      <c r="AE116" s="1">
        <f t="shared" si="133"/>
        <v>0.67626576515137748</v>
      </c>
      <c r="AF116" s="1">
        <f>B116*$R$5/AE116</f>
        <v>1.0087422595537718</v>
      </c>
      <c r="AG116" s="8">
        <f t="shared" si="111"/>
        <v>1.0654770713573898E-3</v>
      </c>
      <c r="AH116" s="8"/>
      <c r="AI116" s="3">
        <f t="shared" si="112"/>
        <v>3.5353377745303269E-2</v>
      </c>
      <c r="AJ116" s="1">
        <f t="shared" si="113"/>
        <v>17.034710449623788</v>
      </c>
      <c r="AK116" s="1"/>
      <c r="AL116" s="1">
        <f t="shared" si="84"/>
        <v>5.870366878012212E-2</v>
      </c>
      <c r="AM116" s="8">
        <f>AL116*(A116*9.80665)/(0.7*I116*B116*B116*$N$5)</f>
        <v>3.5353377745303262E-2</v>
      </c>
      <c r="AN116" s="1">
        <f>B116/$AI$5</f>
        <v>1</v>
      </c>
      <c r="AO116" s="1">
        <f>IF(B116&lt;0.4,1.3*(0.4-B116),0)</f>
        <v>0</v>
      </c>
      <c r="AP116" s="1">
        <f t="shared" si="114"/>
        <v>-0.43</v>
      </c>
      <c r="AQ116" s="1">
        <f t="shared" si="115"/>
        <v>0</v>
      </c>
      <c r="AR116" s="1">
        <f t="shared" si="134"/>
        <v>1</v>
      </c>
      <c r="AS116" s="1">
        <f t="shared" si="135"/>
        <v>0.30867472713898642</v>
      </c>
      <c r="AT116" s="1">
        <f>(((1+0.55*B116)/(1+0.55*$AI$5))/(AN116^2))</f>
        <v>1</v>
      </c>
      <c r="AU116" s="1">
        <f t="shared" si="136"/>
        <v>3.465254791234245E-2</v>
      </c>
      <c r="AV116" s="8">
        <f t="shared" si="137"/>
        <v>1.020224482041945</v>
      </c>
      <c r="AW116" s="8">
        <f t="shared" si="116"/>
        <v>0.99982411724023812</v>
      </c>
      <c r="AX116" s="8"/>
      <c r="AY116" s="4"/>
      <c r="AZ116" s="1">
        <f t="shared" si="138"/>
        <v>0.30862043657610849</v>
      </c>
      <c r="BA116" s="14">
        <f t="shared" si="117"/>
        <v>0.30090492566170579</v>
      </c>
      <c r="BB116" s="1"/>
      <c r="BC116" s="14">
        <f t="shared" si="118"/>
        <v>5.125828281512729</v>
      </c>
      <c r="BD116" s="14">
        <f>IF(0.7*(AM116*(B116^3)/BA116)*(I116*L116*$N$5/43000000)&lt;$AH$5*(1-0.178*(C116/100)+0.0085*((C116/100)^2)),$AH$5*(1-0.178*(C116/100)+0.0085*((C116/100)^2)),0.7*(AM116*(B116^3)/BA116)*(I116*L116*$N$5/43000000))</f>
        <v>0.58104470690237542</v>
      </c>
      <c r="BE116" s="4">
        <f t="shared" si="139"/>
        <v>2.6161671801016098E-3</v>
      </c>
      <c r="BF116" s="4"/>
      <c r="BG116" s="1">
        <f t="shared" si="140"/>
        <v>1.008089792816778</v>
      </c>
      <c r="BH116" s="1">
        <f>0.6*$AN$5*(1-0.53*((B116-$AM$5)^2))*(1+((2/3)*AV116))</f>
        <v>5.6261121401702709</v>
      </c>
      <c r="BJ116" s="1">
        <f t="shared" si="141"/>
        <v>5.794150627379147</v>
      </c>
      <c r="BK116" s="5">
        <f t="shared" si="142"/>
        <v>25.291016147176705</v>
      </c>
      <c r="BL116" s="5">
        <f t="shared" si="119"/>
        <v>1.6095757943781765</v>
      </c>
      <c r="BM116" s="5">
        <f t="shared" si="152"/>
        <v>2.9263131852850419</v>
      </c>
      <c r="BN116" s="1">
        <f t="shared" si="121"/>
        <v>1.1714052579803393</v>
      </c>
      <c r="BO116" s="1">
        <f t="shared" si="143"/>
        <v>3.2675443156609068</v>
      </c>
      <c r="BP116" s="9">
        <f>(1+0.2*B116*B116)*K116</f>
        <v>241.19892737570004</v>
      </c>
      <c r="BQ116" s="9">
        <f t="shared" si="128"/>
        <v>705.82360145612029</v>
      </c>
      <c r="BR116" s="9">
        <f t="shared" si="129"/>
        <v>1357.0122135044735</v>
      </c>
      <c r="BS116" s="9">
        <f t="shared" si="122"/>
        <v>788.12818408997657</v>
      </c>
      <c r="BU116" s="9">
        <f>((1+0.2*B116*B116)^3.5)*I116</f>
        <v>28718.874636206514</v>
      </c>
      <c r="BV116" s="9">
        <f t="shared" si="123"/>
        <v>726329.52215304249</v>
      </c>
      <c r="BX116" s="3">
        <f t="shared" si="144"/>
        <v>2.2053175468371693E-2</v>
      </c>
      <c r="BZ116" s="3">
        <f t="shared" si="145"/>
        <v>3.948581797177711E-2</v>
      </c>
      <c r="CA116"/>
      <c r="CB116" s="14">
        <f>$CB$12*($AO$5/K116)/($AN$5*(1-0.53*((B116-$AM$5)^2))*(1+0.2*B116*B116))</f>
        <v>1.3629629629629629</v>
      </c>
      <c r="CC116" s="1">
        <f t="shared" si="124"/>
        <v>1.9074074074074074</v>
      </c>
      <c r="CD116" s="3">
        <f t="shared" si="146"/>
        <v>6.6096526573542078E-2</v>
      </c>
      <c r="CE116" s="6">
        <f t="shared" si="147"/>
        <v>1.6739307925895126</v>
      </c>
      <c r="CF116" s="22" t="str">
        <f t="shared" si="125"/>
        <v/>
      </c>
      <c r="CG116" s="22"/>
      <c r="CH116" s="7">
        <f t="shared" si="148"/>
        <v>1.0368385197939678</v>
      </c>
      <c r="CI116" s="23">
        <f>CH116*(0.7*I116*B116*B116)*$N$5/9.80665</f>
        <v>101233.15679757214</v>
      </c>
      <c r="CK116" s="1">
        <f>B116/$AI$5</f>
        <v>1</v>
      </c>
      <c r="CL116" s="14">
        <f t="shared" si="126"/>
        <v>1.4515200000000053</v>
      </c>
      <c r="CM116" s="1">
        <f t="shared" si="149"/>
        <v>0.8569758833631711</v>
      </c>
      <c r="CN116" s="14">
        <f>SQRT((A116*9.80665)/(0.7*I116*$N$5*CM116))</f>
        <v>0.63098705656312093</v>
      </c>
      <c r="CO116" s="1">
        <f t="shared" si="150"/>
        <v>0.70274387529316074</v>
      </c>
      <c r="CP116" s="29" t="str">
        <f>IF(C116&lt;30,"",IF(CO116&gt;1,"no",""))</f>
        <v/>
      </c>
      <c r="CQ116" s="22"/>
      <c r="CR116" s="23">
        <f>CM116*(0.7*I116*B116*B116)*$N$5/9.80665</f>
        <v>83672.020585694394</v>
      </c>
      <c r="CS116"/>
      <c r="CT116" s="6">
        <f t="shared" si="151"/>
        <v>0.95000000000000018</v>
      </c>
      <c r="CU116" s="22" t="str">
        <f t="shared" si="127"/>
        <v/>
      </c>
      <c r="CV116" s="5"/>
      <c r="CW116" s="6">
        <f>IF(C116&lt;100,SQRT(2)*SQRT(SQRT(1+(2/1.4)*(10510/I116))-1),IF(I116&gt;$AW$5,SQRT(2)*SQRT(SQRT(1+(2/1.4)*($AV$5/I116))-1),$AS$5))</f>
        <v>0.82</v>
      </c>
      <c r="CX116" s="22" t="str">
        <f>IF(B116&gt;CW116,"no","")</f>
        <v/>
      </c>
    </row>
    <row r="117" spans="1:102" x14ac:dyDescent="0.2">
      <c r="A117">
        <v>58800</v>
      </c>
      <c r="B117" s="1">
        <v>0.75270000000000004</v>
      </c>
      <c r="C117" s="5">
        <v>390</v>
      </c>
      <c r="D117" s="1">
        <v>0</v>
      </c>
      <c r="E117" s="1">
        <v>0</v>
      </c>
      <c r="G117">
        <f t="shared" si="78"/>
        <v>39000</v>
      </c>
      <c r="H117" s="9">
        <f t="shared" si="79"/>
        <v>11887.200000047547</v>
      </c>
      <c r="I117" s="5">
        <f t="shared" si="103"/>
        <v>19677.293222158733</v>
      </c>
      <c r="J117" s="5">
        <v>0</v>
      </c>
      <c r="K117" s="6">
        <f t="shared" si="104"/>
        <v>216.65</v>
      </c>
      <c r="L117" s="5">
        <f t="shared" si="105"/>
        <v>295.06801842964956</v>
      </c>
      <c r="M117" s="10">
        <f t="shared" si="106"/>
        <v>1.4216130796413355E-5</v>
      </c>
      <c r="O117" s="6">
        <f>B117*L117</f>
        <v>222.09769747199724</v>
      </c>
      <c r="P117" s="1">
        <f>IF(E117=0,0,E117/9.80665)</f>
        <v>0</v>
      </c>
      <c r="Q117" s="7">
        <f>IF(D117=0,0,(D117/O117))</f>
        <v>0</v>
      </c>
      <c r="R117" s="19">
        <f t="shared" si="107"/>
        <v>1</v>
      </c>
      <c r="S117" s="19">
        <f t="shared" si="108"/>
        <v>0</v>
      </c>
      <c r="T117" s="19">
        <f t="shared" si="109"/>
        <v>0</v>
      </c>
      <c r="U117" s="19"/>
      <c r="V117" s="19"/>
      <c r="X117" s="1">
        <f>(A117*9.80665*R117)/(0.7*I117*B117*B117*$N$5)</f>
        <v>0.60368356761077957</v>
      </c>
      <c r="Y117" s="10">
        <f>(SQRT($N$5)*B117)*(I117/M117)*SQRT(1.4/(287.05*K117))</f>
        <v>54689312.923665129</v>
      </c>
      <c r="Z117" s="10">
        <f t="shared" si="110"/>
        <v>2.2204752388065778E-3</v>
      </c>
      <c r="AA117" s="3">
        <f t="shared" si="130"/>
        <v>1.864152826495671E-2</v>
      </c>
      <c r="AB117" s="3">
        <f t="shared" si="131"/>
        <v>7.7497587876707253E-3</v>
      </c>
      <c r="AC117" s="3">
        <f>IF($E$5="no",(1/((1+0.03+$Q$5)+AB117*3.141593*$S$5)),(1.075/((1+0.03+$Q$5)+AB117*3.141593*$S$5)))</f>
        <v>0.77631890164502326</v>
      </c>
      <c r="AD117" s="3">
        <f t="shared" si="132"/>
        <v>4.3160113574233744E-2</v>
      </c>
      <c r="AE117" s="1">
        <f t="shared" si="133"/>
        <v>0.67608935593574437</v>
      </c>
      <c r="AF117" s="1">
        <f>B117*$R$5/AE117</f>
        <v>1.0090054665237109</v>
      </c>
      <c r="AG117" s="8">
        <f t="shared" si="111"/>
        <v>1.0694922594093083E-3</v>
      </c>
      <c r="AH117" s="8"/>
      <c r="AI117" s="3">
        <f t="shared" si="112"/>
        <v>3.5440026872170766E-2</v>
      </c>
      <c r="AJ117" s="1">
        <f t="shared" si="113"/>
        <v>17.033947795474763</v>
      </c>
      <c r="AK117" s="1"/>
      <c r="AL117" s="1">
        <f t="shared" si="84"/>
        <v>5.8706297096064834E-2</v>
      </c>
      <c r="AM117" s="8">
        <f>AL117*(A117*9.80665)/(0.7*I117*B117*B117*$N$5)</f>
        <v>3.5440026872170773E-2</v>
      </c>
      <c r="AN117" s="1">
        <f>B117/$AI$5</f>
        <v>1</v>
      </c>
      <c r="AO117" s="1">
        <f>IF(B117&lt;0.4,1.3*(0.4-B117),0)</f>
        <v>0</v>
      </c>
      <c r="AP117" s="1">
        <f t="shared" si="114"/>
        <v>-0.43</v>
      </c>
      <c r="AQ117" s="1">
        <f t="shared" si="115"/>
        <v>0</v>
      </c>
      <c r="AR117" s="1">
        <f t="shared" si="134"/>
        <v>1</v>
      </c>
      <c r="AS117" s="1">
        <f t="shared" si="135"/>
        <v>0.30867472713898642</v>
      </c>
      <c r="AT117" s="1">
        <f>(((1+0.55*B117)/(1+0.55*$AI$5))/(AN117^2))</f>
        <v>1</v>
      </c>
      <c r="AU117" s="1">
        <f t="shared" si="136"/>
        <v>3.465254791234245E-2</v>
      </c>
      <c r="AV117" s="8">
        <f t="shared" si="137"/>
        <v>1.0227249944742978</v>
      </c>
      <c r="AW117" s="8">
        <f t="shared" si="116"/>
        <v>0.99977793708924156</v>
      </c>
      <c r="AX117" s="8"/>
      <c r="AY117" s="4"/>
      <c r="AZ117" s="1">
        <f t="shared" si="138"/>
        <v>0.30860618193060035</v>
      </c>
      <c r="BA117" s="14">
        <f t="shared" si="117"/>
        <v>0.30089102738233536</v>
      </c>
      <c r="BB117" s="1"/>
      <c r="BC117" s="14">
        <f t="shared" si="118"/>
        <v>5.1253620525574677</v>
      </c>
      <c r="BD117" s="14">
        <f>IF(0.7*(AM117*(B117^3)/BA117)*(I117*L117*$N$5/43000000)&lt;$AH$5*(1-0.178*(C117/100)+0.0085*((C117/100)^2)),$AH$5*(1-0.178*(C117/100)+0.0085*((C117/100)^2)),0.7*(AM117*(B117^3)/BA117)*(I117*L117*$N$5/43000000))</f>
        <v>0.58109756167904902</v>
      </c>
      <c r="BE117" s="4">
        <f t="shared" si="139"/>
        <v>2.6164051599513569E-3</v>
      </c>
      <c r="BF117" s="4"/>
      <c r="BG117" s="1">
        <f t="shared" si="140"/>
        <v>1.009089997789719</v>
      </c>
      <c r="BH117" s="1">
        <f>0.6*$AN$5*(1-0.53*((B117-$AM$5)^2))*(1+((2/3)*AV117))</f>
        <v>5.6316942474200617</v>
      </c>
      <c r="BJ117" s="1">
        <f t="shared" si="141"/>
        <v>5.787661305098502</v>
      </c>
      <c r="BK117" s="5">
        <f t="shared" si="142"/>
        <v>25.353795839949267</v>
      </c>
      <c r="BL117" s="5">
        <f t="shared" si="119"/>
        <v>1.6111727808027334</v>
      </c>
      <c r="BM117" s="5">
        <f t="shared" si="152"/>
        <v>2.9287255988149403</v>
      </c>
      <c r="BN117" s="1">
        <f t="shared" si="121"/>
        <v>1.1717914388335664</v>
      </c>
      <c r="BO117" s="1">
        <f t="shared" si="143"/>
        <v>3.27027041847419</v>
      </c>
      <c r="BP117" s="9">
        <f>(1+0.2*B117*B117)*K117</f>
        <v>241.19892737570004</v>
      </c>
      <c r="BQ117" s="9">
        <f t="shared" si="128"/>
        <v>706.40547301191839</v>
      </c>
      <c r="BR117" s="9">
        <f t="shared" si="129"/>
        <v>1358.3586117856191</v>
      </c>
      <c r="BS117" s="9">
        <f t="shared" si="122"/>
        <v>788.78571716445629</v>
      </c>
      <c r="BU117" s="9">
        <f>((1+0.2*B117*B117)^3.5)*I117</f>
        <v>28649.941071741436</v>
      </c>
      <c r="BV117" s="9">
        <f t="shared" si="123"/>
        <v>726384.75675950968</v>
      </c>
      <c r="BX117" s="3">
        <f t="shared" si="144"/>
        <v>2.2080555225342934E-2</v>
      </c>
      <c r="BZ117" s="3">
        <f t="shared" si="145"/>
        <v>3.9582410010360787E-2</v>
      </c>
      <c r="CA117"/>
      <c r="CB117" s="14">
        <f>$CB$12*($AO$5/K117)/($AN$5*(1-0.53*((B117-$AM$5)^2))*(1+0.2*B117*B117))</f>
        <v>1.3629629629629629</v>
      </c>
      <c r="CC117" s="1">
        <f t="shared" si="124"/>
        <v>1.9074074074074074</v>
      </c>
      <c r="CD117" s="3">
        <f t="shared" si="146"/>
        <v>6.6096526573542078E-2</v>
      </c>
      <c r="CE117" s="6">
        <f t="shared" si="147"/>
        <v>1.6698459380376576</v>
      </c>
      <c r="CF117" s="22" t="str">
        <f t="shared" si="125"/>
        <v/>
      </c>
      <c r="CG117" s="22"/>
      <c r="CH117" s="7">
        <f t="shared" si="148"/>
        <v>1.0366922694889793</v>
      </c>
      <c r="CI117" s="23">
        <f>CH117*(0.7*I117*B117*B117)*$N$5/9.80665</f>
        <v>100975.92301080139</v>
      </c>
      <c r="CK117" s="1">
        <f>B117/$AI$5</f>
        <v>1</v>
      </c>
      <c r="CL117" s="14">
        <f t="shared" si="126"/>
        <v>1.4515200000000053</v>
      </c>
      <c r="CM117" s="1">
        <f t="shared" si="149"/>
        <v>0.8569758833631711</v>
      </c>
      <c r="CN117" s="14">
        <f>SQRT((A117*9.80665)/(0.7*I117*$N$5*CM117))</f>
        <v>0.63174569782206458</v>
      </c>
      <c r="CO117" s="1">
        <f t="shared" si="150"/>
        <v>0.70443472136187202</v>
      </c>
      <c r="CP117" s="29" t="str">
        <f>IF(C117&lt;30,"",IF(CO117&gt;1,"no",""))</f>
        <v/>
      </c>
      <c r="CQ117" s="22"/>
      <c r="CR117" s="23">
        <f>CM117*(0.7*I117*B117*B117)*$N$5/9.80665</f>
        <v>83471.183655347006</v>
      </c>
      <c r="CS117"/>
      <c r="CT117" s="6">
        <f t="shared" si="151"/>
        <v>0.95121951219512213</v>
      </c>
      <c r="CU117" s="22" t="str">
        <f t="shared" si="127"/>
        <v/>
      </c>
      <c r="CV117" s="5"/>
      <c r="CW117" s="6">
        <f>IF(C117&lt;100,SQRT(2)*SQRT(SQRT(1+(2/1.4)*(10510/I117))-1),IF(I117&gt;$AW$5,SQRT(2)*SQRT(SQRT(1+(2/1.4)*($AV$5/I117))-1),$AS$5))</f>
        <v>0.82</v>
      </c>
      <c r="CX117" s="22" t="str">
        <f>IF(B117&gt;CW117,"no","")</f>
        <v/>
      </c>
    </row>
    <row r="118" spans="1:102" x14ac:dyDescent="0.2">
      <c r="A118">
        <v>58800</v>
      </c>
      <c r="B118" s="1">
        <v>0.75270000000000004</v>
      </c>
      <c r="C118" s="5">
        <v>390.5</v>
      </c>
      <c r="D118" s="1">
        <v>0</v>
      </c>
      <c r="E118" s="1">
        <v>0</v>
      </c>
      <c r="G118">
        <f t="shared" si="78"/>
        <v>39050</v>
      </c>
      <c r="H118" s="9">
        <f t="shared" si="79"/>
        <v>11902.440000047609</v>
      </c>
      <c r="I118" s="5">
        <f t="shared" si="103"/>
        <v>19630.062055268998</v>
      </c>
      <c r="J118" s="5">
        <v>0</v>
      </c>
      <c r="K118" s="6">
        <f t="shared" si="104"/>
        <v>216.65</v>
      </c>
      <c r="L118" s="5">
        <f t="shared" si="105"/>
        <v>295.06801842964956</v>
      </c>
      <c r="M118" s="10">
        <f t="shared" si="106"/>
        <v>1.4216130796413355E-5</v>
      </c>
      <c r="O118" s="6">
        <f>B118*L118</f>
        <v>222.09769747199724</v>
      </c>
      <c r="P118" s="1">
        <f>IF(E118=0,0,E118/9.80665)</f>
        <v>0</v>
      </c>
      <c r="Q118" s="7">
        <f>IF(D118=0,0,(D118/O118))</f>
        <v>0</v>
      </c>
      <c r="R118" s="19">
        <f t="shared" si="107"/>
        <v>1</v>
      </c>
      <c r="S118" s="19">
        <f t="shared" si="108"/>
        <v>0</v>
      </c>
      <c r="T118" s="19">
        <f t="shared" si="109"/>
        <v>0</v>
      </c>
      <c r="U118" s="19"/>
      <c r="V118" s="19"/>
      <c r="X118" s="1">
        <f>(A118*9.80665*R118)/(0.7*I118*B118*B118*$N$5)</f>
        <v>0.60513606833391198</v>
      </c>
      <c r="Y118" s="10">
        <f>(SQRT($N$5)*B118)*(I118/M118)*SQRT(1.4/(287.05*K118))</f>
        <v>54558042.832976349</v>
      </c>
      <c r="Z118" s="10">
        <f t="shared" si="110"/>
        <v>2.2212224305877648E-3</v>
      </c>
      <c r="AA118" s="3">
        <f t="shared" si="130"/>
        <v>1.8647801154861046E-2</v>
      </c>
      <c r="AB118" s="3">
        <f t="shared" si="131"/>
        <v>7.7523665880060441E-3</v>
      </c>
      <c r="AC118" s="3">
        <f>IF($E$5="no",(1/((1+0.03+$Q$5)+AB118*3.141593*$S$5)),(1.075/((1+0.03+$Q$5)+AB118*3.141593*$S$5)))</f>
        <v>0.77627199809891789</v>
      </c>
      <c r="AD118" s="3">
        <f t="shared" si="132"/>
        <v>4.3162721374569064E-2</v>
      </c>
      <c r="AE118" s="1">
        <f t="shared" si="133"/>
        <v>0.67591252226841658</v>
      </c>
      <c r="AF118" s="1">
        <f>B118*$R$5/AE118</f>
        <v>1.0092694446734283</v>
      </c>
      <c r="AG118" s="8">
        <f t="shared" si="111"/>
        <v>1.0735269884206585E-3</v>
      </c>
      <c r="AH118" s="8"/>
      <c r="AI118" s="3">
        <f t="shared" si="112"/>
        <v>3.5527070459845794E-2</v>
      </c>
      <c r="AJ118" s="1">
        <f t="shared" si="113"/>
        <v>17.033097874418395</v>
      </c>
      <c r="AK118" s="1"/>
      <c r="AL118" s="1">
        <f t="shared" si="84"/>
        <v>5.8709226435073578E-2</v>
      </c>
      <c r="AM118" s="8">
        <f>AL118*(A118*9.80665)/(0.7*I118*B118*B118*$N$5)</f>
        <v>3.5527070459845801E-2</v>
      </c>
      <c r="AN118" s="1">
        <f>B118/$AI$5</f>
        <v>1</v>
      </c>
      <c r="AO118" s="1">
        <f>IF(B118&lt;0.4,1.3*(0.4-B118),0)</f>
        <v>0</v>
      </c>
      <c r="AP118" s="1">
        <f t="shared" si="114"/>
        <v>-0.43</v>
      </c>
      <c r="AQ118" s="1">
        <f t="shared" si="115"/>
        <v>0</v>
      </c>
      <c r="AR118" s="1">
        <f t="shared" si="134"/>
        <v>1</v>
      </c>
      <c r="AS118" s="1">
        <f t="shared" si="135"/>
        <v>0.30867472713898642</v>
      </c>
      <c r="AT118" s="1">
        <f>(((1+0.55*B118)/(1+0.55*$AI$5))/(AN118^2))</f>
        <v>1</v>
      </c>
      <c r="AU118" s="1">
        <f t="shared" si="136"/>
        <v>3.465254791234245E-2</v>
      </c>
      <c r="AV118" s="8">
        <f t="shared" si="137"/>
        <v>1.0252368902198925</v>
      </c>
      <c r="AW118" s="8">
        <f t="shared" si="116"/>
        <v>0.99972613272997246</v>
      </c>
      <c r="AX118" s="8"/>
      <c r="AY118" s="4"/>
      <c r="AZ118" s="1">
        <f t="shared" si="138"/>
        <v>0.30859019123413839</v>
      </c>
      <c r="BA118" s="14">
        <f t="shared" si="117"/>
        <v>0.30087543645328491</v>
      </c>
      <c r="BB118" s="1"/>
      <c r="BC118" s="14">
        <f t="shared" si="118"/>
        <v>5.1248407571171537</v>
      </c>
      <c r="BD118" s="14">
        <f>IF(0.7*(AM118*(B118^3)/BA118)*(I118*L118*$N$5/43000000)&lt;$AH$5*(1-0.178*(C118/100)+0.0085*((C118/100)^2)),$AH$5*(1-0.178*(C118/100)+0.0085*((C118/100)^2)),0.7*(AM118*(B118^3)/BA118)*(I118*L118*$N$5/43000000))</f>
        <v>0.5811566705418677</v>
      </c>
      <c r="BE118" s="4">
        <f t="shared" si="139"/>
        <v>2.6166712989680666E-3</v>
      </c>
      <c r="BF118" s="4"/>
      <c r="BG118" s="1">
        <f t="shared" si="140"/>
        <v>1.010094756087957</v>
      </c>
      <c r="BH118" s="1">
        <f>0.6*$AN$5*(1-0.53*((B118-$AM$5)^2))*(1+((2/3)*AV118))</f>
        <v>5.6373017666112419</v>
      </c>
      <c r="BJ118" s="1">
        <f t="shared" si="141"/>
        <v>5.7811562205154798</v>
      </c>
      <c r="BK118" s="5">
        <f t="shared" si="142"/>
        <v>25.416955379204616</v>
      </c>
      <c r="BL118" s="5">
        <f t="shared" si="119"/>
        <v>1.6127770373358001</v>
      </c>
      <c r="BM118" s="5">
        <f t="shared" si="152"/>
        <v>2.9311485876522219</v>
      </c>
      <c r="BN118" s="1">
        <f t="shared" si="121"/>
        <v>1.1721791205203325</v>
      </c>
      <c r="BO118" s="1">
        <f t="shared" si="143"/>
        <v>3.2730126217577995</v>
      </c>
      <c r="BP118" s="9">
        <f>(1+0.2*B118*B118)*K118</f>
        <v>241.19892737570004</v>
      </c>
      <c r="BQ118" s="9">
        <f t="shared" si="128"/>
        <v>706.98989532051405</v>
      </c>
      <c r="BR118" s="9">
        <f t="shared" si="129"/>
        <v>1359.7111393997704</v>
      </c>
      <c r="BS118" s="9">
        <f t="shared" si="122"/>
        <v>789.44713365510904</v>
      </c>
      <c r="BU118" s="9">
        <f>((1+0.2*B118*B118)^3.5)*I118</f>
        <v>28581.17296767026</v>
      </c>
      <c r="BV118" s="9">
        <f t="shared" si="123"/>
        <v>726446.39800460415</v>
      </c>
      <c r="BX118" s="3">
        <f t="shared" si="144"/>
        <v>2.2108064244655813E-2</v>
      </c>
      <c r="BZ118" s="3">
        <f t="shared" si="145"/>
        <v>3.9679420433024422E-2</v>
      </c>
      <c r="CA118"/>
      <c r="CB118" s="14">
        <f>$CB$12*($AO$5/K118)/($AN$5*(1-0.53*((B118-$AM$5)^2))*(1+0.2*B118*B118))</f>
        <v>1.3629629629629629</v>
      </c>
      <c r="CC118" s="1">
        <f t="shared" si="124"/>
        <v>1.9074074074074074</v>
      </c>
      <c r="CD118" s="3">
        <f t="shared" si="146"/>
        <v>6.6096526573542078E-2</v>
      </c>
      <c r="CE118" s="6">
        <f t="shared" si="147"/>
        <v>1.6657634071321064</v>
      </c>
      <c r="CF118" s="22" t="str">
        <f t="shared" si="125"/>
        <v/>
      </c>
      <c r="CG118" s="22"/>
      <c r="CH118" s="7">
        <f t="shared" si="148"/>
        <v>1.0365457637208988</v>
      </c>
      <c r="CI118" s="23">
        <f>CH118*(0.7*I118*B118*B118)*$N$5/9.80665</f>
        <v>100719.3160285357</v>
      </c>
      <c r="CK118" s="1">
        <f>B118/$AI$5</f>
        <v>1</v>
      </c>
      <c r="CL118" s="14">
        <f t="shared" si="126"/>
        <v>1.4515200000000053</v>
      </c>
      <c r="CM118" s="1">
        <f t="shared" si="149"/>
        <v>0.8569758833631711</v>
      </c>
      <c r="CN118" s="14">
        <f>SQRT((A118*9.80665)/(0.7*I118*$N$5*CM118))</f>
        <v>0.6325052512020316</v>
      </c>
      <c r="CO118" s="1">
        <f t="shared" si="150"/>
        <v>0.7061296357128245</v>
      </c>
      <c r="CP118" s="29" t="str">
        <f>IF(C118&lt;30,"",IF(CO118&gt;1,"no",""))</f>
        <v/>
      </c>
      <c r="CQ118" s="22"/>
      <c r="CR118" s="23">
        <f>CM118*(0.7*I118*B118*B118)*$N$5/9.80665</f>
        <v>83270.828791433625</v>
      </c>
      <c r="CS118"/>
      <c r="CT118" s="6">
        <f t="shared" si="151"/>
        <v>0.95243902439024408</v>
      </c>
      <c r="CU118" s="22" t="str">
        <f t="shared" si="127"/>
        <v/>
      </c>
      <c r="CV118" s="5"/>
      <c r="CW118" s="6">
        <f>IF(C118&lt;100,SQRT(2)*SQRT(SQRT(1+(2/1.4)*(10510/I118))-1),IF(I118&gt;$AW$5,SQRT(2)*SQRT(SQRT(1+(2/1.4)*($AV$5/I118))-1),$AS$5))</f>
        <v>0.82</v>
      </c>
      <c r="CX118" s="22" t="str">
        <f>IF(B118&gt;CW118,"no","")</f>
        <v/>
      </c>
    </row>
    <row r="119" spans="1:102" x14ac:dyDescent="0.2">
      <c r="A119">
        <v>58800</v>
      </c>
      <c r="B119" s="1">
        <v>0.75270000000000004</v>
      </c>
      <c r="C119" s="5">
        <v>391</v>
      </c>
      <c r="D119" s="1">
        <v>0</v>
      </c>
      <c r="E119" s="1">
        <v>0</v>
      </c>
      <c r="G119">
        <f t="shared" si="78"/>
        <v>39100</v>
      </c>
      <c r="H119" s="9">
        <f t="shared" si="79"/>
        <v>11917.680000047671</v>
      </c>
      <c r="I119" s="5">
        <f t="shared" si="103"/>
        <v>19582.944256773004</v>
      </c>
      <c r="J119" s="5">
        <v>0</v>
      </c>
      <c r="K119" s="6">
        <f t="shared" si="104"/>
        <v>216.65</v>
      </c>
      <c r="L119" s="5">
        <f t="shared" si="105"/>
        <v>295.06801842964956</v>
      </c>
      <c r="M119" s="10">
        <f t="shared" si="106"/>
        <v>1.4216130796413355E-5</v>
      </c>
      <c r="O119" s="6">
        <f>B119*L119</f>
        <v>222.09769747199724</v>
      </c>
      <c r="P119" s="1">
        <f>IF(E119=0,0,E119/9.80665)</f>
        <v>0</v>
      </c>
      <c r="Q119" s="7">
        <f>IF(D119=0,0,(D119/O119))</f>
        <v>0</v>
      </c>
      <c r="R119" s="19">
        <f t="shared" si="107"/>
        <v>1</v>
      </c>
      <c r="S119" s="19">
        <f t="shared" si="108"/>
        <v>0</v>
      </c>
      <c r="T119" s="19">
        <f t="shared" si="109"/>
        <v>0</v>
      </c>
      <c r="U119" s="19"/>
      <c r="V119" s="19"/>
      <c r="X119" s="1">
        <f>(A119*9.80665*R119)/(0.7*I119*B119*B119*$N$5)</f>
        <v>0.60659206386535791</v>
      </c>
      <c r="Y119" s="10">
        <f>(SQRT($N$5)*B119)*(I119/M119)*SQRT(1.4/(287.05*K119))</f>
        <v>54427087.828284964</v>
      </c>
      <c r="Z119" s="10">
        <f t="shared" si="110"/>
        <v>2.2219698737996119E-3</v>
      </c>
      <c r="AA119" s="3">
        <f t="shared" si="130"/>
        <v>1.8654076155598092E-2</v>
      </c>
      <c r="AB119" s="3">
        <f t="shared" si="131"/>
        <v>7.7549752658683619E-3</v>
      </c>
      <c r="AC119" s="3">
        <f>IF($E$5="no",(1/((1+0.03+$Q$5)+AB119*3.141593*$S$5)),(1.075/((1+0.03+$Q$5)+AB119*3.141593*$S$5)))</f>
        <v>0.77622508443987448</v>
      </c>
      <c r="AD119" s="3">
        <f t="shared" si="132"/>
        <v>4.3165330052431373E-2</v>
      </c>
      <c r="AE119" s="1">
        <f t="shared" si="133"/>
        <v>0.67573526312813681</v>
      </c>
      <c r="AF119" s="1">
        <f>B119*$R$5/AE119</f>
        <v>1.0095341966315328</v>
      </c>
      <c r="AG119" s="8">
        <f t="shared" si="111"/>
        <v>1.0775814119986799E-3</v>
      </c>
      <c r="AH119" s="8"/>
      <c r="AI119" s="3">
        <f t="shared" si="112"/>
        <v>3.5614510484068156E-2</v>
      </c>
      <c r="AJ119" s="1">
        <f t="shared" si="113"/>
        <v>17.032160645215427</v>
      </c>
      <c r="AK119" s="1"/>
      <c r="AL119" s="1">
        <f t="shared" si="84"/>
        <v>5.8712457029397147E-2</v>
      </c>
      <c r="AM119" s="8">
        <f>AL119*(A119*9.80665)/(0.7*I119*B119*B119*$N$5)</f>
        <v>3.5614510484068156E-2</v>
      </c>
      <c r="AN119" s="1">
        <f>B119/$AI$5</f>
        <v>1</v>
      </c>
      <c r="AO119" s="1">
        <f>IF(B119&lt;0.4,1.3*(0.4-B119),0)</f>
        <v>0</v>
      </c>
      <c r="AP119" s="1">
        <f t="shared" si="114"/>
        <v>-0.43</v>
      </c>
      <c r="AQ119" s="1">
        <f t="shared" si="115"/>
        <v>0</v>
      </c>
      <c r="AR119" s="1">
        <f t="shared" si="134"/>
        <v>1</v>
      </c>
      <c r="AS119" s="1">
        <f t="shared" si="135"/>
        <v>0.30867472713898642</v>
      </c>
      <c r="AT119" s="1">
        <f>(((1+0.55*B119)/(1+0.55*$AI$5))/(AN119^2))</f>
        <v>1</v>
      </c>
      <c r="AU119" s="1">
        <f t="shared" si="136"/>
        <v>3.465254791234245E-2</v>
      </c>
      <c r="AV119" s="8">
        <f t="shared" si="137"/>
        <v>1.0277602262944445</v>
      </c>
      <c r="AW119" s="8">
        <f t="shared" si="116"/>
        <v>0.99966862902951492</v>
      </c>
      <c r="AX119" s="8"/>
      <c r="AY119" s="4"/>
      <c r="AZ119" s="1">
        <f t="shared" si="138"/>
        <v>0.30857244129509015</v>
      </c>
      <c r="BA119" s="14">
        <f t="shared" si="117"/>
        <v>0.30085813026271291</v>
      </c>
      <c r="BB119" s="1"/>
      <c r="BC119" s="14">
        <f t="shared" si="118"/>
        <v>5.124264006053675</v>
      </c>
      <c r="BD119" s="14">
        <f>IF(0.7*(AM119*(B119^3)/BA119)*(I119*L119*$N$5/43000000)&lt;$AH$5*(1-0.178*(C119/100)+0.0085*((C119/100)^2)),$AH$5*(1-0.178*(C119/100)+0.0085*((C119/100)^2)),0.7*(AM119*(B119^3)/BA119)*(I119*L119*$N$5/43000000))</f>
        <v>0.58122208144329401</v>
      </c>
      <c r="BE119" s="4">
        <f t="shared" si="139"/>
        <v>2.6169658130588062E-3</v>
      </c>
      <c r="BF119" s="4"/>
      <c r="BG119" s="1">
        <f t="shared" si="140"/>
        <v>1.0111040905177777</v>
      </c>
      <c r="BH119" s="1">
        <f>0.6*$AN$5*(1-0.53*((B119-$AM$5)^2))*(1+((2/3)*AV119))</f>
        <v>5.6429348250248577</v>
      </c>
      <c r="BJ119" s="1">
        <f t="shared" si="141"/>
        <v>5.7746353709626987</v>
      </c>
      <c r="BK119" s="5">
        <f t="shared" si="142"/>
        <v>25.480497530536002</v>
      </c>
      <c r="BL119" s="5">
        <f t="shared" si="119"/>
        <v>1.6143886003912424</v>
      </c>
      <c r="BM119" s="5">
        <f t="shared" si="152"/>
        <v>2.9335822017130457</v>
      </c>
      <c r="BN119" s="1">
        <f t="shared" si="121"/>
        <v>1.172568308757135</v>
      </c>
      <c r="BO119" s="1">
        <f t="shared" si="143"/>
        <v>3.2757710246421765</v>
      </c>
      <c r="BP119" s="9">
        <f>(1+0.2*B119*B119)*K119</f>
        <v>241.19892737570004</v>
      </c>
      <c r="BQ119" s="9">
        <f t="shared" si="128"/>
        <v>707.57688042163113</v>
      </c>
      <c r="BR119" s="9">
        <f t="shared" si="129"/>
        <v>1361.0698270469793</v>
      </c>
      <c r="BS119" s="9">
        <f t="shared" si="122"/>
        <v>790.1124574720908</v>
      </c>
      <c r="BU119" s="9">
        <f>((1+0.2*B119*B119)^3.5)*I119</f>
        <v>28512.569926840421</v>
      </c>
      <c r="BV119" s="9">
        <f t="shared" si="123"/>
        <v>726514.46761009237</v>
      </c>
      <c r="BX119" s="3">
        <f t="shared" si="144"/>
        <v>2.2135703211567478E-2</v>
      </c>
      <c r="BZ119" s="3">
        <f t="shared" si="145"/>
        <v>3.9776851273068736E-2</v>
      </c>
      <c r="CA119"/>
      <c r="CB119" s="14">
        <f>$CB$12*($AO$5/K119)/($AN$5*(1-0.53*((B119-$AM$5)^2))*(1+0.2*B119*B119))</f>
        <v>1.3629629629629629</v>
      </c>
      <c r="CC119" s="1">
        <f t="shared" si="124"/>
        <v>1.9074074074074074</v>
      </c>
      <c r="CD119" s="3">
        <f t="shared" si="146"/>
        <v>6.6096526573542078E-2</v>
      </c>
      <c r="CE119" s="6">
        <f t="shared" si="147"/>
        <v>1.661683226753881</v>
      </c>
      <c r="CF119" s="22" t="str">
        <f t="shared" si="125"/>
        <v/>
      </c>
      <c r="CG119" s="22"/>
      <c r="CH119" s="7">
        <f t="shared" si="148"/>
        <v>1.0363990007046104</v>
      </c>
      <c r="CI119" s="23">
        <f>CH119*(0.7*I119*B119*B119)*$N$5/9.80665</f>
        <v>100463.33421031649</v>
      </c>
      <c r="CK119" s="1">
        <f>B119/$AI$5</f>
        <v>1</v>
      </c>
      <c r="CL119" s="14">
        <f t="shared" si="126"/>
        <v>1.4515200000000053</v>
      </c>
      <c r="CM119" s="1">
        <f t="shared" si="149"/>
        <v>0.8569758833631711</v>
      </c>
      <c r="CN119" s="14">
        <f>SQRT((A119*9.80665)/(0.7*I119*$N$5*CM119))</f>
        <v>0.63326571779967311</v>
      </c>
      <c r="CO119" s="1">
        <f t="shared" si="150"/>
        <v>0.70782862813456215</v>
      </c>
      <c r="CP119" s="29" t="str">
        <f>IF(C119&lt;30,"",IF(CO119&gt;1,"no",""))</f>
        <v/>
      </c>
      <c r="CQ119" s="22"/>
      <c r="CR119" s="23">
        <f>CM119*(0.7*I119*B119*B119)*$N$5/9.80665</f>
        <v>83070.954836856065</v>
      </c>
      <c r="CS119"/>
      <c r="CT119" s="6">
        <f t="shared" si="151"/>
        <v>0.95365853658536603</v>
      </c>
      <c r="CU119" s="22" t="str">
        <f t="shared" si="127"/>
        <v/>
      </c>
      <c r="CV119" s="5"/>
      <c r="CW119" s="6">
        <f>IF(C119&lt;100,SQRT(2)*SQRT(SQRT(1+(2/1.4)*(10510/I119))-1),IF(I119&gt;$AW$5,SQRT(2)*SQRT(SQRT(1+(2/1.4)*($AV$5/I119))-1),$AS$5))</f>
        <v>0.82</v>
      </c>
      <c r="CX119" s="22" t="str">
        <f>IF(B119&gt;CW119,"no","")</f>
        <v/>
      </c>
    </row>
    <row r="120" spans="1:102" x14ac:dyDescent="0.2">
      <c r="A120">
        <v>58800</v>
      </c>
      <c r="B120" s="1">
        <v>0.75270000000000004</v>
      </c>
      <c r="C120" s="5">
        <v>391.5</v>
      </c>
      <c r="D120" s="1">
        <v>0</v>
      </c>
      <c r="E120" s="1">
        <v>0</v>
      </c>
      <c r="G120">
        <f t="shared" si="78"/>
        <v>39150</v>
      </c>
      <c r="H120" s="9">
        <f t="shared" si="79"/>
        <v>11932.92000004773</v>
      </c>
      <c r="I120" s="5">
        <f t="shared" si="103"/>
        <v>19535.939554553981</v>
      </c>
      <c r="J120" s="5">
        <v>0</v>
      </c>
      <c r="K120" s="6">
        <f t="shared" si="104"/>
        <v>216.65</v>
      </c>
      <c r="L120" s="5">
        <f t="shared" si="105"/>
        <v>295.06801842964956</v>
      </c>
      <c r="M120" s="10">
        <f t="shared" si="106"/>
        <v>1.4216130796413355E-5</v>
      </c>
      <c r="O120" s="6">
        <f>B120*L120</f>
        <v>222.09769747199724</v>
      </c>
      <c r="P120" s="1">
        <f>IF(E120=0,0,E120/9.80665)</f>
        <v>0</v>
      </c>
      <c r="Q120" s="7">
        <f>IF(D120=0,0,(D120/O120))</f>
        <v>0</v>
      </c>
      <c r="R120" s="19">
        <f t="shared" si="107"/>
        <v>1</v>
      </c>
      <c r="S120" s="19">
        <f t="shared" si="108"/>
        <v>0</v>
      </c>
      <c r="T120" s="19">
        <f t="shared" si="109"/>
        <v>0</v>
      </c>
      <c r="U120" s="19"/>
      <c r="V120" s="19"/>
      <c r="X120" s="1">
        <f>(A120*9.80665*R120)/(0.7*I120*B120*B120*$N$5)</f>
        <v>0.60805156261384619</v>
      </c>
      <c r="Y120" s="10">
        <f>(SQRT($N$5)*B120)*(I120/M120)*SQRT(1.4/(287.05*K120))</f>
        <v>54296447.1532939</v>
      </c>
      <c r="Z120" s="10">
        <f t="shared" si="110"/>
        <v>2.2227175685267282E-3</v>
      </c>
      <c r="AA120" s="3">
        <f t="shared" si="130"/>
        <v>1.8660353267878158E-2</v>
      </c>
      <c r="AB120" s="3">
        <f t="shared" si="131"/>
        <v>7.757584821552972E-3</v>
      </c>
      <c r="AC120" s="3">
        <f>IF($E$5="no",(1/((1+0.03+$Q$5)+AB120*3.141593*$S$5)),(1.075/((1+0.03+$Q$5)+AB120*3.141593*$S$5)))</f>
        <v>0.77617816066727774</v>
      </c>
      <c r="AD120" s="3">
        <f t="shared" si="132"/>
        <v>4.3167939608115991E-2</v>
      </c>
      <c r="AE120" s="1">
        <f t="shared" si="133"/>
        <v>0.67555757749119005</v>
      </c>
      <c r="AF120" s="1">
        <f>B120*$R$5/AE120</f>
        <v>1.0097997250375854</v>
      </c>
      <c r="AG120" s="8">
        <f t="shared" si="111"/>
        <v>1.0816556899550052E-3</v>
      </c>
      <c r="AH120" s="8"/>
      <c r="AI120" s="3">
        <f t="shared" si="112"/>
        <v>3.5702348935687959E-2</v>
      </c>
      <c r="AJ120" s="1">
        <f t="shared" si="113"/>
        <v>17.031136066401494</v>
      </c>
      <c r="AK120" s="1"/>
      <c r="AL120" s="1">
        <f t="shared" si="84"/>
        <v>5.8715989121405091E-2</v>
      </c>
      <c r="AM120" s="8">
        <f>AL120*(A120*9.80665)/(0.7*I120*B120*B120*$N$5)</f>
        <v>3.5702348935687966E-2</v>
      </c>
      <c r="AN120" s="1">
        <f>B120/$AI$5</f>
        <v>1</v>
      </c>
      <c r="AO120" s="1">
        <f>IF(B120&lt;0.4,1.3*(0.4-B120),0)</f>
        <v>0</v>
      </c>
      <c r="AP120" s="1">
        <f t="shared" si="114"/>
        <v>-0.43</v>
      </c>
      <c r="AQ120" s="1">
        <f t="shared" si="115"/>
        <v>0</v>
      </c>
      <c r="AR120" s="1">
        <f t="shared" si="134"/>
        <v>1</v>
      </c>
      <c r="AS120" s="1">
        <f t="shared" si="135"/>
        <v>0.30867472713898642</v>
      </c>
      <c r="AT120" s="1">
        <f>(((1+0.55*B120)/(1+0.55*$AI$5))/(AN120^2))</f>
        <v>1</v>
      </c>
      <c r="AU120" s="1">
        <f t="shared" si="136"/>
        <v>3.465254791234245E-2</v>
      </c>
      <c r="AV120" s="8">
        <f t="shared" si="137"/>
        <v>1.0302950601497214</v>
      </c>
      <c r="AW120" s="8">
        <f t="shared" si="116"/>
        <v>0.99960535001212569</v>
      </c>
      <c r="AX120" s="8"/>
      <c r="AY120" s="4"/>
      <c r="AZ120" s="1">
        <f t="shared" si="138"/>
        <v>0.3085529086616639</v>
      </c>
      <c r="BA120" s="14">
        <f t="shared" si="117"/>
        <v>0.30083908594512232</v>
      </c>
      <c r="BB120" s="1"/>
      <c r="BC120" s="14">
        <f t="shared" si="118"/>
        <v>5.1236314068232316</v>
      </c>
      <c r="BD120" s="14">
        <f>IF(0.7*(AM120*(B120^3)/BA120)*(I120*L120*$N$5/43000000)&lt;$AH$5*(1-0.178*(C120/100)+0.0085*((C120/100)^2)),$AH$5*(1-0.178*(C120/100)+0.0085*((C120/100)^2)),0.7*(AM120*(B120^3)/BA120)*(I120*L120*$N$5/43000000))</f>
        <v>0.58129384317091359</v>
      </c>
      <c r="BE120" s="4">
        <f t="shared" si="139"/>
        <v>2.6172889218908039E-3</v>
      </c>
      <c r="BF120" s="4"/>
      <c r="BG120" s="1">
        <f t="shared" si="140"/>
        <v>1.0121180240598884</v>
      </c>
      <c r="BH120" s="1">
        <f>0.6*$AN$5*(1-0.53*((B120-$AM$5)^2))*(1+((2/3)*AV120))</f>
        <v>5.6485935509153915</v>
      </c>
      <c r="BJ120" s="1">
        <f t="shared" si="141"/>
        <v>5.7680987537601514</v>
      </c>
      <c r="BK120" s="5">
        <f t="shared" si="142"/>
        <v>25.544425086257032</v>
      </c>
      <c r="BL120" s="5">
        <f t="shared" si="119"/>
        <v>1.6160075066614166</v>
      </c>
      <c r="BM120" s="5">
        <f t="shared" si="152"/>
        <v>2.9360264912835601</v>
      </c>
      <c r="BN120" s="1">
        <f t="shared" si="121"/>
        <v>1.1729590092987983</v>
      </c>
      <c r="BO120" s="1">
        <f t="shared" si="143"/>
        <v>3.2785457269942451</v>
      </c>
      <c r="BP120" s="9">
        <f>(1+0.2*B120*B120)*K120</f>
        <v>241.19892737570004</v>
      </c>
      <c r="BQ120" s="9">
        <f t="shared" si="128"/>
        <v>708.16644044423481</v>
      </c>
      <c r="BR120" s="9">
        <f t="shared" si="129"/>
        <v>1362.4347056620891</v>
      </c>
      <c r="BS120" s="9">
        <f t="shared" si="122"/>
        <v>790.7817127031966</v>
      </c>
      <c r="BU120" s="9">
        <f>((1+0.2*B120*B120)^3.5)*I120</f>
        <v>28444.131553052648</v>
      </c>
      <c r="BV120" s="9">
        <f t="shared" si="123"/>
        <v>726588.98760059325</v>
      </c>
      <c r="BX120" s="3">
        <f t="shared" si="144"/>
        <v>2.2163472816766047E-2</v>
      </c>
      <c r="BZ120" s="3">
        <f t="shared" si="145"/>
        <v>3.9874704579043241E-2</v>
      </c>
      <c r="CA120"/>
      <c r="CB120" s="14">
        <f>$CB$12*($AO$5/K120)/($AN$5*(1-0.53*((B120-$AM$5)^2))*(1+0.2*B120*B120))</f>
        <v>1.3629629629629629</v>
      </c>
      <c r="CC120" s="1">
        <f t="shared" si="124"/>
        <v>1.9074074074074074</v>
      </c>
      <c r="CD120" s="3">
        <f t="shared" si="146"/>
        <v>6.6096526573542078E-2</v>
      </c>
      <c r="CE120" s="6">
        <f t="shared" si="147"/>
        <v>1.6576054235717175</v>
      </c>
      <c r="CF120" s="22" t="str">
        <f t="shared" si="125"/>
        <v/>
      </c>
      <c r="CG120" s="22"/>
      <c r="CH120" s="7">
        <f t="shared" si="148"/>
        <v>1.0362519785848816</v>
      </c>
      <c r="CI120" s="23">
        <f>CH120*(0.7*I120*B120*B120)*$N$5/9.80665</f>
        <v>100207.9759138564</v>
      </c>
      <c r="CK120" s="1">
        <f>B120/$AI$5</f>
        <v>1</v>
      </c>
      <c r="CL120" s="14">
        <f t="shared" si="126"/>
        <v>1.4515200000000053</v>
      </c>
      <c r="CM120" s="1">
        <f t="shared" si="149"/>
        <v>0.8569758833631711</v>
      </c>
      <c r="CN120" s="14">
        <f>SQRT((A120*9.80665)/(0.7*I120*$N$5*CM120))</f>
        <v>0.63402709871295881</v>
      </c>
      <c r="CO120" s="1">
        <f t="shared" si="150"/>
        <v>0.7095317084391799</v>
      </c>
      <c r="CP120" s="29" t="str">
        <f>IF(C120&lt;30,"",IF(CO120&gt;1,"no",""))</f>
        <v/>
      </c>
      <c r="CQ120" s="22"/>
      <c r="CR120" s="23">
        <f>CM120*(0.7*I120*B120*B120)*$N$5/9.80665</f>
        <v>82871.560637293573</v>
      </c>
      <c r="CS120"/>
      <c r="CT120" s="6">
        <f t="shared" si="151"/>
        <v>0.95487804878048799</v>
      </c>
      <c r="CU120" s="22" t="str">
        <f t="shared" si="127"/>
        <v/>
      </c>
      <c r="CV120" s="5"/>
      <c r="CW120" s="6">
        <f>IF(C120&lt;100,SQRT(2)*SQRT(SQRT(1+(2/1.4)*(10510/I120))-1),IF(I120&gt;$AW$5,SQRT(2)*SQRT(SQRT(1+(2/1.4)*($AV$5/I120))-1),$AS$5))</f>
        <v>0.82</v>
      </c>
      <c r="CX120" s="22" t="str">
        <f>IF(B120&gt;CW120,"no","")</f>
        <v/>
      </c>
    </row>
    <row r="121" spans="1:102" x14ac:dyDescent="0.2">
      <c r="A121">
        <v>58800</v>
      </c>
      <c r="B121" s="1">
        <v>0.75270000000000004</v>
      </c>
      <c r="C121" s="5">
        <v>392</v>
      </c>
      <c r="D121" s="1">
        <v>0</v>
      </c>
      <c r="E121" s="1">
        <v>0</v>
      </c>
      <c r="G121">
        <f t="shared" si="78"/>
        <v>39200</v>
      </c>
      <c r="H121" s="9">
        <f t="shared" si="79"/>
        <v>11948.160000047792</v>
      </c>
      <c r="I121" s="5">
        <f t="shared" si="103"/>
        <v>19489.047677148308</v>
      </c>
      <c r="J121" s="5">
        <v>0</v>
      </c>
      <c r="K121" s="6">
        <f t="shared" si="104"/>
        <v>216.65</v>
      </c>
      <c r="L121" s="5">
        <f t="shared" si="105"/>
        <v>295.06801842964956</v>
      </c>
      <c r="M121" s="10">
        <f t="shared" si="106"/>
        <v>1.4216130796413355E-5</v>
      </c>
      <c r="O121" s="6">
        <f>B121*L121</f>
        <v>222.09769747199724</v>
      </c>
      <c r="P121" s="1">
        <f>IF(E121=0,0,E121/9.80665)</f>
        <v>0</v>
      </c>
      <c r="Q121" s="7">
        <f>IF(D121=0,0,(D121/O121))</f>
        <v>0</v>
      </c>
      <c r="R121" s="19">
        <f t="shared" si="107"/>
        <v>1</v>
      </c>
      <c r="S121" s="19">
        <f t="shared" si="108"/>
        <v>0</v>
      </c>
      <c r="T121" s="19">
        <f t="shared" si="109"/>
        <v>0</v>
      </c>
      <c r="U121" s="19"/>
      <c r="V121" s="19"/>
      <c r="X121" s="1">
        <f>(A121*9.80665*R121)/(0.7*I121*B121*B121*$N$5)</f>
        <v>0.60951457300833811</v>
      </c>
      <c r="Y121" s="10">
        <f>(SQRT($N$5)*B121)*(I121/M121)*SQRT(1.4/(287.05*K121))</f>
        <v>54166120.053521395</v>
      </c>
      <c r="Z121" s="10">
        <f t="shared" si="110"/>
        <v>2.2234655148537477E-3</v>
      </c>
      <c r="AA121" s="3">
        <f t="shared" si="130"/>
        <v>1.8666632492411777E-2</v>
      </c>
      <c r="AB121" s="3">
        <f t="shared" si="131"/>
        <v>7.7601952553552614E-3</v>
      </c>
      <c r="AC121" s="3">
        <f>IF($E$5="no",(1/((1+0.03+$Q$5)+AB121*3.141593*$S$5)),(1.075/((1+0.03+$Q$5)+AB121*3.141593*$S$5)))</f>
        <v>0.77613122678051383</v>
      </c>
      <c r="AD121" s="3">
        <f t="shared" si="132"/>
        <v>4.3170550041918276E-2</v>
      </c>
      <c r="AE121" s="1">
        <f t="shared" si="133"/>
        <v>0.67537946433139862</v>
      </c>
      <c r="AF121" s="1">
        <f>B121*$R$5/AE121</f>
        <v>1.010066032542154</v>
      </c>
      <c r="AG121" s="8">
        <f t="shared" si="111"/>
        <v>1.0857499884599456E-3</v>
      </c>
      <c r="AH121" s="8"/>
      <c r="AI121" s="3">
        <f t="shared" si="112"/>
        <v>3.5790587820863487E-2</v>
      </c>
      <c r="AJ121" s="1">
        <f t="shared" si="113"/>
        <v>17.030024096252266</v>
      </c>
      <c r="AK121" s="1"/>
      <c r="AL121" s="1">
        <f t="shared" si="84"/>
        <v>5.8719822963730642E-2</v>
      </c>
      <c r="AM121" s="8">
        <f>AL121*(A121*9.80665)/(0.7*I121*B121*B121*$N$5)</f>
        <v>3.5790587820863494E-2</v>
      </c>
      <c r="AN121" s="1">
        <f>B121/$AI$5</f>
        <v>1</v>
      </c>
      <c r="AO121" s="1">
        <f>IF(B121&lt;0.4,1.3*(0.4-B121),0)</f>
        <v>0</v>
      </c>
      <c r="AP121" s="1">
        <f t="shared" si="114"/>
        <v>-0.43</v>
      </c>
      <c r="AQ121" s="1">
        <f t="shared" si="115"/>
        <v>0</v>
      </c>
      <c r="AR121" s="1">
        <f t="shared" si="134"/>
        <v>1</v>
      </c>
      <c r="AS121" s="1">
        <f t="shared" si="135"/>
        <v>0.30867472713898642</v>
      </c>
      <c r="AT121" s="1">
        <f>(((1+0.55*B121)/(1+0.55*$AI$5))/(AN121^2))</f>
        <v>1</v>
      </c>
      <c r="AU121" s="1">
        <f t="shared" si="136"/>
        <v>3.465254791234245E-2</v>
      </c>
      <c r="AV121" s="8">
        <f t="shared" si="137"/>
        <v>1.0328414496792515</v>
      </c>
      <c r="AW121" s="8">
        <f t="shared" si="116"/>
        <v>0.99953621884867505</v>
      </c>
      <c r="AX121" s="8"/>
      <c r="AY121" s="4"/>
      <c r="AZ121" s="1">
        <f t="shared" si="138"/>
        <v>0.30853156961864897</v>
      </c>
      <c r="BA121" s="14">
        <f t="shared" si="117"/>
        <v>0.30081828037818276</v>
      </c>
      <c r="BB121" s="1"/>
      <c r="BC121" s="14">
        <f t="shared" si="118"/>
        <v>5.1229425634336225</v>
      </c>
      <c r="BD121" s="14">
        <f>IF(0.7*(AM121*(B121^3)/BA121)*(I121*L121*$N$5/43000000)&lt;$AH$5*(1-0.178*(C121/100)+0.0085*((C121/100)^2)),$AH$5*(1-0.178*(C121/100)+0.0085*((C121/100)^2)),0.7*(AM121*(B121^3)/BA121)*(I121*L121*$N$5/43000000))</f>
        <v>0.58137200536311662</v>
      </c>
      <c r="BE121" s="4">
        <f t="shared" si="139"/>
        <v>2.6176408489620557E-3</v>
      </c>
      <c r="BF121" s="4"/>
      <c r="BG121" s="1">
        <f t="shared" si="140"/>
        <v>1.0131365798717005</v>
      </c>
      <c r="BH121" s="1">
        <f>0.6*$AN$5*(1-0.53*((B121-$AM$5)^2))*(1+((2/3)*AV121))</f>
        <v>5.6542780735235061</v>
      </c>
      <c r="BJ121" s="1">
        <f t="shared" si="141"/>
        <v>5.7615463662107684</v>
      </c>
      <c r="BK121" s="5">
        <f t="shared" si="142"/>
        <v>25.608740865751386</v>
      </c>
      <c r="BL121" s="5">
        <f t="shared" si="119"/>
        <v>1.6176337931208151</v>
      </c>
      <c r="BM121" s="5">
        <f t="shared" si="152"/>
        <v>2.9384815070248416</v>
      </c>
      <c r="BN121" s="1">
        <f t="shared" si="121"/>
        <v>1.1733512279390446</v>
      </c>
      <c r="BO121" s="1">
        <f t="shared" si="143"/>
        <v>3.2813368294259222</v>
      </c>
      <c r="BP121" s="9">
        <f>(1+0.2*B121*B121)*K121</f>
        <v>241.19892737570004</v>
      </c>
      <c r="BQ121" s="9">
        <f t="shared" si="128"/>
        <v>708.75858760772235</v>
      </c>
      <c r="BR121" s="9">
        <f t="shared" si="129"/>
        <v>1363.8058064178092</v>
      </c>
      <c r="BS121" s="9">
        <f t="shared" si="122"/>
        <v>791.45492361591278</v>
      </c>
      <c r="BU121" s="9">
        <f>((1+0.2*B121*B121)^3.5)*I121</f>
        <v>28375.85745105863</v>
      </c>
      <c r="BV121" s="9">
        <f t="shared" si="123"/>
        <v>726669.98030766111</v>
      </c>
      <c r="BX121" s="3">
        <f t="shared" si="144"/>
        <v>2.2191373756441118E-2</v>
      </c>
      <c r="BZ121" s="3">
        <f t="shared" si="145"/>
        <v>3.9972982414944437E-2</v>
      </c>
      <c r="CA121"/>
      <c r="CB121" s="14">
        <f>$CB$12*($AO$5/K121)/($AN$5*(1-0.53*((B121-$AM$5)^2))*(1+0.2*B121*B121))</f>
        <v>1.3629629629629629</v>
      </c>
      <c r="CC121" s="1">
        <f t="shared" si="124"/>
        <v>1.9074074074074074</v>
      </c>
      <c r="CD121" s="3">
        <f t="shared" si="146"/>
        <v>6.6096526573542078E-2</v>
      </c>
      <c r="CE121" s="6">
        <f t="shared" si="147"/>
        <v>1.6535300240402129</v>
      </c>
      <c r="CF121" s="22" t="str">
        <f t="shared" si="125"/>
        <v/>
      </c>
      <c r="CG121" s="22"/>
      <c r="CH121" s="7">
        <f t="shared" si="148"/>
        <v>1.0361046954346049</v>
      </c>
      <c r="CI121" s="23">
        <f>CH121*(0.7*I121*B121*B121)*$N$5/9.80665</f>
        <v>99953.239494933863</v>
      </c>
      <c r="CK121" s="1">
        <f>B121/$AI$5</f>
        <v>1</v>
      </c>
      <c r="CL121" s="14">
        <f t="shared" si="126"/>
        <v>1.4515200000000053</v>
      </c>
      <c r="CM121" s="1">
        <f t="shared" si="149"/>
        <v>0.8569758833631711</v>
      </c>
      <c r="CN121" s="14">
        <f>SQRT((A121*9.80665)/(0.7*I121*$N$5*CM121))</f>
        <v>0.63478939504117815</v>
      </c>
      <c r="CO121" s="1">
        <f t="shared" si="150"/>
        <v>0.7112388864623822</v>
      </c>
      <c r="CP121" s="29" t="str">
        <f>IF(C121&lt;30,"",IF(CO121&gt;1,"no",""))</f>
        <v/>
      </c>
      <c r="CQ121" s="22"/>
      <c r="CR121" s="23">
        <f>CM121*(0.7*I121*B121*B121)*$N$5/9.80665</f>
        <v>82672.645041195981</v>
      </c>
      <c r="CS121"/>
      <c r="CT121" s="6">
        <f t="shared" si="151"/>
        <v>0.95609756097560994</v>
      </c>
      <c r="CU121" s="22" t="str">
        <f t="shared" si="127"/>
        <v/>
      </c>
      <c r="CV121" s="5"/>
      <c r="CW121" s="6">
        <f>IF(C121&lt;100,SQRT(2)*SQRT(SQRT(1+(2/1.4)*(10510/I121))-1),IF(I121&gt;$AW$5,SQRT(2)*SQRT(SQRT(1+(2/1.4)*($AV$5/I121))-1),$AS$5))</f>
        <v>0.82</v>
      </c>
      <c r="CX121" s="22" t="str">
        <f>IF(B121&gt;CW121,"no","")</f>
        <v/>
      </c>
    </row>
    <row r="122" spans="1:102" x14ac:dyDescent="0.2">
      <c r="A122">
        <v>58800</v>
      </c>
      <c r="B122" s="1">
        <v>0.75270000000000004</v>
      </c>
      <c r="C122" s="5">
        <v>392.5</v>
      </c>
      <c r="D122" s="1">
        <v>0</v>
      </c>
      <c r="E122" s="1">
        <v>0</v>
      </c>
      <c r="G122">
        <f t="shared" si="78"/>
        <v>39250</v>
      </c>
      <c r="H122" s="9">
        <f t="shared" si="79"/>
        <v>11963.400000047854</v>
      </c>
      <c r="I122" s="5">
        <f t="shared" si="103"/>
        <v>19442.26835374397</v>
      </c>
      <c r="J122" s="5">
        <v>0</v>
      </c>
      <c r="K122" s="6">
        <f t="shared" si="104"/>
        <v>216.65</v>
      </c>
      <c r="L122" s="5">
        <f t="shared" si="105"/>
        <v>295.06801842964956</v>
      </c>
      <c r="M122" s="10">
        <f t="shared" si="106"/>
        <v>1.4216130796413355E-5</v>
      </c>
      <c r="O122" s="6">
        <f>B122*L122</f>
        <v>222.09769747199724</v>
      </c>
      <c r="P122" s="1">
        <f>IF(E122=0,0,E122/9.80665)</f>
        <v>0</v>
      </c>
      <c r="Q122" s="7">
        <f>IF(D122=0,0,(D122/O122))</f>
        <v>0</v>
      </c>
      <c r="R122" s="19">
        <f t="shared" si="107"/>
        <v>1</v>
      </c>
      <c r="S122" s="19">
        <f t="shared" si="108"/>
        <v>0</v>
      </c>
      <c r="T122" s="19">
        <f t="shared" si="109"/>
        <v>0</v>
      </c>
      <c r="U122" s="19"/>
      <c r="V122" s="19"/>
      <c r="X122" s="1">
        <f>(A122*9.80665*R122)/(0.7*I122*B122*B122*$N$5)</f>
        <v>0.61098110349807511</v>
      </c>
      <c r="Y122" s="10">
        <f>(SQRT($N$5)*B122)*(I122/M122)*SQRT(1.4/(287.05*K122))</f>
        <v>54036105.776296712</v>
      </c>
      <c r="Z122" s="10">
        <f t="shared" si="110"/>
        <v>2.2242137128653337E-3</v>
      </c>
      <c r="AA122" s="3">
        <f t="shared" si="130"/>
        <v>1.8672913829909717E-2</v>
      </c>
      <c r="AB122" s="3">
        <f t="shared" si="131"/>
        <v>7.7628065675707141E-3</v>
      </c>
      <c r="AC122" s="3">
        <f>IF($E$5="no",(1/((1+0.03+$Q$5)+AB122*3.141593*$S$5)),(1.075/((1+0.03+$Q$5)+AB122*3.141593*$S$5)))</f>
        <v>0.77608428277896935</v>
      </c>
      <c r="AD122" s="3">
        <f t="shared" si="132"/>
        <v>4.3173161354133731E-2</v>
      </c>
      <c r="AE122" s="1">
        <f t="shared" si="133"/>
        <v>0.67520092262011544</v>
      </c>
      <c r="AF122" s="1">
        <f>B122*$R$5/AE122</f>
        <v>1.0103331218068714</v>
      </c>
      <c r="AG122" s="8">
        <f t="shared" si="111"/>
        <v>1.0898644801997904E-3</v>
      </c>
      <c r="AH122" s="8"/>
      <c r="AI122" s="3">
        <f t="shared" si="112"/>
        <v>3.5879229161262301E-2</v>
      </c>
      <c r="AJ122" s="1">
        <f t="shared" si="113"/>
        <v>17.028824692748209</v>
      </c>
      <c r="AK122" s="1"/>
      <c r="AL122" s="1">
        <f t="shared" si="84"/>
        <v>5.8723958819415993E-2</v>
      </c>
      <c r="AM122" s="8">
        <f>AL122*(A122*9.80665)/(0.7*I122*B122*B122*$N$5)</f>
        <v>3.5879229161262301E-2</v>
      </c>
      <c r="AN122" s="1">
        <f>B122/$AI$5</f>
        <v>1</v>
      </c>
      <c r="AO122" s="1">
        <f>IF(B122&lt;0.4,1.3*(0.4-B122),0)</f>
        <v>0</v>
      </c>
      <c r="AP122" s="1">
        <f t="shared" si="114"/>
        <v>-0.43</v>
      </c>
      <c r="AQ122" s="1">
        <f t="shared" si="115"/>
        <v>0</v>
      </c>
      <c r="AR122" s="1">
        <f t="shared" si="134"/>
        <v>1</v>
      </c>
      <c r="AS122" s="1">
        <f t="shared" si="135"/>
        <v>0.30867472713898642</v>
      </c>
      <c r="AT122" s="1">
        <f>(((1+0.55*B122)/(1+0.55*$AI$5))/(AN122^2))</f>
        <v>1</v>
      </c>
      <c r="AU122" s="1">
        <f t="shared" si="136"/>
        <v>3.465254791234245E-2</v>
      </c>
      <c r="AV122" s="8">
        <f t="shared" si="137"/>
        <v>1.0353994532241289</v>
      </c>
      <c r="AW122" s="8">
        <f t="shared" si="116"/>
        <v>0.99946115784591605</v>
      </c>
      <c r="AX122" s="8"/>
      <c r="AY122" s="4"/>
      <c r="AZ122" s="1">
        <f t="shared" si="138"/>
        <v>0.30850840018410358</v>
      </c>
      <c r="BA122" s="14">
        <f t="shared" si="117"/>
        <v>0.30079569017950097</v>
      </c>
      <c r="BB122" s="1"/>
      <c r="BC122" s="14">
        <f t="shared" si="118"/>
        <v>5.1221970764009264</v>
      </c>
      <c r="BD122" s="14">
        <f>IF(0.7*(AM122*(B122^3)/BA122)*(I122*L122*$N$5/43000000)&lt;$AH$5*(1-0.178*(C122/100)+0.0085*((C122/100)^2)),$AH$5*(1-0.178*(C122/100)+0.0085*((C122/100)^2)),0.7*(AM122*(B122^3)/BA122)*(I122*L122*$N$5/43000000))</f>
        <v>0.58145661852514552</v>
      </c>
      <c r="BE122" s="4">
        <f t="shared" si="139"/>
        <v>2.6180218216735785E-3</v>
      </c>
      <c r="BF122" s="4"/>
      <c r="BG122" s="1">
        <f t="shared" si="140"/>
        <v>1.0141597812896515</v>
      </c>
      <c r="BH122" s="1">
        <f>0.6*$AN$5*(1-0.53*((B122-$AM$5)^2))*(1+((2/3)*AV122))</f>
        <v>5.6599885230890035</v>
      </c>
      <c r="BJ122" s="1">
        <f t="shared" si="141"/>
        <v>5.7549782055959291</v>
      </c>
      <c r="BK122" s="5">
        <f t="shared" si="142"/>
        <v>25.673447715828054</v>
      </c>
      <c r="BL122" s="5">
        <f t="shared" si="119"/>
        <v>1.6192674970297749</v>
      </c>
      <c r="BM122" s="5">
        <f t="shared" si="152"/>
        <v>2.9409472999779096</v>
      </c>
      <c r="BN122" s="1">
        <f t="shared" si="121"/>
        <v>1.1737449705110745</v>
      </c>
      <c r="BO122" s="1">
        <f t="shared" si="143"/>
        <v>3.2841444333027847</v>
      </c>
      <c r="BP122" s="9">
        <f>(1+0.2*B122*B122)*K122</f>
        <v>241.19892737570004</v>
      </c>
      <c r="BQ122" s="9">
        <f t="shared" si="128"/>
        <v>709.35333422313295</v>
      </c>
      <c r="BR122" s="9">
        <f t="shared" si="129"/>
        <v>1365.1831607278402</v>
      </c>
      <c r="BS122" s="9">
        <f t="shared" si="122"/>
        <v>792.13211465950792</v>
      </c>
      <c r="BU122" s="9">
        <f>((1+0.2*B122*B122)^3.5)*I122</f>
        <v>28307.747226558797</v>
      </c>
      <c r="BV122" s="9">
        <f t="shared" si="123"/>
        <v>726757.46837393392</v>
      </c>
      <c r="BX122" s="3">
        <f t="shared" si="144"/>
        <v>2.2219406732355364E-2</v>
      </c>
      <c r="BZ122" s="3">
        <f t="shared" si="145"/>
        <v>4.0071686860417281E-2</v>
      </c>
      <c r="CA122"/>
      <c r="CB122" s="14">
        <f>$CB$12*($AO$5/K122)/($AN$5*(1-0.53*((B122-$AM$5)^2))*(1+0.2*B122*B122))</f>
        <v>1.3629629629629629</v>
      </c>
      <c r="CC122" s="1">
        <f t="shared" si="124"/>
        <v>1.9074074074074074</v>
      </c>
      <c r="CD122" s="3">
        <f t="shared" si="146"/>
        <v>6.6096526573542078E-2</v>
      </c>
      <c r="CE122" s="6">
        <f t="shared" si="147"/>
        <v>1.6494570543979787</v>
      </c>
      <c r="CF122" s="22" t="str">
        <f t="shared" si="125"/>
        <v/>
      </c>
      <c r="CG122" s="22"/>
      <c r="CH122" s="7">
        <f t="shared" si="148"/>
        <v>1.0359571492530053</v>
      </c>
      <c r="CI122" s="23">
        <f>CH122*(0.7*I122*B122*B122)*$N$5/9.80665</f>
        <v>99699.123307286762</v>
      </c>
      <c r="CK122" s="1">
        <f>B122/$AI$5</f>
        <v>1</v>
      </c>
      <c r="CL122" s="14">
        <f t="shared" si="126"/>
        <v>1.4515200000000053</v>
      </c>
      <c r="CM122" s="1">
        <f t="shared" si="149"/>
        <v>0.8569758833631711</v>
      </c>
      <c r="CN122" s="14">
        <f>SQRT((A122*9.80665)/(0.7*I122*$N$5*CM122))</f>
        <v>0.63555260788494261</v>
      </c>
      <c r="CO122" s="1">
        <f t="shared" si="150"/>
        <v>0.71295017206353772</v>
      </c>
      <c r="CP122" s="29" t="str">
        <f>IF(C122&lt;30,"",IF(CO122&gt;1,"no",""))</f>
        <v/>
      </c>
      <c r="CQ122" s="22"/>
      <c r="CR122" s="23">
        <f>CM122*(0.7*I122*B122*B122)*$N$5/9.80665</f>
        <v>82474.206899777273</v>
      </c>
      <c r="CS122"/>
      <c r="CT122" s="6">
        <f t="shared" si="151"/>
        <v>0.95731707317073189</v>
      </c>
      <c r="CU122" s="22" t="str">
        <f t="shared" si="127"/>
        <v/>
      </c>
      <c r="CV122" s="5"/>
      <c r="CW122" s="6">
        <f>IF(C122&lt;100,SQRT(2)*SQRT(SQRT(1+(2/1.4)*(10510/I122))-1),IF(I122&gt;$AW$5,SQRT(2)*SQRT(SQRT(1+(2/1.4)*($AV$5/I122))-1),$AS$5))</f>
        <v>0.82</v>
      </c>
      <c r="CX122" s="22" t="str">
        <f>IF(B122&gt;CW122,"no","")</f>
        <v/>
      </c>
    </row>
    <row r="123" spans="1:102" x14ac:dyDescent="0.2">
      <c r="A123">
        <v>58800</v>
      </c>
      <c r="B123" s="1">
        <v>0.75270000000000004</v>
      </c>
      <c r="C123" s="5">
        <v>393</v>
      </c>
      <c r="D123" s="1">
        <v>0</v>
      </c>
      <c r="E123" s="1">
        <v>0</v>
      </c>
      <c r="G123">
        <f t="shared" si="78"/>
        <v>39300</v>
      </c>
      <c r="H123" s="9">
        <f t="shared" si="79"/>
        <v>11978.640000047913</v>
      </c>
      <c r="I123" s="5">
        <f t="shared" si="103"/>
        <v>19395.601314178966</v>
      </c>
      <c r="J123" s="5">
        <v>0</v>
      </c>
      <c r="K123" s="6">
        <f t="shared" si="104"/>
        <v>216.65</v>
      </c>
      <c r="L123" s="5">
        <f t="shared" si="105"/>
        <v>295.06801842964956</v>
      </c>
      <c r="M123" s="10">
        <f t="shared" si="106"/>
        <v>1.4216130796413355E-5</v>
      </c>
      <c r="O123" s="6">
        <f>B123*L123</f>
        <v>222.09769747199724</v>
      </c>
      <c r="P123" s="1">
        <f>IF(E123=0,0,E123/9.80665)</f>
        <v>0</v>
      </c>
      <c r="Q123" s="7">
        <f>IF(D123=0,0,(D123/O123))</f>
        <v>0</v>
      </c>
      <c r="R123" s="19">
        <f t="shared" si="107"/>
        <v>1</v>
      </c>
      <c r="S123" s="19">
        <f t="shared" si="108"/>
        <v>0</v>
      </c>
      <c r="T123" s="19">
        <f t="shared" si="109"/>
        <v>0</v>
      </c>
      <c r="U123" s="19"/>
      <c r="V123" s="19"/>
      <c r="X123" s="1">
        <f>(A123*9.80665*R123)/(0.7*I123*B123*B123*$N$5)</f>
        <v>0.61245116255262833</v>
      </c>
      <c r="Y123" s="10">
        <f>(SQRT($N$5)*B123)*(I123/M123)*SQRT(1.4/(287.05*K123))</f>
        <v>53906403.57075569</v>
      </c>
      <c r="Z123" s="10">
        <f t="shared" si="110"/>
        <v>2.2249621626461782E-3</v>
      </c>
      <c r="AA123" s="3">
        <f t="shared" si="130"/>
        <v>1.8679197281082995E-2</v>
      </c>
      <c r="AB123" s="3">
        <f t="shared" si="131"/>
        <v>7.7654187584949184E-3</v>
      </c>
      <c r="AC123" s="3">
        <f>IF($E$5="no",(1/((1+0.03+$Q$5)+AB123*3.141593*$S$5)),(1.075/((1+0.03+$Q$5)+AB123*3.141593*$S$5)))</f>
        <v>0.77603732866203223</v>
      </c>
      <c r="AD123" s="3">
        <f t="shared" si="132"/>
        <v>4.317577354505793E-2</v>
      </c>
      <c r="AE123" s="1">
        <f t="shared" si="133"/>
        <v>0.67502195132621867</v>
      </c>
      <c r="AF123" s="1">
        <f>B123*$R$5/AE123</f>
        <v>1.0106009955044915</v>
      </c>
      <c r="AG123" s="8">
        <f t="shared" si="111"/>
        <v>1.0939993445370701E-3</v>
      </c>
      <c r="AH123" s="8"/>
      <c r="AI123" s="3">
        <f t="shared" si="112"/>
        <v>3.5968274994265491E-2</v>
      </c>
      <c r="AJ123" s="1">
        <f t="shared" si="113"/>
        <v>17.027537813539094</v>
      </c>
      <c r="AK123" s="1"/>
      <c r="AL123" s="1">
        <f t="shared" si="84"/>
        <v>5.8728396962059344E-2</v>
      </c>
      <c r="AM123" s="8">
        <f>AL123*(A123*9.80665)/(0.7*I123*B123*B123*$N$5)</f>
        <v>3.5968274994265491E-2</v>
      </c>
      <c r="AN123" s="1">
        <f>B123/$AI$5</f>
        <v>1</v>
      </c>
      <c r="AO123" s="1">
        <f>IF(B123&lt;0.4,1.3*(0.4-B123),0)</f>
        <v>0</v>
      </c>
      <c r="AP123" s="1">
        <f t="shared" si="114"/>
        <v>-0.43</v>
      </c>
      <c r="AQ123" s="1">
        <f t="shared" si="115"/>
        <v>0</v>
      </c>
      <c r="AR123" s="1">
        <f t="shared" si="134"/>
        <v>1</v>
      </c>
      <c r="AS123" s="1">
        <f t="shared" si="135"/>
        <v>0.30867472713898642</v>
      </c>
      <c r="AT123" s="1">
        <f>(((1+0.55*B123)/(1+0.55*$AI$5))/(AN123^2))</f>
        <v>1</v>
      </c>
      <c r="AU123" s="1">
        <f t="shared" si="136"/>
        <v>3.465254791234245E-2</v>
      </c>
      <c r="AV123" s="8">
        <f t="shared" si="137"/>
        <v>1.0379691295789077</v>
      </c>
      <c r="AW123" s="8">
        <f t="shared" si="116"/>
        <v>0.99938008843557868</v>
      </c>
      <c r="AX123" s="8"/>
      <c r="AY123" s="4"/>
      <c r="AZ123" s="1">
        <f t="shared" si="138"/>
        <v>0.30848337610598836</v>
      </c>
      <c r="BA123" s="14">
        <f t="shared" si="117"/>
        <v>0.30077129170333866</v>
      </c>
      <c r="BB123" s="1"/>
      <c r="BC123" s="14">
        <f t="shared" si="118"/>
        <v>5.1213945427055965</v>
      </c>
      <c r="BD123" s="14">
        <f>IF(0.7*(AM123*(B123^3)/BA123)*(I123*L123*$N$5/43000000)&lt;$AH$5*(1-0.178*(C123/100)+0.0085*((C123/100)^2)),$AH$5*(1-0.178*(C123/100)+0.0085*((C123/100)^2)),0.7*(AM123*(B123^3)/BA123)*(I123*L123*$N$5/43000000))</f>
        <v>0.58154773404550797</v>
      </c>
      <c r="BE123" s="4">
        <f t="shared" si="139"/>
        <v>2.6184320714033125E-3</v>
      </c>
      <c r="BF123" s="4"/>
      <c r="BG123" s="1">
        <f t="shared" si="140"/>
        <v>1.015187651831563</v>
      </c>
      <c r="BH123" s="1">
        <f>0.6*$AN$5*(1-0.53*((B123-$AM$5)^2))*(1+((2/3)*AV123))</f>
        <v>5.6657250308639844</v>
      </c>
      <c r="BJ123" s="1">
        <f t="shared" si="141"/>
        <v>5.7483942691708831</v>
      </c>
      <c r="BK123" s="5">
        <f t="shared" si="142"/>
        <v>25.738548511082595</v>
      </c>
      <c r="BL123" s="5">
        <f t="shared" si="119"/>
        <v>1.6209086559382413</v>
      </c>
      <c r="BM123" s="5">
        <f t="shared" si="152"/>
        <v>2.9434239215688334</v>
      </c>
      <c r="BN123" s="1">
        <f t="shared" si="121"/>
        <v>1.174140242888156</v>
      </c>
      <c r="BO123" s="1">
        <f t="shared" si="143"/>
        <v>3.2869686407528667</v>
      </c>
      <c r="BP123" s="9">
        <f>(1+0.2*B123*B123)*K123</f>
        <v>241.19892737570004</v>
      </c>
      <c r="BQ123" s="9">
        <f t="shared" si="128"/>
        <v>709.9506926943792</v>
      </c>
      <c r="BR123" s="9">
        <f t="shared" si="129"/>
        <v>1366.5668002500481</v>
      </c>
      <c r="BS123" s="9">
        <f t="shared" si="122"/>
        <v>792.81331046715411</v>
      </c>
      <c r="BU123" s="9">
        <f>((1+0.2*B123*B123)^3.5)*I123</f>
        <v>28239.800486199998</v>
      </c>
      <c r="BV123" s="9">
        <f t="shared" si="123"/>
        <v>726851.47475735249</v>
      </c>
      <c r="BX123" s="3">
        <f t="shared" si="144"/>
        <v>2.2247572451917254E-2</v>
      </c>
      <c r="BZ123" s="3">
        <f t="shared" si="145"/>
        <v>4.0170820010959729E-2</v>
      </c>
      <c r="CA123"/>
      <c r="CB123" s="14">
        <f>$CB$12*($AO$5/K123)/($AN$5*(1-0.53*((B123-$AM$5)^2))*(1+0.2*B123*B123))</f>
        <v>1.3629629629629629</v>
      </c>
      <c r="CC123" s="1">
        <f t="shared" si="124"/>
        <v>1.9074074074074074</v>
      </c>
      <c r="CD123" s="3">
        <f t="shared" si="146"/>
        <v>6.6096526573542078E-2</v>
      </c>
      <c r="CE123" s="6">
        <f t="shared" si="147"/>
        <v>1.6453865406658139</v>
      </c>
      <c r="CF123" s="22" t="str">
        <f t="shared" si="125"/>
        <v/>
      </c>
      <c r="CG123" s="22"/>
      <c r="CH123" s="7">
        <f t="shared" si="148"/>
        <v>1.0358093379638134</v>
      </c>
      <c r="CI123" s="23">
        <f>CH123*(0.7*I123*B123*B123)*$N$5/9.80665</f>
        <v>99445.625702504185</v>
      </c>
      <c r="CK123" s="1">
        <f>B123/$AI$5</f>
        <v>1</v>
      </c>
      <c r="CL123" s="14">
        <f t="shared" si="126"/>
        <v>1.4515200000000053</v>
      </c>
      <c r="CM123" s="1">
        <f t="shared" si="149"/>
        <v>0.8569758833631711</v>
      </c>
      <c r="CN123" s="14">
        <f>SQRT((A123*9.80665)/(0.7*I123*$N$5*CM123))</f>
        <v>0.63631673834618696</v>
      </c>
      <c r="CO123" s="1">
        <f t="shared" si="150"/>
        <v>0.71466557512573836</v>
      </c>
      <c r="CP123" s="29" t="str">
        <f>IF(C123&lt;30,"",IF(CO123&gt;1,"no",""))</f>
        <v/>
      </c>
      <c r="CQ123" s="22"/>
      <c r="CR123" s="23">
        <f>CM123*(0.7*I123*B123*B123)*$N$5/9.80665</f>
        <v>82276.245067008756</v>
      </c>
      <c r="CS123"/>
      <c r="CT123" s="6">
        <f t="shared" si="151"/>
        <v>0.95853658536585384</v>
      </c>
      <c r="CU123" s="22" t="str">
        <f t="shared" si="127"/>
        <v/>
      </c>
      <c r="CV123" s="5"/>
      <c r="CW123" s="6">
        <f>IF(C123&lt;100,SQRT(2)*SQRT(SQRT(1+(2/1.4)*(10510/I123))-1),IF(I123&gt;$AW$5,SQRT(2)*SQRT(SQRT(1+(2/1.4)*($AV$5/I123))-1),$AS$5))</f>
        <v>0.82</v>
      </c>
      <c r="CX123" s="22" t="str">
        <f>IF(B123&gt;CW123,"no","")</f>
        <v/>
      </c>
    </row>
    <row r="124" spans="1:102" x14ac:dyDescent="0.2">
      <c r="A124">
        <v>58800</v>
      </c>
      <c r="B124" s="1">
        <v>0.75270000000000004</v>
      </c>
      <c r="C124" s="5">
        <v>393.5</v>
      </c>
      <c r="D124" s="1">
        <v>0</v>
      </c>
      <c r="E124" s="1">
        <v>0</v>
      </c>
      <c r="G124">
        <f t="shared" si="78"/>
        <v>39350</v>
      </c>
      <c r="H124" s="9">
        <f t="shared" si="79"/>
        <v>11993.880000047975</v>
      </c>
      <c r="I124" s="5">
        <f t="shared" si="103"/>
        <v>19349.046288939768</v>
      </c>
      <c r="J124" s="5">
        <v>0</v>
      </c>
      <c r="K124" s="6">
        <f t="shared" si="104"/>
        <v>216.65</v>
      </c>
      <c r="L124" s="5">
        <f t="shared" si="105"/>
        <v>295.06801842964956</v>
      </c>
      <c r="M124" s="10">
        <f t="shared" si="106"/>
        <v>1.4216130796413355E-5</v>
      </c>
      <c r="O124" s="6">
        <f>B124*L124</f>
        <v>222.09769747199724</v>
      </c>
      <c r="P124" s="1">
        <f>IF(E124=0,0,E124/9.80665)</f>
        <v>0</v>
      </c>
      <c r="Q124" s="7">
        <f>IF(D124=0,0,(D124/O124))</f>
        <v>0</v>
      </c>
      <c r="R124" s="19">
        <f t="shared" si="107"/>
        <v>1</v>
      </c>
      <c r="S124" s="19">
        <f t="shared" si="108"/>
        <v>0</v>
      </c>
      <c r="T124" s="19">
        <f t="shared" si="109"/>
        <v>0</v>
      </c>
      <c r="U124" s="19"/>
      <c r="V124" s="19"/>
      <c r="X124" s="1">
        <f>(A124*9.80665*R124)/(0.7*I124*B124*B124*$N$5)</f>
        <v>0.61392475866194729</v>
      </c>
      <c r="Y124" s="10">
        <f>(SQRT($N$5)*B124)*(I124/M124)*SQRT(1.4/(287.05*K124))</f>
        <v>53777012.687836461</v>
      </c>
      <c r="Z124" s="10">
        <f t="shared" si="110"/>
        <v>2.2257108642810015E-3</v>
      </c>
      <c r="AA124" s="3">
        <f t="shared" si="130"/>
        <v>1.868548284664286E-2</v>
      </c>
      <c r="AB124" s="3">
        <f t="shared" si="131"/>
        <v>7.7680318284235571E-3</v>
      </c>
      <c r="AC124" s="3">
        <f>IF($E$5="no",(1/((1+0.03+$Q$5)+AB124*3.141593*$S$5)),(1.075/((1+0.03+$Q$5)+AB124*3.141593*$S$5)))</f>
        <v>0.77599036442909053</v>
      </c>
      <c r="AD124" s="3">
        <f t="shared" si="132"/>
        <v>4.3178386614986575E-2</v>
      </c>
      <c r="AE124" s="1">
        <f t="shared" si="133"/>
        <v>0.67484254941610555</v>
      </c>
      <c r="AF124" s="1">
        <f>B124*$R$5/AE124</f>
        <v>1.0108696563189477</v>
      </c>
      <c r="AG124" s="8">
        <f t="shared" si="111"/>
        <v>1.0981547676739256E-3</v>
      </c>
      <c r="AH124" s="8"/>
      <c r="AI124" s="3">
        <f t="shared" si="112"/>
        <v>3.6057727373175308E-2</v>
      </c>
      <c r="AJ124" s="1">
        <f t="shared" si="113"/>
        <v>17.026163415908151</v>
      </c>
      <c r="AK124" s="1"/>
      <c r="AL124" s="1">
        <f t="shared" si="84"/>
        <v>5.8733137675964296E-2</v>
      </c>
      <c r="AM124" s="8">
        <f>AL124*(A124*9.80665)/(0.7*I124*B124*B124*$N$5)</f>
        <v>3.6057727373175308E-2</v>
      </c>
      <c r="AN124" s="1">
        <f>B124/$AI$5</f>
        <v>1</v>
      </c>
      <c r="AO124" s="1">
        <f>IF(B124&lt;0.4,1.3*(0.4-B124),0)</f>
        <v>0</v>
      </c>
      <c r="AP124" s="1">
        <f t="shared" si="114"/>
        <v>-0.43</v>
      </c>
      <c r="AQ124" s="1">
        <f t="shared" si="115"/>
        <v>0</v>
      </c>
      <c r="AR124" s="1">
        <f t="shared" si="134"/>
        <v>1</v>
      </c>
      <c r="AS124" s="1">
        <f t="shared" si="135"/>
        <v>0.30867472713898642</v>
      </c>
      <c r="AT124" s="1">
        <f>(((1+0.55*B124)/(1+0.55*$AI$5))/(AN124^2))</f>
        <v>1</v>
      </c>
      <c r="AU124" s="1">
        <f t="shared" si="136"/>
        <v>3.465254791234245E-2</v>
      </c>
      <c r="AV124" s="8">
        <f t="shared" si="137"/>
        <v>1.040550537997593</v>
      </c>
      <c r="AW124" s="8">
        <f t="shared" si="116"/>
        <v>0.99929293116328544</v>
      </c>
      <c r="AX124" s="8"/>
      <c r="AY124" s="4"/>
      <c r="AZ124" s="1">
        <f t="shared" si="138"/>
        <v>0.30845647285874506</v>
      </c>
      <c r="BA124" s="14">
        <f t="shared" si="117"/>
        <v>0.30074506103727644</v>
      </c>
      <c r="BB124" s="1"/>
      <c r="BC124" s="14">
        <f t="shared" si="118"/>
        <v>5.1205345557479403</v>
      </c>
      <c r="BD124" s="14">
        <f>IF(0.7*(AM124*(B124^3)/BA124)*(I124*L124*$N$5/43000000)&lt;$AH$5*(1-0.178*(C124/100)+0.0085*((C124/100)^2)),$AH$5*(1-0.178*(C124/100)+0.0085*((C124/100)^2)),0.7*(AM124*(B124^3)/BA124)*(I124*L124*$N$5/43000000))</f>
        <v>0.58164540421277067</v>
      </c>
      <c r="BE124" s="4">
        <f t="shared" si="139"/>
        <v>2.6188718335817341E-3</v>
      </c>
      <c r="BF124" s="4"/>
      <c r="BG124" s="1">
        <f t="shared" si="140"/>
        <v>1.0162202151990372</v>
      </c>
      <c r="BH124" s="1">
        <f>0.6*$AN$5*(1-0.53*((B124-$AM$5)^2))*(1+((2/3)*AV124))</f>
        <v>5.671487729126218</v>
      </c>
      <c r="BJ124" s="1">
        <f t="shared" si="141"/>
        <v>5.7417945541601423</v>
      </c>
      <c r="BK124" s="5">
        <f t="shared" si="142"/>
        <v>25.804046154264221</v>
      </c>
      <c r="BL124" s="5">
        <f t="shared" si="119"/>
        <v>1.6225573076895936</v>
      </c>
      <c r="BM124" s="5">
        <f t="shared" si="152"/>
        <v>2.9459114236139081</v>
      </c>
      <c r="BN124" s="1">
        <f t="shared" si="121"/>
        <v>1.1745370509842235</v>
      </c>
      <c r="BO124" s="1">
        <f t="shared" si="143"/>
        <v>3.2898095546756032</v>
      </c>
      <c r="BP124" s="9">
        <f>(1+0.2*B124*B124)*K124</f>
        <v>241.19892737570004</v>
      </c>
      <c r="BQ124" s="9">
        <f t="shared" si="128"/>
        <v>710.55067551949617</v>
      </c>
      <c r="BR124" s="9">
        <f t="shared" si="129"/>
        <v>1367.9567568896887</v>
      </c>
      <c r="BS124" s="9">
        <f t="shared" si="122"/>
        <v>793.49853585808489</v>
      </c>
      <c r="BU124" s="9">
        <f>((1+0.2*B124*B124)^3.5)*I124</f>
        <v>28172.016837573243</v>
      </c>
      <c r="BV124" s="9">
        <f t="shared" si="123"/>
        <v>726952.02273544867</v>
      </c>
      <c r="BX124" s="3">
        <f t="shared" si="144"/>
        <v>2.2275871628255024E-2</v>
      </c>
      <c r="BZ124" s="3">
        <f t="shared" si="145"/>
        <v>4.0270383978130764E-2</v>
      </c>
      <c r="CA124"/>
      <c r="CB124" s="14">
        <f>$CB$12*($AO$5/K124)/($AN$5*(1-0.53*((B124-$AM$5)^2))*(1+0.2*B124*B124))</f>
        <v>1.3629629629629629</v>
      </c>
      <c r="CC124" s="1">
        <f t="shared" si="124"/>
        <v>1.9074074074074074</v>
      </c>
      <c r="CD124" s="3">
        <f t="shared" si="146"/>
        <v>6.6096526573542078E-2</v>
      </c>
      <c r="CE124" s="6">
        <f t="shared" si="147"/>
        <v>1.6413185086448756</v>
      </c>
      <c r="CF124" s="22" t="str">
        <f t="shared" si="125"/>
        <v/>
      </c>
      <c r="CG124" s="22"/>
      <c r="CH124" s="7">
        <f t="shared" si="148"/>
        <v>1.0356612594134029</v>
      </c>
      <c r="CI124" s="23">
        <f>CH124*(0.7*I124*B124*B124)*$N$5/9.80665</f>
        <v>99192.745029917365</v>
      </c>
      <c r="CK124" s="1">
        <f>B124/$AI$5</f>
        <v>1</v>
      </c>
      <c r="CL124" s="14">
        <f t="shared" si="126"/>
        <v>1.4515200000000053</v>
      </c>
      <c r="CM124" s="1">
        <f t="shared" si="149"/>
        <v>0.8569758833631711</v>
      </c>
      <c r="CN124" s="14">
        <f>SQRT((A124*9.80665)/(0.7*I124*$N$5*CM124))</f>
        <v>0.63708178752817068</v>
      </c>
      <c r="CO124" s="1">
        <f t="shared" si="150"/>
        <v>0.71638510555585488</v>
      </c>
      <c r="CP124" s="29" t="str">
        <f>IF(C124&lt;30,"",IF(CO124&gt;1,"no",""))</f>
        <v/>
      </c>
      <c r="CQ124" s="22"/>
      <c r="CR124" s="23">
        <f>CM124*(0.7*I124*B124*B124)*$N$5/9.80665</f>
        <v>82078.758399612634</v>
      </c>
      <c r="CS124"/>
      <c r="CT124" s="6">
        <f t="shared" si="151"/>
        <v>0.9597560975609758</v>
      </c>
      <c r="CU124" s="22" t="str">
        <f t="shared" si="127"/>
        <v/>
      </c>
      <c r="CV124" s="5"/>
      <c r="CW124" s="6">
        <f>IF(C124&lt;100,SQRT(2)*SQRT(SQRT(1+(2/1.4)*(10510/I124))-1),IF(I124&gt;$AW$5,SQRT(2)*SQRT(SQRT(1+(2/1.4)*($AV$5/I124))-1),$AS$5))</f>
        <v>0.82</v>
      </c>
      <c r="CX124" s="22" t="str">
        <f>IF(B124&gt;CW124,"no","")</f>
        <v/>
      </c>
    </row>
    <row r="125" spans="1:102" x14ac:dyDescent="0.2">
      <c r="A125">
        <v>58800</v>
      </c>
      <c r="B125" s="1">
        <v>0.75270000000000004</v>
      </c>
      <c r="C125" s="5">
        <v>394</v>
      </c>
      <c r="D125" s="1">
        <v>0</v>
      </c>
      <c r="E125" s="1">
        <v>0</v>
      </c>
      <c r="G125">
        <f t="shared" si="78"/>
        <v>39400</v>
      </c>
      <c r="H125" s="9">
        <f t="shared" si="79"/>
        <v>12009.120000048037</v>
      </c>
      <c r="I125" s="5">
        <f t="shared" si="103"/>
        <v>19302.603009159749</v>
      </c>
      <c r="J125" s="5">
        <v>0</v>
      </c>
      <c r="K125" s="6">
        <f t="shared" si="104"/>
        <v>216.65</v>
      </c>
      <c r="L125" s="5">
        <f t="shared" si="105"/>
        <v>295.06801842964956</v>
      </c>
      <c r="M125" s="10">
        <f t="shared" si="106"/>
        <v>1.4216130796413355E-5</v>
      </c>
      <c r="O125" s="6">
        <f>B125*L125</f>
        <v>222.09769747199724</v>
      </c>
      <c r="P125" s="1">
        <f>IF(E125=0,0,E125/9.80665)</f>
        <v>0</v>
      </c>
      <c r="Q125" s="7">
        <f>IF(D125=0,0,(D125/O125))</f>
        <v>0</v>
      </c>
      <c r="R125" s="7">
        <f t="shared" si="107"/>
        <v>1</v>
      </c>
      <c r="S125" s="7">
        <f t="shared" si="108"/>
        <v>0</v>
      </c>
      <c r="T125" s="7">
        <f t="shared" si="109"/>
        <v>0</v>
      </c>
      <c r="U125" s="7"/>
      <c r="V125" s="7"/>
      <c r="X125" s="1">
        <f>(A125*9.80665*R125)/(0.7*I125*B125*B125*$N$5)</f>
        <v>0.61540190033640896</v>
      </c>
      <c r="Y125" s="10">
        <f>(SQRT($N$5)*B125)*(I125/M125)*SQRT(1.4/(287.05*K125))</f>
        <v>53647932.380275123</v>
      </c>
      <c r="Z125" s="10">
        <f t="shared" si="110"/>
        <v>2.226459817854555E-3</v>
      </c>
      <c r="AA125" s="3">
        <f t="shared" si="130"/>
        <v>1.8691770527300828E-2</v>
      </c>
      <c r="AB125" s="3">
        <f t="shared" si="131"/>
        <v>7.7706457776524282E-3</v>
      </c>
      <c r="AC125" s="3">
        <f>IF($E$5="no",(1/((1+0.03+$Q$5)+AB125*3.141593*$S$5)),(1.075/((1+0.03+$Q$5)+AB125*3.141593*$S$5)))</f>
        <v>0.77594339007953395</v>
      </c>
      <c r="AD125" s="3">
        <f t="shared" si="132"/>
        <v>4.3181000564215435E-2</v>
      </c>
      <c r="AE125" s="1">
        <f t="shared" si="133"/>
        <v>0.6746627158536862</v>
      </c>
      <c r="AF125" s="1">
        <f>B125*$R$5/AE125</f>
        <v>1.0111391069454099</v>
      </c>
      <c r="AG125" s="8">
        <f t="shared" si="111"/>
        <v>1.1023309428185519E-3</v>
      </c>
      <c r="AH125" s="8"/>
      <c r="AI125" s="3">
        <f t="shared" si="112"/>
        <v>3.6147588367426008E-2</v>
      </c>
      <c r="AJ125" s="1">
        <f t="shared" si="113"/>
        <v>17.024701456735947</v>
      </c>
      <c r="AK125" s="1"/>
      <c r="AL125" s="1">
        <f t="shared" si="84"/>
        <v>5.8738181256291148E-2</v>
      </c>
      <c r="AM125" s="8">
        <f>AL125*(A125*9.80665)/(0.7*I125*B125*B125*$N$5)</f>
        <v>3.6147588367426008E-2</v>
      </c>
      <c r="AN125" s="1">
        <f>B125/$AI$5</f>
        <v>1</v>
      </c>
      <c r="AO125" s="1">
        <f>IF(B125&lt;0.4,1.3*(0.4-B125),0)</f>
        <v>0</v>
      </c>
      <c r="AP125" s="1">
        <f t="shared" si="114"/>
        <v>-0.43</v>
      </c>
      <c r="AQ125" s="1">
        <f t="shared" si="115"/>
        <v>0</v>
      </c>
      <c r="AR125" s="1">
        <f t="shared" si="134"/>
        <v>1</v>
      </c>
      <c r="AS125" s="1">
        <f t="shared" si="135"/>
        <v>0.30867472713898642</v>
      </c>
      <c r="AT125" s="1">
        <f>(((1+0.55*B125)/(1+0.55*$AI$5))/(AN125^2))</f>
        <v>1</v>
      </c>
      <c r="AU125" s="1">
        <f t="shared" si="136"/>
        <v>3.465254791234245E-2</v>
      </c>
      <c r="AV125" s="8">
        <f t="shared" si="137"/>
        <v>1.0431437381997257</v>
      </c>
      <c r="AW125" s="8">
        <f t="shared" si="116"/>
        <v>0.99919960567728605</v>
      </c>
      <c r="AX125" s="8"/>
      <c r="AY125" s="4"/>
      <c r="AZ125" s="1">
        <f t="shared" si="138"/>
        <v>0.3084276656398191</v>
      </c>
      <c r="BA125" s="14">
        <f t="shared" si="117"/>
        <v>0.30071697399882363</v>
      </c>
      <c r="BB125" s="1"/>
      <c r="BC125" s="14">
        <f t="shared" si="118"/>
        <v>5.1196167053029988</v>
      </c>
      <c r="BD125" s="14">
        <f>IF(0.7*(AM125*(B125^3)/BA125)*(I125*L125*$N$5/43000000)&lt;$AH$5*(1-0.178*(C125/100)+0.0085*((C125/100)^2)),$AH$5*(1-0.178*(C125/100)+0.0085*((C125/100)^2)),0.7*(AM125*(B125^3)/BA125)*(I125*L125*$N$5/43000000))</f>
        <v>0.58174968223274448</v>
      </c>
      <c r="BE125" s="4">
        <f t="shared" si="139"/>
        <v>2.6193413477692325E-3</v>
      </c>
      <c r="BF125" s="4"/>
      <c r="BG125" s="1">
        <f t="shared" si="140"/>
        <v>1.0172574952798903</v>
      </c>
      <c r="BH125" s="1">
        <f>0.6*$AN$5*(1-0.53*((B125-$AM$5)^2))*(1+((2/3)*AV125))</f>
        <v>5.6772767511927338</v>
      </c>
      <c r="BJ125" s="1">
        <f t="shared" si="141"/>
        <v>5.7351790577527799</v>
      </c>
      <c r="BK125" s="5">
        <f t="shared" si="142"/>
        <v>25.86994357664879</v>
      </c>
      <c r="BL125" s="5">
        <f t="shared" si="119"/>
        <v>1.6242134904245333</v>
      </c>
      <c r="BM125" s="5">
        <f t="shared" si="152"/>
        <v>2.9484098583249172</v>
      </c>
      <c r="BN125" s="1">
        <f t="shared" si="121"/>
        <v>1.1749354007544861</v>
      </c>
      <c r="BO125" s="1">
        <f t="shared" si="143"/>
        <v>3.2926672787509381</v>
      </c>
      <c r="BP125" s="9">
        <f>(1+0.2*B125*B125)*K125</f>
        <v>241.19892737570004</v>
      </c>
      <c r="BQ125" s="9">
        <f t="shared" si="128"/>
        <v>711.15329529190979</v>
      </c>
      <c r="BR125" s="9">
        <f t="shared" si="129"/>
        <v>1369.3530628026865</v>
      </c>
      <c r="BS125" s="9">
        <f t="shared" si="122"/>
        <v>794.18781583979137</v>
      </c>
      <c r="BU125" s="9">
        <f>((1+0.2*B125*B125)^3.5)*I125</f>
        <v>28104.395889211424</v>
      </c>
      <c r="BV125" s="9">
        <f t="shared" si="123"/>
        <v>727059.13590969972</v>
      </c>
      <c r="BX125" s="3">
        <f t="shared" si="144"/>
        <v>2.2304304980291782E-2</v>
      </c>
      <c r="BZ125" s="3">
        <f t="shared" si="145"/>
        <v>4.037038088976154E-2</v>
      </c>
      <c r="CA125"/>
      <c r="CB125" s="14">
        <f>$CB$12*($AO$5/K125)/($AN$5*(1-0.53*((B125-$AM$5)^2))*(1+0.2*B125*B125))</f>
        <v>1.3629629629629629</v>
      </c>
      <c r="CC125" s="1">
        <f t="shared" si="124"/>
        <v>1.9074074074074074</v>
      </c>
      <c r="CD125" s="3">
        <f t="shared" si="146"/>
        <v>6.6096526573542078E-2</v>
      </c>
      <c r="CE125" s="6">
        <f t="shared" si="147"/>
        <v>1.6372529839148737</v>
      </c>
      <c r="CF125" s="22" t="str">
        <f t="shared" si="125"/>
        <v/>
      </c>
      <c r="CG125" s="22"/>
      <c r="CH125" s="7">
        <f t="shared" si="148"/>
        <v>1.0355129113688912</v>
      </c>
      <c r="CI125" s="23">
        <f>CH125*(0.7*I125*B125*B125)*$N$5/9.80665</f>
        <v>98940.479636488526</v>
      </c>
      <c r="CK125" s="1">
        <f>B125/$AI$5</f>
        <v>1</v>
      </c>
      <c r="CL125" s="14">
        <f t="shared" si="126"/>
        <v>1.4515200000000053</v>
      </c>
      <c r="CM125" s="1">
        <f t="shared" si="149"/>
        <v>0.8569758833631711</v>
      </c>
      <c r="CN125" s="14">
        <f>SQRT((A125*9.80665)/(0.7*I125*$N$5*CM125))</f>
        <v>0.63784775653547965</v>
      </c>
      <c r="CO125" s="1">
        <f t="shared" si="150"/>
        <v>0.71810877328459499</v>
      </c>
      <c r="CP125" s="29" t="str">
        <f>IF(C125&lt;30,"",IF(CO125&gt;1,"no",""))</f>
        <v/>
      </c>
      <c r="CQ125" s="22"/>
      <c r="CR125" s="23">
        <f>CM125*(0.7*I125*B125*B125)*$N$5/9.80665</f>
        <v>81881.745757055207</v>
      </c>
      <c r="CS125"/>
      <c r="CT125" s="6">
        <f t="shared" si="151"/>
        <v>0.96097560975609775</v>
      </c>
      <c r="CU125" s="22" t="str">
        <f t="shared" si="127"/>
        <v/>
      </c>
      <c r="CV125" s="5"/>
      <c r="CW125" s="6">
        <f>IF(C125&lt;100,SQRT(2)*SQRT(SQRT(1+(2/1.4)*(10510/I125))-1),IF(I125&gt;$AW$5,SQRT(2)*SQRT(SQRT(1+(2/1.4)*($AV$5/I125))-1),$AS$5))</f>
        <v>0.82</v>
      </c>
      <c r="CX125" s="22" t="str">
        <f>IF(B125&gt;CW125,"no","")</f>
        <v/>
      </c>
    </row>
    <row r="126" spans="1:102" x14ac:dyDescent="0.2">
      <c r="A126">
        <v>58800</v>
      </c>
      <c r="B126" s="1">
        <v>0.75270000000000004</v>
      </c>
      <c r="C126" s="5">
        <v>394.5</v>
      </c>
      <c r="D126" s="1">
        <v>0</v>
      </c>
      <c r="E126" s="1">
        <v>0</v>
      </c>
      <c r="G126">
        <f t="shared" si="78"/>
        <v>39450</v>
      </c>
      <c r="H126" s="9">
        <f t="shared" si="79"/>
        <v>12024.360000048096</v>
      </c>
      <c r="I126" s="5">
        <f t="shared" si="103"/>
        <v>19256.271206617661</v>
      </c>
      <c r="J126" s="5">
        <v>0</v>
      </c>
      <c r="K126" s="6">
        <f t="shared" si="104"/>
        <v>216.65</v>
      </c>
      <c r="L126" s="5">
        <f t="shared" si="105"/>
        <v>295.06801842964956</v>
      </c>
      <c r="M126" s="10">
        <f t="shared" si="106"/>
        <v>1.4216130796413355E-5</v>
      </c>
      <c r="O126" s="6">
        <f>B126*L126</f>
        <v>222.09769747199724</v>
      </c>
      <c r="P126" s="1">
        <f>IF(E126=0,0,E126/9.80665)</f>
        <v>0</v>
      </c>
      <c r="Q126" s="7">
        <f>IF(D126=0,0,(D126/O126))</f>
        <v>0</v>
      </c>
      <c r="R126" s="19">
        <f t="shared" si="107"/>
        <v>1</v>
      </c>
      <c r="S126" s="19">
        <f t="shared" si="108"/>
        <v>0</v>
      </c>
      <c r="T126" s="19">
        <f t="shared" si="109"/>
        <v>0</v>
      </c>
      <c r="U126" s="19"/>
      <c r="V126" s="19"/>
      <c r="X126" s="1">
        <f>(A126*9.80665*R126)/(0.7*I126*B126*B126*$N$5)</f>
        <v>0.61688259610686591</v>
      </c>
      <c r="Y126" s="10">
        <f>(SQRT($N$5)*B126)*(I126/M126)*SQRT(1.4/(287.05*K126))</f>
        <v>53519161.90260148</v>
      </c>
      <c r="Z126" s="10">
        <f t="shared" si="110"/>
        <v>2.227209023451613E-3</v>
      </c>
      <c r="AA126" s="3">
        <f t="shared" si="130"/>
        <v>1.8698060323768598E-2</v>
      </c>
      <c r="AB126" s="3">
        <f t="shared" si="131"/>
        <v>7.773260606477401E-3</v>
      </c>
      <c r="AC126" s="3">
        <f>IF($E$5="no",(1/((1+0.03+$Q$5)+AB126*3.141593*$S$5)),(1.075/((1+0.03+$Q$5)+AB126*3.141593*$S$5)))</f>
        <v>0.77589640561275275</v>
      </c>
      <c r="AD126" s="3">
        <f t="shared" si="132"/>
        <v>4.3183615393040414E-2</v>
      </c>
      <c r="AE126" s="1">
        <f t="shared" si="133"/>
        <v>0.67448244960037795</v>
      </c>
      <c r="AF126" s="1">
        <f>B126*$R$5/AE126</f>
        <v>1.0114093500903434</v>
      </c>
      <c r="AG126" s="8">
        <f t="shared" si="111"/>
        <v>1.106528070354847E-3</v>
      </c>
      <c r="AH126" s="8"/>
      <c r="AI126" s="3">
        <f t="shared" si="112"/>
        <v>3.6237860062798125E-2</v>
      </c>
      <c r="AJ126" s="1">
        <f t="shared" si="113"/>
        <v>17.023151892463957</v>
      </c>
      <c r="AK126" s="1"/>
      <c r="AL126" s="1">
        <f t="shared" si="84"/>
        <v>5.8743528009210427E-2</v>
      </c>
      <c r="AM126" s="8">
        <f>AL126*(A126*9.80665)/(0.7*I126*B126*B126*$N$5)</f>
        <v>3.6237860062798118E-2</v>
      </c>
      <c r="AN126" s="1">
        <f>B126/$AI$5</f>
        <v>1</v>
      </c>
      <c r="AO126" s="1">
        <f>IF(B126&lt;0.4,1.3*(0.4-B126),0)</f>
        <v>0</v>
      </c>
      <c r="AP126" s="1">
        <f t="shared" si="114"/>
        <v>-0.43</v>
      </c>
      <c r="AQ126" s="1">
        <f t="shared" si="115"/>
        <v>0</v>
      </c>
      <c r="AR126" s="1">
        <f t="shared" si="134"/>
        <v>1</v>
      </c>
      <c r="AS126" s="1">
        <f t="shared" si="135"/>
        <v>0.30867472713898642</v>
      </c>
      <c r="AT126" s="1">
        <f>(((1+0.55*B126)/(1+0.55*$AI$5))/(AN126^2))</f>
        <v>1</v>
      </c>
      <c r="AU126" s="1">
        <f t="shared" si="136"/>
        <v>3.465254791234245E-2</v>
      </c>
      <c r="AV126" s="8">
        <f t="shared" si="137"/>
        <v>1.0457487903765661</v>
      </c>
      <c r="AW126" s="8">
        <f t="shared" si="116"/>
        <v>0.99910003071700482</v>
      </c>
      <c r="AX126" s="8"/>
      <c r="AY126" s="4"/>
      <c r="AZ126" s="1">
        <f t="shared" si="138"/>
        <v>0.30839692936612439</v>
      </c>
      <c r="BA126" s="14">
        <f t="shared" si="117"/>
        <v>0.3006870061319713</v>
      </c>
      <c r="BB126" s="1"/>
      <c r="BC126" s="14">
        <f t="shared" si="118"/>
        <v>5.118640577474789</v>
      </c>
      <c r="BD126" s="14">
        <f>IF(0.7*(AM126*(B126^3)/BA126)*(I126*L126*$N$5/43000000)&lt;$AH$5*(1-0.178*(C126/100)+0.0085*((C126/100)^2)),$AH$5*(1-0.178*(C126/100)+0.0085*((C126/100)^2)),0.7*(AM126*(B126^3)/BA126)*(I126*L126*$N$5/43000000))</f>
        <v>0.58186062224607116</v>
      </c>
      <c r="BE126" s="4">
        <f t="shared" si="139"/>
        <v>2.6198408577352943E-3</v>
      </c>
      <c r="BF126" s="4"/>
      <c r="BG126" s="1">
        <f t="shared" si="140"/>
        <v>1.0182995161506263</v>
      </c>
      <c r="BH126" s="1">
        <f>0.6*$AN$5*(1-0.53*((B126-$AM$5)^2))*(1+((2/3)*AV126))</f>
        <v>5.6830922314336139</v>
      </c>
      <c r="BJ126" s="1">
        <f t="shared" si="141"/>
        <v>5.7285477770976936</v>
      </c>
      <c r="BK126" s="5">
        <f t="shared" si="142"/>
        <v>25.936243738418192</v>
      </c>
      <c r="BL126" s="5">
        <f t="shared" si="119"/>
        <v>1.6258772425850301</v>
      </c>
      <c r="BM126" s="5">
        <f t="shared" si="152"/>
        <v>2.9509192783144851</v>
      </c>
      <c r="BN126" s="1">
        <f t="shared" si="121"/>
        <v>1.1753352981960457</v>
      </c>
      <c r="BO126" s="1">
        <f t="shared" si="143"/>
        <v>3.2955419174485541</v>
      </c>
      <c r="BP126" s="9">
        <f>(1+0.2*B126*B126)*K126</f>
        <v>241.19892737570004</v>
      </c>
      <c r="BQ126" s="9">
        <f t="shared" si="128"/>
        <v>711.75856470172869</v>
      </c>
      <c r="BR126" s="9">
        <f t="shared" si="129"/>
        <v>1370.7557503989613</v>
      </c>
      <c r="BS126" s="9">
        <f t="shared" si="122"/>
        <v>794.88117561024899</v>
      </c>
      <c r="BU126" s="9">
        <f>((1+0.2*B126*B126)^3.5)*I126</f>
        <v>28036.937250587103</v>
      </c>
      <c r="BV126" s="9">
        <f t="shared" si="123"/>
        <v>727172.83820996352</v>
      </c>
      <c r="BX126" s="3">
        <f t="shared" si="144"/>
        <v>2.2332873232821768E-2</v>
      </c>
      <c r="BZ126" s="3">
        <f t="shared" si="145"/>
        <v>4.0470812890169947E-2</v>
      </c>
      <c r="CA126"/>
      <c r="CB126" s="14">
        <f>$CB$12*($AO$5/K126)/($AN$5*(1-0.53*((B126-$AM$5)^2))*(1+0.2*B126*B126))</f>
        <v>1.3629629629629629</v>
      </c>
      <c r="CC126" s="1">
        <f t="shared" si="124"/>
        <v>1.9074074074074074</v>
      </c>
      <c r="CD126" s="3">
        <f t="shared" si="146"/>
        <v>6.6096526573542078E-2</v>
      </c>
      <c r="CE126" s="6">
        <f t="shared" si="147"/>
        <v>1.6331899918322723</v>
      </c>
      <c r="CF126" s="22" t="str">
        <f t="shared" si="125"/>
        <v/>
      </c>
      <c r="CG126" s="22"/>
      <c r="CH126" s="7">
        <f t="shared" si="148"/>
        <v>1.0353642915162049</v>
      </c>
      <c r="CI126" s="23">
        <f>CH126*(0.7*I126*B126*B126)*$N$5/9.80665</f>
        <v>98688.827866698921</v>
      </c>
      <c r="CK126" s="1">
        <f>B126/$AI$5</f>
        <v>1</v>
      </c>
      <c r="CL126" s="14">
        <f t="shared" si="126"/>
        <v>1.4515200000000053</v>
      </c>
      <c r="CM126" s="1">
        <f t="shared" si="149"/>
        <v>0.8569758833631711</v>
      </c>
      <c r="CN126" s="14">
        <f>SQRT((A126*9.80665)/(0.7*I126*$N$5*CM126))</f>
        <v>0.63861464647402788</v>
      </c>
      <c r="CO126" s="1">
        <f t="shared" si="150"/>
        <v>0.71983658826655927</v>
      </c>
      <c r="CP126" s="29" t="str">
        <f>IF(C126&lt;30,"",IF(CO126&gt;1,"no",""))</f>
        <v/>
      </c>
      <c r="CQ126" s="22"/>
      <c r="CR126" s="23">
        <f>CM126*(0.7*I126*B126*B126)*$N$5/9.80665</f>
        <v>81685.206001540515</v>
      </c>
      <c r="CS126"/>
      <c r="CT126" s="6">
        <f t="shared" si="151"/>
        <v>0.9621951219512197</v>
      </c>
      <c r="CU126" s="22" t="str">
        <f t="shared" si="127"/>
        <v/>
      </c>
      <c r="CV126" s="5"/>
      <c r="CW126" s="6">
        <f>IF(C126&lt;100,SQRT(2)*SQRT(SQRT(1+(2/1.4)*(10510/I126))-1),IF(I126&gt;$AW$5,SQRT(2)*SQRT(SQRT(1+(2/1.4)*($AV$5/I126))-1),$AS$5))</f>
        <v>0.82</v>
      </c>
      <c r="CX126" s="22" t="str">
        <f>IF(B126&gt;CW126,"no","")</f>
        <v/>
      </c>
    </row>
    <row r="127" spans="1:102" x14ac:dyDescent="0.2">
      <c r="A127">
        <v>58800</v>
      </c>
      <c r="B127" s="1">
        <v>0.75270000000000004</v>
      </c>
      <c r="C127" s="5">
        <v>395</v>
      </c>
      <c r="D127" s="1">
        <v>0</v>
      </c>
      <c r="E127" s="1">
        <v>0</v>
      </c>
      <c r="G127">
        <f t="shared" si="78"/>
        <v>39500</v>
      </c>
      <c r="H127" s="9">
        <f t="shared" si="79"/>
        <v>12039.600000048158</v>
      </c>
      <c r="I127" s="5">
        <f t="shared" si="103"/>
        <v>19210.050613736035</v>
      </c>
      <c r="J127" s="5">
        <v>0</v>
      </c>
      <c r="K127" s="6">
        <f t="shared" si="104"/>
        <v>216.65</v>
      </c>
      <c r="L127" s="5">
        <f t="shared" si="105"/>
        <v>295.06801842964956</v>
      </c>
      <c r="M127" s="10">
        <f t="shared" si="106"/>
        <v>1.4216130796413355E-5</v>
      </c>
      <c r="O127" s="6">
        <f>B127*L127</f>
        <v>222.09769747199724</v>
      </c>
      <c r="P127" s="1">
        <f>IF(E127=0,0,E127/9.80665)</f>
        <v>0</v>
      </c>
      <c r="Q127" s="7">
        <f>IF(D127=0,0,(D127/O127))</f>
        <v>0</v>
      </c>
      <c r="R127" s="7">
        <f t="shared" si="107"/>
        <v>1</v>
      </c>
      <c r="S127" s="7">
        <f t="shared" si="108"/>
        <v>0</v>
      </c>
      <c r="T127" s="7">
        <f t="shared" si="109"/>
        <v>0</v>
      </c>
      <c r="U127" s="7"/>
      <c r="V127" s="7"/>
      <c r="X127" s="1">
        <f>(A127*9.80665*R127)/(0.7*I127*B127*B127*$N$5)</f>
        <v>0.61836685452469797</v>
      </c>
      <c r="Y127" s="10">
        <f>(SQRT($N$5)*B127)*(I127/M127)*SQRT(1.4/(287.05*K127))</f>
        <v>53390700.511134595</v>
      </c>
      <c r="Z127" s="10">
        <f t="shared" si="110"/>
        <v>2.2279584811569835E-3</v>
      </c>
      <c r="AA127" s="3">
        <f t="shared" si="130"/>
        <v>1.8704352236758162E-2</v>
      </c>
      <c r="AB127" s="3">
        <f t="shared" si="131"/>
        <v>7.7758763151944705E-3</v>
      </c>
      <c r="AC127" s="3">
        <f>IF($E$5="no",(1/((1+0.03+$Q$5)+AB127*3.141593*$S$5)),(1.075/((1+0.03+$Q$5)+AB127*3.141593*$S$5)))</f>
        <v>0.77584941102813798</v>
      </c>
      <c r="AD127" s="3">
        <f t="shared" si="132"/>
        <v>4.3186231101757483E-2</v>
      </c>
      <c r="AE127" s="1">
        <f t="shared" si="133"/>
        <v>0.67430174961509937</v>
      </c>
      <c r="AF127" s="1">
        <f>B127*$R$5/AE127</f>
        <v>1.011680388471567</v>
      </c>
      <c r="AG127" s="8">
        <f t="shared" si="111"/>
        <v>1.1107463580152625E-3</v>
      </c>
      <c r="AH127" s="8"/>
      <c r="AI127" s="3">
        <f t="shared" si="112"/>
        <v>3.6328544561636311E-2</v>
      </c>
      <c r="AJ127" s="1">
        <f t="shared" si="113"/>
        <v>17.021514679057802</v>
      </c>
      <c r="AK127" s="1"/>
      <c r="AL127" s="1">
        <f t="shared" si="84"/>
        <v>5.8749178252058672E-2</v>
      </c>
      <c r="AM127" s="8">
        <f>AL127*(A127*9.80665)/(0.7*I127*B127*B127*$N$5)</f>
        <v>3.6328544561636311E-2</v>
      </c>
      <c r="AN127" s="1">
        <f>B127/$AI$5</f>
        <v>1</v>
      </c>
      <c r="AO127" s="1">
        <f>IF(B127&lt;0.4,1.3*(0.4-B127),0)</f>
        <v>0</v>
      </c>
      <c r="AP127" s="1">
        <f t="shared" si="114"/>
        <v>-0.43</v>
      </c>
      <c r="AQ127" s="1">
        <f t="shared" si="115"/>
        <v>0</v>
      </c>
      <c r="AR127" s="1">
        <f t="shared" si="134"/>
        <v>1</v>
      </c>
      <c r="AS127" s="1">
        <f t="shared" si="135"/>
        <v>0.30867472713898642</v>
      </c>
      <c r="AT127" s="1">
        <f>(((1+0.55*B127)/(1+0.55*$AI$5))/(AN127^2))</f>
        <v>1</v>
      </c>
      <c r="AU127" s="1">
        <f t="shared" si="136"/>
        <v>3.465254791234245E-2</v>
      </c>
      <c r="AV127" s="8">
        <f t="shared" si="137"/>
        <v>1.0483657551973806</v>
      </c>
      <c r="AW127" s="8">
        <f t="shared" si="116"/>
        <v>0.99899412410140043</v>
      </c>
      <c r="AX127" s="8"/>
      <c r="AY127" s="4"/>
      <c r="AZ127" s="1">
        <f t="shared" si="138"/>
        <v>0.30836423867045049</v>
      </c>
      <c r="BA127" s="14">
        <f t="shared" si="117"/>
        <v>0.30065513270368921</v>
      </c>
      <c r="BB127" s="1"/>
      <c r="BC127" s="14">
        <f t="shared" si="118"/>
        <v>5.117605754649917</v>
      </c>
      <c r="BD127" s="14">
        <f>IF(0.7*(AM127*(B127^3)/BA127)*(I127*L127*$N$5/43000000)&lt;$AH$5*(1-0.178*(C127/100)+0.0085*((C127/100)^2)),$AH$5*(1-0.178*(C127/100)+0.0085*((C127/100)^2)),0.7*(AM127*(B127^3)/BA127)*(I127*L127*$N$5/43000000))</f>
        <v>0.5819782793462196</v>
      </c>
      <c r="BE127" s="4">
        <f t="shared" si="139"/>
        <v>2.6203706115395329E-3</v>
      </c>
      <c r="BF127" s="4"/>
      <c r="BG127" s="1">
        <f t="shared" si="140"/>
        <v>1.0193463020789522</v>
      </c>
      <c r="BH127" s="1">
        <f>0.6*$AN$5*(1-0.53*((B127-$AM$5)^2))*(1+((2/3)*AV127))</f>
        <v>5.6889343052860406</v>
      </c>
      <c r="BJ127" s="1">
        <f t="shared" si="141"/>
        <v>5.7219007092987688</v>
      </c>
      <c r="BK127" s="5">
        <f t="shared" si="142"/>
        <v>26.002949629045872</v>
      </c>
      <c r="BL127" s="5">
        <f t="shared" si="119"/>
        <v>1.6275486029183404</v>
      </c>
      <c r="BM127" s="5">
        <f t="shared" si="152"/>
        <v>2.9534397366015099</v>
      </c>
      <c r="BN127" s="1">
        <f t="shared" si="121"/>
        <v>1.1757367493485253</v>
      </c>
      <c r="BO127" s="1">
        <f t="shared" si="143"/>
        <v>3.2984335760372945</v>
      </c>
      <c r="BP127" s="9">
        <f>(1+0.2*B127*B127)*K127</f>
        <v>241.19892737570004</v>
      </c>
      <c r="BQ127" s="9">
        <f t="shared" si="128"/>
        <v>712.36649653705422</v>
      </c>
      <c r="BR127" s="9">
        <f t="shared" si="129"/>
        <v>1372.1648523458161</v>
      </c>
      <c r="BS127" s="9">
        <f t="shared" si="122"/>
        <v>795.57864056018991</v>
      </c>
      <c r="BU127" s="9">
        <f>((1+0.2*B127*B127)^3.5)*I127</f>
        <v>27969.640532110181</v>
      </c>
      <c r="BV127" s="9">
        <f t="shared" si="123"/>
        <v>727293.15389898082</v>
      </c>
      <c r="BX127" s="3">
        <f t="shared" si="144"/>
        <v>2.2361577116588028E-2</v>
      </c>
      <c r="BZ127" s="3">
        <f t="shared" si="145"/>
        <v>4.0571682140378929E-2</v>
      </c>
      <c r="CA127"/>
      <c r="CB127" s="14">
        <f>$CB$12*($AO$5/K127)/($AN$5*(1-0.53*((B127-$AM$5)^2))*(1+0.2*B127*B127))</f>
        <v>1.3629629629629629</v>
      </c>
      <c r="CC127" s="1">
        <f t="shared" si="124"/>
        <v>1.9074074074074074</v>
      </c>
      <c r="CD127" s="3">
        <f t="shared" si="146"/>
        <v>6.6096526573542078E-2</v>
      </c>
      <c r="CE127" s="6">
        <f t="shared" si="147"/>
        <v>1.6291295575284903</v>
      </c>
      <c r="CF127" s="22" t="str">
        <f t="shared" si="125"/>
        <v/>
      </c>
      <c r="CG127" s="22"/>
      <c r="CH127" s="7">
        <f t="shared" si="148"/>
        <v>1.035215397458106</v>
      </c>
      <c r="CI127" s="23">
        <f>CH127*(0.7*I127*B127*B127)*$N$5/9.80665</f>
        <v>98437.78806243476</v>
      </c>
      <c r="CK127" s="1">
        <f>B127/$AI$5</f>
        <v>1</v>
      </c>
      <c r="CL127" s="14">
        <f t="shared" si="126"/>
        <v>1.4515200000000053</v>
      </c>
      <c r="CM127" s="1">
        <f t="shared" si="149"/>
        <v>0.8569758833631711</v>
      </c>
      <c r="CN127" s="14">
        <f>SQRT((A127*9.80665)/(0.7*I127*$N$5*CM127))</f>
        <v>0.63938245845105934</v>
      </c>
      <c r="CO127" s="1">
        <f t="shared" si="150"/>
        <v>0.72156856048030127</v>
      </c>
      <c r="CP127" s="29" t="str">
        <f>IF(C127&lt;30,"",IF(CO127&gt;1,"no",""))</f>
        <v/>
      </c>
      <c r="CQ127" s="22"/>
      <c r="CR127" s="23">
        <f>CM127*(0.7*I127*B127*B127)*$N$5/9.80665</f>
        <v>81489.137998003498</v>
      </c>
      <c r="CS127"/>
      <c r="CT127" s="6">
        <f t="shared" si="151"/>
        <v>0.96341463414634154</v>
      </c>
      <c r="CU127" s="22" t="str">
        <f t="shared" si="127"/>
        <v/>
      </c>
      <c r="CV127" s="5"/>
      <c r="CW127" s="6">
        <f>IF(C127&lt;100,SQRT(2)*SQRT(SQRT(1+(2/1.4)*(10510/I127))-1),IF(I127&gt;$AW$5,SQRT(2)*SQRT(SQRT(1+(2/1.4)*($AV$5/I127))-1),$AS$5))</f>
        <v>0.82</v>
      </c>
      <c r="CX127" s="22" t="str">
        <f>IF(B127&gt;CW127,"no","")</f>
        <v/>
      </c>
    </row>
    <row r="128" spans="1:102" x14ac:dyDescent="0.2">
      <c r="A128">
        <v>58800</v>
      </c>
      <c r="B128" s="1">
        <v>0.75270000000000004</v>
      </c>
      <c r="C128" s="5">
        <v>395.5</v>
      </c>
      <c r="D128" s="1">
        <v>0</v>
      </c>
      <c r="E128" s="1">
        <v>0</v>
      </c>
      <c r="G128">
        <f t="shared" si="78"/>
        <v>39550</v>
      </c>
      <c r="H128" s="9">
        <f t="shared" si="79"/>
        <v>12054.840000048218</v>
      </c>
      <c r="I128" s="5">
        <f t="shared" si="103"/>
        <v>19163.940963579687</v>
      </c>
      <c r="J128" s="5">
        <v>0</v>
      </c>
      <c r="K128" s="6">
        <f t="shared" si="104"/>
        <v>216.65</v>
      </c>
      <c r="L128" s="5">
        <f t="shared" si="105"/>
        <v>295.06801842964956</v>
      </c>
      <c r="M128" s="10">
        <f t="shared" si="106"/>
        <v>1.4216130796413355E-5</v>
      </c>
      <c r="O128" s="6">
        <f>B128*L128</f>
        <v>222.09769747199724</v>
      </c>
      <c r="P128" s="1">
        <f>IF(E128=0,0,E128/9.80665)</f>
        <v>0</v>
      </c>
      <c r="Q128" s="7">
        <f>IF(D128=0,0,(D128/O128))</f>
        <v>0</v>
      </c>
      <c r="R128" s="19">
        <f t="shared" si="107"/>
        <v>1</v>
      </c>
      <c r="S128" s="19">
        <f t="shared" si="108"/>
        <v>0</v>
      </c>
      <c r="T128" s="19">
        <f t="shared" si="109"/>
        <v>0</v>
      </c>
      <c r="U128" s="19"/>
      <c r="V128" s="19"/>
      <c r="X128" s="1">
        <f>(A128*9.80665*R128)/(0.7*I128*B128*B128*$N$5)</f>
        <v>0.61985468416185874</v>
      </c>
      <c r="Y128" s="10">
        <f>(SQRT($N$5)*B128)*(I128/M128)*SQRT(1.4/(287.05*K128))</f>
        <v>53262547.463978618</v>
      </c>
      <c r="Z128" s="10">
        <f t="shared" si="110"/>
        <v>2.2287081910555011E-3</v>
      </c>
      <c r="AA128" s="3">
        <f t="shared" si="130"/>
        <v>1.8710646266981733E-2</v>
      </c>
      <c r="AB128" s="3">
        <f t="shared" si="131"/>
        <v>7.7784929040997201E-3</v>
      </c>
      <c r="AC128" s="3">
        <f>IF($E$5="no",(1/((1+0.03+$Q$5)+AB128*3.141593*$S$5)),(1.075/((1+0.03+$Q$5)+AB128*3.141593*$S$5)))</f>
        <v>0.77580240632508157</v>
      </c>
      <c r="AD128" s="3">
        <f t="shared" si="132"/>
        <v>4.3188847690662745E-2</v>
      </c>
      <c r="AE128" s="1">
        <f t="shared" si="133"/>
        <v>0.67412061485426389</v>
      </c>
      <c r="AF128" s="1">
        <f>B128*$R$5/AE128</f>
        <v>1.0119522248183124</v>
      </c>
      <c r="AG128" s="8">
        <f t="shared" si="111"/>
        <v>1.1149860210569412E-3</v>
      </c>
      <c r="AH128" s="8"/>
      <c r="AI128" s="3">
        <f t="shared" si="112"/>
        <v>3.6419643983070411E-2</v>
      </c>
      <c r="AJ128" s="1">
        <f t="shared" si="113"/>
        <v>17.019789771970224</v>
      </c>
      <c r="AK128" s="1"/>
      <c r="AL128" s="1">
        <f t="shared" si="84"/>
        <v>5.875513231349621E-2</v>
      </c>
      <c r="AM128" s="8">
        <f>AL128*(A128*9.80665)/(0.7*I128*B128*B128*$N$5)</f>
        <v>3.6419643983070411E-2</v>
      </c>
      <c r="AN128" s="1">
        <f>B128/$AI$5</f>
        <v>1</v>
      </c>
      <c r="AO128" s="1">
        <f>IF(B128&lt;0.4,1.3*(0.4-B128),0)</f>
        <v>0</v>
      </c>
      <c r="AP128" s="1">
        <f t="shared" si="114"/>
        <v>-0.43</v>
      </c>
      <c r="AQ128" s="1">
        <f t="shared" si="115"/>
        <v>0</v>
      </c>
      <c r="AR128" s="1">
        <f t="shared" si="134"/>
        <v>1</v>
      </c>
      <c r="AS128" s="1">
        <f t="shared" si="135"/>
        <v>0.30867472713898642</v>
      </c>
      <c r="AT128" s="1">
        <f>(((1+0.55*B128)/(1+0.55*$AI$5))/(AN128^2))</f>
        <v>1</v>
      </c>
      <c r="AU128" s="1">
        <f t="shared" si="136"/>
        <v>3.465254791234245E-2</v>
      </c>
      <c r="AV128" s="8">
        <f t="shared" si="137"/>
        <v>1.0509946938158208</v>
      </c>
      <c r="AW128" s="8">
        <f t="shared" si="116"/>
        <v>0.99888180271713123</v>
      </c>
      <c r="AX128" s="8"/>
      <c r="AY128" s="4"/>
      <c r="AZ128" s="1">
        <f t="shared" si="138"/>
        <v>0.30832956789780935</v>
      </c>
      <c r="BA128" s="14">
        <f t="shared" si="117"/>
        <v>0.30062132870036412</v>
      </c>
      <c r="BB128" s="1"/>
      <c r="BC128" s="14">
        <f t="shared" si="118"/>
        <v>5.116511815450556</v>
      </c>
      <c r="BD128" s="14">
        <f>IF(0.7*(AM128*(B128^3)/BA128)*(I128*L128*$N$5/43000000)&lt;$AH$5*(1-0.178*(C128/100)+0.0085*((C128/100)^2)),$AH$5*(1-0.178*(C128/100)+0.0085*((C128/100)^2)),0.7*(AM128*(B128^3)/BA128)*(I128*L128*$N$5/43000000))</f>
        <v>0.582102709597906</v>
      </c>
      <c r="BE128" s="4">
        <f t="shared" si="139"/>
        <v>2.6209308616146247E-3</v>
      </c>
      <c r="BF128" s="4"/>
      <c r="BG128" s="1">
        <f t="shared" si="140"/>
        <v>1.0203978775263283</v>
      </c>
      <c r="BH128" s="1">
        <f>0.6*$AN$5*(1-0.53*((B128-$AM$5)^2))*(1+((2/3)*AV128))</f>
        <v>5.6948031092685278</v>
      </c>
      <c r="BJ128" s="1">
        <f t="shared" si="141"/>
        <v>5.7152378514100208</v>
      </c>
      <c r="BK128" s="5">
        <f t="shared" si="142"/>
        <v>26.070064267688668</v>
      </c>
      <c r="BL128" s="5">
        <f t="shared" si="119"/>
        <v>1.629227610481079</v>
      </c>
      <c r="BM128" s="5">
        <f t="shared" si="152"/>
        <v>2.9559712866166858</v>
      </c>
      <c r="BN128" s="1">
        <f t="shared" si="121"/>
        <v>1.1761397602947081</v>
      </c>
      <c r="BO128" s="1">
        <f t="shared" si="143"/>
        <v>3.3013423605946968</v>
      </c>
      <c r="BP128" s="9">
        <f>(1+0.2*B128*B128)*K128</f>
        <v>241.19892737570004</v>
      </c>
      <c r="BQ128" s="9">
        <f t="shared" si="128"/>
        <v>712.97710368531261</v>
      </c>
      <c r="BR128" s="9">
        <f t="shared" si="129"/>
        <v>1373.5804015713704</v>
      </c>
      <c r="BS128" s="9">
        <f t="shared" si="122"/>
        <v>796.28023627540244</v>
      </c>
      <c r="BU128" s="9">
        <f>((1+0.2*B128*B128)^3.5)*I128</f>
        <v>27902.505345125704</v>
      </c>
      <c r="BV128" s="9">
        <f t="shared" si="123"/>
        <v>727420.10757695371</v>
      </c>
      <c r="BX128" s="3">
        <f t="shared" si="144"/>
        <v>2.239041736836106E-2</v>
      </c>
      <c r="BZ128" s="3">
        <f t="shared" si="145"/>
        <v>4.0672990818337709E-2</v>
      </c>
      <c r="CA128"/>
      <c r="CB128" s="14">
        <f>$CB$12*($AO$5/K128)/($AN$5*(1-0.53*((B128-$AM$5)^2))*(1+0.2*B128*B128))</f>
        <v>1.3629629629629629</v>
      </c>
      <c r="CC128" s="1">
        <f t="shared" si="124"/>
        <v>1.9074074074074074</v>
      </c>
      <c r="CD128" s="3">
        <f t="shared" si="146"/>
        <v>6.6096526573542078E-2</v>
      </c>
      <c r="CE128" s="6">
        <f t="shared" si="147"/>
        <v>1.6250717059081377</v>
      </c>
      <c r="CF128" s="22" t="str">
        <f t="shared" si="125"/>
        <v/>
      </c>
      <c r="CG128" s="22"/>
      <c r="CH128" s="7">
        <f t="shared" si="148"/>
        <v>1.0350662267121815</v>
      </c>
      <c r="CI128" s="23">
        <f>CH128*(0.7*I128*B128*B128)*$N$5/9.80665</f>
        <v>98187.358562872119</v>
      </c>
      <c r="CK128" s="1">
        <f>B128/$AI$5</f>
        <v>1</v>
      </c>
      <c r="CL128" s="14">
        <f t="shared" si="126"/>
        <v>1.4515200000000053</v>
      </c>
      <c r="CM128" s="1">
        <f t="shared" si="149"/>
        <v>0.8569758833631711</v>
      </c>
      <c r="CN128" s="14">
        <f>SQRT((A128*9.80665)/(0.7*I128*$N$5*CM128))</f>
        <v>0.64015119357514871</v>
      </c>
      <c r="CO128" s="1">
        <f t="shared" si="150"/>
        <v>0.7233046999283822</v>
      </c>
      <c r="CP128" s="29" t="str">
        <f>IF(C128&lt;30,"",IF(CO128&gt;1,"no",""))</f>
        <v/>
      </c>
      <c r="CQ128" s="22"/>
      <c r="CR128" s="23">
        <f>CM128*(0.7*I128*B128*B128)*$N$5/9.80665</f>
        <v>81293.540614103666</v>
      </c>
      <c r="CS128"/>
      <c r="CT128" s="6">
        <f t="shared" si="151"/>
        <v>0.96463414634146349</v>
      </c>
      <c r="CU128" s="22" t="str">
        <f t="shared" si="127"/>
        <v/>
      </c>
      <c r="CV128" s="5"/>
      <c r="CW128" s="6">
        <f>IF(C128&lt;100,SQRT(2)*SQRT(SQRT(1+(2/1.4)*(10510/I128))-1),IF(I128&gt;$AW$5,SQRT(2)*SQRT(SQRT(1+(2/1.4)*($AV$5/I128))-1),$AS$5))</f>
        <v>0.82</v>
      </c>
      <c r="CX128" s="22" t="str">
        <f>IF(B128&gt;CW128,"no","")</f>
        <v/>
      </c>
    </row>
    <row r="129" spans="1:102" x14ac:dyDescent="0.2">
      <c r="A129">
        <v>58800</v>
      </c>
      <c r="B129" s="1">
        <v>0.75270000000000004</v>
      </c>
      <c r="C129" s="5">
        <v>396</v>
      </c>
      <c r="D129" s="1">
        <v>0</v>
      </c>
      <c r="E129" s="1">
        <v>0</v>
      </c>
      <c r="G129">
        <f t="shared" si="78"/>
        <v>39600</v>
      </c>
      <c r="H129" s="9">
        <f t="shared" si="79"/>
        <v>12070.08000004828</v>
      </c>
      <c r="I129" s="5">
        <f t="shared" si="103"/>
        <v>19117.941989854149</v>
      </c>
      <c r="J129" s="5">
        <v>0</v>
      </c>
      <c r="K129" s="6">
        <f t="shared" si="104"/>
        <v>216.65</v>
      </c>
      <c r="L129" s="5">
        <f t="shared" si="105"/>
        <v>295.06801842964956</v>
      </c>
      <c r="M129" s="10">
        <f t="shared" si="106"/>
        <v>1.4216130796413355E-5</v>
      </c>
      <c r="O129" s="6">
        <f>B129*L129</f>
        <v>222.09769747199724</v>
      </c>
      <c r="P129" s="1">
        <f>IF(E129=0,0,E129/9.80665)</f>
        <v>0</v>
      </c>
      <c r="Q129" s="7">
        <f>IF(D129=0,0,(D129/O129))</f>
        <v>0</v>
      </c>
      <c r="R129" s="19">
        <f t="shared" si="107"/>
        <v>1</v>
      </c>
      <c r="S129" s="19">
        <f t="shared" si="108"/>
        <v>0</v>
      </c>
      <c r="T129" s="19">
        <f t="shared" si="109"/>
        <v>0</v>
      </c>
      <c r="U129" s="19"/>
      <c r="V129" s="19"/>
      <c r="X129" s="1">
        <f>(A129*9.80665*R129)/(0.7*I129*B129*B129*$N$5)</f>
        <v>0.6213460936109273</v>
      </c>
      <c r="Y129" s="10">
        <f>(SQRT($N$5)*B129)*(I129/M129)*SQRT(1.4/(287.05*K129))</f>
        <v>53134702.021018483</v>
      </c>
      <c r="Z129" s="10">
        <f t="shared" si="110"/>
        <v>2.2294581532320275E-3</v>
      </c>
      <c r="AA129" s="3">
        <f t="shared" si="130"/>
        <v>1.8716942415151743E-2</v>
      </c>
      <c r="AB129" s="3">
        <f t="shared" si="131"/>
        <v>7.7811103734893271E-3</v>
      </c>
      <c r="AC129" s="3">
        <f>IF($E$5="no",(1/((1+0.03+$Q$5)+AB129*3.141593*$S$5)),(1.075/((1+0.03+$Q$5)+AB129*3.141593*$S$5)))</f>
        <v>0.7757553915029769</v>
      </c>
      <c r="AD129" s="3">
        <f t="shared" si="132"/>
        <v>4.3191465160052352E-2</v>
      </c>
      <c r="AE129" s="1">
        <f t="shared" si="133"/>
        <v>0.67393904427177409</v>
      </c>
      <c r="AF129" s="1">
        <f>B129*$R$5/AE129</f>
        <v>1.012224861871283</v>
      </c>
      <c r="AG129" s="8">
        <f t="shared" si="111"/>
        <v>1.1192472824411936E-3</v>
      </c>
      <c r="AH129" s="8"/>
      <c r="AI129" s="3">
        <f t="shared" si="112"/>
        <v>3.6511160463240391E-2</v>
      </c>
      <c r="AJ129" s="1">
        <f t="shared" si="113"/>
        <v>17.017977126103716</v>
      </c>
      <c r="AK129" s="1"/>
      <c r="AL129" s="1">
        <f t="shared" si="84"/>
        <v>5.8761390533667447E-2</v>
      </c>
      <c r="AM129" s="8">
        <f>AL129*(A129*9.80665)/(0.7*I129*B129*B129*$N$5)</f>
        <v>3.6511160463240391E-2</v>
      </c>
      <c r="AN129" s="1">
        <f>B129/$AI$5</f>
        <v>1</v>
      </c>
      <c r="AO129" s="1">
        <f>IF(B129&lt;0.4,1.3*(0.4-B129),0)</f>
        <v>0</v>
      </c>
      <c r="AP129" s="1">
        <f t="shared" si="114"/>
        <v>-0.43</v>
      </c>
      <c r="AQ129" s="1">
        <f t="shared" si="115"/>
        <v>0</v>
      </c>
      <c r="AR129" s="1">
        <f t="shared" si="134"/>
        <v>1</v>
      </c>
      <c r="AS129" s="1">
        <f t="shared" si="135"/>
        <v>0.30867472713898642</v>
      </c>
      <c r="AT129" s="1">
        <f>(((1+0.55*B129)/(1+0.55*$AI$5))/(AN129^2))</f>
        <v>1</v>
      </c>
      <c r="AU129" s="1">
        <f t="shared" si="136"/>
        <v>3.465254791234245E-2</v>
      </c>
      <c r="AV129" s="8">
        <f t="shared" si="137"/>
        <v>1.0536356678764145</v>
      </c>
      <c r="AW129" s="8">
        <f t="shared" si="116"/>
        <v>0.99876298250652396</v>
      </c>
      <c r="AX129" s="8"/>
      <c r="AY129" s="4"/>
      <c r="AZ129" s="1">
        <f t="shared" si="138"/>
        <v>0.30829289110172153</v>
      </c>
      <c r="BA129" s="14">
        <f t="shared" si="117"/>
        <v>0.30058556882417847</v>
      </c>
      <c r="BB129" s="1"/>
      <c r="BC129" s="14">
        <f t="shared" si="118"/>
        <v>5.1153583346867437</v>
      </c>
      <c r="BD129" s="14">
        <f>IF(0.7*(AM129*(B129^3)/BA129)*(I129*L129*$N$5/43000000)&lt;$AH$5*(1-0.178*(C129/100)+0.0085*((C129/100)^2)),$AH$5*(1-0.178*(C129/100)+0.0085*((C129/100)^2)),0.7*(AM129*(B129^3)/BA129)*(I129*L129*$N$5/43000000))</f>
        <v>0.58223397005595279</v>
      </c>
      <c r="BE129" s="4">
        <f t="shared" si="139"/>
        <v>2.6215218648512222E-3</v>
      </c>
      <c r="BF129" s="4"/>
      <c r="BG129" s="1">
        <f t="shared" si="140"/>
        <v>1.0214542671505658</v>
      </c>
      <c r="BH129" s="1">
        <f>0.6*$AN$5*(1-0.53*((B129-$AM$5)^2))*(1+((2/3)*AV129))</f>
        <v>5.7006987809954133</v>
      </c>
      <c r="BJ129" s="1">
        <f t="shared" si="141"/>
        <v>5.7085592004306429</v>
      </c>
      <c r="BK129" s="5">
        <f t="shared" si="142"/>
        <v>26.137590703585289</v>
      </c>
      <c r="BL129" s="5">
        <f t="shared" si="119"/>
        <v>1.6309143046433656</v>
      </c>
      <c r="BM129" s="5">
        <f t="shared" si="152"/>
        <v>2.9585139822081103</v>
      </c>
      <c r="BN129" s="1">
        <f t="shared" si="121"/>
        <v>1.1765443371611839</v>
      </c>
      <c r="BO129" s="1">
        <f t="shared" si="143"/>
        <v>3.304268378016729</v>
      </c>
      <c r="BP129" s="9">
        <f>(1+0.2*B129*B129)*K129</f>
        <v>241.19892737570004</v>
      </c>
      <c r="BQ129" s="9">
        <f t="shared" si="128"/>
        <v>713.59039913460708</v>
      </c>
      <c r="BR129" s="9">
        <f t="shared" si="129"/>
        <v>1375.0024312680544</v>
      </c>
      <c r="BS129" s="9">
        <f t="shared" si="122"/>
        <v>796.98598853907913</v>
      </c>
      <c r="BU129" s="9">
        <f>((1+0.2*B129*B129)^3.5)*I129</f>
        <v>27835.531301911611</v>
      </c>
      <c r="BV129" s="9">
        <f t="shared" si="123"/>
        <v>727553.72418620228</v>
      </c>
      <c r="BX129" s="3">
        <f t="shared" si="144"/>
        <v>2.2419394731019043E-2</v>
      </c>
      <c r="BZ129" s="3">
        <f t="shared" si="145"/>
        <v>4.0774741119147216E-2</v>
      </c>
      <c r="CA129"/>
      <c r="CB129" s="14">
        <f>$CB$12*($AO$5/K129)/($AN$5*(1-0.53*((B129-$AM$5)^2))*(1+0.2*B129*B129))</f>
        <v>1.3629629629629629</v>
      </c>
      <c r="CC129" s="1">
        <f t="shared" si="124"/>
        <v>1.9074074074074074</v>
      </c>
      <c r="CD129" s="3">
        <f t="shared" si="146"/>
        <v>6.6096526573542078E-2</v>
      </c>
      <c r="CE129" s="6">
        <f t="shared" si="147"/>
        <v>1.621016461647236</v>
      </c>
      <c r="CF129" s="22" t="str">
        <f t="shared" si="125"/>
        <v/>
      </c>
      <c r="CG129" s="22"/>
      <c r="CH129" s="7">
        <f t="shared" si="148"/>
        <v>1.0349167767087939</v>
      </c>
      <c r="CI129" s="23">
        <f>CH129*(0.7*I129*B129*B129)*$N$5/9.80665</f>
        <v>97937.537704360147</v>
      </c>
      <c r="CK129" s="1">
        <f>B129/$AI$5</f>
        <v>1</v>
      </c>
      <c r="CL129" s="14">
        <f t="shared" si="126"/>
        <v>1.4515200000000053</v>
      </c>
      <c r="CM129" s="1">
        <f t="shared" si="149"/>
        <v>0.8569758833631711</v>
      </c>
      <c r="CN129" s="14">
        <f>SQRT((A129*9.80665)/(0.7*I129*$N$5*CM129))</f>
        <v>0.64092085295620382</v>
      </c>
      <c r="CO129" s="1">
        <f t="shared" si="150"/>
        <v>0.72504501663743071</v>
      </c>
      <c r="CP129" s="29" t="str">
        <f>IF(C129&lt;30,"",IF(CO129&gt;1,"no",""))</f>
        <v/>
      </c>
      <c r="CQ129" s="22"/>
      <c r="CR129" s="23">
        <f>CM129*(0.7*I129*B129*B129)*$N$5/9.80665</f>
        <v>81098.412720218432</v>
      </c>
      <c r="CS129"/>
      <c r="CT129" s="6">
        <f t="shared" si="151"/>
        <v>0.96585365853658545</v>
      </c>
      <c r="CU129" s="22" t="str">
        <f t="shared" si="127"/>
        <v/>
      </c>
      <c r="CV129" s="5"/>
      <c r="CW129" s="6">
        <f>IF(C129&lt;100,SQRT(2)*SQRT(SQRT(1+(2/1.4)*(10510/I129))-1),IF(I129&gt;$AW$5,SQRT(2)*SQRT(SQRT(1+(2/1.4)*($AV$5/I129))-1),$AS$5))</f>
        <v>0.82</v>
      </c>
      <c r="CX129" s="22" t="str">
        <f>IF(B129&gt;CW129,"no","")</f>
        <v/>
      </c>
    </row>
    <row r="130" spans="1:102" x14ac:dyDescent="0.2">
      <c r="A130">
        <v>58800</v>
      </c>
      <c r="B130" s="1">
        <v>0.75270000000000004</v>
      </c>
      <c r="C130" s="5">
        <v>396.5</v>
      </c>
      <c r="D130" s="1">
        <v>0</v>
      </c>
      <c r="E130" s="1">
        <v>0</v>
      </c>
      <c r="G130">
        <f t="shared" si="78"/>
        <v>39650</v>
      </c>
      <c r="H130" s="9">
        <f t="shared" si="79"/>
        <v>12085.320000048341</v>
      </c>
      <c r="I130" s="5">
        <f t="shared" si="103"/>
        <v>19072.053426904124</v>
      </c>
      <c r="J130" s="5">
        <v>0</v>
      </c>
      <c r="K130" s="6">
        <f t="shared" si="104"/>
        <v>216.65</v>
      </c>
      <c r="L130" s="5">
        <f t="shared" si="105"/>
        <v>295.06801842964956</v>
      </c>
      <c r="M130" s="10">
        <f t="shared" si="106"/>
        <v>1.4216130796413355E-5</v>
      </c>
      <c r="O130" s="6">
        <f>B130*L130</f>
        <v>222.09769747199724</v>
      </c>
      <c r="P130" s="1">
        <f>IF(E130=0,0,E130/9.80665)</f>
        <v>0</v>
      </c>
      <c r="Q130" s="7">
        <f>IF(D130=0,0,(D130/O130))</f>
        <v>0</v>
      </c>
      <c r="R130" s="19">
        <f t="shared" si="107"/>
        <v>1</v>
      </c>
      <c r="S130" s="19">
        <f t="shared" si="108"/>
        <v>0</v>
      </c>
      <c r="T130" s="19">
        <f t="shared" si="109"/>
        <v>0</v>
      </c>
      <c r="U130" s="19"/>
      <c r="V130" s="19"/>
      <c r="X130" s="1">
        <f>(A130*9.80665*R130)/(0.7*I130*B130*B130*$N$5)</f>
        <v>0.62284109148515709</v>
      </c>
      <c r="Y130" s="10">
        <f>(SQRT($N$5)*B130)*(I130/M130)*SQRT(1.4/(287.05*K130))</f>
        <v>53007163.443915546</v>
      </c>
      <c r="Z130" s="10">
        <f t="shared" si="110"/>
        <v>2.2302083677714565E-3</v>
      </c>
      <c r="AA130" s="3">
        <f t="shared" si="130"/>
        <v>1.8723240681980901E-2</v>
      </c>
      <c r="AB130" s="3">
        <f t="shared" si="131"/>
        <v>7.7837287236595821E-3</v>
      </c>
      <c r="AC130" s="3">
        <f>IF($E$5="no",(1/((1+0.03+$Q$5)+AB130*3.141593*$S$5)),(1.075/((1+0.03+$Q$5)+AB130*3.141593*$S$5)))</f>
        <v>0.77570836656121767</v>
      </c>
      <c r="AD130" s="3">
        <f t="shared" si="132"/>
        <v>4.3194083510222595E-2</v>
      </c>
      <c r="AE130" s="1">
        <f t="shared" si="133"/>
        <v>0.67375703681901555</v>
      </c>
      <c r="AF130" s="1">
        <f>B130*$R$5/AE130</f>
        <v>1.0124983023827141</v>
      </c>
      <c r="AG130" s="8">
        <f t="shared" si="111"/>
        <v>1.1235303730163571E-3</v>
      </c>
      <c r="AH130" s="8"/>
      <c r="AI130" s="3">
        <f t="shared" si="112"/>
        <v>3.6603096155524699E-2</v>
      </c>
      <c r="AJ130" s="1">
        <f t="shared" si="113"/>
        <v>17.016076695772863</v>
      </c>
      <c r="AK130" s="1"/>
      <c r="AL130" s="1">
        <f t="shared" si="84"/>
        <v>5.8767953264363237E-2</v>
      </c>
      <c r="AM130" s="8">
        <f>AL130*(A130*9.80665)/(0.7*I130*B130*B130*$N$5)</f>
        <v>3.6603096155524699E-2</v>
      </c>
      <c r="AN130" s="1">
        <f>B130/$AI$5</f>
        <v>1</v>
      </c>
      <c r="AO130" s="1">
        <f>IF(B130&lt;0.4,1.3*(0.4-B130),0)</f>
        <v>0</v>
      </c>
      <c r="AP130" s="1">
        <f t="shared" si="114"/>
        <v>-0.43</v>
      </c>
      <c r="AQ130" s="1">
        <f t="shared" si="115"/>
        <v>0</v>
      </c>
      <c r="AR130" s="1">
        <f t="shared" si="134"/>
        <v>1</v>
      </c>
      <c r="AS130" s="1">
        <f t="shared" si="135"/>
        <v>0.30867472713898642</v>
      </c>
      <c r="AT130" s="1">
        <f>(((1+0.55*B130)/(1+0.55*$AI$5))/(AN130^2))</f>
        <v>1</v>
      </c>
      <c r="AU130" s="1">
        <f t="shared" si="136"/>
        <v>3.465254791234245E-2</v>
      </c>
      <c r="AV130" s="8">
        <f t="shared" si="137"/>
        <v>1.0562887395211566</v>
      </c>
      <c r="AW130" s="8">
        <f t="shared" si="116"/>
        <v>0.99863757845534129</v>
      </c>
      <c r="AX130" s="8"/>
      <c r="AY130" s="4"/>
      <c r="AZ130" s="1">
        <f t="shared" si="138"/>
        <v>0.30825418204044064</v>
      </c>
      <c r="BA130" s="14">
        <f t="shared" si="117"/>
        <v>0.3005478274894296</v>
      </c>
      <c r="BB130" s="1"/>
      <c r="BC130" s="14">
        <f t="shared" si="118"/>
        <v>5.1141448833080458</v>
      </c>
      <c r="BD130" s="14">
        <f>IF(0.7*(AM130*(B130^3)/BA130)*(I130*L130*$N$5/43000000)&lt;$AH$5*(1-0.178*(C130/100)+0.0085*((C130/100)^2)),$AH$5*(1-0.178*(C130/100)+0.0085*((C130/100)^2)),0.7*(AM130*(B130^3)/BA130)*(I130*L130*$N$5/43000000))</f>
        <v>0.58237211878458894</v>
      </c>
      <c r="BE130" s="4">
        <f t="shared" si="139"/>
        <v>2.622143882684854E-3</v>
      </c>
      <c r="BF130" s="4"/>
      <c r="BG130" s="1">
        <f t="shared" si="140"/>
        <v>1.0225154958084626</v>
      </c>
      <c r="BH130" s="1">
        <f>0.6*$AN$5*(1-0.53*((B130-$AM$5)^2))*(1+((2/3)*AV130))</f>
        <v>5.7066214591915765</v>
      </c>
      <c r="BJ130" s="1">
        <f t="shared" si="141"/>
        <v>5.7018647532999838</v>
      </c>
      <c r="BK130" s="5">
        <f t="shared" si="142"/>
        <v>26.205532016461472</v>
      </c>
      <c r="BL130" s="5">
        <f t="shared" si="119"/>
        <v>1.6326087250930346</v>
      </c>
      <c r="BM130" s="5">
        <f t="shared" si="152"/>
        <v>2.9610678776469923</v>
      </c>
      <c r="BN130" s="1">
        <f t="shared" si="121"/>
        <v>1.1769504861190097</v>
      </c>
      <c r="BO130" s="1">
        <f t="shared" si="143"/>
        <v>3.3072117360276598</v>
      </c>
      <c r="BP130" s="9">
        <f>(1+0.2*B130*B130)*K130</f>
        <v>241.19892737570004</v>
      </c>
      <c r="BQ130" s="9">
        <f t="shared" si="128"/>
        <v>714.20639597509512</v>
      </c>
      <c r="BR130" s="9">
        <f t="shared" si="129"/>
        <v>1376.4309748961605</v>
      </c>
      <c r="BS130" s="9">
        <f t="shared" si="122"/>
        <v>797.69592333419837</v>
      </c>
      <c r="BU130" s="9">
        <f>((1+0.2*B130*B130)^3.5)*I130</f>
        <v>27768.718015676459</v>
      </c>
      <c r="BV130" s="9">
        <f t="shared" si="123"/>
        <v>727694.02901589987</v>
      </c>
      <c r="BX130" s="3">
        <f t="shared" si="144"/>
        <v>2.2448509953629112E-2</v>
      </c>
      <c r="BZ130" s="3">
        <f t="shared" si="145"/>
        <v>4.0876935255288703E-2</v>
      </c>
      <c r="CA130"/>
      <c r="CB130" s="14">
        <f>$CB$12*($AO$5/K130)/($AN$5*(1-0.53*((B130-$AM$5)^2))*(1+0.2*B130*B130))</f>
        <v>1.3629629629629629</v>
      </c>
      <c r="CC130" s="1">
        <f t="shared" si="124"/>
        <v>1.9074074074074074</v>
      </c>
      <c r="CD130" s="3">
        <f t="shared" si="146"/>
        <v>6.6096526573542078E-2</v>
      </c>
      <c r="CE130" s="6">
        <f t="shared" si="147"/>
        <v>1.6169638491914688</v>
      </c>
      <c r="CF130" s="22" t="str">
        <f t="shared" si="125"/>
        <v/>
      </c>
      <c r="CG130" s="22"/>
      <c r="CH130" s="7">
        <f t="shared" si="148"/>
        <v>1.0347670447889918</v>
      </c>
      <c r="CI130" s="23">
        <f>CH130*(0.7*I130*B130*B130)*$N$5/9.80665</f>
        <v>97688.323820302583</v>
      </c>
      <c r="CK130" s="1">
        <f>B130/$AI$5</f>
        <v>1</v>
      </c>
      <c r="CL130" s="14">
        <f t="shared" si="126"/>
        <v>1.4515200000000053</v>
      </c>
      <c r="CM130" s="1">
        <f t="shared" si="149"/>
        <v>0.8569758833631711</v>
      </c>
      <c r="CN130" s="14">
        <f>SQRT((A130*9.80665)/(0.7*I130*$N$5*CM130))</f>
        <v>0.64169143770546688</v>
      </c>
      <c r="CO130" s="1">
        <f t="shared" si="150"/>
        <v>0.72678952065820057</v>
      </c>
      <c r="CP130" s="29" t="str">
        <f>IF(C130&lt;30,"",IF(CO130&gt;1,"no",""))</f>
        <v/>
      </c>
      <c r="CQ130" s="22"/>
      <c r="CR130" s="23">
        <f>CM130*(0.7*I130*B130*B130)*$N$5/9.80665</f>
        <v>80903.753189436626</v>
      </c>
      <c r="CS130"/>
      <c r="CT130" s="6">
        <f t="shared" si="151"/>
        <v>0.9670731707317074</v>
      </c>
      <c r="CU130" s="22" t="str">
        <f t="shared" si="127"/>
        <v/>
      </c>
      <c r="CV130" s="5"/>
      <c r="CW130" s="6">
        <f>IF(C130&lt;100,SQRT(2)*SQRT(SQRT(1+(2/1.4)*(10510/I130))-1),IF(I130&gt;$AW$5,SQRT(2)*SQRT(SQRT(1+(2/1.4)*($AV$5/I130))-1),$AS$5))</f>
        <v>0.82</v>
      </c>
      <c r="CX130" s="22" t="str">
        <f>IF(B130&gt;CW130,"no","")</f>
        <v/>
      </c>
    </row>
    <row r="131" spans="1:102" x14ac:dyDescent="0.2">
      <c r="A131">
        <v>58800</v>
      </c>
      <c r="B131" s="1">
        <v>0.75270000000000004</v>
      </c>
      <c r="C131" s="5">
        <v>397</v>
      </c>
      <c r="D131" s="1">
        <v>0</v>
      </c>
      <c r="E131" s="1">
        <v>0</v>
      </c>
      <c r="G131">
        <f t="shared" si="78"/>
        <v>39700</v>
      </c>
      <c r="H131" s="9">
        <f t="shared" si="79"/>
        <v>12100.560000048401</v>
      </c>
      <c r="I131" s="5">
        <f t="shared" si="103"/>
        <v>19026.27500971199</v>
      </c>
      <c r="J131" s="5">
        <v>0</v>
      </c>
      <c r="K131" s="6">
        <f t="shared" si="104"/>
        <v>216.65</v>
      </c>
      <c r="L131" s="5">
        <f t="shared" si="105"/>
        <v>295.06801842964956</v>
      </c>
      <c r="M131" s="10">
        <f t="shared" si="106"/>
        <v>1.4216130796413355E-5</v>
      </c>
      <c r="O131" s="6">
        <f>B131*L131</f>
        <v>222.09769747199724</v>
      </c>
      <c r="P131" s="1">
        <f>IF(E131=0,0,E131/9.80665)</f>
        <v>0</v>
      </c>
      <c r="Q131" s="7">
        <f>IF(D131=0,0,(D131/O131))</f>
        <v>0</v>
      </c>
      <c r="R131" s="7">
        <f t="shared" si="107"/>
        <v>1</v>
      </c>
      <c r="S131" s="7">
        <f t="shared" si="108"/>
        <v>0</v>
      </c>
      <c r="T131" s="7">
        <f t="shared" si="109"/>
        <v>0</v>
      </c>
      <c r="U131" s="7"/>
      <c r="V131" s="7"/>
      <c r="X131" s="1">
        <f>(A131*9.80665*R131)/(0.7*I131*B131*B131*$N$5)</f>
        <v>0.62433968641852466</v>
      </c>
      <c r="Y131" s="10">
        <f>(SQRT($N$5)*B131)*(I131/M131)*SQRT(1.4/(287.05*K131))</f>
        <v>52879930.996103503</v>
      </c>
      <c r="Z131" s="10">
        <f t="shared" si="110"/>
        <v>2.2309588347587078E-3</v>
      </c>
      <c r="AA131" s="3">
        <f t="shared" si="130"/>
        <v>1.8729541068182136E-2</v>
      </c>
      <c r="AB131" s="3">
        <f t="shared" si="131"/>
        <v>7.7863479549068679E-3</v>
      </c>
      <c r="AC131" s="3">
        <f>IF($E$5="no",(1/((1+0.03+$Q$5)+AB131*3.141593*$S$5)),(1.075/((1+0.03+$Q$5)+AB131*3.141593*$S$5)))</f>
        <v>0.77566133149919814</v>
      </c>
      <c r="AD131" s="3">
        <f t="shared" si="132"/>
        <v>4.3196702741469889E-2</v>
      </c>
      <c r="AE131" s="1">
        <f t="shared" si="133"/>
        <v>0.6735745914448511</v>
      </c>
      <c r="AF131" s="1">
        <f>B131*$R$5/AE131</f>
        <v>1.0127725491164319</v>
      </c>
      <c r="AG131" s="8">
        <f t="shared" si="111"/>
        <v>1.1278355317041067E-3</v>
      </c>
      <c r="AH131" s="8"/>
      <c r="AI131" s="3">
        <f t="shared" si="112"/>
        <v>3.6695453230772251E-2</v>
      </c>
      <c r="AJ131" s="1">
        <f t="shared" si="113"/>
        <v>17.014088434666419</v>
      </c>
      <c r="AK131" s="1"/>
      <c r="AL131" s="1">
        <f t="shared" si="84"/>
        <v>5.8774820869185528E-2</v>
      </c>
      <c r="AM131" s="8">
        <f>AL131*(A131*9.80665)/(0.7*I131*B131*B131*$N$5)</f>
        <v>3.6695453230772251E-2</v>
      </c>
      <c r="AN131" s="1">
        <f>B131/$AI$5</f>
        <v>1</v>
      </c>
      <c r="AO131" s="1">
        <f>IF(B131&lt;0.4,1.3*(0.4-B131),0)</f>
        <v>0</v>
      </c>
      <c r="AP131" s="1">
        <f t="shared" si="114"/>
        <v>-0.43</v>
      </c>
      <c r="AQ131" s="1">
        <f t="shared" si="115"/>
        <v>0</v>
      </c>
      <c r="AR131" s="1">
        <f t="shared" si="134"/>
        <v>1</v>
      </c>
      <c r="AS131" s="1">
        <f t="shared" si="135"/>
        <v>0.30867472713898642</v>
      </c>
      <c r="AT131" s="1">
        <f>(((1+0.55*B131)/(1+0.55*$AI$5))/(AN131^2))</f>
        <v>1</v>
      </c>
      <c r="AU131" s="1">
        <f t="shared" si="136"/>
        <v>3.465254791234245E-2</v>
      </c>
      <c r="AV131" s="8">
        <f t="shared" si="137"/>
        <v>1.0589539713962033</v>
      </c>
      <c r="AW131" s="8">
        <f t="shared" si="116"/>
        <v>0.9985055045803447</v>
      </c>
      <c r="AX131" s="8"/>
      <c r="AY131" s="4"/>
      <c r="AZ131" s="1">
        <f t="shared" si="138"/>
        <v>0.30821341417311388</v>
      </c>
      <c r="BA131" s="14">
        <f t="shared" si="117"/>
        <v>0.300508078818786</v>
      </c>
      <c r="BB131" s="1"/>
      <c r="BC131" s="14">
        <f t="shared" si="118"/>
        <v>5.1128710283545313</v>
      </c>
      <c r="BD131" s="14">
        <f>IF(0.7*(AM131*(B131^3)/BA131)*(I131*L131*$N$5/43000000)&lt;$AH$5*(1-0.178*(C131/100)+0.0085*((C131/100)^2)),$AH$5*(1-0.178*(C131/100)+0.0085*((C131/100)^2)),0.7*(AM131*(B131^3)/BA131)*(I131*L131*$N$5/43000000))</f>
        <v>0.58251721487721242</v>
      </c>
      <c r="BE131" s="4">
        <f t="shared" si="139"/>
        <v>2.6227971811849061E-3</v>
      </c>
      <c r="BF131" s="4"/>
      <c r="BG131" s="1">
        <f t="shared" si="140"/>
        <v>1.0235815885584811</v>
      </c>
      <c r="BH131" s="1">
        <f>0.6*$AN$5*(1-0.53*((B131-$AM$5)^2))*(1+((2/3)*AV131))</f>
        <v>5.7125712837073745</v>
      </c>
      <c r="BJ131" s="1">
        <f t="shared" si="141"/>
        <v>5.6951545068924982</v>
      </c>
      <c r="BK131" s="5">
        <f t="shared" si="142"/>
        <v>26.273891316941494</v>
      </c>
      <c r="BL131" s="5">
        <f t="shared" si="119"/>
        <v>1.6343109118399088</v>
      </c>
      <c r="BM131" s="5">
        <f t="shared" si="152"/>
        <v>2.9636330276334335</v>
      </c>
      <c r="BN131" s="1">
        <f t="shared" si="121"/>
        <v>1.1773582133843781</v>
      </c>
      <c r="BO131" s="1">
        <f t="shared" si="143"/>
        <v>3.3101725431900957</v>
      </c>
      <c r="BP131" s="9">
        <f>(1+0.2*B131*B131)*K131</f>
        <v>241.19892737570004</v>
      </c>
      <c r="BQ131" s="9">
        <f t="shared" si="128"/>
        <v>714.82510740038254</v>
      </c>
      <c r="BR131" s="9">
        <f t="shared" si="129"/>
        <v>1377.8660661874446</v>
      </c>
      <c r="BS131" s="9">
        <f t="shared" si="122"/>
        <v>798.41006684594413</v>
      </c>
      <c r="BU131" s="9">
        <f>((1+0.2*B131*B131)^3.5)*I131</f>
        <v>27702.065100557254</v>
      </c>
      <c r="BV131" s="9">
        <f t="shared" si="123"/>
        <v>727841.04770687921</v>
      </c>
      <c r="BX131" s="3">
        <f t="shared" si="144"/>
        <v>2.247776379153003E-2</v>
      </c>
      <c r="BZ131" s="3">
        <f t="shared" si="145"/>
        <v>4.0979575456856113E-2</v>
      </c>
      <c r="CA131"/>
      <c r="CB131" s="14">
        <f>$CB$12*($AO$5/K131)/($AN$5*(1-0.53*((B131-$AM$5)^2))*(1+0.2*B131*B131))</f>
        <v>1.3629629629629629</v>
      </c>
      <c r="CC131" s="1">
        <f t="shared" si="124"/>
        <v>1.9074074074074074</v>
      </c>
      <c r="CD131" s="3">
        <f t="shared" si="146"/>
        <v>6.6096526573542078E-2</v>
      </c>
      <c r="CE131" s="6">
        <f t="shared" si="147"/>
        <v>1.6129138927544393</v>
      </c>
      <c r="CF131" s="22" t="str">
        <f t="shared" si="125"/>
        <v/>
      </c>
      <c r="CG131" s="22"/>
      <c r="CH131" s="7">
        <f t="shared" si="148"/>
        <v>1.034617028202381</v>
      </c>
      <c r="CI131" s="23">
        <f>CH131*(0.7*I131*B131*B131)*$N$5/9.80665</f>
        <v>97439.715241038008</v>
      </c>
      <c r="CK131" s="1">
        <f>B131/$AI$5</f>
        <v>1</v>
      </c>
      <c r="CL131" s="14">
        <f t="shared" si="126"/>
        <v>1.4515200000000053</v>
      </c>
      <c r="CM131" s="1">
        <f t="shared" si="149"/>
        <v>0.8569758833631711</v>
      </c>
      <c r="CN131" s="14">
        <f>SQRT((A131*9.80665)/(0.7*I131*$N$5*CM131))</f>
        <v>0.64246294893551625</v>
      </c>
      <c r="CO131" s="1">
        <f t="shared" si="150"/>
        <v>0.72853822206562679</v>
      </c>
      <c r="CP131" s="29" t="str">
        <f>IF(C131&lt;30,"",IF(CO131&gt;1,"no",""))</f>
        <v/>
      </c>
      <c r="CQ131" s="22"/>
      <c r="CR131" s="23">
        <f>CM131*(0.7*I131*B131*B131)*$N$5/9.80665</f>
        <v>80709.560897552059</v>
      </c>
      <c r="CS131"/>
      <c r="CT131" s="6">
        <f t="shared" si="151"/>
        <v>0.96829268292682935</v>
      </c>
      <c r="CU131" s="22" t="str">
        <f t="shared" si="127"/>
        <v/>
      </c>
      <c r="CV131" s="5"/>
      <c r="CW131" s="6">
        <f>IF(C131&lt;100,SQRT(2)*SQRT(SQRT(1+(2/1.4)*(10510/I131))-1),IF(I131&gt;$AW$5,SQRT(2)*SQRT(SQRT(1+(2/1.4)*($AV$5/I131))-1),$AS$5))</f>
        <v>0.82</v>
      </c>
      <c r="CX131" s="22" t="str">
        <f>IF(B131&gt;CW131,"no","")</f>
        <v/>
      </c>
    </row>
    <row r="132" spans="1:102" x14ac:dyDescent="0.2">
      <c r="A132">
        <v>58800</v>
      </c>
      <c r="B132" s="1">
        <v>0.75270000000000004</v>
      </c>
      <c r="C132" s="5">
        <v>397.5</v>
      </c>
      <c r="D132" s="1">
        <v>0</v>
      </c>
      <c r="E132" s="1">
        <v>0</v>
      </c>
      <c r="G132">
        <f t="shared" si="78"/>
        <v>39750</v>
      </c>
      <c r="H132" s="9">
        <f t="shared" si="79"/>
        <v>12115.800000048463</v>
      </c>
      <c r="I132" s="5">
        <f t="shared" si="103"/>
        <v>18980.606473896212</v>
      </c>
      <c r="J132" s="5">
        <v>0</v>
      </c>
      <c r="K132" s="6">
        <f t="shared" si="104"/>
        <v>216.65</v>
      </c>
      <c r="L132" s="5">
        <f t="shared" si="105"/>
        <v>295.06801842964956</v>
      </c>
      <c r="M132" s="10">
        <f t="shared" si="106"/>
        <v>1.4216130796413355E-5</v>
      </c>
      <c r="O132" s="6">
        <f>B132*L132</f>
        <v>222.09769747199724</v>
      </c>
      <c r="P132" s="1">
        <f>IF(E132=0,0,E132/9.80665)</f>
        <v>0</v>
      </c>
      <c r="Q132" s="7">
        <f>IF(D132=0,0,(D132/O132))</f>
        <v>0</v>
      </c>
      <c r="R132" s="19">
        <f t="shared" si="107"/>
        <v>1</v>
      </c>
      <c r="S132" s="19">
        <f t="shared" si="108"/>
        <v>0</v>
      </c>
      <c r="T132" s="19">
        <f t="shared" si="109"/>
        <v>0</v>
      </c>
      <c r="U132" s="19"/>
      <c r="V132" s="19"/>
      <c r="X132" s="1">
        <f>(A132*9.80665*R132)/(0.7*I132*B132*B132*$N$5)</f>
        <v>0.62584188706578159</v>
      </c>
      <c r="Y132" s="10">
        <f>(SQRT($N$5)*B132)*(I132/M132)*SQRT(1.4/(287.05*K132))</f>
        <v>52753003.942783885</v>
      </c>
      <c r="Z132" s="10">
        <f t="shared" si="110"/>
        <v>2.2317095542787298E-3</v>
      </c>
      <c r="AA132" s="3">
        <f t="shared" si="130"/>
        <v>1.8735843574468614E-2</v>
      </c>
      <c r="AB132" s="3">
        <f t="shared" si="131"/>
        <v>7.788968067527666E-3</v>
      </c>
      <c r="AC132" s="3">
        <f>IF($E$5="no",(1/((1+0.03+$Q$5)+AB132*3.141593*$S$5)),(1.075/((1+0.03+$Q$5)+AB132*3.141593*$S$5)))</f>
        <v>0.77561428631631446</v>
      </c>
      <c r="AD132" s="3">
        <f t="shared" si="132"/>
        <v>4.3199322854090685E-2</v>
      </c>
      <c r="AE132" s="1">
        <f t="shared" si="133"/>
        <v>0.67339170709561402</v>
      </c>
      <c r="AF132" s="1">
        <f>B132*$R$5/AE132</f>
        <v>1.0130476048479158</v>
      </c>
      <c r="AG132" s="8">
        <f t="shared" si="111"/>
        <v>1.1321630056893063E-3</v>
      </c>
      <c r="AH132" s="8"/>
      <c r="AI132" s="3">
        <f t="shared" si="112"/>
        <v>3.67882338775384E-2</v>
      </c>
      <c r="AJ132" s="1">
        <f t="shared" si="113"/>
        <v>17.012012295809029</v>
      </c>
      <c r="AK132" s="1"/>
      <c r="AL132" s="1">
        <f t="shared" si="84"/>
        <v>5.8781993723714482E-2</v>
      </c>
      <c r="AM132" s="8">
        <f>AL132*(A132*9.80665)/(0.7*I132*B132*B132*$N$5)</f>
        <v>3.67882338775384E-2</v>
      </c>
      <c r="AN132" s="1">
        <f>B132/$AI$5</f>
        <v>1</v>
      </c>
      <c r="AO132" s="1">
        <f>IF(B132&lt;0.4,1.3*(0.4-B132),0)</f>
        <v>0</v>
      </c>
      <c r="AP132" s="1">
        <f t="shared" si="114"/>
        <v>-0.43</v>
      </c>
      <c r="AQ132" s="1">
        <f t="shared" si="115"/>
        <v>0</v>
      </c>
      <c r="AR132" s="1">
        <f t="shared" si="134"/>
        <v>1</v>
      </c>
      <c r="AS132" s="1">
        <f t="shared" si="135"/>
        <v>0.30867472713898642</v>
      </c>
      <c r="AT132" s="1">
        <f>(((1+0.55*B132)/(1+0.55*$AI$5))/(AN132^2))</f>
        <v>1</v>
      </c>
      <c r="AU132" s="1">
        <f t="shared" si="136"/>
        <v>3.465254791234245E-2</v>
      </c>
      <c r="AV132" s="8">
        <f t="shared" si="137"/>
        <v>1.0616314266586806</v>
      </c>
      <c r="AW132" s="8">
        <f t="shared" si="116"/>
        <v>0.99836667391664669</v>
      </c>
      <c r="AX132" s="8"/>
      <c r="AY132" s="4"/>
      <c r="AZ132" s="1">
        <f t="shared" si="138"/>
        <v>0.30817056065587833</v>
      </c>
      <c r="BA132" s="14">
        <f t="shared" si="117"/>
        <v>0.30046629663948138</v>
      </c>
      <c r="BB132" s="1"/>
      <c r="BC132" s="14">
        <f t="shared" si="118"/>
        <v>5.1115363329070602</v>
      </c>
      <c r="BD132" s="14">
        <f>IF(0.7*(AM132*(B132^3)/BA132)*(I132*L132*$N$5/43000000)&lt;$AH$5*(1-0.178*(C132/100)+0.0085*((C132/100)^2)),$AH$5*(1-0.178*(C132/100)+0.0085*((C132/100)^2)),0.7*(AM132*(B132^3)/BA132)*(I132*L132*$N$5/43000000))</f>
        <v>0.58266931847662617</v>
      </c>
      <c r="BE132" s="4">
        <f t="shared" si="139"/>
        <v>2.6234820311457343E-3</v>
      </c>
      <c r="BF132" s="4"/>
      <c r="BG132" s="1">
        <f t="shared" si="140"/>
        <v>1.0246525706634722</v>
      </c>
      <c r="BH132" s="1">
        <f>0.6*$AN$5*(1-0.53*((B132-$AM$5)^2))*(1+((2/3)*AV132))</f>
        <v>5.7185483955338503</v>
      </c>
      <c r="BJ132" s="1">
        <f t="shared" si="141"/>
        <v>5.688428458012587</v>
      </c>
      <c r="BK132" s="5">
        <f t="shared" si="142"/>
        <v>26.342671746967209</v>
      </c>
      <c r="BL132" s="5">
        <f t="shared" si="119"/>
        <v>1.6360209052201502</v>
      </c>
      <c r="BM132" s="5">
        <f t="shared" si="152"/>
        <v>2.9662094873023257</v>
      </c>
      <c r="BN132" s="1">
        <f t="shared" si="121"/>
        <v>1.177767525219297</v>
      </c>
      <c r="BO132" s="1">
        <f t="shared" si="143"/>
        <v>3.3131509089152043</v>
      </c>
      <c r="BP132" s="9">
        <f>(1+0.2*B132*B132)*K132</f>
        <v>241.19892737570004</v>
      </c>
      <c r="BQ132" s="9">
        <f t="shared" si="128"/>
        <v>715.44654670894613</v>
      </c>
      <c r="BR132" s="9">
        <f t="shared" si="129"/>
        <v>1379.3077391487952</v>
      </c>
      <c r="BS132" s="9">
        <f t="shared" si="122"/>
        <v>799.12844546417296</v>
      </c>
      <c r="BU132" s="9">
        <f>((1+0.2*B132*B132)^3.5)*I132</f>
        <v>27635.572171617143</v>
      </c>
      <c r="BV132" s="9">
        <f t="shared" si="123"/>
        <v>727994.8062565322</v>
      </c>
      <c r="BX132" s="3">
        <f t="shared" si="144"/>
        <v>2.2507157006416277E-2</v>
      </c>
      <c r="BZ132" s="3">
        <f t="shared" si="145"/>
        <v>4.1082663971792333E-2</v>
      </c>
      <c r="CA132"/>
      <c r="CB132" s="14">
        <f>$CB$12*($AO$5/K132)/($AN$5*(1-0.53*((B132-$AM$5)^2))*(1+0.2*B132*B132))</f>
        <v>1.3629629629629629</v>
      </c>
      <c r="CC132" s="1">
        <f t="shared" si="124"/>
        <v>1.9074074074074074</v>
      </c>
      <c r="CD132" s="3">
        <f t="shared" si="146"/>
        <v>6.6096526573542078E-2</v>
      </c>
      <c r="CE132" s="6">
        <f t="shared" si="147"/>
        <v>1.6088666163159344</v>
      </c>
      <c r="CF132" s="22" t="str">
        <f t="shared" si="125"/>
        <v/>
      </c>
      <c r="CG132" s="22"/>
      <c r="CH132" s="7">
        <f t="shared" si="148"/>
        <v>1.0344667241049548</v>
      </c>
      <c r="CI132" s="23">
        <f>CH132*(0.7*I132*B132*B132)*$N$5/9.80665</f>
        <v>97191.710293718206</v>
      </c>
      <c r="CK132" s="1">
        <f>B132/$AI$5</f>
        <v>1</v>
      </c>
      <c r="CL132" s="14">
        <f t="shared" si="126"/>
        <v>1.4515200000000053</v>
      </c>
      <c r="CM132" s="1">
        <f t="shared" si="149"/>
        <v>0.8569758833631711</v>
      </c>
      <c r="CN132" s="14">
        <f>SQRT((A132*9.80665)/(0.7*I132*$N$5*CM132))</f>
        <v>0.6432353877602679</v>
      </c>
      <c r="CO132" s="1">
        <f t="shared" si="150"/>
        <v>0.7302911309588872</v>
      </c>
      <c r="CP132" s="29" t="str">
        <f>IF(C132&lt;30,"",IF(CO132&gt;1,"no",""))</f>
        <v/>
      </c>
      <c r="CQ132" s="22"/>
      <c r="CR132" s="23">
        <f>CM132*(0.7*I132*B132*B132)*$N$5/9.80665</f>
        <v>80515.834723056832</v>
      </c>
      <c r="CS132"/>
      <c r="CT132" s="6">
        <f t="shared" si="151"/>
        <v>0.9695121951219513</v>
      </c>
      <c r="CU132" s="22" t="str">
        <f t="shared" si="127"/>
        <v/>
      </c>
      <c r="CV132" s="5"/>
      <c r="CW132" s="6">
        <f>IF(C132&lt;100,SQRT(2)*SQRT(SQRT(1+(2/1.4)*(10510/I132))-1),IF(I132&gt;$AW$5,SQRT(2)*SQRT(SQRT(1+(2/1.4)*($AV$5/I132))-1),$AS$5))</f>
        <v>0.82</v>
      </c>
      <c r="CX132" s="22" t="str">
        <f>IF(B132&gt;CW132,"no","")</f>
        <v/>
      </c>
    </row>
    <row r="133" spans="1:102" x14ac:dyDescent="0.2">
      <c r="A133">
        <v>58800</v>
      </c>
      <c r="B133" s="1">
        <v>0.75270000000000004</v>
      </c>
      <c r="C133" s="5">
        <v>398</v>
      </c>
      <c r="D133" s="1">
        <v>0</v>
      </c>
      <c r="E133" s="1">
        <v>0</v>
      </c>
      <c r="G133">
        <f t="shared" si="78"/>
        <v>39800</v>
      </c>
      <c r="H133" s="9">
        <f t="shared" si="79"/>
        <v>12131.040000048524</v>
      </c>
      <c r="I133" s="5">
        <f t="shared" si="103"/>
        <v>18935.047555709869</v>
      </c>
      <c r="J133" s="5">
        <v>0</v>
      </c>
      <c r="K133" s="6">
        <f t="shared" si="104"/>
        <v>216.65</v>
      </c>
      <c r="L133" s="5">
        <f t="shared" si="105"/>
        <v>295.06801842964956</v>
      </c>
      <c r="M133" s="10">
        <f t="shared" si="106"/>
        <v>1.4216130796413355E-5</v>
      </c>
      <c r="O133" s="6">
        <f>B133*L133</f>
        <v>222.09769747199724</v>
      </c>
      <c r="P133" s="1">
        <f>IF(E133=0,0,E133/9.80665)</f>
        <v>0</v>
      </c>
      <c r="Q133" s="7">
        <f>IF(D133=0,0,(D133/O133))</f>
        <v>0</v>
      </c>
      <c r="R133" s="19">
        <f t="shared" si="107"/>
        <v>1</v>
      </c>
      <c r="S133" s="19">
        <f t="shared" si="108"/>
        <v>0</v>
      </c>
      <c r="T133" s="19">
        <f t="shared" si="109"/>
        <v>0</v>
      </c>
      <c r="U133" s="19"/>
      <c r="V133" s="19"/>
      <c r="X133" s="1">
        <f>(A133*9.80665*R133)/(0.7*I133*B133*B133*$N$5)</f>
        <v>0.62734770210250268</v>
      </c>
      <c r="Y133" s="10">
        <f>(SQRT($N$5)*B133)*(I133/M133)*SQRT(1.4/(287.05*K133))</f>
        <v>52626381.550922036</v>
      </c>
      <c r="Z133" s="10">
        <f t="shared" si="110"/>
        <v>2.2324605264165006E-3</v>
      </c>
      <c r="AA133" s="3">
        <f t="shared" si="130"/>
        <v>1.874214820155375E-2</v>
      </c>
      <c r="AB133" s="3">
        <f t="shared" si="131"/>
        <v>7.7915890618185614E-3</v>
      </c>
      <c r="AC133" s="3">
        <f>IF($E$5="no",(1/((1+0.03+$Q$5)+AB133*3.141593*$S$5)),(1.075/((1+0.03+$Q$5)+AB133*3.141593*$S$5)))</f>
        <v>0.77556723101196268</v>
      </c>
      <c r="AD133" s="3">
        <f t="shared" si="132"/>
        <v>4.320194384838158E-2</v>
      </c>
      <c r="AE133" s="1">
        <f t="shared" si="133"/>
        <v>0.67320838271510264</v>
      </c>
      <c r="AF133" s="1">
        <f>B133*$R$5/AE133</f>
        <v>1.0133234723643574</v>
      </c>
      <c r="AG133" s="8">
        <f t="shared" si="111"/>
        <v>1.1365130506133766E-3</v>
      </c>
      <c r="AH133" s="8"/>
      <c r="AI133" s="3">
        <f t="shared" si="112"/>
        <v>3.688144030232441E-2</v>
      </c>
      <c r="AJ133" s="1">
        <f t="shared" si="113"/>
        <v>17.009848231522692</v>
      </c>
      <c r="AK133" s="1"/>
      <c r="AL133" s="1">
        <f t="shared" si="84"/>
        <v>5.8789472215677832E-2</v>
      </c>
      <c r="AM133" s="8">
        <f>AL133*(A133*9.80665)/(0.7*I133*B133*B133*$N$5)</f>
        <v>3.688144030232441E-2</v>
      </c>
      <c r="AN133" s="1">
        <f>B133/$AI$5</f>
        <v>1</v>
      </c>
      <c r="AO133" s="1">
        <f>IF(B133&lt;0.4,1.3*(0.4-B133),0)</f>
        <v>0</v>
      </c>
      <c r="AP133" s="1">
        <f t="shared" si="114"/>
        <v>-0.43</v>
      </c>
      <c r="AQ133" s="1">
        <f t="shared" si="115"/>
        <v>0</v>
      </c>
      <c r="AR133" s="1">
        <f t="shared" si="134"/>
        <v>1</v>
      </c>
      <c r="AS133" s="1">
        <f t="shared" si="135"/>
        <v>0.30867472713898642</v>
      </c>
      <c r="AT133" s="1">
        <f>(((1+0.55*B133)/(1+0.55*$AI$5))/(AN133^2))</f>
        <v>1</v>
      </c>
      <c r="AU133" s="1">
        <f t="shared" si="136"/>
        <v>3.465254791234245E-2</v>
      </c>
      <c r="AV133" s="8">
        <f t="shared" si="137"/>
        <v>1.0643211689835967</v>
      </c>
      <c r="AW133" s="8">
        <f t="shared" si="116"/>
        <v>0.99822099850485091</v>
      </c>
      <c r="AX133" s="8"/>
      <c r="AY133" s="4"/>
      <c r="AZ133" s="1">
        <f t="shared" si="138"/>
        <v>0.30812559433789144</v>
      </c>
      <c r="BA133" s="14">
        <f t="shared" si="117"/>
        <v>0.30042245447944416</v>
      </c>
      <c r="BB133" s="1"/>
      <c r="BC133" s="14">
        <f t="shared" si="118"/>
        <v>5.1101403560368794</v>
      </c>
      <c r="BD133" s="14">
        <f>IF(0.7*(AM133*(B133^3)/BA133)*(I133*L133*$N$5/43000000)&lt;$AH$5*(1-0.178*(C133/100)+0.0085*((C133/100)^2)),$AH$5*(1-0.178*(C133/100)+0.0085*((C133/100)^2)),0.7*(AM133*(B133^3)/BA133)*(I133*L133*$N$5/43000000))</f>
        <v>0.5828284907957576</v>
      </c>
      <c r="BE133" s="4">
        <f t="shared" si="139"/>
        <v>2.6241987081799551E-3</v>
      </c>
      <c r="BF133" s="4"/>
      <c r="BG133" s="1">
        <f t="shared" si="140"/>
        <v>1.0257284675934386</v>
      </c>
      <c r="BH133" s="1">
        <f>0.6*$AN$5*(1-0.53*((B133-$AM$5)^2))*(1+((2/3)*AV133))</f>
        <v>5.7245529368181574</v>
      </c>
      <c r="BJ133" s="1">
        <f t="shared" si="141"/>
        <v>5.6816866033894051</v>
      </c>
      <c r="BK133" s="5">
        <f t="shared" si="142"/>
        <v>26.411876480223423</v>
      </c>
      <c r="BL133" s="5">
        <f t="shared" si="119"/>
        <v>1.6377387459006727</v>
      </c>
      <c r="BM133" s="5">
        <f t="shared" si="152"/>
        <v>2.9687973122293174</v>
      </c>
      <c r="BN133" s="1">
        <f t="shared" si="121"/>
        <v>1.1781784279322809</v>
      </c>
      <c r="BO133" s="1">
        <f t="shared" si="143"/>
        <v>3.316146943473087</v>
      </c>
      <c r="BP133" s="9">
        <f>(1+0.2*B133*B133)*K133</f>
        <v>241.19892737570004</v>
      </c>
      <c r="BQ133" s="9">
        <f t="shared" si="128"/>
        <v>716.07072730557263</v>
      </c>
      <c r="BR133" s="9">
        <f t="shared" si="129"/>
        <v>1380.7560280659532</v>
      </c>
      <c r="BS133" s="9">
        <f t="shared" si="122"/>
        <v>799.85108578591473</v>
      </c>
      <c r="BU133" s="9">
        <f>((1+0.2*B133*B133)^3.5)*I133</f>
        <v>27569.238844843258</v>
      </c>
      <c r="BV133" s="9">
        <f t="shared" si="123"/>
        <v>728155.3310237776</v>
      </c>
      <c r="BX133" s="3">
        <f t="shared" si="144"/>
        <v>2.2536690366423369E-2</v>
      </c>
      <c r="BZ133" s="3">
        <f t="shared" si="145"/>
        <v>4.1186203066129107E-2</v>
      </c>
      <c r="CA133"/>
      <c r="CB133" s="14">
        <f>$CB$12*($AO$5/K133)/($AN$5*(1-0.53*((B133-$AM$5)^2))*(1+0.2*B133*B133))</f>
        <v>1.3629629629629629</v>
      </c>
      <c r="CC133" s="1">
        <f t="shared" si="124"/>
        <v>1.9074074074074074</v>
      </c>
      <c r="CD133" s="3">
        <f t="shared" si="146"/>
        <v>6.6096526573542078E-2</v>
      </c>
      <c r="CE133" s="6">
        <f t="shared" si="147"/>
        <v>1.6048220436202052</v>
      </c>
      <c r="CF133" s="22" t="str">
        <f t="shared" si="125"/>
        <v/>
      </c>
      <c r="CG133" s="22"/>
      <c r="CH133" s="7">
        <f t="shared" si="148"/>
        <v>1.0343161295568821</v>
      </c>
      <c r="CI133" s="23">
        <f>CH133*(0.7*I133*B133*B133)*$N$5/9.80665</f>
        <v>96944.307302185072</v>
      </c>
      <c r="CK133" s="1">
        <f>B133/$AI$5</f>
        <v>1</v>
      </c>
      <c r="CL133" s="14">
        <f t="shared" si="126"/>
        <v>1.4515200000000053</v>
      </c>
      <c r="CM133" s="1">
        <f t="shared" si="149"/>
        <v>0.8569758833631711</v>
      </c>
      <c r="CN133" s="14">
        <f>SQRT((A133*9.80665)/(0.7*I133*$N$5*CM133))</f>
        <v>0.64400875529497703</v>
      </c>
      <c r="CO133" s="1">
        <f t="shared" si="150"/>
        <v>0.73204825746145752</v>
      </c>
      <c r="CP133" s="29" t="str">
        <f>IF(C133&lt;30,"",IF(CO133&gt;1,"no",""))</f>
        <v/>
      </c>
      <c r="CQ133" s="22"/>
      <c r="CR133" s="23">
        <f>CM133*(0.7*I133*B133*B133)*$N$5/9.80665</f>
        <v>80322.573547135093</v>
      </c>
      <c r="CS133"/>
      <c r="CT133" s="6">
        <f t="shared" si="151"/>
        <v>0.97073170731707326</v>
      </c>
      <c r="CU133" s="22" t="str">
        <f t="shared" si="127"/>
        <v/>
      </c>
      <c r="CV133" s="5"/>
      <c r="CW133" s="6">
        <f>IF(C133&lt;100,SQRT(2)*SQRT(SQRT(1+(2/1.4)*(10510/I133))-1),IF(I133&gt;$AW$5,SQRT(2)*SQRT(SQRT(1+(2/1.4)*($AV$5/I133))-1),$AS$5))</f>
        <v>0.82</v>
      </c>
      <c r="CX133" s="22" t="str">
        <f>IF(B133&gt;CW133,"no","")</f>
        <v/>
      </c>
    </row>
    <row r="134" spans="1:102" x14ac:dyDescent="0.2">
      <c r="A134">
        <v>58800</v>
      </c>
      <c r="B134" s="1">
        <v>0.75270000000000004</v>
      </c>
      <c r="C134" s="5">
        <v>398.5</v>
      </c>
      <c r="D134" s="1">
        <v>0</v>
      </c>
      <c r="E134" s="1">
        <v>0</v>
      </c>
      <c r="G134">
        <f t="shared" si="78"/>
        <v>39850</v>
      </c>
      <c r="H134" s="9">
        <f t="shared" si="79"/>
        <v>12146.280000048584</v>
      </c>
      <c r="I134" s="5">
        <f t="shared" si="103"/>
        <v>18889.597992039107</v>
      </c>
      <c r="J134" s="5">
        <v>0</v>
      </c>
      <c r="K134" s="6">
        <f t="shared" si="104"/>
        <v>216.65</v>
      </c>
      <c r="L134" s="5">
        <f t="shared" si="105"/>
        <v>295.06801842964956</v>
      </c>
      <c r="M134" s="10">
        <f t="shared" si="106"/>
        <v>1.4216130796413355E-5</v>
      </c>
      <c r="O134" s="6">
        <f>B134*L134</f>
        <v>222.09769747199724</v>
      </c>
      <c r="P134" s="1">
        <f>IF(E134=0,0,E134/9.80665)</f>
        <v>0</v>
      </c>
      <c r="Q134" s="7">
        <f>IF(D134=0,0,(D134/O134))</f>
        <v>0</v>
      </c>
      <c r="R134" s="19">
        <f t="shared" si="107"/>
        <v>1</v>
      </c>
      <c r="S134" s="19">
        <f t="shared" si="108"/>
        <v>0</v>
      </c>
      <c r="T134" s="19">
        <f t="shared" si="109"/>
        <v>0</v>
      </c>
      <c r="U134" s="19"/>
      <c r="V134" s="19"/>
      <c r="X134" s="1">
        <f>(A134*9.80665*R134)/(0.7*I134*B134*B134*$N$5)</f>
        <v>0.6288571402251365</v>
      </c>
      <c r="Y134" s="10">
        <f>(SQRT($N$5)*B134)*(I134/M134)*SQRT(1.4/(287.05*K134))</f>
        <v>52500063.089242809</v>
      </c>
      <c r="Z134" s="10">
        <f t="shared" si="110"/>
        <v>2.2332117512570242E-3</v>
      </c>
      <c r="AA134" s="3">
        <f t="shared" si="130"/>
        <v>1.8748454950151171E-2</v>
      </c>
      <c r="AB134" s="3">
        <f t="shared" si="131"/>
        <v>7.7942109380762271E-3</v>
      </c>
      <c r="AC134" s="3">
        <f>IF($E$5="no",(1/((1+0.03+$Q$5)+AB134*3.141593*$S$5)),(1.075/((1+0.03+$Q$5)+AB134*3.141593*$S$5)))</f>
        <v>0.77552016558554049</v>
      </c>
      <c r="AD134" s="3">
        <f t="shared" si="132"/>
        <v>4.3204565724639252E-2</v>
      </c>
      <c r="AE134" s="1">
        <f t="shared" si="133"/>
        <v>0.67302461724457407</v>
      </c>
      <c r="AF134" s="1">
        <f>B134*$R$5/AE134</f>
        <v>1.0136001544647224</v>
      </c>
      <c r="AG134" s="8">
        <f t="shared" si="111"/>
        <v>1.1408859307713377E-3</v>
      </c>
      <c r="AH134" s="8"/>
      <c r="AI134" s="3">
        <f t="shared" si="112"/>
        <v>3.6975074729820943E-2</v>
      </c>
      <c r="AJ134" s="1">
        <f t="shared" si="113"/>
        <v>17.007596193387919</v>
      </c>
      <c r="AK134" s="1"/>
      <c r="AL134" s="1">
        <f t="shared" si="84"/>
        <v>5.8797256745122643E-2</v>
      </c>
      <c r="AM134" s="8">
        <f>AL134*(A134*9.80665)/(0.7*I134*B134*B134*$N$5)</f>
        <v>3.6975074729820943E-2</v>
      </c>
      <c r="AN134" s="1">
        <f>B134/$AI$5</f>
        <v>1</v>
      </c>
      <c r="AO134" s="1">
        <f>IF(B134&lt;0.4,1.3*(0.4-B134),0)</f>
        <v>0</v>
      </c>
      <c r="AP134" s="1">
        <f t="shared" si="114"/>
        <v>-0.43</v>
      </c>
      <c r="AQ134" s="1">
        <f t="shared" si="115"/>
        <v>0</v>
      </c>
      <c r="AR134" s="1">
        <f t="shared" si="134"/>
        <v>1</v>
      </c>
      <c r="AS134" s="1">
        <f t="shared" si="135"/>
        <v>0.30867472713898642</v>
      </c>
      <c r="AT134" s="1">
        <f>(((1+0.55*B134)/(1+0.55*$AI$5))/(AN134^2))</f>
        <v>1</v>
      </c>
      <c r="AU134" s="1">
        <f t="shared" si="136"/>
        <v>3.465254791234245E-2</v>
      </c>
      <c r="AV134" s="8">
        <f t="shared" si="137"/>
        <v>1.0670232625708675</v>
      </c>
      <c r="AW134" s="8">
        <f t="shared" si="116"/>
        <v>0.99806838937797326</v>
      </c>
      <c r="AX134" s="8"/>
      <c r="AY134" s="4"/>
      <c r="AZ134" s="1">
        <f t="shared" si="138"/>
        <v>0.30807848775729352</v>
      </c>
      <c r="BA134" s="14">
        <f t="shared" si="117"/>
        <v>0.3003765255633612</v>
      </c>
      <c r="BB134" s="1"/>
      <c r="BC134" s="14">
        <f t="shared" si="118"/>
        <v>5.1086826527545108</v>
      </c>
      <c r="BD134" s="14">
        <f>IF(0.7*(AM134*(B134^3)/BA134)*(I134*L134*$N$5/43000000)&lt;$AH$5*(1-0.178*(C134/100)+0.0085*((C134/100)^2)),$AH$5*(1-0.178*(C134/100)+0.0085*((C134/100)^2)),0.7*(AM134*(B134^3)/BA134)*(I134*L134*$N$5/43000000))</f>
        <v>0.58299479413887734</v>
      </c>
      <c r="BE134" s="4">
        <f t="shared" si="139"/>
        <v>2.6249474928139818E-3</v>
      </c>
      <c r="BF134" s="4"/>
      <c r="BG134" s="1">
        <f t="shared" si="140"/>
        <v>1.0268093050283469</v>
      </c>
      <c r="BH134" s="1">
        <f>0.6*$AN$5*(1-0.53*((B134-$AM$5)^2))*(1+((2/3)*AV134))</f>
        <v>5.7305850508792435</v>
      </c>
      <c r="BJ134" s="1">
        <f t="shared" si="141"/>
        <v>5.6749289396716041</v>
      </c>
      <c r="BK134" s="5">
        <f t="shared" si="142"/>
        <v>26.48150872257084</v>
      </c>
      <c r="BL134" s="5">
        <f t="shared" si="119"/>
        <v>1.6394644748836287</v>
      </c>
      <c r="BM134" s="5">
        <f t="shared" si="152"/>
        <v>2.9713965584368967</v>
      </c>
      <c r="BN134" s="1">
        <f t="shared" si="121"/>
        <v>1.1785909278790516</v>
      </c>
      <c r="BO134" s="1">
        <f t="shared" si="143"/>
        <v>3.3191607580033322</v>
      </c>
      <c r="BP134" s="9">
        <f>(1+0.2*B134*B134)*K134</f>
        <v>241.19892737570004</v>
      </c>
      <c r="BQ134" s="9">
        <f t="shared" si="128"/>
        <v>716.69766270282605</v>
      </c>
      <c r="BR134" s="9">
        <f t="shared" si="129"/>
        <v>1382.210967507295</v>
      </c>
      <c r="BS134" s="9">
        <f t="shared" si="122"/>
        <v>800.57801461791917</v>
      </c>
      <c r="BU134" s="9">
        <f>((1+0.2*B134*B134)^3.5)*I134</f>
        <v>27503.064737144472</v>
      </c>
      <c r="BV134" s="9">
        <f t="shared" si="123"/>
        <v>728322.64873412182</v>
      </c>
      <c r="BX134" s="3">
        <f t="shared" si="144"/>
        <v>2.2566364646214598E-2</v>
      </c>
      <c r="BZ134" s="3">
        <f t="shared" si="145"/>
        <v>4.1290195024230765E-2</v>
      </c>
      <c r="CA134"/>
      <c r="CB134" s="14">
        <f>$CB$12*($AO$5/K134)/($AN$5*(1-0.53*((B134-$AM$5)^2))*(1+0.2*B134*B134))</f>
        <v>1.3629629629629629</v>
      </c>
      <c r="CC134" s="1">
        <f t="shared" si="124"/>
        <v>1.9074074074074074</v>
      </c>
      <c r="CD134" s="3">
        <f t="shared" si="146"/>
        <v>6.6096526573542078E-2</v>
      </c>
      <c r="CE134" s="6">
        <f t="shared" si="147"/>
        <v>1.6007801981742626</v>
      </c>
      <c r="CF134" s="22" t="str">
        <f t="shared" si="125"/>
        <v/>
      </c>
      <c r="CG134" s="22"/>
      <c r="CH134" s="7">
        <f t="shared" si="148"/>
        <v>1.0341652415202545</v>
      </c>
      <c r="CI134" s="23">
        <f>CH134*(0.7*I134*B134*B134)*$N$5/9.80665</f>
        <v>96697.504586845971</v>
      </c>
      <c r="CK134" s="1">
        <f>B134/$AI$5</f>
        <v>1</v>
      </c>
      <c r="CL134" s="14">
        <f t="shared" si="126"/>
        <v>1.4515200000000053</v>
      </c>
      <c r="CM134" s="1">
        <f t="shared" si="149"/>
        <v>0.8569758833631711</v>
      </c>
      <c r="CN134" s="14">
        <f>SQRT((A134*9.80665)/(0.7*I134*$N$5*CM134))</f>
        <v>0.6447830526562397</v>
      </c>
      <c r="CO134" s="1">
        <f t="shared" si="150"/>
        <v>0.73380961172117143</v>
      </c>
      <c r="CP134" s="29" t="str">
        <f>IF(C134&lt;30,"",IF(CO134&gt;1,"no",""))</f>
        <v/>
      </c>
      <c r="CQ134" s="22"/>
      <c r="CR134" s="23">
        <f>CM134*(0.7*I134*B134*B134)*$N$5/9.80665</f>
        <v>80129.77625365647</v>
      </c>
      <c r="CS134"/>
      <c r="CT134" s="6">
        <f t="shared" si="151"/>
        <v>0.97195121951219521</v>
      </c>
      <c r="CU134" s="22" t="str">
        <f t="shared" si="127"/>
        <v/>
      </c>
      <c r="CV134" s="5"/>
      <c r="CW134" s="6">
        <f>IF(C134&lt;100,SQRT(2)*SQRT(SQRT(1+(2/1.4)*(10510/I134))-1),IF(I134&gt;$AW$5,SQRT(2)*SQRT(SQRT(1+(2/1.4)*($AV$5/I134))-1),$AS$5))</f>
        <v>0.82</v>
      </c>
      <c r="CX134" s="22" t="str">
        <f>IF(B134&gt;CW134,"no","")</f>
        <v/>
      </c>
    </row>
    <row r="135" spans="1:102" x14ac:dyDescent="0.2">
      <c r="A135">
        <v>58800</v>
      </c>
      <c r="B135" s="1">
        <v>0.75270000000000004</v>
      </c>
      <c r="C135" s="5">
        <v>399</v>
      </c>
      <c r="D135" s="1">
        <v>0</v>
      </c>
      <c r="E135" s="1">
        <v>0</v>
      </c>
      <c r="G135">
        <f t="shared" si="78"/>
        <v>39900</v>
      </c>
      <c r="H135" s="9">
        <f t="shared" si="79"/>
        <v>12161.520000048646</v>
      </c>
      <c r="I135" s="5">
        <f t="shared" si="103"/>
        <v>18844.257520401614</v>
      </c>
      <c r="J135" s="5">
        <v>0</v>
      </c>
      <c r="K135" s="6">
        <f t="shared" si="104"/>
        <v>216.65</v>
      </c>
      <c r="L135" s="5">
        <f t="shared" si="105"/>
        <v>295.06801842964956</v>
      </c>
      <c r="M135" s="10">
        <f t="shared" si="106"/>
        <v>1.4216130796413355E-5</v>
      </c>
      <c r="O135" s="6">
        <f>B135*L135</f>
        <v>222.09769747199724</v>
      </c>
      <c r="P135" s="1">
        <f>IF(E135=0,0,E135/9.80665)</f>
        <v>0</v>
      </c>
      <c r="Q135" s="7">
        <f>IF(D135=0,0,(D135/O135))</f>
        <v>0</v>
      </c>
      <c r="R135" s="19">
        <f t="shared" si="107"/>
        <v>1</v>
      </c>
      <c r="S135" s="19">
        <f t="shared" si="108"/>
        <v>0</v>
      </c>
      <c r="T135" s="19">
        <f t="shared" si="109"/>
        <v>0</v>
      </c>
      <c r="U135" s="19"/>
      <c r="V135" s="19"/>
      <c r="X135" s="1">
        <f>(A135*9.80665*R135)/(0.7*I135*B135*B135*$N$5)</f>
        <v>0.63037021015105665</v>
      </c>
      <c r="Y135" s="10">
        <f>(SQRT($N$5)*B135)*(I135/M135)*SQRT(1.4/(287.05*K135))</f>
        <v>52374047.828226261</v>
      </c>
      <c r="Z135" s="10">
        <f t="shared" si="110"/>
        <v>2.2339632288853389E-3</v>
      </c>
      <c r="AA135" s="3">
        <f t="shared" si="130"/>
        <v>1.8754763820974806E-2</v>
      </c>
      <c r="AB135" s="3">
        <f t="shared" si="131"/>
        <v>7.7968336965974615E-3</v>
      </c>
      <c r="AC135" s="3">
        <f>IF($E$5="no",(1/((1+0.03+$Q$5)+AB135*3.141593*$S$5)),(1.075/((1+0.03+$Q$5)+AB135*3.141593*$S$5)))</f>
        <v>0.77547309003644593</v>
      </c>
      <c r="AD135" s="3">
        <f t="shared" si="132"/>
        <v>4.3207188483160477E-2</v>
      </c>
      <c r="AE135" s="1">
        <f t="shared" si="133"/>
        <v>0.67284040962273772</v>
      </c>
      <c r="AF135" s="1">
        <f>B135*$R$5/AE135</f>
        <v>1.0138776539598131</v>
      </c>
      <c r="AG135" s="8">
        <f t="shared" si="111"/>
        <v>1.1452819193125436E-3</v>
      </c>
      <c r="AH135" s="8"/>
      <c r="AI135" s="3">
        <f t="shared" si="112"/>
        <v>3.7069139403155579E-2</v>
      </c>
      <c r="AJ135" s="1">
        <f t="shared" si="113"/>
        <v>17.005256132204547</v>
      </c>
      <c r="AK135" s="1"/>
      <c r="AL135" s="1">
        <f t="shared" si="84"/>
        <v>5.8805347724589715E-2</v>
      </c>
      <c r="AM135" s="8">
        <f>AL135*(A135*9.80665)/(0.7*I135*B135*B135*$N$5)</f>
        <v>3.7069139403155586E-2</v>
      </c>
      <c r="AN135" s="1">
        <f>B135/$AI$5</f>
        <v>1</v>
      </c>
      <c r="AO135" s="1">
        <f>IF(B135&lt;0.4,1.3*(0.4-B135),0)</f>
        <v>0</v>
      </c>
      <c r="AP135" s="1">
        <f t="shared" si="114"/>
        <v>-0.43</v>
      </c>
      <c r="AQ135" s="1">
        <f t="shared" si="115"/>
        <v>0</v>
      </c>
      <c r="AR135" s="1">
        <f t="shared" si="134"/>
        <v>1</v>
      </c>
      <c r="AS135" s="1">
        <f t="shared" si="135"/>
        <v>0.30867472713898642</v>
      </c>
      <c r="AT135" s="1">
        <f>(((1+0.55*B135)/(1+0.55*$AI$5))/(AN135^2))</f>
        <v>1</v>
      </c>
      <c r="AU135" s="1">
        <f t="shared" si="136"/>
        <v>3.465254791234245E-2</v>
      </c>
      <c r="AV135" s="8">
        <f t="shared" si="137"/>
        <v>1.0697377721524599</v>
      </c>
      <c r="AW135" s="8">
        <f t="shared" si="116"/>
        <v>0.99790875654814093</v>
      </c>
      <c r="AX135" s="8"/>
      <c r="AY135" s="4"/>
      <c r="AZ135" s="1">
        <f t="shared" si="138"/>
        <v>0.30802921313710263</v>
      </c>
      <c r="BA135" s="14">
        <f t="shared" si="117"/>
        <v>0.30032848280867508</v>
      </c>
      <c r="BB135" s="1"/>
      <c r="BC135" s="14">
        <f t="shared" si="118"/>
        <v>5.10716277395791</v>
      </c>
      <c r="BD135" s="14">
        <f>IF(0.7*(AM135*(B135^3)/BA135)*(I135*L135*$N$5/43000000)&lt;$AH$5*(1-0.178*(C135/100)+0.0085*((C135/100)^2)),$AH$5*(1-0.178*(C135/100)+0.0085*((C135/100)^2)),0.7*(AM135*(B135^3)/BA135)*(I135*L135*$N$5/43000000))</f>
        <v>0.58316829192333386</v>
      </c>
      <c r="BE135" s="4">
        <f t="shared" si="139"/>
        <v>2.6257286705858871E-3</v>
      </c>
      <c r="BF135" s="4"/>
      <c r="BG135" s="1">
        <f t="shared" si="140"/>
        <v>1.027895108860984</v>
      </c>
      <c r="BH135" s="1">
        <f>0.6*$AN$5*(1-0.53*((B135-$AM$5)^2))*(1+((2/3)*AV135))</f>
        <v>5.7366448822238043</v>
      </c>
      <c r="BJ135" s="1">
        <f t="shared" si="141"/>
        <v>5.6681554634219591</v>
      </c>
      <c r="BK135" s="5">
        <f t="shared" si="142"/>
        <v>26.551571712486393</v>
      </c>
      <c r="BL135" s="5">
        <f t="shared" si="119"/>
        <v>1.6411981335109742</v>
      </c>
      <c r="BM135" s="5">
        <f t="shared" si="152"/>
        <v>2.9740072824005677</v>
      </c>
      <c r="BN135" s="1">
        <f t="shared" si="121"/>
        <v>1.1790050314632519</v>
      </c>
      <c r="BO135" s="1">
        <f t="shared" si="143"/>
        <v>3.322192464525763</v>
      </c>
      <c r="BP135" s="9">
        <f>(1+0.2*B135*B135)*K135</f>
        <v>241.19892737570004</v>
      </c>
      <c r="BQ135" s="9">
        <f t="shared" si="128"/>
        <v>717.32736652253755</v>
      </c>
      <c r="BR135" s="9">
        <f t="shared" si="129"/>
        <v>1383.6725923276806</v>
      </c>
      <c r="BS135" s="9">
        <f t="shared" si="122"/>
        <v>801.30925897924749</v>
      </c>
      <c r="BU135" s="9">
        <f>((1+0.2*B135*B135)^3.5)*I135</f>
        <v>27437.049466349181</v>
      </c>
      <c r="BV135" s="9">
        <f t="shared" si="123"/>
        <v>728496.7864848068</v>
      </c>
      <c r="BX135" s="3">
        <f t="shared" si="144"/>
        <v>2.25961806270693E-2</v>
      </c>
      <c r="BZ135" s="3">
        <f t="shared" si="145"/>
        <v>4.1394642149042156E-2</v>
      </c>
      <c r="CA135"/>
      <c r="CB135" s="14">
        <f>$CB$12*($AO$5/K135)/($AN$5*(1-0.53*((B135-$AM$5)^2))*(1+0.2*B135*B135))</f>
        <v>1.3629629629629629</v>
      </c>
      <c r="CC135" s="1">
        <f t="shared" si="124"/>
        <v>1.9074074074074074</v>
      </c>
      <c r="CD135" s="3">
        <f t="shared" si="146"/>
        <v>6.6096526573542078E-2</v>
      </c>
      <c r="CE135" s="6">
        <f t="shared" si="147"/>
        <v>1.5967411032461722</v>
      </c>
      <c r="CF135" s="22" t="str">
        <f t="shared" si="125"/>
        <v/>
      </c>
      <c r="CG135" s="22"/>
      <c r="CH135" s="7">
        <f t="shared" si="148"/>
        <v>1.0340140568567893</v>
      </c>
      <c r="CI135" s="23">
        <f>CH135*(0.7*I135*B135*B135)*$N$5/9.80665</f>
        <v>96451.300464547021</v>
      </c>
      <c r="CK135" s="1">
        <f>B135/$AI$5</f>
        <v>1</v>
      </c>
      <c r="CL135" s="14">
        <f t="shared" si="126"/>
        <v>1.4515200000000053</v>
      </c>
      <c r="CM135" s="1">
        <f t="shared" si="149"/>
        <v>0.8569758833631711</v>
      </c>
      <c r="CN135" s="14">
        <f>SQRT((A135*9.80665)/(0.7*I135*$N$5*CM135))</f>
        <v>0.64555828096199452</v>
      </c>
      <c r="CO135" s="1">
        <f t="shared" si="150"/>
        <v>0.73557520391027975</v>
      </c>
      <c r="CP135" s="29" t="str">
        <f>IF(C135&lt;30,"",IF(CO135&gt;1,"no",""))</f>
        <v/>
      </c>
      <c r="CQ135" s="22"/>
      <c r="CR135" s="23">
        <f>CM135*(0.7*I135*B135*B135)*$N$5/9.80665</f>
        <v>79937.441729169557</v>
      </c>
      <c r="CS135"/>
      <c r="CT135" s="6">
        <f t="shared" si="151"/>
        <v>0.97317073170731716</v>
      </c>
      <c r="CU135" s="22" t="str">
        <f t="shared" si="127"/>
        <v/>
      </c>
      <c r="CV135" s="5"/>
      <c r="CW135" s="6">
        <f>IF(C135&lt;100,SQRT(2)*SQRT(SQRT(1+(2/1.4)*(10510/I135))-1),IF(I135&gt;$AW$5,SQRT(2)*SQRT(SQRT(1+(2/1.4)*($AV$5/I135))-1),$AS$5))</f>
        <v>0.82</v>
      </c>
      <c r="CX135" s="22" t="str">
        <f>IF(B135&gt;CW135,"no","")</f>
        <v/>
      </c>
    </row>
    <row r="136" spans="1:102" x14ac:dyDescent="0.2">
      <c r="A136">
        <v>58800</v>
      </c>
      <c r="B136" s="1">
        <v>0.75270000000000004</v>
      </c>
      <c r="C136" s="5">
        <v>399.5</v>
      </c>
      <c r="D136" s="1">
        <v>0</v>
      </c>
      <c r="E136" s="1">
        <v>0</v>
      </c>
      <c r="G136">
        <f t="shared" si="78"/>
        <v>39950</v>
      </c>
      <c r="H136" s="9">
        <f t="shared" si="79"/>
        <v>12176.760000048707</v>
      </c>
      <c r="I136" s="5">
        <f t="shared" si="103"/>
        <v>18799.025878945104</v>
      </c>
      <c r="J136" s="5">
        <v>0</v>
      </c>
      <c r="K136" s="6">
        <f t="shared" si="104"/>
        <v>216.65</v>
      </c>
      <c r="L136" s="5">
        <f t="shared" si="105"/>
        <v>295.06801842964956</v>
      </c>
      <c r="M136" s="10">
        <f t="shared" si="106"/>
        <v>1.4216130796413355E-5</v>
      </c>
      <c r="O136" s="6">
        <f>B136*L136</f>
        <v>222.09769747199724</v>
      </c>
      <c r="P136" s="1">
        <f>IF(E136=0,0,E136/9.80665)</f>
        <v>0</v>
      </c>
      <c r="Q136" s="7">
        <f>IF(D136=0,0,(D136/O136))</f>
        <v>0</v>
      </c>
      <c r="R136" s="19">
        <f t="shared" si="107"/>
        <v>1</v>
      </c>
      <c r="S136" s="19">
        <f t="shared" si="108"/>
        <v>0</v>
      </c>
      <c r="T136" s="19">
        <f t="shared" si="109"/>
        <v>0</v>
      </c>
      <c r="U136" s="19"/>
      <c r="V136" s="19"/>
      <c r="X136" s="1">
        <f>(A136*9.80665*R136)/(0.7*I136*B136*B136*$N$5)</f>
        <v>0.63188692061861074</v>
      </c>
      <c r="Y136" s="10">
        <f>(SQRT($N$5)*B136)*(I136/M136)*SQRT(1.4/(287.05*K136))</f>
        <v>52248335.040103517</v>
      </c>
      <c r="Z136" s="10">
        <f t="shared" si="110"/>
        <v>2.2347149593865065E-3</v>
      </c>
      <c r="AA136" s="3">
        <f t="shared" si="130"/>
        <v>1.8761074814738772E-2</v>
      </c>
      <c r="AB136" s="3">
        <f t="shared" si="131"/>
        <v>7.7994573376791408E-3</v>
      </c>
      <c r="AC136" s="3">
        <f>IF($E$5="no",(1/((1+0.03+$Q$5)+AB136*3.141593*$S$5)),(1.075/((1+0.03+$Q$5)+AB136*3.141593*$S$5)))</f>
        <v>0.77542600436407816</v>
      </c>
      <c r="AD136" s="3">
        <f t="shared" si="132"/>
        <v>4.3209812124242158E-2</v>
      </c>
      <c r="AE136" s="1">
        <f t="shared" si="133"/>
        <v>0.6726557587857499</v>
      </c>
      <c r="AF136" s="1">
        <f>B136*$R$5/AE136</f>
        <v>1.0141559736723282</v>
      </c>
      <c r="AG136" s="8">
        <f t="shared" si="111"/>
        <v>1.1497012984451277E-3</v>
      </c>
      <c r="AH136" s="8"/>
      <c r="AI136" s="3">
        <f t="shared" si="112"/>
        <v>3.7163636584144004E-2</v>
      </c>
      <c r="AJ136" s="1">
        <f t="shared" si="113"/>
        <v>17.002827997952373</v>
      </c>
      <c r="AK136" s="1"/>
      <c r="AL136" s="1">
        <f t="shared" si="84"/>
        <v>5.8813745579290019E-2</v>
      </c>
      <c r="AM136" s="8">
        <f>AL136*(A136*9.80665)/(0.7*I136*B136*B136*$N$5)</f>
        <v>3.7163636584143997E-2</v>
      </c>
      <c r="AN136" s="1">
        <f>B136/$AI$5</f>
        <v>1</v>
      </c>
      <c r="AO136" s="1">
        <f>IF(B136&lt;0.4,1.3*(0.4-B136),0)</f>
        <v>0</v>
      </c>
      <c r="AP136" s="1">
        <f t="shared" si="114"/>
        <v>-0.43</v>
      </c>
      <c r="AQ136" s="1">
        <f t="shared" si="115"/>
        <v>0</v>
      </c>
      <c r="AR136" s="1">
        <f t="shared" si="134"/>
        <v>1</v>
      </c>
      <c r="AS136" s="1">
        <f t="shared" si="135"/>
        <v>0.30867472713898642</v>
      </c>
      <c r="AT136" s="1">
        <f>(((1+0.55*B136)/(1+0.55*$AI$5))/(AN136^2))</f>
        <v>1</v>
      </c>
      <c r="AU136" s="1">
        <f t="shared" si="136"/>
        <v>3.465254791234245E-2</v>
      </c>
      <c r="AV136" s="8">
        <f t="shared" si="137"/>
        <v>1.0724647629996396</v>
      </c>
      <c r="AW136" s="8">
        <f t="shared" si="116"/>
        <v>0.99774200899306464</v>
      </c>
      <c r="AX136" s="8"/>
      <c r="AY136" s="4"/>
      <c r="AZ136" s="1">
        <f t="shared" si="138"/>
        <v>0.30797774238103837</v>
      </c>
      <c r="BA136" s="14">
        <f t="shared" si="117"/>
        <v>0.30027829882151241</v>
      </c>
      <c r="BB136" s="1"/>
      <c r="BC136" s="14">
        <f t="shared" si="118"/>
        <v>5.1055802663799206</v>
      </c>
      <c r="BD136" s="14">
        <f>IF(0.7*(AM136*(B136^3)/BA136)*(I136*L136*$N$5/43000000)&lt;$AH$5*(1-0.178*(C136/100)+0.0085*((C136/100)^2)),$AH$5*(1-0.178*(C136/100)+0.0085*((C136/100)^2)),0.7*(AM136*(B136^3)/BA136)*(I136*L136*$N$5/43000000))</f>
        <v>0.58334904870181181</v>
      </c>
      <c r="BE136" s="4">
        <f t="shared" si="139"/>
        <v>2.6265425321456213E-3</v>
      </c>
      <c r="BF136" s="4"/>
      <c r="BG136" s="1">
        <f t="shared" si="140"/>
        <v>1.0289859051998558</v>
      </c>
      <c r="BH136" s="1">
        <f>0.6*$AN$5*(1-0.53*((B136-$AM$5)^2))*(1+((2/3)*AV136))</f>
        <v>5.7427325765624531</v>
      </c>
      <c r="BJ136" s="1">
        <f t="shared" si="141"/>
        <v>5.6613661711120118</v>
      </c>
      <c r="BK136" s="5">
        <f t="shared" si="142"/>
        <v>26.622068721510363</v>
      </c>
      <c r="BL136" s="5">
        <f t="shared" si="119"/>
        <v>1.6429397634690939</v>
      </c>
      <c r="BM136" s="5">
        <f t="shared" si="152"/>
        <v>2.9766295410551118</v>
      </c>
      <c r="BN136" s="1">
        <f t="shared" si="121"/>
        <v>1.1794207451371683</v>
      </c>
      <c r="BO136" s="1">
        <f t="shared" si="143"/>
        <v>3.3252421759513289</v>
      </c>
      <c r="BP136" s="9">
        <f>(1+0.2*B136*B136)*K136</f>
        <v>241.19892737570004</v>
      </c>
      <c r="BQ136" s="9">
        <f t="shared" si="128"/>
        <v>717.9598524973153</v>
      </c>
      <c r="BR136" s="9">
        <f t="shared" si="129"/>
        <v>1385.1409376723539</v>
      </c>
      <c r="BS136" s="9">
        <f t="shared" si="122"/>
        <v>802.04484610389932</v>
      </c>
      <c r="BU136" s="9">
        <f>((1+0.2*B136*B136)^3.5)*I136</f>
        <v>27371.192651203088</v>
      </c>
      <c r="BV136" s="9">
        <f t="shared" si="123"/>
        <v>728677.77175002801</v>
      </c>
      <c r="BX136" s="3">
        <f t="shared" si="144"/>
        <v>2.2626139096972329E-2</v>
      </c>
      <c r="BZ136" s="3">
        <f t="shared" si="145"/>
        <v>4.1499546762340155E-2</v>
      </c>
      <c r="CA136"/>
      <c r="CB136" s="14">
        <f>$CB$12*($AO$5/K136)/($AN$5*(1-0.53*((B136-$AM$5)^2))*(1+0.2*B136*B136))</f>
        <v>1.3629629629629629</v>
      </c>
      <c r="CC136" s="1">
        <f t="shared" si="124"/>
        <v>1.9074074074074074</v>
      </c>
      <c r="CD136" s="3">
        <f t="shared" si="146"/>
        <v>6.6096526573542078E-2</v>
      </c>
      <c r="CE136" s="6">
        <f t="shared" si="147"/>
        <v>1.592704781863379</v>
      </c>
      <c r="CF136" s="22" t="str">
        <f t="shared" si="125"/>
        <v/>
      </c>
      <c r="CG136" s="22"/>
      <c r="CH136" s="7">
        <f t="shared" si="148"/>
        <v>1.0338625723254884</v>
      </c>
      <c r="CI136" s="23">
        <f>CH136*(0.7*I136*B136*B136)*$N$5/9.80665</f>
        <v>96205.693248445226</v>
      </c>
      <c r="CK136" s="1">
        <f>B136/$AI$5</f>
        <v>1</v>
      </c>
      <c r="CL136" s="14">
        <f t="shared" si="126"/>
        <v>1.4515200000000053</v>
      </c>
      <c r="CM136" s="1">
        <f t="shared" si="149"/>
        <v>0.8569758833631711</v>
      </c>
      <c r="CN136" s="14">
        <f>SQRT((A136*9.80665)/(0.7*I136*$N$5*CM136))</f>
        <v>0.6463344413315244</v>
      </c>
      <c r="CO136" s="1">
        <f t="shared" si="150"/>
        <v>0.73734504422550751</v>
      </c>
      <c r="CP136" s="29" t="str">
        <f>IF(C136&lt;30,"",IF(CO136&gt;1,"no",""))</f>
        <v/>
      </c>
      <c r="CQ136" s="22"/>
      <c r="CR136" s="23">
        <f>CM136*(0.7*I136*B136*B136)*$N$5/9.80665</f>
        <v>79745.568862895598</v>
      </c>
      <c r="CS136"/>
      <c r="CT136" s="6">
        <f t="shared" si="151"/>
        <v>0.97439024390243911</v>
      </c>
      <c r="CU136" s="22" t="str">
        <f t="shared" si="127"/>
        <v/>
      </c>
      <c r="CV136" s="5"/>
      <c r="CW136" s="6">
        <f>IF(C136&lt;100,SQRT(2)*SQRT(SQRT(1+(2/1.4)*(10510/I136))-1),IF(I136&gt;$AW$5,SQRT(2)*SQRT(SQRT(1+(2/1.4)*($AV$5/I136))-1),$AS$5))</f>
        <v>0.82</v>
      </c>
      <c r="CX136" s="22" t="str">
        <f>IF(B136&gt;CW136,"no","")</f>
        <v/>
      </c>
    </row>
    <row r="137" spans="1:102" x14ac:dyDescent="0.2">
      <c r="A137">
        <v>58800</v>
      </c>
      <c r="B137" s="1">
        <v>0.75270000000000004</v>
      </c>
      <c r="C137" s="5">
        <v>400</v>
      </c>
      <c r="D137" s="1">
        <v>0</v>
      </c>
      <c r="E137" s="1">
        <v>0</v>
      </c>
      <c r="G137">
        <f t="shared" si="78"/>
        <v>40000</v>
      </c>
      <c r="H137" s="9">
        <f t="shared" si="79"/>
        <v>12192.000000048767</v>
      </c>
      <c r="I137" s="5">
        <f t="shared" si="103"/>
        <v>18753.902806445836</v>
      </c>
      <c r="J137" s="5">
        <v>0</v>
      </c>
      <c r="K137" s="6">
        <f t="shared" si="104"/>
        <v>216.65</v>
      </c>
      <c r="L137" s="5">
        <f t="shared" si="105"/>
        <v>295.06801842964956</v>
      </c>
      <c r="M137" s="10">
        <f t="shared" si="106"/>
        <v>1.4216130796413355E-5</v>
      </c>
      <c r="O137" s="6">
        <f>B137*L137</f>
        <v>222.09769747199724</v>
      </c>
      <c r="P137" s="1">
        <f>IF(E137=0,0,E137/9.80665)</f>
        <v>0</v>
      </c>
      <c r="Q137" s="7">
        <f>IF(D137=0,0,(D137/O137))</f>
        <v>0</v>
      </c>
      <c r="R137" s="19">
        <f t="shared" si="107"/>
        <v>1</v>
      </c>
      <c r="S137" s="19">
        <f t="shared" si="108"/>
        <v>0</v>
      </c>
      <c r="T137" s="19">
        <f t="shared" si="109"/>
        <v>0</v>
      </c>
      <c r="U137" s="19"/>
      <c r="V137" s="19"/>
      <c r="X137" s="1">
        <f>(A137*9.80665*R137)/(0.7*I137*B137*B137*$N$5)</f>
        <v>0.6334072803871712</v>
      </c>
      <c r="Y137" s="10">
        <f>(SQRT($N$5)*B137)*(I137/M137)*SQRT(1.4/(287.05*K137))</f>
        <v>52122923.998852655</v>
      </c>
      <c r="Z137" s="10">
        <f t="shared" si="110"/>
        <v>2.2354669428456182E-3</v>
      </c>
      <c r="AA137" s="3">
        <f t="shared" si="130"/>
        <v>1.8767387932157431E-2</v>
      </c>
      <c r="AB137" s="3">
        <f t="shared" si="131"/>
        <v>7.8020818616182444E-3</v>
      </c>
      <c r="AC137" s="3">
        <f>IF($E$5="no",(1/((1+0.03+$Q$5)+AB137*3.141593*$S$5)),(1.075/((1+0.03+$Q$5)+AB137*3.141593*$S$5)))</f>
        <v>0.7753789085678372</v>
      </c>
      <c r="AD137" s="3">
        <f t="shared" si="132"/>
        <v>4.3212436648181259E-2</v>
      </c>
      <c r="AE137" s="1">
        <f t="shared" si="133"/>
        <v>0.67247066366720687</v>
      </c>
      <c r="AF137" s="1">
        <f>B137*$R$5/AE137</f>
        <v>1.0144351164369276</v>
      </c>
      <c r="AG137" s="8">
        <f t="shared" si="111"/>
        <v>1.1541443596443418E-3</v>
      </c>
      <c r="AH137" s="8"/>
      <c r="AI137" s="3">
        <f t="shared" si="112"/>
        <v>3.72585685535455E-2</v>
      </c>
      <c r="AJ137" s="1">
        <f t="shared" si="113"/>
        <v>17.000311739751382</v>
      </c>
      <c r="AK137" s="1"/>
      <c r="AL137" s="1">
        <f t="shared" si="84"/>
        <v>5.8822450747284025E-2</v>
      </c>
      <c r="AM137" s="8">
        <f>AL137*(A137*9.80665)/(0.7*I137*B137*B137*$N$5)</f>
        <v>3.72585685535455E-2</v>
      </c>
      <c r="AN137" s="1">
        <f>B137/$AI$5</f>
        <v>1</v>
      </c>
      <c r="AO137" s="1">
        <f>IF(B137&lt;0.4,1.3*(0.4-B137),0)</f>
        <v>0</v>
      </c>
      <c r="AP137" s="1">
        <f t="shared" si="114"/>
        <v>-0.43</v>
      </c>
      <c r="AQ137" s="1">
        <f t="shared" si="115"/>
        <v>0</v>
      </c>
      <c r="AR137" s="1">
        <f t="shared" si="134"/>
        <v>1</v>
      </c>
      <c r="AS137" s="1">
        <f t="shared" si="135"/>
        <v>0.30867472713898642</v>
      </c>
      <c r="AT137" s="1">
        <f>(((1+0.55*B137)/(1+0.55*$AI$5))/(AN137^2))</f>
        <v>1</v>
      </c>
      <c r="AU137" s="1">
        <f t="shared" si="136"/>
        <v>3.465254791234245E-2</v>
      </c>
      <c r="AV137" s="8">
        <f t="shared" si="137"/>
        <v>1.0752043009303465</v>
      </c>
      <c r="AW137" s="8">
        <f t="shared" si="116"/>
        <v>0.99756805464227849</v>
      </c>
      <c r="AX137" s="8"/>
      <c r="AY137" s="4"/>
      <c r="AZ137" s="1">
        <f t="shared" si="138"/>
        <v>0.30792404706927479</v>
      </c>
      <c r="BA137" s="14">
        <f t="shared" si="117"/>
        <v>0.30022594589254292</v>
      </c>
      <c r="BB137" s="1"/>
      <c r="BC137" s="14">
        <f t="shared" si="118"/>
        <v>5.1039346725349608</v>
      </c>
      <c r="BD137" s="14">
        <f>IF(0.7*(AM137*(B137^3)/BA137)*(I137*L137*$N$5/43000000)&lt;$AH$5*(1-0.178*(C137/100)+0.0085*((C137/100)^2)),$AH$5*(1-0.178*(C137/100)+0.0085*((C137/100)^2)),0.7*(AM137*(B137^3)/BA137)*(I137*L137*$N$5/43000000))</f>
        <v>0.58353713018513742</v>
      </c>
      <c r="BE137" s="4">
        <f t="shared" si="139"/>
        <v>2.6273893733576937E-3</v>
      </c>
      <c r="BF137" s="4"/>
      <c r="BG137" s="1">
        <f t="shared" si="140"/>
        <v>1.0300817203721384</v>
      </c>
      <c r="BH137" s="1">
        <f>0.6*$AN$5*(1-0.53*((B137-$AM$5)^2))*(1+((2/3)*AV137))</f>
        <v>5.7488482808261931</v>
      </c>
      <c r="BJ137" s="1">
        <f t="shared" si="141"/>
        <v>5.654561059116582</v>
      </c>
      <c r="BK137" s="5">
        <f t="shared" si="142"/>
        <v>26.693003054701766</v>
      </c>
      <c r="BL137" s="5">
        <f t="shared" si="119"/>
        <v>1.6446894067935147</v>
      </c>
      <c r="BM137" s="5">
        <f t="shared" si="152"/>
        <v>2.9792633918009672</v>
      </c>
      <c r="BN137" s="1">
        <f t="shared" si="121"/>
        <v>1.1798380754024675</v>
      </c>
      <c r="BO137" s="1">
        <f t="shared" si="143"/>
        <v>3.3283100060932167</v>
      </c>
      <c r="BP137" s="9">
        <f>(1+0.2*B137*B137)*K137</f>
        <v>241.19892737570004</v>
      </c>
      <c r="BQ137" s="9">
        <f t="shared" si="128"/>
        <v>718.59513447208326</v>
      </c>
      <c r="BR137" s="9">
        <f t="shared" si="129"/>
        <v>1386.6160389809149</v>
      </c>
      <c r="BS137" s="9">
        <f t="shared" si="122"/>
        <v>802.7848034434935</v>
      </c>
      <c r="BU137" s="9">
        <f>((1+0.2*B137*B137)^3.5)*I137</f>
        <v>27305.493911367055</v>
      </c>
      <c r="BV137" s="9">
        <f t="shared" si="123"/>
        <v>728865.63238626125</v>
      </c>
      <c r="BX137" s="3">
        <f t="shared" si="144"/>
        <v>2.2656240850705178E-2</v>
      </c>
      <c r="BZ137" s="3">
        <f t="shared" si="145"/>
        <v>4.1604911204989506E-2</v>
      </c>
      <c r="CA137"/>
      <c r="CB137" s="14">
        <f>$CB$12*($AO$5/K137)/($AN$5*(1-0.53*((B137-$AM$5)^2))*(1+0.2*B137*B137))</f>
        <v>1.3629629629629629</v>
      </c>
      <c r="CC137" s="1">
        <f t="shared" si="124"/>
        <v>1.9074074074074074</v>
      </c>
      <c r="CD137" s="3">
        <f t="shared" si="146"/>
        <v>6.6096526573542078E-2</v>
      </c>
      <c r="CE137" s="6">
        <f t="shared" si="147"/>
        <v>1.5886712568110324</v>
      </c>
      <c r="CF137" s="22" t="str">
        <f t="shared" si="125"/>
        <v/>
      </c>
      <c r="CG137" s="22"/>
      <c r="CH137" s="7">
        <f t="shared" si="148"/>
        <v>1.0337107845802556</v>
      </c>
      <c r="CI137" s="23">
        <f>CH137*(0.7*I137*B137*B137)*$N$5/9.80665</f>
        <v>95960.681247878645</v>
      </c>
      <c r="CK137" s="1">
        <f>B137/$AI$5</f>
        <v>1</v>
      </c>
      <c r="CL137" s="14">
        <f t="shared" si="126"/>
        <v>1.4515200000000053</v>
      </c>
      <c r="CM137" s="1">
        <f t="shared" si="149"/>
        <v>0.8569758833631711</v>
      </c>
      <c r="CN137" s="14">
        <f>SQRT((A137*9.80665)/(0.7*I137*$N$5*CM137))</f>
        <v>0.64711153488545747</v>
      </c>
      <c r="CO137" s="1">
        <f t="shared" si="150"/>
        <v>0.73911914288811376</v>
      </c>
      <c r="CP137" s="29" t="str">
        <f>IF(C137&lt;30,"",IF(CO137&gt;1,"no",""))</f>
        <v/>
      </c>
      <c r="CQ137" s="22"/>
      <c r="CR137" s="23">
        <f>CM137*(0.7*I137*B137*B137)*$N$5/9.80665</f>
        <v>79554.156546722021</v>
      </c>
      <c r="CS137"/>
      <c r="CT137" s="6">
        <f t="shared" si="151"/>
        <v>0.97560975609756106</v>
      </c>
      <c r="CU137" s="22" t="str">
        <f t="shared" si="127"/>
        <v/>
      </c>
      <c r="CV137" s="5"/>
      <c r="CW137" s="6">
        <f>IF(C137&lt;100,SQRT(2)*SQRT(SQRT(1+(2/1.4)*(10510/I137))-1),IF(I137&gt;$AW$5,SQRT(2)*SQRT(SQRT(1+(2/1.4)*($AV$5/I137))-1),$AS$5))</f>
        <v>0.82</v>
      </c>
      <c r="CX137" s="22" t="str">
        <f>IF(B137&gt;CW137,"no","")</f>
        <v/>
      </c>
    </row>
    <row r="138" spans="1:102" x14ac:dyDescent="0.2">
      <c r="A138">
        <v>58800</v>
      </c>
      <c r="B138" s="1">
        <v>0.75270000000000004</v>
      </c>
      <c r="C138" s="5">
        <v>400.5</v>
      </c>
      <c r="D138" s="1">
        <v>0</v>
      </c>
      <c r="E138" s="1">
        <v>0</v>
      </c>
      <c r="G138">
        <f t="shared" si="78"/>
        <v>40050</v>
      </c>
      <c r="H138" s="9">
        <f t="shared" si="79"/>
        <v>12207.240000048829</v>
      </c>
      <c r="I138" s="5">
        <f t="shared" si="103"/>
        <v>18708.888042307051</v>
      </c>
      <c r="J138" s="5">
        <v>0</v>
      </c>
      <c r="K138" s="6">
        <f t="shared" si="104"/>
        <v>216.65</v>
      </c>
      <c r="L138" s="5">
        <f t="shared" si="105"/>
        <v>295.06801842964956</v>
      </c>
      <c r="M138" s="10">
        <f t="shared" si="106"/>
        <v>1.4216130796413355E-5</v>
      </c>
      <c r="O138" s="6">
        <f>B138*L138</f>
        <v>222.09769747199724</v>
      </c>
      <c r="P138" s="1">
        <f>IF(E138=0,0,E138/9.80665)</f>
        <v>0</v>
      </c>
      <c r="Q138" s="7">
        <f>IF(D138=0,0,(D138/O138))</f>
        <v>0</v>
      </c>
      <c r="R138" s="19">
        <f t="shared" si="107"/>
        <v>1</v>
      </c>
      <c r="S138" s="19">
        <f t="shared" si="108"/>
        <v>0</v>
      </c>
      <c r="T138" s="19">
        <f t="shared" si="109"/>
        <v>0</v>
      </c>
      <c r="U138" s="19"/>
      <c r="V138" s="19"/>
      <c r="X138" s="1">
        <f>(A138*9.80665*R138)/(0.7*I138*B138*B138*$N$5)</f>
        <v>0.63493129823718675</v>
      </c>
      <c r="Y138" s="10">
        <f>(SQRT($N$5)*B138)*(I138/M138)*SQRT(1.4/(287.05*K138))</f>
        <v>51997813.980194263</v>
      </c>
      <c r="Z138" s="10">
        <f t="shared" si="110"/>
        <v>2.2362191793477947E-3</v>
      </c>
      <c r="AA138" s="3">
        <f t="shared" si="130"/>
        <v>1.8773703173945396E-2</v>
      </c>
      <c r="AB138" s="3">
        <f t="shared" si="131"/>
        <v>7.8047072687118541E-3</v>
      </c>
      <c r="AC138" s="3">
        <f>IF($E$5="no",(1/((1+0.03+$Q$5)+AB138*3.141593*$S$5)),(1.075/((1+0.03+$Q$5)+AB138*3.141593*$S$5)))</f>
        <v>0.77533180264712409</v>
      </c>
      <c r="AD138" s="3">
        <f t="shared" si="132"/>
        <v>4.3215062055274873E-2</v>
      </c>
      <c r="AE138" s="1">
        <f t="shared" si="133"/>
        <v>0.67228512319813916</v>
      </c>
      <c r="AF138" s="1">
        <f>B138*$R$5/AE138</f>
        <v>1.0147150851002935</v>
      </c>
      <c r="AG138" s="8">
        <f t="shared" si="111"/>
        <v>1.1586114038647176E-3</v>
      </c>
      <c r="AH138" s="8"/>
      <c r="AI138" s="3">
        <f t="shared" si="112"/>
        <v>3.7353937611322517E-2</v>
      </c>
      <c r="AJ138" s="1">
        <f t="shared" si="113"/>
        <v>16.997707305821756</v>
      </c>
      <c r="AK138" s="1"/>
      <c r="AL138" s="1">
        <f t="shared" si="84"/>
        <v>5.8831463679663291E-2</v>
      </c>
      <c r="AM138" s="8">
        <f>AL138*(A138*9.80665)/(0.7*I138*B138*B138*$N$5)</f>
        <v>3.7353937611322517E-2</v>
      </c>
      <c r="AN138" s="1">
        <f>B138/$AI$5</f>
        <v>1</v>
      </c>
      <c r="AO138" s="1">
        <f>IF(B138&lt;0.4,1.3*(0.4-B138),0)</f>
        <v>0</v>
      </c>
      <c r="AP138" s="1">
        <f t="shared" si="114"/>
        <v>-0.43</v>
      </c>
      <c r="AQ138" s="1">
        <f t="shared" si="115"/>
        <v>0</v>
      </c>
      <c r="AR138" s="1">
        <f t="shared" si="134"/>
        <v>1</v>
      </c>
      <c r="AS138" s="1">
        <f t="shared" si="135"/>
        <v>0.30867472713898642</v>
      </c>
      <c r="AT138" s="1">
        <f>(((1+0.55*B138)/(1+0.55*$AI$5))/(AN138^2))</f>
        <v>1</v>
      </c>
      <c r="AU138" s="1">
        <f t="shared" si="136"/>
        <v>3.465254791234245E-2</v>
      </c>
      <c r="AV138" s="8">
        <f t="shared" si="137"/>
        <v>1.077956452316682</v>
      </c>
      <c r="AW138" s="8">
        <f t="shared" si="116"/>
        <v>0.99738680036314464</v>
      </c>
      <c r="AX138" s="8"/>
      <c r="AY138" s="4"/>
      <c r="AZ138" s="1">
        <f t="shared" si="138"/>
        <v>0.30786809845412039</v>
      </c>
      <c r="BA138" s="14">
        <f t="shared" si="117"/>
        <v>0.30017139599276738</v>
      </c>
      <c r="BB138" s="1"/>
      <c r="BC138" s="14">
        <f t="shared" si="118"/>
        <v>5.1022255306649775</v>
      </c>
      <c r="BD138" s="14">
        <f>IF(0.7*(AM138*(B138^3)/BA138)*(I138*L138*$N$5/43000000)&lt;$AH$5*(1-0.178*(C138/100)+0.0085*((C138/100)^2)),$AH$5*(1-0.178*(C138/100)+0.0085*((C138/100)^2)),0.7*(AM138*(B138^3)/BA138)*(I138*L138*$N$5/43000000))</f>
        <v>0.58373260326563836</v>
      </c>
      <c r="BE138" s="4">
        <f t="shared" si="139"/>
        <v>2.62826949540635E-3</v>
      </c>
      <c r="BF138" s="4"/>
      <c r="BG138" s="1">
        <f t="shared" si="140"/>
        <v>1.0311825809266726</v>
      </c>
      <c r="BH138" s="1">
        <f>0.6*$AN$5*(1-0.53*((B138-$AM$5)^2))*(1+((2/3)*AV138))</f>
        <v>5.7549921431831299</v>
      </c>
      <c r="BJ138" s="1">
        <f t="shared" si="141"/>
        <v>5.6477401237082399</v>
      </c>
      <c r="BK138" s="5">
        <f t="shared" si="142"/>
        <v>26.764378051101033</v>
      </c>
      <c r="BL138" s="5">
        <f t="shared" si="119"/>
        <v>1.6464471058736858</v>
      </c>
      <c r="BM138" s="5">
        <f t="shared" si="152"/>
        <v>2.9819088925107038</v>
      </c>
      <c r="BN138" s="1">
        <f t="shared" si="121"/>
        <v>1.1802570288109429</v>
      </c>
      <c r="BO138" s="1">
        <f t="shared" si="143"/>
        <v>3.3313960696781209</v>
      </c>
      <c r="BP138" s="9">
        <f>(1+0.2*B138*B138)*K138</f>
        <v>241.19892737570004</v>
      </c>
      <c r="BQ138" s="9">
        <f t="shared" si="128"/>
        <v>719.23322640564334</v>
      </c>
      <c r="BR138" s="9">
        <f t="shared" si="129"/>
        <v>1388.097931991352</v>
      </c>
      <c r="BS138" s="9">
        <f t="shared" si="122"/>
        <v>803.52915866998558</v>
      </c>
      <c r="BU138" s="9">
        <f>((1+0.2*B138*B138)^3.5)*I138</f>
        <v>27239.952867414821</v>
      </c>
      <c r="BV138" s="9">
        <f t="shared" si="123"/>
        <v>729060.39663766383</v>
      </c>
      <c r="BX138" s="3">
        <f t="shared" si="144"/>
        <v>2.2686486689938466E-2</v>
      </c>
      <c r="BZ138" s="3">
        <f t="shared" si="145"/>
        <v>4.1710737837202728E-2</v>
      </c>
      <c r="CA138"/>
      <c r="CB138" s="14">
        <f>$CB$12*($AO$5/K138)/($AN$5*(1-0.53*((B138-$AM$5)^2))*(1+0.2*B138*B138))</f>
        <v>1.3629629629629629</v>
      </c>
      <c r="CC138" s="1">
        <f t="shared" si="124"/>
        <v>1.9074074074074074</v>
      </c>
      <c r="CD138" s="3">
        <f t="shared" si="146"/>
        <v>6.6096526573542078E-2</v>
      </c>
      <c r="CE138" s="6">
        <f t="shared" si="147"/>
        <v>1.5846405506303254</v>
      </c>
      <c r="CF138" s="22" t="str">
        <f t="shared" si="125"/>
        <v/>
      </c>
      <c r="CG138" s="22"/>
      <c r="CH138" s="7">
        <f t="shared" si="148"/>
        <v>1.033558690167464</v>
      </c>
      <c r="CI138" s="23">
        <f>CH138*(0.7*I138*B138*B138)*$N$5/9.80665</f>
        <v>95716.262768234592</v>
      </c>
      <c r="CK138" s="1">
        <f>B138/$AI$5</f>
        <v>1</v>
      </c>
      <c r="CL138" s="14">
        <f t="shared" si="126"/>
        <v>1.4515200000000053</v>
      </c>
      <c r="CM138" s="1">
        <f t="shared" si="149"/>
        <v>0.8569758833631711</v>
      </c>
      <c r="CN138" s="14">
        <f>SQRT((A138*9.80665)/(0.7*I138*$N$5*CM138))</f>
        <v>0.6478895627457697</v>
      </c>
      <c r="CO138" s="1">
        <f t="shared" si="150"/>
        <v>0.74089751014395133</v>
      </c>
      <c r="CP138" s="29" t="str">
        <f>IF(C138&lt;30,"",IF(CO138&gt;1,"no",""))</f>
        <v/>
      </c>
      <c r="CQ138" s="22"/>
      <c r="CR138" s="23">
        <f>CM138*(0.7*I138*B138*B138)*$N$5/9.80665</f>
        <v>79363.203675195997</v>
      </c>
      <c r="CS138"/>
      <c r="CT138" s="6">
        <f t="shared" si="151"/>
        <v>0.97682926829268302</v>
      </c>
      <c r="CU138" s="22" t="str">
        <f t="shared" si="127"/>
        <v/>
      </c>
      <c r="CV138" s="5"/>
      <c r="CW138" s="6">
        <f>IF(C138&lt;100,SQRT(2)*SQRT(SQRT(1+(2/1.4)*(10510/I138))-1),IF(I138&gt;$AW$5,SQRT(2)*SQRT(SQRT(1+(2/1.4)*($AV$5/I138))-1),$AS$5))</f>
        <v>0.82</v>
      </c>
      <c r="CX138" s="22" t="str">
        <f>IF(B138&gt;CW138,"no","")</f>
        <v/>
      </c>
    </row>
    <row r="139" spans="1:102" x14ac:dyDescent="0.2">
      <c r="A139">
        <v>58800</v>
      </c>
      <c r="B139" s="1">
        <v>0.75270000000000004</v>
      </c>
      <c r="C139" s="5">
        <v>401</v>
      </c>
      <c r="D139" s="1">
        <v>0</v>
      </c>
      <c r="E139" s="1">
        <v>0</v>
      </c>
      <c r="G139">
        <f t="shared" si="78"/>
        <v>40100</v>
      </c>
      <c r="H139" s="9">
        <f t="shared" si="79"/>
        <v>12222.480000048889</v>
      </c>
      <c r="I139" s="5">
        <f t="shared" si="103"/>
        <v>18663.981326557529</v>
      </c>
      <c r="J139" s="5">
        <v>0</v>
      </c>
      <c r="K139" s="6">
        <f t="shared" si="104"/>
        <v>216.65</v>
      </c>
      <c r="L139" s="5">
        <f t="shared" si="105"/>
        <v>295.06801842964956</v>
      </c>
      <c r="M139" s="10">
        <f t="shared" si="106"/>
        <v>1.4216130796413355E-5</v>
      </c>
      <c r="O139" s="6">
        <f>B139*L139</f>
        <v>222.09769747199724</v>
      </c>
      <c r="P139" s="1">
        <f>IF(E139=0,0,E139/9.80665)</f>
        <v>0</v>
      </c>
      <c r="Q139" s="7">
        <f>IF(D139=0,0,(D139/O139))</f>
        <v>0</v>
      </c>
      <c r="R139" s="19">
        <f t="shared" si="107"/>
        <v>1</v>
      </c>
      <c r="S139" s="19">
        <f t="shared" si="108"/>
        <v>0</v>
      </c>
      <c r="T139" s="19">
        <f t="shared" si="109"/>
        <v>0</v>
      </c>
      <c r="U139" s="19"/>
      <c r="V139" s="19"/>
      <c r="X139" s="1">
        <f>(A139*9.80665*R139)/(0.7*I139*B139*B139*$N$5)</f>
        <v>0.63645898297023129</v>
      </c>
      <c r="Y139" s="10">
        <f>(SQRT($N$5)*B139)*(I139/M139)*SQRT(1.4/(287.05*K139))</f>
        <v>51873004.261587538</v>
      </c>
      <c r="Z139" s="10">
        <f t="shared" si="110"/>
        <v>2.2369716689781848E-3</v>
      </c>
      <c r="AA139" s="3">
        <f t="shared" si="130"/>
        <v>1.8780020540817521E-2</v>
      </c>
      <c r="AB139" s="3">
        <f t="shared" si="131"/>
        <v>7.8073335592571541E-3</v>
      </c>
      <c r="AC139" s="3">
        <f>IF($E$5="no",(1/((1+0.03+$Q$5)+AB139*3.141593*$S$5)),(1.075/((1+0.03+$Q$5)+AB139*3.141593*$S$5)))</f>
        <v>0.77528468660134053</v>
      </c>
      <c r="AD139" s="3">
        <f t="shared" si="132"/>
        <v>4.3217688345820168E-2</v>
      </c>
      <c r="AE139" s="1">
        <f t="shared" si="133"/>
        <v>0.67209913630700557</v>
      </c>
      <c r="AF139" s="1">
        <f>B139*$R$5/AE139</f>
        <v>1.0149958825211935</v>
      </c>
      <c r="AG139" s="8">
        <f t="shared" si="111"/>
        <v>1.1631027417562062E-3</v>
      </c>
      <c r="AH139" s="8"/>
      <c r="AI139" s="3">
        <f t="shared" si="112"/>
        <v>3.7449746076904343E-2</v>
      </c>
      <c r="AJ139" s="1">
        <f t="shared" si="113"/>
        <v>16.995014643443533</v>
      </c>
      <c r="AK139" s="1"/>
      <c r="AL139" s="1">
        <f t="shared" si="84"/>
        <v>5.8840784840734905E-2</v>
      </c>
      <c r="AM139" s="8">
        <f>AL139*(A139*9.80665)/(0.7*I139*B139*B139*$N$5)</f>
        <v>3.744974607690435E-2</v>
      </c>
      <c r="AN139" s="1">
        <f>B139/$AI$5</f>
        <v>1</v>
      </c>
      <c r="AO139" s="1">
        <f>IF(B139&lt;0.4,1.3*(0.4-B139),0)</f>
        <v>0</v>
      </c>
      <c r="AP139" s="1">
        <f t="shared" si="114"/>
        <v>-0.43</v>
      </c>
      <c r="AQ139" s="1">
        <f t="shared" si="115"/>
        <v>0</v>
      </c>
      <c r="AR139" s="1">
        <f t="shared" si="134"/>
        <v>1</v>
      </c>
      <c r="AS139" s="1">
        <f t="shared" si="135"/>
        <v>0.30867472713898642</v>
      </c>
      <c r="AT139" s="1">
        <f>(((1+0.55*B139)/(1+0.55*$AI$5))/(AN139^2))</f>
        <v>1</v>
      </c>
      <c r="AU139" s="1">
        <f t="shared" si="136"/>
        <v>3.465254791234245E-2</v>
      </c>
      <c r="AV139" s="8">
        <f t="shared" si="137"/>
        <v>1.0807212840925213</v>
      </c>
      <c r="AW139" s="8">
        <f t="shared" si="116"/>
        <v>0.99719815194661543</v>
      </c>
      <c r="AX139" s="8"/>
      <c r="AY139" s="4"/>
      <c r="AZ139" s="1">
        <f t="shared" si="138"/>
        <v>0.30780986745562305</v>
      </c>
      <c r="BA139" s="14">
        <f t="shared" si="117"/>
        <v>0.30011462076923245</v>
      </c>
      <c r="BB139" s="1"/>
      <c r="BC139" s="14">
        <f t="shared" si="118"/>
        <v>5.1004523746846084</v>
      </c>
      <c r="BD139" s="14">
        <f>IF(0.7*(AM139*(B139^3)/BA139)*(I139*L139*$N$5/43000000)&lt;$AH$5*(1-0.178*(C139/100)+0.0085*((C139/100)^2)),$AH$5*(1-0.178*(C139/100)+0.0085*((C139/100)^2)),0.7*(AM139*(B139^3)/BA139)*(I139*L139*$N$5/43000000))</f>
        <v>0.58393553604108273</v>
      </c>
      <c r="BE139" s="4">
        <f t="shared" si="139"/>
        <v>2.6291832049033606E-3</v>
      </c>
      <c r="BF139" s="4"/>
      <c r="BG139" s="1">
        <f t="shared" si="140"/>
        <v>1.0322885136370086</v>
      </c>
      <c r="BH139" s="1">
        <f>0.6*$AN$5*(1-0.53*((B139-$AM$5)^2))*(1+((2/3)*AV139))</f>
        <v>5.7611643130554642</v>
      </c>
      <c r="BJ139" s="1">
        <f t="shared" si="141"/>
        <v>5.6409033610517101</v>
      </c>
      <c r="BK139" s="5">
        <f t="shared" si="142"/>
        <v>26.836197084200727</v>
      </c>
      <c r="BL139" s="5">
        <f t="shared" si="119"/>
        <v>1.648212903457841</v>
      </c>
      <c r="BM139" s="5">
        <f t="shared" si="152"/>
        <v>2.9845661015355991</v>
      </c>
      <c r="BN139" s="1">
        <f t="shared" si="121"/>
        <v>1.1806776119652724</v>
      </c>
      <c r="BO139" s="1">
        <f t="shared" si="143"/>
        <v>3.3345004823577251</v>
      </c>
      <c r="BP139" s="9">
        <f>(1+0.2*B139*B139)*K139</f>
        <v>241.19892737570004</v>
      </c>
      <c r="BQ139" s="9">
        <f t="shared" si="128"/>
        <v>719.87414237226119</v>
      </c>
      <c r="BR139" s="9">
        <f t="shared" si="129"/>
        <v>1389.5866527441397</v>
      </c>
      <c r="BS139" s="9">
        <f t="shared" si="122"/>
        <v>804.27793967843763</v>
      </c>
      <c r="BU139" s="9">
        <f>((1+0.2*B139*B139)^3.5)*I139</f>
        <v>27174.569140830899</v>
      </c>
      <c r="BV139" s="9">
        <f t="shared" si="123"/>
        <v>729262.09314157721</v>
      </c>
      <c r="BX139" s="3">
        <f t="shared" si="144"/>
        <v>2.2716877423325996E-2</v>
      </c>
      <c r="BZ139" s="3">
        <f t="shared" si="145"/>
        <v>4.1817029038804153E-2</v>
      </c>
      <c r="CA139"/>
      <c r="CB139" s="14">
        <f>$CB$12*($AO$5/K139)/($AN$5*(1-0.53*((B139-$AM$5)^2))*(1+0.2*B139*B139))</f>
        <v>1.3629629629629629</v>
      </c>
      <c r="CC139" s="1">
        <f t="shared" si="124"/>
        <v>1.9074074074074074</v>
      </c>
      <c r="CD139" s="3">
        <f t="shared" si="146"/>
        <v>6.6096526573542078E-2</v>
      </c>
      <c r="CE139" s="6">
        <f t="shared" si="147"/>
        <v>1.580612685616851</v>
      </c>
      <c r="CF139" s="22" t="str">
        <f t="shared" si="125"/>
        <v/>
      </c>
      <c r="CG139" s="22"/>
      <c r="CH139" s="7">
        <f t="shared" si="148"/>
        <v>1.0334062855234811</v>
      </c>
      <c r="CI139" s="23">
        <f>CH139*(0.7*I139*B139*B139)*$N$5/9.80665</f>
        <v>95472.436110816561</v>
      </c>
      <c r="CK139" s="1">
        <f>B139/$AI$5</f>
        <v>1</v>
      </c>
      <c r="CL139" s="14">
        <f t="shared" si="126"/>
        <v>1.4515200000000053</v>
      </c>
      <c r="CM139" s="1">
        <f t="shared" si="149"/>
        <v>0.8569758833631711</v>
      </c>
      <c r="CN139" s="14">
        <f>SQRT((A139*9.80665)/(0.7*I139*$N$5*CM139))</f>
        <v>0.64866852603578562</v>
      </c>
      <c r="CO139" s="1">
        <f t="shared" si="150"/>
        <v>0.74268015626352379</v>
      </c>
      <c r="CP139" s="29" t="str">
        <f>IF(C139&lt;30,"",IF(CO139&gt;1,"no",""))</f>
        <v/>
      </c>
      <c r="CQ139" s="22"/>
      <c r="CR139" s="23">
        <f>CM139*(0.7*I139*B139*B139)*$N$5/9.80665</f>
        <v>79172.709145518224</v>
      </c>
      <c r="CS139"/>
      <c r="CT139" s="6">
        <f t="shared" si="151"/>
        <v>0.97804878048780497</v>
      </c>
      <c r="CU139" s="22" t="str">
        <f t="shared" si="127"/>
        <v/>
      </c>
      <c r="CV139" s="5"/>
      <c r="CW139" s="6">
        <f>IF(C139&lt;100,SQRT(2)*SQRT(SQRT(1+(2/1.4)*(10510/I139))-1),IF(I139&gt;$AW$5,SQRT(2)*SQRT(SQRT(1+(2/1.4)*($AV$5/I139))-1),$AS$5))</f>
        <v>0.82</v>
      </c>
      <c r="CX139" s="22" t="str">
        <f>IF(B139&gt;CW139,"no","")</f>
        <v/>
      </c>
    </row>
    <row r="140" spans="1:102" x14ac:dyDescent="0.2">
      <c r="A140">
        <v>58800</v>
      </c>
      <c r="B140" s="1">
        <v>0.75270000000000004</v>
      </c>
      <c r="C140" s="5">
        <v>401.5</v>
      </c>
      <c r="D140" s="1">
        <v>0</v>
      </c>
      <c r="E140" s="1">
        <v>0</v>
      </c>
      <c r="G140">
        <f t="shared" si="78"/>
        <v>40150</v>
      </c>
      <c r="H140" s="9">
        <f t="shared" si="79"/>
        <v>12237.72000004895</v>
      </c>
      <c r="I140" s="5">
        <f t="shared" si="103"/>
        <v>18619.182399850026</v>
      </c>
      <c r="J140" s="5">
        <v>0</v>
      </c>
      <c r="K140" s="6">
        <f t="shared" si="104"/>
        <v>216.65</v>
      </c>
      <c r="L140" s="5">
        <f t="shared" si="105"/>
        <v>295.06801842964956</v>
      </c>
      <c r="M140" s="10">
        <f t="shared" si="106"/>
        <v>1.4216130796413355E-5</v>
      </c>
      <c r="O140" s="6">
        <f>B140*L140</f>
        <v>222.09769747199724</v>
      </c>
      <c r="P140" s="1">
        <f>IF(E140=0,0,E140/9.80665)</f>
        <v>0</v>
      </c>
      <c r="Q140" s="7">
        <f>IF(D140=0,0,(D140/O140))</f>
        <v>0</v>
      </c>
      <c r="R140" s="19">
        <f t="shared" si="107"/>
        <v>1</v>
      </c>
      <c r="S140" s="19">
        <f t="shared" si="108"/>
        <v>0</v>
      </c>
      <c r="T140" s="19">
        <f t="shared" si="109"/>
        <v>0</v>
      </c>
      <c r="U140" s="19"/>
      <c r="V140" s="19"/>
      <c r="X140" s="1">
        <f>(A140*9.80665*R140)/(0.7*I140*B140*B140*$N$5)</f>
        <v>0.63799034340905736</v>
      </c>
      <c r="Y140" s="10">
        <f>(SQRT($N$5)*B140)*(I140/M140)*SQRT(1.4/(287.05*K140))</f>
        <v>51748494.122225881</v>
      </c>
      <c r="Z140" s="10">
        <f t="shared" si="110"/>
        <v>2.2377244118219667E-3</v>
      </c>
      <c r="AA140" s="3">
        <f t="shared" si="130"/>
        <v>1.8786340033488891E-2</v>
      </c>
      <c r="AB140" s="3">
        <f t="shared" si="131"/>
        <v>7.8099607335514222E-3</v>
      </c>
      <c r="AC140" s="3">
        <f>IF($E$5="no",(1/((1+0.03+$Q$5)+AB140*3.141593*$S$5)),(1.075/((1+0.03+$Q$5)+AB140*3.141593*$S$5)))</f>
        <v>0.77523756042988923</v>
      </c>
      <c r="AD140" s="3">
        <f t="shared" si="132"/>
        <v>4.322031552011444E-2</v>
      </c>
      <c r="AE140" s="1">
        <f t="shared" si="133"/>
        <v>0.67191270191968611</v>
      </c>
      <c r="AF140" s="1">
        <f>B140*$R$5/AE140</f>
        <v>1.0152775115705461</v>
      </c>
      <c r="AG140" s="8">
        <f t="shared" si="111"/>
        <v>1.1676186938843649E-3</v>
      </c>
      <c r="AH140" s="8"/>
      <c r="AI140" s="3">
        <f t="shared" si="112"/>
        <v>3.7545996289455166E-2</v>
      </c>
      <c r="AJ140" s="1">
        <f t="shared" si="113"/>
        <v>16.99223369891606</v>
      </c>
      <c r="AK140" s="1"/>
      <c r="AL140" s="1">
        <f t="shared" si="84"/>
        <v>5.8850414708208156E-2</v>
      </c>
      <c r="AM140" s="8">
        <f>AL140*(A140*9.80665)/(0.7*I140*B140*B140*$N$5)</f>
        <v>3.7545996289455159E-2</v>
      </c>
      <c r="AN140" s="1">
        <f>B140/$AI$5</f>
        <v>1</v>
      </c>
      <c r="AO140" s="1">
        <f>IF(B140&lt;0.4,1.3*(0.4-B140),0)</f>
        <v>0</v>
      </c>
      <c r="AP140" s="1">
        <f t="shared" si="114"/>
        <v>-0.43</v>
      </c>
      <c r="AQ140" s="1">
        <f t="shared" si="115"/>
        <v>0</v>
      </c>
      <c r="AR140" s="1">
        <f t="shared" si="134"/>
        <v>1</v>
      </c>
      <c r="AS140" s="1">
        <f t="shared" si="135"/>
        <v>0.30867472713898642</v>
      </c>
      <c r="AT140" s="1">
        <f>(((1+0.55*B140)/(1+0.55*$AI$5))/(AN140^2))</f>
        <v>1</v>
      </c>
      <c r="AU140" s="1">
        <f t="shared" si="136"/>
        <v>3.465254791234245E-2</v>
      </c>
      <c r="AV140" s="8">
        <f t="shared" si="137"/>
        <v>1.0834988637612453</v>
      </c>
      <c r="AW140" s="8">
        <f t="shared" si="116"/>
        <v>0.9970020140927498</v>
      </c>
      <c r="AX140" s="8"/>
      <c r="AY140" s="4"/>
      <c r="AZ140" s="1">
        <f t="shared" si="138"/>
        <v>0.30774932465709942</v>
      </c>
      <c r="BA140" s="14">
        <f t="shared" si="117"/>
        <v>0.30005559154067191</v>
      </c>
      <c r="BB140" s="1"/>
      <c r="BC140" s="14">
        <f t="shared" si="118"/>
        <v>5.0986147341255981</v>
      </c>
      <c r="BD140" s="14">
        <f>IF(0.7*(AM140*(B140^3)/BA140)*(I140*L140*$N$5/43000000)&lt;$AH$5*(1-0.178*(C140/100)+0.0085*((C140/100)^2)),$AH$5*(1-0.178*(C140/100)+0.0085*((C140/100)^2)),0.7*(AM140*(B140^3)/BA140)*(I140*L140*$N$5/43000000))</f>
        <v>0.58414599783920496</v>
      </c>
      <c r="BE140" s="4">
        <f t="shared" si="139"/>
        <v>2.6301308139984473E-3</v>
      </c>
      <c r="BF140" s="4"/>
      <c r="BG140" s="1">
        <f t="shared" si="140"/>
        <v>1.033399545504498</v>
      </c>
      <c r="BH140" s="1">
        <f>0.6*$AN$5*(1-0.53*((B140-$AM$5)^2))*(1+((2/3)*AV140))</f>
        <v>5.7673649411367514</v>
      </c>
      <c r="BJ140" s="1">
        <f t="shared" si="141"/>
        <v>5.634050767198203</v>
      </c>
      <c r="BK140" s="5">
        <f t="shared" si="142"/>
        <v>26.90846356242405</v>
      </c>
      <c r="BL140" s="5">
        <f t="shared" si="119"/>
        <v>1.6499868426579365</v>
      </c>
      <c r="BM140" s="5">
        <f t="shared" si="152"/>
        <v>2.9872350777123224</v>
      </c>
      <c r="BN140" s="1">
        <f t="shared" si="121"/>
        <v>1.1810998315197907</v>
      </c>
      <c r="BO140" s="1">
        <f t="shared" si="143"/>
        <v>3.3376233607203574</v>
      </c>
      <c r="BP140" s="9">
        <f>(1+0.2*B140*B140)*K140</f>
        <v>241.19892737570004</v>
      </c>
      <c r="BQ140" s="9">
        <f t="shared" si="128"/>
        <v>720.5178965632781</v>
      </c>
      <c r="BR140" s="9">
        <f t="shared" si="129"/>
        <v>1391.0822375864018</v>
      </c>
      <c r="BS140" s="9">
        <f t="shared" si="122"/>
        <v>805.03117458982933</v>
      </c>
      <c r="BU140" s="9">
        <f>((1+0.2*B140*B140)^3.5)*I140</f>
        <v>27109.342354008317</v>
      </c>
      <c r="BV140" s="9">
        <f t="shared" si="123"/>
        <v>729470.75093411177</v>
      </c>
      <c r="BX140" s="3">
        <f t="shared" si="144"/>
        <v>2.2747413866600296E-2</v>
      </c>
      <c r="BZ140" s="3">
        <f t="shared" si="145"/>
        <v>4.1923787209498332E-2</v>
      </c>
      <c r="CA140"/>
      <c r="CB140" s="14">
        <f>$CB$12*($AO$5/K140)/($AN$5*(1-0.53*((B140-$AM$5)^2))*(1+0.2*B140*B140))</f>
        <v>1.3629629629629629</v>
      </c>
      <c r="CC140" s="1">
        <f t="shared" si="124"/>
        <v>1.9074074074074074</v>
      </c>
      <c r="CD140" s="3">
        <f t="shared" si="146"/>
        <v>6.6096526573542078E-2</v>
      </c>
      <c r="CE140" s="6">
        <f t="shared" si="147"/>
        <v>1.5765876838189639</v>
      </c>
      <c r="CF140" s="22" t="str">
        <f t="shared" si="125"/>
        <v/>
      </c>
      <c r="CG140" s="22"/>
      <c r="CH140" s="7">
        <f t="shared" si="148"/>
        <v>1.0332535669721457</v>
      </c>
      <c r="CI140" s="23">
        <f>CH140*(0.7*I140*B140*B140)*$N$5/9.80665</f>
        <v>95229.199572708851</v>
      </c>
      <c r="CK140" s="1">
        <f>B140/$AI$5</f>
        <v>1</v>
      </c>
      <c r="CL140" s="14">
        <f t="shared" si="126"/>
        <v>1.4515200000000053</v>
      </c>
      <c r="CM140" s="1">
        <f t="shared" si="149"/>
        <v>0.8569758833631711</v>
      </c>
      <c r="CN140" s="14">
        <f>SQRT((A140*9.80665)/(0.7*I140*$N$5*CM140))</f>
        <v>0.64944842588018081</v>
      </c>
      <c r="CO140" s="1">
        <f t="shared" si="150"/>
        <v>0.74446709154204804</v>
      </c>
      <c r="CP140" s="29" t="str">
        <f>IF(C140&lt;30,"",IF(CO140&gt;1,"no",""))</f>
        <v/>
      </c>
      <c r="CQ140" s="22"/>
      <c r="CR140" s="23">
        <f>CM140*(0.7*I140*B140*B140)*$N$5/9.80665</f>
        <v>78982.67185753629</v>
      </c>
      <c r="CS140"/>
      <c r="CT140" s="6">
        <f t="shared" si="151"/>
        <v>0.97926829268292692</v>
      </c>
      <c r="CU140" s="22" t="str">
        <f t="shared" si="127"/>
        <v/>
      </c>
      <c r="CV140" s="5"/>
      <c r="CW140" s="6">
        <f>IF(C140&lt;100,SQRT(2)*SQRT(SQRT(1+(2/1.4)*(10510/I140))-1),IF(I140&gt;$AW$5,SQRT(2)*SQRT(SQRT(1+(2/1.4)*($AV$5/I140))-1),$AS$5))</f>
        <v>0.82</v>
      </c>
      <c r="CX140" s="22" t="str">
        <f>IF(B140&gt;CW140,"no","")</f>
        <v/>
      </c>
    </row>
    <row r="141" spans="1:102" x14ac:dyDescent="0.2">
      <c r="A141">
        <v>58800</v>
      </c>
      <c r="B141" s="1">
        <v>0.75270000000000004</v>
      </c>
      <c r="C141" s="5">
        <v>402</v>
      </c>
      <c r="D141" s="1">
        <v>0</v>
      </c>
      <c r="E141" s="1">
        <v>0</v>
      </c>
      <c r="G141">
        <f t="shared" si="78"/>
        <v>40200</v>
      </c>
      <c r="H141" s="9">
        <f t="shared" si="79"/>
        <v>12252.960000049012</v>
      </c>
      <c r="I141" s="5">
        <f t="shared" si="103"/>
        <v>18574.491003459825</v>
      </c>
      <c r="J141" s="5">
        <v>0</v>
      </c>
      <c r="K141" s="6">
        <f t="shared" si="104"/>
        <v>216.65</v>
      </c>
      <c r="L141" s="5">
        <f t="shared" si="105"/>
        <v>295.06801842964956</v>
      </c>
      <c r="M141" s="10">
        <f t="shared" si="106"/>
        <v>1.4216130796413355E-5</v>
      </c>
      <c r="O141" s="6">
        <f>B141*L141</f>
        <v>222.09769747199724</v>
      </c>
      <c r="P141" s="1">
        <f>IF(E141=0,0,E141/9.80665)</f>
        <v>0</v>
      </c>
      <c r="Q141" s="7">
        <f>IF(D141=0,0,(D141/O141))</f>
        <v>0</v>
      </c>
      <c r="R141" s="19">
        <f t="shared" si="107"/>
        <v>1</v>
      </c>
      <c r="S141" s="19">
        <f t="shared" si="108"/>
        <v>0</v>
      </c>
      <c r="T141" s="19">
        <f t="shared" si="109"/>
        <v>0</v>
      </c>
      <c r="U141" s="19"/>
      <c r="V141" s="19"/>
      <c r="X141" s="1">
        <f>(A141*9.80665*R141)/(0.7*I141*B141*B141*$N$5)</f>
        <v>0.63952538839764417</v>
      </c>
      <c r="Y141" s="10">
        <f>(SQRT($N$5)*B141)*(I141/M141)*SQRT(1.4/(287.05*K141))</f>
        <v>51624282.843032919</v>
      </c>
      <c r="Z141" s="10">
        <f t="shared" si="110"/>
        <v>2.2384774079643476E-3</v>
      </c>
      <c r="AA141" s="3">
        <f t="shared" si="130"/>
        <v>1.8792661652674857E-2</v>
      </c>
      <c r="AB141" s="3">
        <f t="shared" si="131"/>
        <v>7.812588791892049E-3</v>
      </c>
      <c r="AC141" s="3">
        <f>IF($E$5="no",(1/((1+0.03+$Q$5)+AB141*3.141593*$S$5)),(1.075/((1+0.03+$Q$5)+AB141*3.141593*$S$5)))</f>
        <v>0.77519042413217365</v>
      </c>
      <c r="AD141" s="3">
        <f t="shared" si="132"/>
        <v>4.3222943578455075E-2</v>
      </c>
      <c r="AE141" s="1">
        <f t="shared" si="133"/>
        <v>0.67172581895947703</v>
      </c>
      <c r="AF141" s="1">
        <f>B141*$R$5/AE141</f>
        <v>1.0155599751314821</v>
      </c>
      <c r="AG141" s="8">
        <f t="shared" si="111"/>
        <v>1.1721595909545716E-3</v>
      </c>
      <c r="AH141" s="8"/>
      <c r="AI141" s="3">
        <f t="shared" si="112"/>
        <v>3.764269060814629E-2</v>
      </c>
      <c r="AJ141" s="1">
        <f t="shared" si="113"/>
        <v>16.989364417517059</v>
      </c>
      <c r="AK141" s="1"/>
      <c r="AL141" s="1">
        <f t="shared" si="84"/>
        <v>5.8860353773384229E-2</v>
      </c>
      <c r="AM141" s="8">
        <f>AL141*(A141*9.80665)/(0.7*I141*B141*B141*$N$5)</f>
        <v>3.764269060814629E-2</v>
      </c>
      <c r="AN141" s="1">
        <f>B141/$AI$5</f>
        <v>1</v>
      </c>
      <c r="AO141" s="1">
        <f>IF(B141&lt;0.4,1.3*(0.4-B141),0)</f>
        <v>0</v>
      </c>
      <c r="AP141" s="1">
        <f t="shared" si="114"/>
        <v>-0.43</v>
      </c>
      <c r="AQ141" s="1">
        <f t="shared" si="115"/>
        <v>0</v>
      </c>
      <c r="AR141" s="1">
        <f t="shared" si="134"/>
        <v>1</v>
      </c>
      <c r="AS141" s="1">
        <f t="shared" si="135"/>
        <v>0.30867472713898642</v>
      </c>
      <c r="AT141" s="1">
        <f>(((1+0.55*B141)/(1+0.55*$AI$5))/(AN141^2))</f>
        <v>1</v>
      </c>
      <c r="AU141" s="1">
        <f t="shared" si="136"/>
        <v>3.465254791234245E-2</v>
      </c>
      <c r="AV141" s="8">
        <f t="shared" si="137"/>
        <v>1.0862892594036013</v>
      </c>
      <c r="AW141" s="8">
        <f t="shared" si="116"/>
        <v>0.99679829039597856</v>
      </c>
      <c r="AX141" s="8"/>
      <c r="AY141" s="4"/>
      <c r="AZ141" s="1">
        <f t="shared" si="138"/>
        <v>0.30768644030058684</v>
      </c>
      <c r="BA141" s="14">
        <f t="shared" si="117"/>
        <v>0.29999427929307215</v>
      </c>
      <c r="BB141" s="1"/>
      <c r="BC141" s="14">
        <f t="shared" si="118"/>
        <v>5.0967121340803949</v>
      </c>
      <c r="BD141" s="14">
        <f>IF(0.7*(AM141*(B141^3)/BA141)*(I141*L141*$N$5/43000000)&lt;$AH$5*(1-0.178*(C141/100)+0.0085*((C141/100)^2)),$AH$5*(1-0.178*(C141/100)+0.0085*((C141/100)^2)),0.7*(AM141*(B141^3)/BA141)*(I141*L141*$N$5/43000000))</f>
        <v>0.58436405924284229</v>
      </c>
      <c r="BE141" s="4">
        <f t="shared" si="139"/>
        <v>2.6311126404924604E-3</v>
      </c>
      <c r="BF141" s="4"/>
      <c r="BG141" s="1">
        <f t="shared" si="140"/>
        <v>1.0345157037614405</v>
      </c>
      <c r="BH141" s="1">
        <f>0.6*$AN$5*(1-0.53*((B141-$AM$5)^2))*(1+((2/3)*AV141))</f>
        <v>5.7735941794094545</v>
      </c>
      <c r="BJ141" s="1">
        <f t="shared" si="141"/>
        <v>5.6271823380796873</v>
      </c>
      <c r="BK141" s="5">
        <f t="shared" si="142"/>
        <v>26.981180929611835</v>
      </c>
      <c r="BL141" s="5">
        <f t="shared" si="119"/>
        <v>1.6517689669546722</v>
      </c>
      <c r="BM141" s="5">
        <f t="shared" si="152"/>
        <v>2.9899158803697303</v>
      </c>
      <c r="BN141" s="1">
        <f t="shared" si="121"/>
        <v>1.1815236941812706</v>
      </c>
      <c r="BO141" s="1">
        <f t="shared" si="143"/>
        <v>3.340764822302861</v>
      </c>
      <c r="BP141" s="9">
        <f>(1+0.2*B141*B141)*K141</f>
        <v>241.19892737570004</v>
      </c>
      <c r="BQ141" s="9">
        <f t="shared" si="128"/>
        <v>721.16450328875078</v>
      </c>
      <c r="BR141" s="9">
        <f t="shared" si="129"/>
        <v>1392.5847231761454</v>
      </c>
      <c r="BS141" s="9">
        <f t="shared" si="122"/>
        <v>805.78889175392123</v>
      </c>
      <c r="BU141" s="9">
        <f>((1+0.2*B141*B141)^3.5)*I141</f>
        <v>27044.272130246482</v>
      </c>
      <c r="BV141" s="9">
        <f t="shared" si="123"/>
        <v>729686.39945583919</v>
      </c>
      <c r="BX141" s="3">
        <f t="shared" si="144"/>
        <v>2.2778096842669737E-2</v>
      </c>
      <c r="BZ141" s="3">
        <f t="shared" si="145"/>
        <v>4.2031014769142581E-2</v>
      </c>
      <c r="CA141"/>
      <c r="CB141" s="14">
        <f>$CB$12*($AO$5/K141)/($AN$5*(1-0.53*((B141-$AM$5)^2))*(1+0.2*B141*B141))</f>
        <v>1.3629629629629629</v>
      </c>
      <c r="CC141" s="1">
        <f t="shared" si="124"/>
        <v>1.9074074074074074</v>
      </c>
      <c r="CD141" s="3">
        <f t="shared" si="146"/>
        <v>6.6096526573542078E-2</v>
      </c>
      <c r="CE141" s="6">
        <f t="shared" si="147"/>
        <v>1.5725655670361638</v>
      </c>
      <c r="CF141" s="22" t="str">
        <f t="shared" si="125"/>
        <v/>
      </c>
      <c r="CG141" s="22"/>
      <c r="CH141" s="7">
        <f t="shared" si="148"/>
        <v>1.0331005307221954</v>
      </c>
      <c r="CI141" s="23">
        <f>CH141*(0.7*I141*B141*B141)*$N$5/9.80665</f>
        <v>94986.551446639744</v>
      </c>
      <c r="CK141" s="1">
        <f>B141/$AI$5</f>
        <v>1</v>
      </c>
      <c r="CL141" s="14">
        <f t="shared" si="126"/>
        <v>1.4515200000000053</v>
      </c>
      <c r="CM141" s="1">
        <f t="shared" si="149"/>
        <v>0.8569758833631711</v>
      </c>
      <c r="CN141" s="14">
        <f>SQRT((A141*9.80665)/(0.7*I141*$N$5*CM141))</f>
        <v>0.65022926340498255</v>
      </c>
      <c r="CO141" s="1">
        <f t="shared" si="150"/>
        <v>0.74625832629951006</v>
      </c>
      <c r="CP141" s="29" t="str">
        <f>IF(C141&lt;30,"",IF(CO141&gt;1,"no",""))</f>
        <v/>
      </c>
      <c r="CQ141" s="22"/>
      <c r="CR141" s="23">
        <f>CM141*(0.7*I141*B141*B141)*$N$5/9.80665</f>
        <v>78793.090713738551</v>
      </c>
      <c r="CS141"/>
      <c r="CT141" s="6">
        <f t="shared" si="151"/>
        <v>0.98048780487804887</v>
      </c>
      <c r="CU141" s="22" t="str">
        <f t="shared" si="127"/>
        <v/>
      </c>
      <c r="CV141" s="5"/>
      <c r="CW141" s="6">
        <f>IF(C141&lt;100,SQRT(2)*SQRT(SQRT(1+(2/1.4)*(10510/I141))-1),IF(I141&gt;$AW$5,SQRT(2)*SQRT(SQRT(1+(2/1.4)*($AV$5/I141))-1),$AS$5))</f>
        <v>0.82</v>
      </c>
      <c r="CX141" s="22" t="str">
        <f>IF(B141&gt;CW141,"no","")</f>
        <v/>
      </c>
    </row>
    <row r="142" spans="1:102" x14ac:dyDescent="0.2">
      <c r="A142">
        <v>58800</v>
      </c>
      <c r="B142" s="1">
        <v>0.75270000000000004</v>
      </c>
      <c r="C142" s="5">
        <v>402.5</v>
      </c>
      <c r="D142" s="1">
        <v>0</v>
      </c>
      <c r="E142" s="1">
        <v>0</v>
      </c>
      <c r="G142">
        <f t="shared" si="78"/>
        <v>40250</v>
      </c>
      <c r="H142" s="9">
        <f t="shared" si="79"/>
        <v>12268.200000049072</v>
      </c>
      <c r="I142" s="5">
        <f t="shared" si="103"/>
        <v>18529.906879283219</v>
      </c>
      <c r="J142" s="5">
        <v>0</v>
      </c>
      <c r="K142" s="6">
        <f t="shared" si="104"/>
        <v>216.65</v>
      </c>
      <c r="L142" s="5">
        <f t="shared" si="105"/>
        <v>295.06801842964956</v>
      </c>
      <c r="M142" s="10">
        <f t="shared" si="106"/>
        <v>1.4216130796413355E-5</v>
      </c>
      <c r="O142" s="6">
        <f>B142*L142</f>
        <v>222.09769747199724</v>
      </c>
      <c r="P142" s="1">
        <f>IF(E142=0,0,E142/9.80665)</f>
        <v>0</v>
      </c>
      <c r="Q142" s="7">
        <f>IF(D142=0,0,(D142/O142))</f>
        <v>0</v>
      </c>
      <c r="R142" s="19">
        <f t="shared" si="107"/>
        <v>1</v>
      </c>
      <c r="S142" s="19">
        <f t="shared" si="108"/>
        <v>0</v>
      </c>
      <c r="T142" s="19">
        <f t="shared" si="109"/>
        <v>0</v>
      </c>
      <c r="U142" s="19"/>
      <c r="V142" s="19"/>
      <c r="X142" s="1">
        <f>(A142*9.80665*R142)/(0.7*I142*B142*B142*$N$5)</f>
        <v>0.64106412680125113</v>
      </c>
      <c r="Y142" s="10">
        <f>(SQRT($N$5)*B142)*(I142/M142)*SQRT(1.4/(287.05*K142))</f>
        <v>51500369.706658244</v>
      </c>
      <c r="Z142" s="10">
        <f t="shared" si="110"/>
        <v>2.2392306574905629E-3</v>
      </c>
      <c r="AA142" s="3">
        <f t="shared" si="130"/>
        <v>1.8798985399090987E-2</v>
      </c>
      <c r="AB142" s="3">
        <f t="shared" si="131"/>
        <v>7.8152177345765135E-3</v>
      </c>
      <c r="AC142" s="3">
        <f>IF($E$5="no",(1/((1+0.03+$Q$5)+AB142*3.141593*$S$5)),(1.075/((1+0.03+$Q$5)+AB142*3.141593*$S$5)))</f>
        <v>0.77514327770759839</v>
      </c>
      <c r="AD142" s="3">
        <f t="shared" si="132"/>
        <v>4.3225572521139538E-2</v>
      </c>
      <c r="AE142" s="1">
        <f t="shared" si="133"/>
        <v>0.67153848634708369</v>
      </c>
      <c r="AF142" s="1">
        <f>B142*$R$5/AE142</f>
        <v>1.0158432760994109</v>
      </c>
      <c r="AG142" s="8">
        <f t="shared" si="111"/>
        <v>1.1767257740404617E-3</v>
      </c>
      <c r="AH142" s="8"/>
      <c r="AI142" s="3">
        <f t="shared" si="112"/>
        <v>3.7739831412432867E-2</v>
      </c>
      <c r="AJ142" s="1">
        <f t="shared" si="113"/>
        <v>16.986406743461536</v>
      </c>
      <c r="AK142" s="1"/>
      <c r="AL142" s="1">
        <f t="shared" si="84"/>
        <v>5.8870602541348148E-2</v>
      </c>
      <c r="AM142" s="8">
        <f>AL142*(A142*9.80665)/(0.7*I142*B142*B142*$N$5)</f>
        <v>3.7739831412432874E-2</v>
      </c>
      <c r="AN142" s="1">
        <f>B142/$AI$5</f>
        <v>1</v>
      </c>
      <c r="AO142" s="1">
        <f>IF(B142&lt;0.4,1.3*(0.4-B142),0)</f>
        <v>0</v>
      </c>
      <c r="AP142" s="1">
        <f t="shared" si="114"/>
        <v>-0.43</v>
      </c>
      <c r="AQ142" s="1">
        <f t="shared" si="115"/>
        <v>0</v>
      </c>
      <c r="AR142" s="1">
        <f t="shared" si="134"/>
        <v>1</v>
      </c>
      <c r="AS142" s="1">
        <f t="shared" si="135"/>
        <v>0.30867472713898642</v>
      </c>
      <c r="AT142" s="1">
        <f>(((1+0.55*B142)/(1+0.55*$AI$5))/(AN142^2))</f>
        <v>1</v>
      </c>
      <c r="AU142" s="1">
        <f t="shared" si="136"/>
        <v>3.465254791234245E-2</v>
      </c>
      <c r="AV142" s="8">
        <f t="shared" si="137"/>
        <v>1.0890925396856836</v>
      </c>
      <c r="AW142" s="8">
        <f t="shared" si="116"/>
        <v>0.99658688333011258</v>
      </c>
      <c r="AX142" s="8"/>
      <c r="AY142" s="4"/>
      <c r="AZ142" s="1">
        <f t="shared" si="138"/>
        <v>0.30762118428221541</v>
      </c>
      <c r="BA142" s="14">
        <f t="shared" si="117"/>
        <v>0.29993065467516</v>
      </c>
      <c r="BB142" s="1"/>
      <c r="BC142" s="14">
        <f t="shared" si="118"/>
        <v>5.0947440951449714</v>
      </c>
      <c r="BD142" s="14">
        <f>IF(0.7*(AM142*(B142^3)/BA142)*(I142*L142*$N$5/43000000)&lt;$AH$5*(1-0.178*(C142/100)+0.0085*((C142/100)^2)),$AH$5*(1-0.178*(C142/100)+0.0085*((C142/100)^2)),0.7*(AM142*(B142^3)/BA142)*(I142*L142*$N$5/43000000))</f>
        <v>0.58458979211569639</v>
      </c>
      <c r="BE142" s="4">
        <f t="shared" si="139"/>
        <v>2.6321290079533727E-3</v>
      </c>
      <c r="BF142" s="4"/>
      <c r="BG142" s="1">
        <f t="shared" si="140"/>
        <v>1.0356370158742734</v>
      </c>
      <c r="BH142" s="1">
        <f>0.6*$AN$5*(1-0.53*((B142-$AM$5)^2))*(1+((2/3)*AV142))</f>
        <v>5.7798521811627523</v>
      </c>
      <c r="BJ142" s="1">
        <f t="shared" si="141"/>
        <v>5.6202980695031002</v>
      </c>
      <c r="BK142" s="5">
        <f t="shared" si="142"/>
        <v>27.054352665517435</v>
      </c>
      <c r="BL142" s="5">
        <f t="shared" si="119"/>
        <v>1.6535593202025867</v>
      </c>
      <c r="BM142" s="5">
        <f t="shared" si="152"/>
        <v>2.9926085693357596</v>
      </c>
      <c r="BN142" s="1">
        <f t="shared" si="121"/>
        <v>1.1819492067097179</v>
      </c>
      <c r="BO142" s="1">
        <f t="shared" si="143"/>
        <v>3.3439249856026416</v>
      </c>
      <c r="BP142" s="9">
        <f>(1+0.2*B142*B142)*K142</f>
        <v>241.19892737570004</v>
      </c>
      <c r="BQ142" s="9">
        <f t="shared" si="128"/>
        <v>721.81397697911348</v>
      </c>
      <c r="BR142" s="9">
        <f t="shared" si="129"/>
        <v>1394.0941464865562</v>
      </c>
      <c r="BS142" s="9">
        <f t="shared" si="122"/>
        <v>806.55111975216039</v>
      </c>
      <c r="BU142" s="9">
        <f>((1+0.2*B142*B142)^3.5)*I142</f>
        <v>26979.358093748997</v>
      </c>
      <c r="BV142" s="9">
        <f t="shared" si="123"/>
        <v>729909.06855756755</v>
      </c>
      <c r="BX142" s="3">
        <f t="shared" si="144"/>
        <v>2.2808927181717217E-2</v>
      </c>
      <c r="BZ142" s="3">
        <f t="shared" si="145"/>
        <v>4.2138714158024088E-2</v>
      </c>
      <c r="CA142"/>
      <c r="CB142" s="14">
        <f>$CB$12*($AO$5/K142)/($AN$5*(1-0.53*((B142-$AM$5)^2))*(1+0.2*B142*B142))</f>
        <v>1.3629629629629629</v>
      </c>
      <c r="CC142" s="1">
        <f t="shared" si="124"/>
        <v>1.9074074074074074</v>
      </c>
      <c r="CD142" s="3">
        <f t="shared" si="146"/>
        <v>6.6096526573542078E-2</v>
      </c>
      <c r="CE142" s="6">
        <f t="shared" si="147"/>
        <v>1.5685463568174856</v>
      </c>
      <c r="CF142" s="22" t="str">
        <f t="shared" si="125"/>
        <v/>
      </c>
      <c r="CG142" s="22"/>
      <c r="CH142" s="7">
        <f t="shared" si="148"/>
        <v>1.0329471728646504</v>
      </c>
      <c r="CI142" s="23">
        <f>CH142*(0.7*I142*B142*B142)*$N$5/9.80665</f>
        <v>94744.490020842815</v>
      </c>
      <c r="CK142" s="1">
        <f>B142/$AI$5</f>
        <v>1</v>
      </c>
      <c r="CL142" s="14">
        <f t="shared" si="126"/>
        <v>1.4515200000000053</v>
      </c>
      <c r="CM142" s="1">
        <f t="shared" si="149"/>
        <v>0.8569758833631711</v>
      </c>
      <c r="CN142" s="14">
        <f>SQRT((A142*9.80665)/(0.7*I142*$N$5*CM142))</f>
        <v>0.65101103973757235</v>
      </c>
      <c r="CO142" s="1">
        <f t="shared" si="150"/>
        <v>0.74805387088072772</v>
      </c>
      <c r="CP142" s="29" t="str">
        <f>IF(C142&lt;30,"",IF(CO142&gt;1,"no",""))</f>
        <v/>
      </c>
      <c r="CQ142" s="22"/>
      <c r="CR142" s="23">
        <f>CM142*(0.7*I142*B142*B142)*$N$5/9.80665</f>
        <v>78603.964619247694</v>
      </c>
      <c r="CS142"/>
      <c r="CT142" s="6">
        <f t="shared" si="151"/>
        <v>0.98170731707317083</v>
      </c>
      <c r="CU142" s="22" t="str">
        <f t="shared" si="127"/>
        <v/>
      </c>
      <c r="CV142" s="5"/>
      <c r="CW142" s="6">
        <f>IF(C142&lt;100,SQRT(2)*SQRT(SQRT(1+(2/1.4)*(10510/I142))-1),IF(I142&gt;$AW$5,SQRT(2)*SQRT(SQRT(1+(2/1.4)*($AV$5/I142))-1),$AS$5))</f>
        <v>0.82</v>
      </c>
      <c r="CX142" s="22" t="str">
        <f>IF(B142&gt;CW142,"no","")</f>
        <v/>
      </c>
    </row>
    <row r="143" spans="1:102" x14ac:dyDescent="0.2">
      <c r="A143">
        <v>58800</v>
      </c>
      <c r="B143" s="1">
        <v>0.75270000000000004</v>
      </c>
      <c r="C143" s="5">
        <v>403</v>
      </c>
      <c r="D143" s="1">
        <v>0</v>
      </c>
      <c r="E143" s="1">
        <v>0</v>
      </c>
      <c r="G143">
        <f t="shared" si="78"/>
        <v>40300</v>
      </c>
      <c r="H143" s="9">
        <f t="shared" si="79"/>
        <v>12283.440000049133</v>
      </c>
      <c r="I143" s="5">
        <f t="shared" si="103"/>
        <v>18485.429769836013</v>
      </c>
      <c r="J143" s="5">
        <v>0</v>
      </c>
      <c r="K143" s="6">
        <f t="shared" si="104"/>
        <v>216.65</v>
      </c>
      <c r="L143" s="5">
        <f t="shared" si="105"/>
        <v>295.06801842964956</v>
      </c>
      <c r="M143" s="10">
        <f t="shared" si="106"/>
        <v>1.4216130796413355E-5</v>
      </c>
      <c r="O143" s="6">
        <f>B143*L143</f>
        <v>222.09769747199724</v>
      </c>
      <c r="P143" s="1">
        <f>IF(E143=0,0,E143/9.80665)</f>
        <v>0</v>
      </c>
      <c r="Q143" s="7">
        <f>IF(D143=0,0,(D143/O143))</f>
        <v>0</v>
      </c>
      <c r="R143" s="19">
        <f t="shared" si="107"/>
        <v>1</v>
      </c>
      <c r="S143" s="19">
        <f t="shared" si="108"/>
        <v>0</v>
      </c>
      <c r="T143" s="19">
        <f t="shared" si="109"/>
        <v>0</v>
      </c>
      <c r="U143" s="19"/>
      <c r="V143" s="19"/>
      <c r="X143" s="1">
        <f>(A143*9.80665*R143)/(0.7*I143*B143*B143*$N$5)</f>
        <v>0.64260656750646783</v>
      </c>
      <c r="Y143" s="10">
        <f>(SQRT($N$5)*B143)*(I143/M143)*SQRT(1.4/(287.05*K143))</f>
        <v>51376753.99747324</v>
      </c>
      <c r="Z143" s="10">
        <f t="shared" si="110"/>
        <v>2.2399841604858759E-3</v>
      </c>
      <c r="AA143" s="3">
        <f t="shared" si="130"/>
        <v>1.8805311273453092E-2</v>
      </c>
      <c r="AB143" s="3">
        <f t="shared" si="131"/>
        <v>7.8178475619023972E-3</v>
      </c>
      <c r="AC143" s="3">
        <f>IF($E$5="no",(1/((1+0.03+$Q$5)+AB143*3.141593*$S$5)),(1.075/((1+0.03+$Q$5)+AB143*3.141593*$S$5)))</f>
        <v>0.77509612115556892</v>
      </c>
      <c r="AD143" s="3">
        <f t="shared" si="132"/>
        <v>4.3228202348465417E-2</v>
      </c>
      <c r="AE143" s="1">
        <f t="shared" si="133"/>
        <v>0.67135070300061428</v>
      </c>
      <c r="AF143" s="1">
        <f>B143*$R$5/AE143</f>
        <v>1.0161274173820845</v>
      </c>
      <c r="AG143" s="8">
        <f t="shared" si="111"/>
        <v>1.1813175948165494E-3</v>
      </c>
      <c r="AH143" s="8"/>
      <c r="AI143" s="3">
        <f t="shared" si="112"/>
        <v>3.783742110233506E-2</v>
      </c>
      <c r="AJ143" s="1">
        <f t="shared" si="113"/>
        <v>16.983360619860285</v>
      </c>
      <c r="AK143" s="1"/>
      <c r="AL143" s="1">
        <f t="shared" si="84"/>
        <v>5.8881161531163823E-2</v>
      </c>
      <c r="AM143" s="8">
        <f>AL143*(A143*9.80665)/(0.7*I143*B143*B143*$N$5)</f>
        <v>3.783742110233506E-2</v>
      </c>
      <c r="AN143" s="1">
        <f>B143/$AI$5</f>
        <v>1</v>
      </c>
      <c r="AO143" s="1">
        <f>IF(B143&lt;0.4,1.3*(0.4-B143),0)</f>
        <v>0</v>
      </c>
      <c r="AP143" s="1">
        <f t="shared" si="114"/>
        <v>-0.43</v>
      </c>
      <c r="AQ143" s="1">
        <f t="shared" si="115"/>
        <v>0</v>
      </c>
      <c r="AR143" s="1">
        <f t="shared" si="134"/>
        <v>1</v>
      </c>
      <c r="AS143" s="1">
        <f t="shared" si="135"/>
        <v>0.30867472713898642</v>
      </c>
      <c r="AT143" s="1">
        <f>(((1+0.55*B143)/(1+0.55*$AI$5))/(AN143^2))</f>
        <v>1</v>
      </c>
      <c r="AU143" s="1">
        <f t="shared" si="136"/>
        <v>3.465254791234245E-2</v>
      </c>
      <c r="AV143" s="8">
        <f t="shared" si="137"/>
        <v>1.0919087738670503</v>
      </c>
      <c r="AW143" s="8">
        <f t="shared" si="116"/>
        <v>0.9963676942330898</v>
      </c>
      <c r="AX143" s="8"/>
      <c r="AY143" s="4"/>
      <c r="AZ143" s="1">
        <f t="shared" si="138"/>
        <v>0.30755352614750003</v>
      </c>
      <c r="BA143" s="14">
        <f t="shared" si="117"/>
        <v>0.29986468799381255</v>
      </c>
      <c r="BB143" s="1"/>
      <c r="BC143" s="14">
        <f t="shared" si="118"/>
        <v>5.0927101333608071</v>
      </c>
      <c r="BD143" s="14">
        <f>IF(0.7*(AM143*(B143^3)/BA143)*(I143*L143*$N$5/43000000)&lt;$AH$5*(1-0.178*(C143/100)+0.0085*((C143/100)^2)),$AH$5*(1-0.178*(C143/100)+0.0085*((C143/100)^2)),0.7*(AM143*(B143^3)/BA143)*(I143*L143*$N$5/43000000))</f>
        <v>0.58482326962873743</v>
      </c>
      <c r="BE143" s="4">
        <f t="shared" si="139"/>
        <v>2.6331802458351636E-3</v>
      </c>
      <c r="BF143" s="4"/>
      <c r="BG143" s="1">
        <f t="shared" si="140"/>
        <v>1.03676350954682</v>
      </c>
      <c r="BH143" s="1">
        <f>0.6*$AN$5*(1-0.53*((B143-$AM$5)^2))*(1+((2/3)*AV143))</f>
        <v>5.7861391010106669</v>
      </c>
      <c r="BJ143" s="1">
        <f t="shared" si="141"/>
        <v>5.6133979571444721</v>
      </c>
      <c r="BK143" s="5">
        <f t="shared" si="142"/>
        <v>27.127982286310484</v>
      </c>
      <c r="BL143" s="5">
        <f t="shared" si="119"/>
        <v>1.655357946635243</v>
      </c>
      <c r="BM143" s="5">
        <f t="shared" si="152"/>
        <v>2.9953132049444422</v>
      </c>
      <c r="BN143" s="1">
        <f t="shared" si="121"/>
        <v>1.1823763759191792</v>
      </c>
      <c r="BO143" s="1">
        <f t="shared" si="143"/>
        <v>3.347103970089945</v>
      </c>
      <c r="BP143" s="9">
        <f>(1+0.2*B143*B143)*K143</f>
        <v>241.19892737570004</v>
      </c>
      <c r="BQ143" s="9">
        <f t="shared" si="128"/>
        <v>722.46633218686986</v>
      </c>
      <c r="BR143" s="9">
        <f t="shared" si="129"/>
        <v>1395.6105448103701</v>
      </c>
      <c r="BS143" s="9">
        <f t="shared" si="122"/>
        <v>807.31788740064189</v>
      </c>
      <c r="BU143" s="9">
        <f>((1+0.2*B143*B143)^3.5)*I143</f>
        <v>26914.599869621459</v>
      </c>
      <c r="BV143" s="9">
        <f t="shared" si="123"/>
        <v>730138.78850622545</v>
      </c>
      <c r="BX143" s="3">
        <f t="shared" si="144"/>
        <v>2.2839905721300461E-2</v>
      </c>
      <c r="BZ143" s="3">
        <f t="shared" si="145"/>
        <v>4.2246887837141416E-2</v>
      </c>
      <c r="CA143"/>
      <c r="CB143" s="14">
        <f>$CB$12*($AO$5/K143)/($AN$5*(1-0.53*((B143-$AM$5)^2))*(1+0.2*B143*B143))</f>
        <v>1.3629629629629629</v>
      </c>
      <c r="CC143" s="1">
        <f t="shared" si="124"/>
        <v>1.9074074074074074</v>
      </c>
      <c r="CD143" s="3">
        <f t="shared" si="146"/>
        <v>6.6096526573542078E-2</v>
      </c>
      <c r="CE143" s="6">
        <f t="shared" si="147"/>
        <v>1.5645300744599042</v>
      </c>
      <c r="CF143" s="22" t="str">
        <f t="shared" si="125"/>
        <v/>
      </c>
      <c r="CG143" s="22"/>
      <c r="CH143" s="7">
        <f t="shared" si="148"/>
        <v>1.0327934893701407</v>
      </c>
      <c r="CI143" s="23">
        <f>CH143*(0.7*I143*B143*B143)*$N$5/9.80665</f>
        <v>94503.013578915939</v>
      </c>
      <c r="CK143" s="1">
        <f>B143/$AI$5</f>
        <v>1</v>
      </c>
      <c r="CL143" s="14">
        <f t="shared" si="126"/>
        <v>1.4515200000000053</v>
      </c>
      <c r="CM143" s="1">
        <f t="shared" si="149"/>
        <v>0.8569758833631711</v>
      </c>
      <c r="CN143" s="14">
        <f>SQRT((A143*9.80665)/(0.7*I143*$N$5*CM143))</f>
        <v>0.65179375600668721</v>
      </c>
      <c r="CO143" s="1">
        <f t="shared" si="150"/>
        <v>0.74985373565540892</v>
      </c>
      <c r="CP143" s="29" t="str">
        <f>IF(C143&lt;30,"",IF(CO143&gt;1,"no",""))</f>
        <v/>
      </c>
      <c r="CQ143" s="22"/>
      <c r="CR143" s="23">
        <f>CM143*(0.7*I143*B143*B143)*$N$5/9.80665</f>
        <v>78415.29248181438</v>
      </c>
      <c r="CS143"/>
      <c r="CT143" s="6">
        <f t="shared" si="151"/>
        <v>0.98292682926829278</v>
      </c>
      <c r="CU143" s="22" t="str">
        <f t="shared" si="127"/>
        <v/>
      </c>
      <c r="CV143" s="5"/>
      <c r="CW143" s="6">
        <f>IF(C143&lt;100,SQRT(2)*SQRT(SQRT(1+(2/1.4)*(10510/I143))-1),IF(I143&gt;$AW$5,SQRT(2)*SQRT(SQRT(1+(2/1.4)*($AV$5/I143))-1),$AS$5))</f>
        <v>0.82</v>
      </c>
      <c r="CX143" s="22" t="str">
        <f>IF(B143&gt;CW143,"no","")</f>
        <v/>
      </c>
    </row>
    <row r="144" spans="1:102" x14ac:dyDescent="0.2">
      <c r="A144">
        <v>58800</v>
      </c>
      <c r="B144" s="1">
        <v>0.75270000000000004</v>
      </c>
      <c r="C144" s="5">
        <v>403.5</v>
      </c>
      <c r="D144" s="1">
        <v>0</v>
      </c>
      <c r="E144" s="1">
        <v>0</v>
      </c>
      <c r="G144">
        <f t="shared" si="78"/>
        <v>40350</v>
      </c>
      <c r="H144" s="9">
        <f t="shared" si="79"/>
        <v>12298.680000049195</v>
      </c>
      <c r="I144" s="5">
        <f t="shared" si="103"/>
        <v>18441.059418252065</v>
      </c>
      <c r="J144" s="5">
        <v>0</v>
      </c>
      <c r="K144" s="6">
        <f t="shared" si="104"/>
        <v>216.65</v>
      </c>
      <c r="L144" s="5">
        <f t="shared" si="105"/>
        <v>295.06801842964956</v>
      </c>
      <c r="M144" s="10">
        <f t="shared" si="106"/>
        <v>1.4216130796413355E-5</v>
      </c>
      <c r="O144" s="6">
        <f>B144*L144</f>
        <v>222.09769747199724</v>
      </c>
      <c r="P144" s="1">
        <f>IF(E144=0,0,E144/9.80665)</f>
        <v>0</v>
      </c>
      <c r="Q144" s="7">
        <f>IF(D144=0,0,(D144/O144))</f>
        <v>0</v>
      </c>
      <c r="R144" s="7">
        <f t="shared" si="107"/>
        <v>1</v>
      </c>
      <c r="S144" s="7">
        <f t="shared" si="108"/>
        <v>0</v>
      </c>
      <c r="T144" s="7">
        <f t="shared" si="109"/>
        <v>0</v>
      </c>
      <c r="U144" s="7"/>
      <c r="V144" s="7"/>
      <c r="X144" s="1">
        <f>(A144*9.80665*R144)/(0.7*I144*B144*B144*$N$5)</f>
        <v>0.64415271942126473</v>
      </c>
      <c r="Y144" s="10">
        <f>(SQRT($N$5)*B144)*(I144/M144)*SQRT(1.4/(287.05*K144))</f>
        <v>51253435.001567088</v>
      </c>
      <c r="Z144" s="10">
        <f t="shared" si="110"/>
        <v>2.2407379170355786E-3</v>
      </c>
      <c r="AA144" s="3">
        <f t="shared" si="130"/>
        <v>1.8811639276477225E-2</v>
      </c>
      <c r="AB144" s="3">
        <f t="shared" si="131"/>
        <v>7.820478274167382E-3</v>
      </c>
      <c r="AC144" s="3">
        <f>IF($E$5="no",(1/((1+0.03+$Q$5)+AB144*3.141593*$S$5)),(1.075/((1+0.03+$Q$5)+AB144*3.141593*$S$5)))</f>
        <v>0.77504895447549127</v>
      </c>
      <c r="AD144" s="3">
        <f t="shared" si="132"/>
        <v>4.3230833060730396E-2</v>
      </c>
      <c r="AE144" s="1">
        <f t="shared" si="133"/>
        <v>0.67116246783557443</v>
      </c>
      <c r="AF144" s="1">
        <f>B144*$R$5/AE144</f>
        <v>1.0164124018996623</v>
      </c>
      <c r="AG144" s="8">
        <f t="shared" si="111"/>
        <v>1.1859354157951715E-3</v>
      </c>
      <c r="AH144" s="8"/>
      <c r="AI144" s="3">
        <f t="shared" si="112"/>
        <v>3.7935462098723678E-2</v>
      </c>
      <c r="AJ144" s="1">
        <f t="shared" si="113"/>
        <v>16.980225988678203</v>
      </c>
      <c r="AK144" s="1"/>
      <c r="AL144" s="1">
        <f t="shared" si="84"/>
        <v>5.8892031276071566E-2</v>
      </c>
      <c r="AM144" s="8">
        <f>AL144*(A144*9.80665)/(0.7*I144*B144*B144*$N$5)</f>
        <v>3.7935462098723678E-2</v>
      </c>
      <c r="AN144" s="1">
        <f>B144/$AI$5</f>
        <v>1</v>
      </c>
      <c r="AO144" s="1">
        <f>IF(B144&lt;0.4,1.3*(0.4-B144),0)</f>
        <v>0</v>
      </c>
      <c r="AP144" s="1">
        <f t="shared" si="114"/>
        <v>-0.43</v>
      </c>
      <c r="AQ144" s="1">
        <f t="shared" si="115"/>
        <v>0</v>
      </c>
      <c r="AR144" s="1">
        <f t="shared" si="134"/>
        <v>1</v>
      </c>
      <c r="AS144" s="1">
        <f t="shared" si="135"/>
        <v>0.30867472713898642</v>
      </c>
      <c r="AT144" s="1">
        <f>(((1+0.55*B144)/(1+0.55*$AI$5))/(AN144^2))</f>
        <v>1</v>
      </c>
      <c r="AU144" s="1">
        <f t="shared" si="136"/>
        <v>3.465254791234245E-2</v>
      </c>
      <c r="AV144" s="8">
        <f t="shared" si="137"/>
        <v>1.0947380318089663</v>
      </c>
      <c r="AW144" s="8">
        <f t="shared" si="116"/>
        <v>0.99614062329145425</v>
      </c>
      <c r="AX144" s="8"/>
      <c r="AY144" s="4"/>
      <c r="AZ144" s="1">
        <f t="shared" si="138"/>
        <v>0.30748343508654952</v>
      </c>
      <c r="BA144" s="14">
        <f t="shared" si="117"/>
        <v>0.29979634920938575</v>
      </c>
      <c r="BB144" s="1"/>
      <c r="BC144" s="14">
        <f t="shared" si="118"/>
        <v>5.0906097601560578</v>
      </c>
      <c r="BD144" s="14">
        <f>IF(0.7*(AM144*(B144^3)/BA144)*(I144*L144*$N$5/43000000)&lt;$AH$5*(1-0.178*(C144/100)+0.0085*((C144/100)^2)),$AH$5*(1-0.178*(C144/100)+0.0085*((C144/100)^2)),0.7*(AM144*(B144^3)/BA144)*(I144*L144*$N$5/43000000))</f>
        <v>0.58506456628727432</v>
      </c>
      <c r="BE144" s="4">
        <f t="shared" si="139"/>
        <v>2.6342666895997021E-3</v>
      </c>
      <c r="BF144" s="4"/>
      <c r="BG144" s="1">
        <f t="shared" si="140"/>
        <v>1.0378952127235863</v>
      </c>
      <c r="BH144" s="1">
        <f>0.6*$AN$5*(1-0.53*((B144-$AM$5)^2))*(1+((2/3)*AV144))</f>
        <v>5.7924550949104603</v>
      </c>
      <c r="BJ144" s="1">
        <f t="shared" si="141"/>
        <v>5.6064819965430086</v>
      </c>
      <c r="BK144" s="5">
        <f t="shared" si="142"/>
        <v>27.202073345088994</v>
      </c>
      <c r="BL144" s="5">
        <f t="shared" si="119"/>
        <v>1.6571648908704926</v>
      </c>
      <c r="BM144" s="5">
        <f t="shared" si="152"/>
        <v>2.9980298480430285</v>
      </c>
      <c r="BN144" s="1">
        <f t="shared" si="121"/>
        <v>1.1828052086785616</v>
      </c>
      <c r="BO144" s="1">
        <f t="shared" si="143"/>
        <v>3.3503018962203153</v>
      </c>
      <c r="BP144" s="9">
        <f>(1+0.2*B144*B144)*K144</f>
        <v>241.19892737570004</v>
      </c>
      <c r="BQ144" s="9">
        <f t="shared" si="128"/>
        <v>723.12158358831141</v>
      </c>
      <c r="BR144" s="9">
        <f t="shared" si="129"/>
        <v>1397.1339557643118</v>
      </c>
      <c r="BS144" s="9">
        <f t="shared" si="122"/>
        <v>808.08922375311397</v>
      </c>
      <c r="BU144" s="9">
        <f>((1+0.2*B144*B144)^3.5)*I144</f>
        <v>26849.997083869348</v>
      </c>
      <c r="BV144" s="9">
        <f t="shared" si="123"/>
        <v>730375.58999083959</v>
      </c>
      <c r="BX144" s="3">
        <f t="shared" si="144"/>
        <v>2.2871033306453941E-2</v>
      </c>
      <c r="BZ144" s="3">
        <f t="shared" si="145"/>
        <v>4.2355538288490487E-2</v>
      </c>
      <c r="CA144"/>
      <c r="CB144" s="14">
        <f>$CB$12*($AO$5/K144)/($AN$5*(1-0.53*((B144-$AM$5)^2))*(1+0.2*B144*B144))</f>
        <v>1.3629629629629629</v>
      </c>
      <c r="CC144" s="1">
        <f t="shared" si="124"/>
        <v>1.9074074074074074</v>
      </c>
      <c r="CD144" s="3">
        <f t="shared" si="146"/>
        <v>6.6096526573542078E-2</v>
      </c>
      <c r="CE144" s="6">
        <f t="shared" si="147"/>
        <v>1.5605167410067569</v>
      </c>
      <c r="CF144" s="22" t="str">
        <f t="shared" si="125"/>
        <v/>
      </c>
      <c r="CG144" s="22"/>
      <c r="CH144" s="7">
        <f t="shared" si="148"/>
        <v>1.0326394760861906</v>
      </c>
      <c r="CI144" s="23">
        <f>CH144*(0.7*I144*B144*B144)*$N$5/9.80665</f>
        <v>94262.120399679159</v>
      </c>
      <c r="CK144" s="1">
        <f>B144/$AI$5</f>
        <v>1</v>
      </c>
      <c r="CL144" s="14">
        <f t="shared" si="126"/>
        <v>1.4515200000000053</v>
      </c>
      <c r="CM144" s="1">
        <f t="shared" si="149"/>
        <v>0.8569758833631711</v>
      </c>
      <c r="CN144" s="14">
        <f>SQRT((A144*9.80665)/(0.7*I144*$N$5*CM144))</f>
        <v>0.65257741334242059</v>
      </c>
      <c r="CO144" s="1">
        <f t="shared" si="150"/>
        <v>0.75165793101821077</v>
      </c>
      <c r="CP144" s="29" t="str">
        <f>IF(C144&lt;30,"",IF(CO144&gt;1,"no",""))</f>
        <v/>
      </c>
      <c r="CQ144" s="22"/>
      <c r="CR144" s="23">
        <f>CM144*(0.7*I144*B144*B144)*$N$5/9.80665</f>
        <v>78227.073211811046</v>
      </c>
      <c r="CS144"/>
      <c r="CT144" s="6">
        <f t="shared" si="151"/>
        <v>0.98414634146341473</v>
      </c>
      <c r="CU144" s="22" t="str">
        <f t="shared" si="127"/>
        <v/>
      </c>
      <c r="CV144" s="5"/>
      <c r="CW144" s="6">
        <f>IF(C144&lt;100,SQRT(2)*SQRT(SQRT(1+(2/1.4)*(10510/I144))-1),IF(I144&gt;$AW$5,SQRT(2)*SQRT(SQRT(1+(2/1.4)*($AV$5/I144))-1),$AS$5))</f>
        <v>0.82</v>
      </c>
      <c r="CX144" s="22" t="str">
        <f>IF(B144&gt;CW144,"no","")</f>
        <v/>
      </c>
    </row>
    <row r="145" spans="1:102" x14ac:dyDescent="0.2">
      <c r="A145">
        <v>58800</v>
      </c>
      <c r="B145" s="1">
        <v>0.75270000000000004</v>
      </c>
      <c r="C145" s="5">
        <v>404</v>
      </c>
      <c r="D145" s="1">
        <v>0</v>
      </c>
      <c r="E145" s="1">
        <v>0</v>
      </c>
      <c r="G145">
        <f t="shared" ref="G145:G166" si="153">C145*100</f>
        <v>40400</v>
      </c>
      <c r="H145" s="9">
        <f t="shared" ref="H145:H166" si="154">G145/3.280839895</f>
        <v>12313.920000049255</v>
      </c>
      <c r="I145" s="5">
        <f t="shared" si="103"/>
        <v>18396.795568281785</v>
      </c>
      <c r="J145" s="5">
        <v>0</v>
      </c>
      <c r="K145" s="6">
        <f t="shared" si="104"/>
        <v>216.65</v>
      </c>
      <c r="L145" s="5">
        <f t="shared" si="105"/>
        <v>295.06801842964956</v>
      </c>
      <c r="M145" s="10">
        <f t="shared" si="106"/>
        <v>1.4216130796413355E-5</v>
      </c>
      <c r="O145" s="6">
        <f>B145*L145</f>
        <v>222.09769747199724</v>
      </c>
      <c r="P145" s="1">
        <f>IF(E145=0,0,E145/9.80665)</f>
        <v>0</v>
      </c>
      <c r="Q145" s="7">
        <f>IF(D145=0,0,(D145/O145))</f>
        <v>0</v>
      </c>
      <c r="R145" s="7">
        <f t="shared" si="107"/>
        <v>1</v>
      </c>
      <c r="S145" s="7">
        <f t="shared" si="108"/>
        <v>0</v>
      </c>
      <c r="T145" s="7">
        <f t="shared" si="109"/>
        <v>0</v>
      </c>
      <c r="U145" s="7"/>
      <c r="V145" s="7"/>
      <c r="X145" s="1">
        <f>(A145*9.80665*R145)/(0.7*I145*B145*B145*$N$5)</f>
        <v>0.64570259147504627</v>
      </c>
      <c r="Y145" s="10">
        <f>(SQRT($N$5)*B145)*(I145/M145)*SQRT(1.4/(287.05*K145))</f>
        <v>51130412.006742537</v>
      </c>
      <c r="Z145" s="10">
        <f t="shared" si="110"/>
        <v>2.2414919272249921E-3</v>
      </c>
      <c r="AA145" s="3">
        <f t="shared" ref="AA145:AA166" si="155">$U$5*Z145</f>
        <v>1.8817969408879677E-2</v>
      </c>
      <c r="AB145" s="3">
        <f t="shared" ref="AB145:AB166" si="156">0.8*(1-0.53*$R$5)*AA145</f>
        <v>7.8231098716692489E-3</v>
      </c>
      <c r="AC145" s="3">
        <f>IF($E$5="no",(1/((1+0.03+$Q$5)+AB145*3.141593*$S$5)),(1.075/((1+0.03+$Q$5)+AB145*3.141593*$S$5)))</f>
        <v>0.7750017776667727</v>
      </c>
      <c r="AD145" s="3">
        <f t="shared" ref="AD145:AD166" si="157">1/(3.141593*$S$5*AC145)</f>
        <v>4.3233464658232267E-2</v>
      </c>
      <c r="AE145" s="1">
        <f t="shared" ref="AE145:AE166" si="158">$W$5-0.1*(X145/($R$5*$R$5))</f>
        <v>0.67097377976486017</v>
      </c>
      <c r="AF145" s="1">
        <f>B145*$R$5/AE145</f>
        <v>1.0166982325847773</v>
      </c>
      <c r="AG145" s="8">
        <f t="shared" si="111"/>
        <v>1.1905796105677986E-3</v>
      </c>
      <c r="AH145" s="8"/>
      <c r="AI145" s="3">
        <f t="shared" si="112"/>
        <v>3.803395684361062E-2</v>
      </c>
      <c r="AJ145" s="1">
        <f t="shared" si="113"/>
        <v>16.977002790692254</v>
      </c>
      <c r="AK145" s="1"/>
      <c r="AL145" s="1">
        <f t="shared" ref="AL145:AL166" si="159">(R145/AJ145)+Q145+P145</f>
        <v>5.8903212323688614E-2</v>
      </c>
      <c r="AM145" s="8">
        <f>AL145*(A145*9.80665)/(0.7*I145*B145*B145*$N$5)</f>
        <v>3.8033956843610627E-2</v>
      </c>
      <c r="AN145" s="1">
        <f>B145/$AI$5</f>
        <v>1</v>
      </c>
      <c r="AO145" s="1">
        <f>IF(B145&lt;0.4,1.3*(0.4-B145),0)</f>
        <v>0</v>
      </c>
      <c r="AP145" s="1">
        <f t="shared" si="114"/>
        <v>-0.43</v>
      </c>
      <c r="AQ145" s="1">
        <f t="shared" si="115"/>
        <v>0</v>
      </c>
      <c r="AR145" s="1">
        <f t="shared" ref="AR145:AR166" si="160">AN145^$AL$5</f>
        <v>1</v>
      </c>
      <c r="AS145" s="1">
        <f t="shared" ref="AS145:AS166" si="161">AR145*$AK$5*($AI$5^$AL$5)</f>
        <v>0.30867472713898642</v>
      </c>
      <c r="AT145" s="1">
        <f>(((1+0.55*B145)/(1+0.55*$AI$5))/(AN145^2))</f>
        <v>1</v>
      </c>
      <c r="AU145" s="1">
        <f t="shared" ref="AU145:AU166" si="162">AT145*$AJ$5</f>
        <v>3.465254791234245E-2</v>
      </c>
      <c r="AV145" s="8">
        <f t="shared" ref="AV145:AV166" si="163">AM145/AU145</f>
        <v>1.0975803839827833</v>
      </c>
      <c r="AW145" s="8">
        <f t="shared" si="116"/>
        <v>0.99590556952456222</v>
      </c>
      <c r="AX145" s="8"/>
      <c r="AY145" s="4"/>
      <c r="AZ145" s="1">
        <f t="shared" ref="AZ145:AZ166" si="164">AW145*AS145</f>
        <v>0.30741087992919108</v>
      </c>
      <c r="BA145" s="14">
        <f t="shared" si="117"/>
        <v>0.29972560793096131</v>
      </c>
      <c r="BB145" s="1"/>
      <c r="BC145" s="14">
        <f t="shared" si="118"/>
        <v>5.0884424822858625</v>
      </c>
      <c r="BD145" s="14">
        <f>IF(0.7*(AM145*(B145^3)/BA145)*(I145*L145*$N$5/43000000)&lt;$AH$5*(1-0.178*(C145/100)+0.0085*((C145/100)^2)),$AH$5*(1-0.178*(C145/100)+0.0085*((C145/100)^2)),0.7*(AM145*(B145^3)/BA145)*(I145*L145*$N$5/43000000))</f>
        <v>0.5853137579587071</v>
      </c>
      <c r="BE145" s="4">
        <f t="shared" ref="BE145:BE166" si="165">BD145/O145</f>
        <v>2.6353886808417062E-3</v>
      </c>
      <c r="BF145" s="4"/>
      <c r="BG145" s="1">
        <f t="shared" ref="BG145:BG166" si="166">0.6*(1+(2/3)*AV145)</f>
        <v>1.0390321535931133</v>
      </c>
      <c r="BH145" s="1">
        <f>0.6*$AN$5*(1-0.53*((B145-$AM$5)^2))*(1+((2/3)*AV145))</f>
        <v>5.7988003201813436</v>
      </c>
      <c r="BJ145" s="1">
        <f t="shared" ref="BJ145:BJ166" si="167">$AD$5*($AP$5^1.13)/(BH145^1.13)</f>
        <v>5.5995501830950838</v>
      </c>
      <c r="BK145" s="5">
        <f t="shared" ref="BK145:BK166" si="168">($AC$5/($AP$5^2.5))*(BH145^2.5)</f>
        <v>27.276629432400451</v>
      </c>
      <c r="BL145" s="5">
        <f t="shared" si="119"/>
        <v>1.6589801979158265</v>
      </c>
      <c r="BM145" s="5">
        <f t="shared" si="152"/>
        <v>3.0007585599992246</v>
      </c>
      <c r="BN145" s="1">
        <f t="shared" si="121"/>
        <v>1.183235711912465</v>
      </c>
      <c r="BO145" s="1">
        <f t="shared" ref="BO145:BO166" si="169">BH145-(1005/1244)*(BJ145*(BN145-1)+(BM145-1))</f>
        <v>3.3535188854472864</v>
      </c>
      <c r="BP145" s="9">
        <f>(1+0.2*B145*B145)*K145</f>
        <v>241.19892737570004</v>
      </c>
      <c r="BQ145" s="9">
        <f t="shared" si="128"/>
        <v>723.77974598526316</v>
      </c>
      <c r="BR145" s="9">
        <f t="shared" si="129"/>
        <v>1398.664417293606</v>
      </c>
      <c r="BS145" s="9">
        <f t="shared" si="122"/>
        <v>808.86515810403853</v>
      </c>
      <c r="BU145" s="9">
        <f>((1+0.2*B145*B145)^3.5)*I145</f>
        <v>26785.549363395839</v>
      </c>
      <c r="BV145" s="9">
        <f t="shared" si="123"/>
        <v>730619.50412861817</v>
      </c>
      <c r="BX145" s="3">
        <f t="shared" ref="BX145:BX166" si="170">(($BX$10*(BH145-(298/BP145))-(BM145-(298/BP145)))/(($BX$13/($BX$9*BP145))-$BX$10*(BH145-(298/BP145))+$BX$12*(1-(298/BP145))))/$BX$14</f>
        <v>2.2902310789792508E-2</v>
      </c>
      <c r="BZ145" s="3">
        <f t="shared" ref="BZ145:BZ166" si="171">IF(AM145&gt;(X145*((1/AJ145)+(1.524/O145))),AM145,(X145*((1/AJ145)+(1.524/O145))))</f>
        <v>4.2464668015355402E-2</v>
      </c>
      <c r="CA145"/>
      <c r="CB145" s="14">
        <f>$CB$12*($AO$5/K145)/($AN$5*(1-0.53*((B145-$AM$5)^2))*(1+0.2*B145*B145))</f>
        <v>1.3629629629629629</v>
      </c>
      <c r="CC145" s="1">
        <f t="shared" si="124"/>
        <v>1.9074074074074074</v>
      </c>
      <c r="CD145" s="3">
        <f t="shared" ref="CD145:CD166" si="172">CC145*AU145</f>
        <v>6.6096526573542078E-2</v>
      </c>
      <c r="CE145" s="6">
        <f t="shared" ref="CE145:CE166" si="173">CD145/BZ145</f>
        <v>1.5565063772461685</v>
      </c>
      <c r="CF145" s="22" t="str">
        <f t="shared" si="125"/>
        <v/>
      </c>
      <c r="CG145" s="22"/>
      <c r="CH145" s="7">
        <f t="shared" ref="CH145:CH166" si="174">SQRT(((CD145-AA145-AG145)/AD145)+(((Q145+P145)/(2*AD145))^2))-((Q145+P145)/(2*AD145))</f>
        <v>1.032485128734445</v>
      </c>
      <c r="CI145" s="23">
        <f>CH145*(0.7*I145*B145*B145)*$N$5/9.80665</f>
        <v>94021.808757029838</v>
      </c>
      <c r="CK145" s="1">
        <f>B145/$AI$5</f>
        <v>1</v>
      </c>
      <c r="CL145" s="14">
        <f t="shared" si="126"/>
        <v>1.4515200000000053</v>
      </c>
      <c r="CM145" s="1">
        <f t="shared" ref="CM145:CM166" si="175">CL145*$Z$5</f>
        <v>0.8569758833631711</v>
      </c>
      <c r="CN145" s="14">
        <f>SQRT((A145*9.80665)/(0.7*I145*$N$5*CM145))</f>
        <v>0.65336201287622542</v>
      </c>
      <c r="CO145" s="1">
        <f t="shared" ref="CO145:CO166" si="176">X145/CM145</f>
        <v>0.75346646738880163</v>
      </c>
      <c r="CP145" s="29" t="str">
        <f>IF(C145&lt;30,"",IF(CO145&gt;1,"no",""))</f>
        <v/>
      </c>
      <c r="CQ145" s="22"/>
      <c r="CR145" s="23">
        <f>CM145*(0.7*I145*B145*B145)*$N$5/9.80665</f>
        <v>78039.305722225574</v>
      </c>
      <c r="CS145"/>
      <c r="CT145" s="6">
        <f t="shared" ref="CT145:CT166" si="177">C145/$AT$5</f>
        <v>0.98536585365853668</v>
      </c>
      <c r="CU145" s="22" t="str">
        <f t="shared" si="127"/>
        <v/>
      </c>
      <c r="CV145" s="5"/>
      <c r="CW145" s="6">
        <f>IF(C145&lt;100,SQRT(2)*SQRT(SQRT(1+(2/1.4)*(10510/I145))-1),IF(I145&gt;$AW$5,SQRT(2)*SQRT(SQRT(1+(2/1.4)*($AV$5/I145))-1),$AS$5))</f>
        <v>0.82</v>
      </c>
      <c r="CX145" s="22" t="str">
        <f>IF(B145&gt;CW145,"no","")</f>
        <v/>
      </c>
    </row>
    <row r="146" spans="1:102" x14ac:dyDescent="0.2">
      <c r="A146">
        <v>58800</v>
      </c>
      <c r="B146" s="1">
        <v>0.75270000000000004</v>
      </c>
      <c r="C146" s="5">
        <v>404.5</v>
      </c>
      <c r="D146" s="1">
        <v>0</v>
      </c>
      <c r="E146" s="1">
        <v>0</v>
      </c>
      <c r="G146">
        <f t="shared" si="153"/>
        <v>40450</v>
      </c>
      <c r="H146" s="9">
        <f t="shared" si="154"/>
        <v>12329.160000049316</v>
      </c>
      <c r="I146" s="5">
        <f t="shared" ref="I146:I166" si="178">IF(H146&lt;11000,101325*((1-(0.0000225577*H146))^5.255879813),22632.04*EXP((-0.0001576885243)*(H146-11000)))</f>
        <v>18352.637964290632</v>
      </c>
      <c r="J146" s="5">
        <v>0</v>
      </c>
      <c r="K146" s="6">
        <f t="shared" ref="K146:K166" si="179">IF(H146&gt;11000,216.65+J146,288.15+J146-0.0065*H146)</f>
        <v>216.65</v>
      </c>
      <c r="L146" s="5">
        <f t="shared" ref="L146:L166" si="180">SQRT(1.4*287.05*K146)</f>
        <v>295.06801842964956</v>
      </c>
      <c r="M146" s="10">
        <f t="shared" ref="M146:M166" si="181">0.000001458*(K146^1.5)/(110.4+K146)</f>
        <v>1.4216130796413355E-5</v>
      </c>
      <c r="O146" s="6">
        <f>B146*L146</f>
        <v>222.09769747199724</v>
      </c>
      <c r="P146" s="1">
        <f>IF(E146=0,0,E146/9.80665)</f>
        <v>0</v>
      </c>
      <c r="Q146" s="7">
        <f>IF(D146=0,0,(D146/O146))</f>
        <v>0</v>
      </c>
      <c r="R146" s="19">
        <f t="shared" ref="R146:R166" si="182">SQRT(1-Q146*Q146)</f>
        <v>1</v>
      </c>
      <c r="S146" s="19">
        <f t="shared" ref="S146:S166" si="183">Q146/R146</f>
        <v>0</v>
      </c>
      <c r="T146" s="19">
        <f t="shared" ref="T146:T166" si="184">ASIN(Q146)*180/3.141593</f>
        <v>0</v>
      </c>
      <c r="U146" s="19"/>
      <c r="V146" s="19"/>
      <c r="X146" s="1">
        <f>(A146*9.80665*R146)/(0.7*I146*B146*B146*$N$5)</f>
        <v>0.64725619261870171</v>
      </c>
      <c r="Y146" s="10">
        <f>(SQRT($N$5)*B146)*(I146/M146)*SQRT(1.4/(287.05*K146))</f>
        <v>51007684.302511752</v>
      </c>
      <c r="Z146" s="10">
        <f t="shared" ref="Z146:Z166" si="185">0.0269/(Y146^0.14)</f>
        <v>2.2422461911394678E-3</v>
      </c>
      <c r="AA146" s="3">
        <f t="shared" si="155"/>
        <v>1.8824301671377004E-2</v>
      </c>
      <c r="AB146" s="3">
        <f t="shared" si="156"/>
        <v>7.8257423547058863E-3</v>
      </c>
      <c r="AC146" s="3">
        <f>IF($E$5="no",(1/((1+0.03+$Q$5)+AB146*3.141593*$S$5)),(1.075/((1+0.03+$Q$5)+AB146*3.141593*$S$5)))</f>
        <v>0.77495459072882111</v>
      </c>
      <c r="AD146" s="3">
        <f t="shared" si="157"/>
        <v>4.32360971412689E-2</v>
      </c>
      <c r="AE146" s="1">
        <f t="shared" si="158"/>
        <v>0.67078463769875185</v>
      </c>
      <c r="AF146" s="1">
        <f>B146*$R$5/AE146</f>
        <v>1.0169849123826027</v>
      </c>
      <c r="AG146" s="8">
        <f t="shared" ref="AG146:AG166" si="186">IF(AF146&lt;$X$5,0,IF(AF146&lt;$V$5,($R$5^3)*$Y$5*((AF146-$X$5)^2),($R$5^3)*$Y$5*((AF146-$X$5)^2)+40*((AF146-$V$5)^4)))</f>
        <v>1.195250564050819E-3</v>
      </c>
      <c r="AH146" s="8"/>
      <c r="AI146" s="3">
        <f t="shared" ref="AI146:AI166" si="187">AA146+AD146*X146*X146+AG146</f>
        <v>3.8132907800443795E-2</v>
      </c>
      <c r="AJ146" s="1">
        <f t="shared" ref="AJ146:AJ166" si="188">X146/AI146</f>
        <v>16.97369096544924</v>
      </c>
      <c r="AK146" s="1"/>
      <c r="AL146" s="1">
        <f t="shared" si="159"/>
        <v>5.8914705236212193E-2</v>
      </c>
      <c r="AM146" s="8">
        <f>AL146*(A146*9.80665)/(0.7*I146*B146*B146*$N$5)</f>
        <v>3.8132907800443788E-2</v>
      </c>
      <c r="AN146" s="1">
        <f>B146/$AI$5</f>
        <v>1</v>
      </c>
      <c r="AO146" s="1">
        <f>IF(B146&lt;0.4,1.3*(0.4-B146),0)</f>
        <v>0</v>
      </c>
      <c r="AP146" s="1">
        <f t="shared" ref="AP146:AP166" si="189">AO146-0.43</f>
        <v>-0.43</v>
      </c>
      <c r="AQ146" s="1">
        <f t="shared" ref="AQ146:AQ166" si="190">AO146*0.43</f>
        <v>0</v>
      </c>
      <c r="AR146" s="1">
        <f t="shared" si="160"/>
        <v>1</v>
      </c>
      <c r="AS146" s="1">
        <f t="shared" si="161"/>
        <v>0.30867472713898642</v>
      </c>
      <c r="AT146" s="1">
        <f>(((1+0.55*B146)/(1+0.55*$AI$5))/(AN146^2))</f>
        <v>1</v>
      </c>
      <c r="AU146" s="1">
        <f t="shared" si="162"/>
        <v>3.465254791234245E-2</v>
      </c>
      <c r="AV146" s="8">
        <f t="shared" si="163"/>
        <v>1.1004359014784513</v>
      </c>
      <c r="AW146" s="8">
        <f t="shared" ref="AW146:AW166" si="191">IF(AV146&lt;0.3,6.56*(1+0.8244*AO146)*AV146-19.43*(1+1.053*AO146)*(AV146^2)+21.11*(1+1.063*AO146)*(AV146^3),(1-0.43*((AV146-1)^2))*((1+AO146*((AV146-1)^2))))</f>
        <v>0.99566243076851069</v>
      </c>
      <c r="AX146" s="8"/>
      <c r="AY146" s="4"/>
      <c r="AZ146" s="1">
        <f t="shared" si="164"/>
        <v>0.30733582914001001</v>
      </c>
      <c r="BA146" s="14">
        <f t="shared" ref="BA146:BA165" si="192">$BA$14*AZ146</f>
        <v>0.29965243341150977</v>
      </c>
      <c r="BB146" s="1"/>
      <c r="BC146" s="14">
        <f t="shared" ref="BC146:BC166" si="193">BA146*AJ146</f>
        <v>5.0862078017718231</v>
      </c>
      <c r="BD146" s="14">
        <f>IF(0.7*(AM146*(B146^3)/BA146)*(I146*L146*$N$5/43000000)&lt;$AH$5*(1-0.178*(C146/100)+0.0085*((C146/100)^2)),$AH$5*(1-0.178*(C146/100)+0.0085*((C146/100)^2)),0.7*(AM146*(B146^3)/BA146)*(I146*L146*$N$5/43000000))</f>
        <v>0.58557092190097715</v>
      </c>
      <c r="BE146" s="4">
        <f t="shared" si="165"/>
        <v>2.6365465674168358E-3</v>
      </c>
      <c r="BF146" s="4"/>
      <c r="BG146" s="1">
        <f t="shared" si="166"/>
        <v>1.0401743605913805</v>
      </c>
      <c r="BH146" s="1">
        <f>0.6*$AN$5*(1-0.53*((B146-$AM$5)^2))*(1+((2/3)*AV146))</f>
        <v>5.8051749355234774</v>
      </c>
      <c r="BJ146" s="1">
        <f t="shared" si="167"/>
        <v>5.5926025120481864</v>
      </c>
      <c r="BK146" s="5">
        <f t="shared" si="168"/>
        <v>27.351654176771778</v>
      </c>
      <c r="BL146" s="5">
        <f t="shared" ref="BL146:BL166" si="194">($AE$5/$AP$5)*BH146</f>
        <v>1.6608039131738128</v>
      </c>
      <c r="BM146" s="5">
        <f t="shared" ref="BM146:BM166" si="195">BK146^(0.4/(1.4*$AQ$5))</f>
        <v>3.003499402708544</v>
      </c>
      <c r="BN146" s="1">
        <f t="shared" ref="BN146:BN166" si="196">BL146^(0.4/(1.4*$AQ$5))</f>
        <v>1.1836678926020285</v>
      </c>
      <c r="BO146" s="1">
        <f t="shared" si="169"/>
        <v>3.3567550602352689</v>
      </c>
      <c r="BP146" s="9">
        <f>(1+0.2*B146*B146)*K146</f>
        <v>241.19892737570004</v>
      </c>
      <c r="BQ146" s="9">
        <f t="shared" si="128"/>
        <v>724.44083430685657</v>
      </c>
      <c r="BR146" s="9">
        <f t="shared" si="129"/>
        <v>1400.2019676765615</v>
      </c>
      <c r="BS146" s="9">
        <f t="shared" ref="BS146:BS166" si="197">BO146*BP146</f>
        <v>809.64571999170028</v>
      </c>
      <c r="BU146" s="9">
        <f>((1+0.2*B146*B146)^3.5)*I146</f>
        <v>26721.256335999617</v>
      </c>
      <c r="BV146" s="9">
        <f t="shared" ref="BV146:BV166" si="198">BK146*BU146</f>
        <v>730870.56247113319</v>
      </c>
      <c r="BX146" s="3">
        <f t="shared" si="170"/>
        <v>2.2933739031616655E-2</v>
      </c>
      <c r="BZ146" s="3">
        <f t="shared" si="171"/>
        <v>4.257427954260367E-2</v>
      </c>
      <c r="CA146"/>
      <c r="CB146" s="14">
        <f>$CB$12*($AO$5/K146)/($AN$5*(1-0.53*((B146-$AM$5)^2))*(1+0.2*B146*B146))</f>
        <v>1.3629629629629629</v>
      </c>
      <c r="CC146" s="1">
        <f t="shared" ref="CC146:CC166" si="199">1+2.5*(CB146-1)</f>
        <v>1.9074074074074074</v>
      </c>
      <c r="CD146" s="3">
        <f t="shared" si="172"/>
        <v>6.6096526573542078E-2</v>
      </c>
      <c r="CE146" s="6">
        <f t="shared" si="173"/>
        <v>1.5524990037095032</v>
      </c>
      <c r="CF146" s="22" t="str">
        <f t="shared" ref="CF146:CF166" si="200">IF(CE146&lt;1,"no","")</f>
        <v/>
      </c>
      <c r="CG146" s="22"/>
      <c r="CH146" s="7">
        <f t="shared" si="174"/>
        <v>1.0323304429078493</v>
      </c>
      <c r="CI146" s="23">
        <f>CH146*(0.7*I146*B146*B146)*$N$5/9.80665</f>
        <v>93782.076919796251</v>
      </c>
      <c r="CK146" s="1">
        <f>B146/$AI$5</f>
        <v>1</v>
      </c>
      <c r="CL146" s="14">
        <f t="shared" ref="CL146:CL166" si="201">IF(CK146&lt;0.7,$CL$10*$CL$8*(1+0.089*CK146-0.603*CK146*CK146),$CL$10*$CL$8*(7.373-23.479*CK146+27.713*CK146*CK146-10.935*CK146*CK146*CK146))</f>
        <v>1.4515200000000053</v>
      </c>
      <c r="CM146" s="1">
        <f t="shared" si="175"/>
        <v>0.8569758833631711</v>
      </c>
      <c r="CN146" s="14">
        <f>SQRT((A146*9.80665)/(0.7*I146*$N$5*CM146))</f>
        <v>0.65414755574091454</v>
      </c>
      <c r="CO146" s="1">
        <f t="shared" si="176"/>
        <v>0.75527935521192036</v>
      </c>
      <c r="CP146" s="29" t="str">
        <f>IF(C146&lt;30,"",IF(CO146&gt;1,"no",""))</f>
        <v/>
      </c>
      <c r="CQ146" s="22"/>
      <c r="CR146" s="23">
        <f>CM146*(0.7*I146*B146*B146)*$N$5/9.80665</f>
        <v>77851.988928654857</v>
      </c>
      <c r="CS146"/>
      <c r="CT146" s="6">
        <f t="shared" si="177"/>
        <v>0.98658536585365864</v>
      </c>
      <c r="CU146" s="22" t="str">
        <f t="shared" ref="CU146:CU166" si="202">IF(CT146&gt;1,"no","")</f>
        <v/>
      </c>
      <c r="CV146" s="5"/>
      <c r="CW146" s="6">
        <f>IF(C146&lt;100,SQRT(2)*SQRT(SQRT(1+(2/1.4)*(10510/I146))-1),IF(I146&gt;$AW$5,SQRT(2)*SQRT(SQRT(1+(2/1.4)*($AV$5/I146))-1),$AS$5))</f>
        <v>0.82</v>
      </c>
      <c r="CX146" s="22" t="str">
        <f>IF(B146&gt;CW146,"no","")</f>
        <v/>
      </c>
    </row>
    <row r="147" spans="1:102" x14ac:dyDescent="0.2">
      <c r="A147">
        <v>58800</v>
      </c>
      <c r="B147" s="1">
        <v>0.75270000000000004</v>
      </c>
      <c r="C147" s="5">
        <v>405</v>
      </c>
      <c r="D147" s="1">
        <v>0</v>
      </c>
      <c r="E147" s="1">
        <v>0</v>
      </c>
      <c r="G147">
        <f t="shared" si="153"/>
        <v>40500</v>
      </c>
      <c r="H147" s="9">
        <f t="shared" si="154"/>
        <v>12344.400000049376</v>
      </c>
      <c r="I147" s="5">
        <f t="shared" si="178"/>
        <v>18308.586351257691</v>
      </c>
      <c r="J147" s="5">
        <v>0</v>
      </c>
      <c r="K147" s="6">
        <f t="shared" si="179"/>
        <v>216.65</v>
      </c>
      <c r="L147" s="5">
        <f t="shared" si="180"/>
        <v>295.06801842964956</v>
      </c>
      <c r="M147" s="10">
        <f t="shared" si="181"/>
        <v>1.4216130796413355E-5</v>
      </c>
      <c r="O147" s="6">
        <f>B147*L147</f>
        <v>222.09769747199724</v>
      </c>
      <c r="P147" s="1">
        <f>IF(E147=0,0,E147/9.80665)</f>
        <v>0</v>
      </c>
      <c r="Q147" s="7">
        <f>IF(D147=0,0,(D147/O147))</f>
        <v>0</v>
      </c>
      <c r="R147" s="19">
        <f t="shared" si="182"/>
        <v>1</v>
      </c>
      <c r="S147" s="19">
        <f t="shared" si="183"/>
        <v>0</v>
      </c>
      <c r="T147" s="19">
        <f t="shared" si="184"/>
        <v>0</v>
      </c>
      <c r="U147" s="19"/>
      <c r="V147" s="19"/>
      <c r="X147" s="1">
        <f>(A147*9.80665*R147)/(0.7*I147*B147*B147*$N$5)</f>
        <v>0.64881353182465595</v>
      </c>
      <c r="Y147" s="10">
        <f>(SQRT($N$5)*B147)*(I147/M147)*SQRT(1.4/(287.05*K147))</f>
        <v>50885251.180092379</v>
      </c>
      <c r="Z147" s="10">
        <f t="shared" si="185"/>
        <v>2.2430007088643841E-3</v>
      </c>
      <c r="AA147" s="3">
        <f t="shared" si="155"/>
        <v>1.8830636064685977E-2</v>
      </c>
      <c r="AB147" s="3">
        <f t="shared" si="156"/>
        <v>7.8283757235752746E-3</v>
      </c>
      <c r="AC147" s="3">
        <f>IF($E$5="no",(1/((1+0.03+$Q$5)+AB147*3.141593*$S$5)),(1.075/((1+0.03+$Q$5)+AB147*3.141593*$S$5)))</f>
        <v>0.77490739366104566</v>
      </c>
      <c r="AD147" s="3">
        <f t="shared" si="157"/>
        <v>4.3238730510138289E-2</v>
      </c>
      <c r="AE147" s="1">
        <f t="shared" si="158"/>
        <v>0.67059504054490804</v>
      </c>
      <c r="AF147" s="1">
        <f>B147*$R$5/AE147</f>
        <v>1.0172724442509165</v>
      </c>
      <c r="AG147" s="8">
        <f t="shared" si="186"/>
        <v>1.1999486727357969E-3</v>
      </c>
      <c r="AH147" s="8"/>
      <c r="AI147" s="3">
        <f t="shared" si="187"/>
        <v>3.8232317454406854E-2</v>
      </c>
      <c r="AJ147" s="1">
        <f t="shared" si="188"/>
        <v>16.970290451223232</v>
      </c>
      <c r="AK147" s="1"/>
      <c r="AL147" s="1">
        <f t="shared" si="159"/>
        <v>5.8926510590625703E-2</v>
      </c>
      <c r="AM147" s="8">
        <f>AL147*(A147*9.80665)/(0.7*I147*B147*B147*$N$5)</f>
        <v>3.8232317454406861E-2</v>
      </c>
      <c r="AN147" s="1">
        <f>B147/$AI$5</f>
        <v>1</v>
      </c>
      <c r="AO147" s="1">
        <f>IF(B147&lt;0.4,1.3*(0.4-B147),0)</f>
        <v>0</v>
      </c>
      <c r="AP147" s="1">
        <f t="shared" si="189"/>
        <v>-0.43</v>
      </c>
      <c r="AQ147" s="1">
        <f t="shared" si="190"/>
        <v>0</v>
      </c>
      <c r="AR147" s="1">
        <f t="shared" si="160"/>
        <v>1</v>
      </c>
      <c r="AS147" s="1">
        <f t="shared" si="161"/>
        <v>0.30867472713898642</v>
      </c>
      <c r="AT147" s="1">
        <f>(((1+0.55*B147)/(1+0.55*$AI$5))/(AN147^2))</f>
        <v>1</v>
      </c>
      <c r="AU147" s="1">
        <f t="shared" si="162"/>
        <v>3.465254791234245E-2</v>
      </c>
      <c r="AV147" s="8">
        <f t="shared" si="163"/>
        <v>1.1033046560131694</v>
      </c>
      <c r="AW147" s="8">
        <f t="shared" si="191"/>
        <v>0.99541110365978036</v>
      </c>
      <c r="AX147" s="8"/>
      <c r="AY147" s="4"/>
      <c r="AZ147" s="1">
        <f t="shared" si="164"/>
        <v>0.30725825081330005</v>
      </c>
      <c r="BA147" s="14">
        <f t="shared" si="192"/>
        <v>0.29957679454296754</v>
      </c>
      <c r="BB147" s="1"/>
      <c r="BC147" s="14">
        <f t="shared" si="193"/>
        <v>5.083905215840586</v>
      </c>
      <c r="BD147" s="14">
        <f>IF(0.7*(AM147*(B147^3)/BA147)*(I147*L147*$N$5/43000000)&lt;$AH$5*(1-0.178*(C147/100)+0.0085*((C147/100)^2)),$AH$5*(1-0.178*(C147/100)+0.0085*((C147/100)^2)),0.7*(AM147*(B147^3)/BA147)*(I147*L147*$N$5/43000000))</f>
        <v>0.58583613679174862</v>
      </c>
      <c r="BE147" s="4">
        <f t="shared" si="165"/>
        <v>2.6377407035730869E-3</v>
      </c>
      <c r="BF147" s="4"/>
      <c r="BG147" s="1">
        <f t="shared" si="166"/>
        <v>1.0413218624052678</v>
      </c>
      <c r="BH147" s="1">
        <f>0.6*$AN$5*(1-0.53*((B147-$AM$5)^2))*(1+((2/3)*AV147))</f>
        <v>5.8115791010372853</v>
      </c>
      <c r="BJ147" s="1">
        <f t="shared" si="167"/>
        <v>5.5856389784947869</v>
      </c>
      <c r="BK147" s="5">
        <f t="shared" si="168"/>
        <v>27.427151245248425</v>
      </c>
      <c r="BL147" s="5">
        <f t="shared" si="194"/>
        <v>1.6626360824476205</v>
      </c>
      <c r="BM147" s="5">
        <f t="shared" si="195"/>
        <v>3.0062524386017788</v>
      </c>
      <c r="BN147" s="1">
        <f t="shared" si="196"/>
        <v>1.184101757785788</v>
      </c>
      <c r="BO147" s="1">
        <f t="shared" si="169"/>
        <v>3.3600105440726713</v>
      </c>
      <c r="BP147" s="9">
        <f>(1+0.2*B147*B147)*K147</f>
        <v>241.19892737570004</v>
      </c>
      <c r="BQ147" s="9">
        <f t="shared" si="128"/>
        <v>725.10486361133155</v>
      </c>
      <c r="BR147" s="9">
        <f t="shared" si="129"/>
        <v>1401.7466455292283</v>
      </c>
      <c r="BS147" s="9">
        <f t="shared" si="197"/>
        <v>810.43093920137062</v>
      </c>
      <c r="BU147" s="9">
        <f>((1+0.2*B147*B147)^3.5)*I147</f>
        <v>26657.117630372781</v>
      </c>
      <c r="BV147" s="9">
        <f t="shared" si="198"/>
        <v>731128.79701061256</v>
      </c>
      <c r="BX147" s="3">
        <f t="shared" si="170"/>
        <v>2.2965318900019512E-2</v>
      </c>
      <c r="BZ147" s="3">
        <f t="shared" si="171"/>
        <v>4.2684375416986345E-2</v>
      </c>
      <c r="CA147"/>
      <c r="CB147" s="14">
        <f>$CB$12*($AO$5/K147)/($AN$5*(1-0.53*((B147-$AM$5)^2))*(1+0.2*B147*B147))</f>
        <v>1.3629629629629629</v>
      </c>
      <c r="CC147" s="1">
        <f t="shared" si="199"/>
        <v>1.9074074074074074</v>
      </c>
      <c r="CD147" s="3">
        <f t="shared" si="172"/>
        <v>6.6096526573542078E-2</v>
      </c>
      <c r="CE147" s="6">
        <f t="shared" si="173"/>
        <v>1.5484946406698226</v>
      </c>
      <c r="CF147" s="22" t="str">
        <f t="shared" si="200"/>
        <v/>
      </c>
      <c r="CG147" s="22"/>
      <c r="CH147" s="7">
        <f t="shared" si="174"/>
        <v>1.0321754140677732</v>
      </c>
      <c r="CI147" s="23">
        <f>CH147*(0.7*I147*B147*B147)*$N$5/9.80665</f>
        <v>93542.923151589363</v>
      </c>
      <c r="CK147" s="1">
        <f>B147/$AI$5</f>
        <v>1</v>
      </c>
      <c r="CL147" s="14">
        <f t="shared" si="201"/>
        <v>1.4515200000000053</v>
      </c>
      <c r="CM147" s="1">
        <f t="shared" si="175"/>
        <v>0.8569758833631711</v>
      </c>
      <c r="CN147" s="14">
        <f>SQRT((A147*9.80665)/(0.7*I147*$N$5*CM147))</f>
        <v>0.65493404307066305</v>
      </c>
      <c r="CO147" s="1">
        <f t="shared" si="176"/>
        <v>0.75709660495743536</v>
      </c>
      <c r="CP147" s="29" t="str">
        <f>IF(C147&lt;30,"",IF(CO147&gt;1,"no",""))</f>
        <v/>
      </c>
      <c r="CQ147" s="22"/>
      <c r="CR147" s="23">
        <f>CM147*(0.7*I147*B147*B147)*$N$5/9.80665</f>
        <v>77665.121749298807</v>
      </c>
      <c r="CS147"/>
      <c r="CT147" s="6">
        <f t="shared" si="177"/>
        <v>0.98780487804878059</v>
      </c>
      <c r="CU147" s="22" t="str">
        <f t="shared" si="202"/>
        <v/>
      </c>
      <c r="CV147" s="5"/>
      <c r="CW147" s="6">
        <f>IF(C147&lt;100,SQRT(2)*SQRT(SQRT(1+(2/1.4)*(10510/I147))-1),IF(I147&gt;$AW$5,SQRT(2)*SQRT(SQRT(1+(2/1.4)*($AV$5/I147))-1),$AS$5))</f>
        <v>0.82</v>
      </c>
      <c r="CX147" s="22" t="str">
        <f>IF(B147&gt;CW147,"no","")</f>
        <v/>
      </c>
    </row>
    <row r="148" spans="1:102" x14ac:dyDescent="0.2">
      <c r="A148">
        <v>58800</v>
      </c>
      <c r="B148" s="1">
        <v>0.75270000000000004</v>
      </c>
      <c r="C148" s="5">
        <v>405.5</v>
      </c>
      <c r="D148" s="1">
        <v>0</v>
      </c>
      <c r="E148" s="1">
        <v>0</v>
      </c>
      <c r="G148">
        <f t="shared" si="153"/>
        <v>40550</v>
      </c>
      <c r="H148" s="9">
        <f t="shared" si="154"/>
        <v>12359.640000049438</v>
      </c>
      <c r="I148" s="5">
        <f t="shared" si="178"/>
        <v>18264.640474774151</v>
      </c>
      <c r="J148" s="5">
        <v>0</v>
      </c>
      <c r="K148" s="6">
        <f t="shared" si="179"/>
        <v>216.65</v>
      </c>
      <c r="L148" s="5">
        <f t="shared" si="180"/>
        <v>295.06801842964956</v>
      </c>
      <c r="M148" s="10">
        <f t="shared" si="181"/>
        <v>1.4216130796413355E-5</v>
      </c>
      <c r="O148" s="6">
        <f>B148*L148</f>
        <v>222.09769747199724</v>
      </c>
      <c r="P148" s="1">
        <f>IF(E148=0,0,E148/9.80665)</f>
        <v>0</v>
      </c>
      <c r="Q148" s="7">
        <f>IF(D148=0,0,(D148/O148))</f>
        <v>0</v>
      </c>
      <c r="R148" s="19">
        <f t="shared" si="182"/>
        <v>1</v>
      </c>
      <c r="S148" s="19">
        <f t="shared" si="183"/>
        <v>0</v>
      </c>
      <c r="T148" s="19">
        <f t="shared" si="184"/>
        <v>0</v>
      </c>
      <c r="U148" s="19"/>
      <c r="V148" s="19"/>
      <c r="X148" s="1">
        <f>(A148*9.80665*R148)/(0.7*I148*B148*B148*$N$5)</f>
        <v>0.65037461808692298</v>
      </c>
      <c r="Y148" s="10">
        <f>(SQRT($N$5)*B148)*(I148/M148)*SQRT(1.4/(287.05*K148))</f>
        <v>50763111.932403237</v>
      </c>
      <c r="Z148" s="10">
        <f t="shared" si="185"/>
        <v>2.2437554804851478E-3</v>
      </c>
      <c r="AA148" s="3">
        <f t="shared" si="155"/>
        <v>1.8836972589523614E-2</v>
      </c>
      <c r="AB148" s="3">
        <f t="shared" si="156"/>
        <v>7.8310099785754983E-3</v>
      </c>
      <c r="AC148" s="3">
        <f>IF($E$5="no",(1/((1+0.03+$Q$5)+AB148*3.141593*$S$5)),(1.075/((1+0.03+$Q$5)+AB148*3.141593*$S$5)))</f>
        <v>0.77486018646285582</v>
      </c>
      <c r="AD148" s="3">
        <f t="shared" si="157"/>
        <v>4.3241364765138519E-2</v>
      </c>
      <c r="AE148" s="1">
        <f t="shared" si="158"/>
        <v>0.67040498720835873</v>
      </c>
      <c r="AF148" s="1">
        <f>B148*$R$5/AE148</f>
        <v>1.0175608311601705</v>
      </c>
      <c r="AG148" s="8">
        <f t="shared" si="186"/>
        <v>1.2046743449443988E-3</v>
      </c>
      <c r="AH148" s="8"/>
      <c r="AI148" s="3">
        <f t="shared" si="187"/>
        <v>3.8332188312723961E-2</v>
      </c>
      <c r="AJ148" s="1">
        <f t="shared" si="188"/>
        <v>16.966801184972738</v>
      </c>
      <c r="AK148" s="1"/>
      <c r="AL148" s="1">
        <f t="shared" si="159"/>
        <v>5.8938628978907719E-2</v>
      </c>
      <c r="AM148" s="8">
        <f>AL148*(A148*9.80665)/(0.7*I148*B148*B148*$N$5)</f>
        <v>3.8332188312723961E-2</v>
      </c>
      <c r="AN148" s="1">
        <f>B148/$AI$5</f>
        <v>1</v>
      </c>
      <c r="AO148" s="1">
        <f>IF(B148&lt;0.4,1.3*(0.4-B148),0)</f>
        <v>0</v>
      </c>
      <c r="AP148" s="1">
        <f t="shared" si="189"/>
        <v>-0.43</v>
      </c>
      <c r="AQ148" s="1">
        <f t="shared" si="190"/>
        <v>0</v>
      </c>
      <c r="AR148" s="1">
        <f t="shared" si="160"/>
        <v>1</v>
      </c>
      <c r="AS148" s="1">
        <f t="shared" si="161"/>
        <v>0.30867472713898642</v>
      </c>
      <c r="AT148" s="1">
        <f>(((1+0.55*B148)/(1+0.55*$AI$5))/(AN148^2))</f>
        <v>1</v>
      </c>
      <c r="AU148" s="1">
        <f t="shared" si="162"/>
        <v>3.465254791234245E-2</v>
      </c>
      <c r="AV148" s="8">
        <f t="shared" si="163"/>
        <v>1.106186719940178</v>
      </c>
      <c r="AW148" s="8">
        <f t="shared" si="191"/>
        <v>0.99515148361858885</v>
      </c>
      <c r="AX148" s="8"/>
      <c r="AY148" s="4"/>
      <c r="AZ148" s="1">
        <f t="shared" si="164"/>
        <v>0.30717811266792544</v>
      </c>
      <c r="BA148" s="14">
        <f t="shared" si="192"/>
        <v>0.29949865985122731</v>
      </c>
      <c r="BB148" s="1"/>
      <c r="BC148" s="14">
        <f t="shared" si="193"/>
        <v>5.0815342168615505</v>
      </c>
      <c r="BD148" s="14">
        <f>IF(0.7*(AM148*(B148^3)/BA148)*(I148*L148*$N$5/43000000)&lt;$AH$5*(1-0.178*(C148/100)+0.0085*((C148/100)^2)),$AH$5*(1-0.178*(C148/100)+0.0085*((C148/100)^2)),0.7*(AM148*(B148^3)/BA148)*(I148*L148*$N$5/43000000))</f>
        <v>0.58610948275832819</v>
      </c>
      <c r="BE148" s="4">
        <f t="shared" si="165"/>
        <v>2.6389714500855044E-3</v>
      </c>
      <c r="BF148" s="4"/>
      <c r="BG148" s="1">
        <f t="shared" si="166"/>
        <v>1.0424746879760711</v>
      </c>
      <c r="BH148" s="1">
        <f>0.6*$AN$5*(1-0.53*((B148-$AM$5)^2))*(1+((2/3)*AV148))</f>
        <v>5.8180129782430772</v>
      </c>
      <c r="BJ148" s="1">
        <f t="shared" si="167"/>
        <v>5.5786595773661372</v>
      </c>
      <c r="BK148" s="5">
        <f t="shared" si="168"/>
        <v>27.503124343942904</v>
      </c>
      <c r="BL148" s="5">
        <f t="shared" si="194"/>
        <v>1.6644767519466346</v>
      </c>
      <c r="BM148" s="5">
        <f t="shared" si="195"/>
        <v>3.0090177306525905</v>
      </c>
      <c r="BN148" s="1">
        <f t="shared" si="196"/>
        <v>1.1845373145605491</v>
      </c>
      <c r="BO148" s="1">
        <f t="shared" si="169"/>
        <v>3.3632854614852303</v>
      </c>
      <c r="BP148" s="9">
        <f>(1+0.2*B148*B148)*K148</f>
        <v>241.19892737570004</v>
      </c>
      <c r="BQ148" s="9">
        <f t="shared" si="128"/>
        <v>725.77184908786796</v>
      </c>
      <c r="BR148" s="9">
        <f t="shared" si="129"/>
        <v>1403.2984898101322</v>
      </c>
      <c r="BS148" s="9">
        <f t="shared" si="197"/>
        <v>811.22084576852387</v>
      </c>
      <c r="BU148" s="9">
        <f>((1+0.2*B148*B148)^3.5)*I148</f>
        <v>26593.132876098669</v>
      </c>
      <c r="BV148" s="9">
        <f t="shared" si="198"/>
        <v>731394.24018633773</v>
      </c>
      <c r="BX148" s="3">
        <f t="shared" si="170"/>
        <v>2.2997051270995623E-2</v>
      </c>
      <c r="BZ148" s="3">
        <f t="shared" si="171"/>
        <v>4.2794958207443112E-2</v>
      </c>
      <c r="CA148"/>
      <c r="CB148" s="14">
        <f>$CB$12*($AO$5/K148)/($AN$5*(1-0.53*((B148-$AM$5)^2))*(1+0.2*B148*B148))</f>
        <v>1.3629629629629629</v>
      </c>
      <c r="CC148" s="1">
        <f t="shared" si="199"/>
        <v>1.9074074074074074</v>
      </c>
      <c r="CD148" s="3">
        <f t="shared" si="172"/>
        <v>6.6096526573542078E-2</v>
      </c>
      <c r="CE148" s="6">
        <f t="shared" si="173"/>
        <v>1.5444933081403556</v>
      </c>
      <c r="CF148" s="22" t="str">
        <f t="shared" si="200"/>
        <v/>
      </c>
      <c r="CG148" s="22"/>
      <c r="CH148" s="7">
        <f t="shared" si="174"/>
        <v>1.0320200375410811</v>
      </c>
      <c r="CI148" s="23">
        <f>CH148*(0.7*I148*B148*B148)*$N$5/9.80665</f>
        <v>93304.34571065208</v>
      </c>
      <c r="CK148" s="1">
        <f>B148/$AI$5</f>
        <v>1</v>
      </c>
      <c r="CL148" s="14">
        <f t="shared" si="201"/>
        <v>1.4515200000000053</v>
      </c>
      <c r="CM148" s="1">
        <f t="shared" si="175"/>
        <v>0.8569758833631711</v>
      </c>
      <c r="CN148" s="14">
        <f>SQRT((A148*9.80665)/(0.7*I148*$N$5*CM148))</f>
        <v>0.65572147600100961</v>
      </c>
      <c r="CO148" s="1">
        <f t="shared" si="176"/>
        <v>0.75891822712040757</v>
      </c>
      <c r="CP148" s="29" t="str">
        <f>IF(C148&lt;30,"",IF(CO148&gt;1,"no",""))</f>
        <v/>
      </c>
      <c r="CQ148" s="22"/>
      <c r="CR148" s="23">
        <f>CM148*(0.7*I148*B148*B148)*$N$5/9.80665</f>
        <v>77478.703104953864</v>
      </c>
      <c r="CS148"/>
      <c r="CT148" s="6">
        <f t="shared" si="177"/>
        <v>0.98902439024390254</v>
      </c>
      <c r="CU148" s="22" t="str">
        <f t="shared" si="202"/>
        <v/>
      </c>
      <c r="CV148" s="5"/>
      <c r="CW148" s="6">
        <f>IF(C148&lt;100,SQRT(2)*SQRT(SQRT(1+(2/1.4)*(10510/I148))-1),IF(I148&gt;$AW$5,SQRT(2)*SQRT(SQRT(1+(2/1.4)*($AV$5/I148))-1),$AS$5))</f>
        <v>0.82</v>
      </c>
      <c r="CX148" s="22" t="str">
        <f>IF(B148&gt;CW148,"no","")</f>
        <v/>
      </c>
    </row>
    <row r="149" spans="1:102" x14ac:dyDescent="0.2">
      <c r="A149">
        <v>58800</v>
      </c>
      <c r="B149" s="1">
        <v>0.75270000000000004</v>
      </c>
      <c r="C149" s="5">
        <v>406</v>
      </c>
      <c r="D149" s="1">
        <v>0</v>
      </c>
      <c r="E149" s="1">
        <v>0</v>
      </c>
      <c r="G149">
        <f t="shared" si="153"/>
        <v>40600</v>
      </c>
      <c r="H149" s="9">
        <f t="shared" si="154"/>
        <v>12374.880000049499</v>
      </c>
      <c r="I149" s="5">
        <f t="shared" si="178"/>
        <v>18220.800081041863</v>
      </c>
      <c r="J149" s="5">
        <v>0</v>
      </c>
      <c r="K149" s="6">
        <f t="shared" si="179"/>
        <v>216.65</v>
      </c>
      <c r="L149" s="5">
        <f t="shared" si="180"/>
        <v>295.06801842964956</v>
      </c>
      <c r="M149" s="10">
        <f t="shared" si="181"/>
        <v>1.4216130796413355E-5</v>
      </c>
      <c r="O149" s="6">
        <f>B149*L149</f>
        <v>222.09769747199724</v>
      </c>
      <c r="P149" s="1">
        <f>IF(E149=0,0,E149/9.80665)</f>
        <v>0</v>
      </c>
      <c r="Q149" s="7">
        <f>IF(D149=0,0,(D149/O149))</f>
        <v>0</v>
      </c>
      <c r="R149" s="19">
        <f t="shared" si="182"/>
        <v>1</v>
      </c>
      <c r="S149" s="19">
        <f t="shared" si="183"/>
        <v>0</v>
      </c>
      <c r="T149" s="19">
        <f t="shared" si="184"/>
        <v>0</v>
      </c>
      <c r="U149" s="19"/>
      <c r="V149" s="19"/>
      <c r="X149" s="1">
        <f>(A149*9.80665*R149)/(0.7*I149*B149*B149*$N$5)</f>
        <v>0.65193946042115636</v>
      </c>
      <c r="Y149" s="10">
        <f>(SQRT($N$5)*B149)*(I149/M149)*SQRT(1.4/(287.05*K149))</f>
        <v>50641265.854060419</v>
      </c>
      <c r="Z149" s="10">
        <f t="shared" si="185"/>
        <v>2.2445105060871959E-3</v>
      </c>
      <c r="AA149" s="3">
        <f t="shared" si="155"/>
        <v>1.8843311246607181E-2</v>
      </c>
      <c r="AB149" s="3">
        <f t="shared" si="156"/>
        <v>7.8336451200047424E-3</v>
      </c>
      <c r="AC149" s="3">
        <f>IF($E$5="no",(1/((1+0.03+$Q$5)+AB149*3.141593*$S$5)),(1.075/((1+0.03+$Q$5)+AB149*3.141593*$S$5)))</f>
        <v>0.77481296913366271</v>
      </c>
      <c r="AD149" s="3">
        <f t="shared" si="157"/>
        <v>4.3243999906567757E-2</v>
      </c>
      <c r="AE149" s="1">
        <f t="shared" si="158"/>
        <v>0.67021447659149969</v>
      </c>
      <c r="AF149" s="1">
        <f>B149*$R$5/AE149</f>
        <v>1.0178500760935563</v>
      </c>
      <c r="AG149" s="8">
        <f t="shared" si="186"/>
        <v>1.2094280010879442E-3</v>
      </c>
      <c r="AH149" s="8"/>
      <c r="AI149" s="3">
        <f t="shared" si="187"/>
        <v>3.8432522904969138E-2</v>
      </c>
      <c r="AJ149" s="1">
        <f t="shared" si="188"/>
        <v>16.963223102297658</v>
      </c>
      <c r="AK149" s="1"/>
      <c r="AL149" s="1">
        <f t="shared" si="159"/>
        <v>5.8951061008243807E-2</v>
      </c>
      <c r="AM149" s="8">
        <f>AL149*(A149*9.80665)/(0.7*I149*B149*B149*$N$5)</f>
        <v>3.8432522904969138E-2</v>
      </c>
      <c r="AN149" s="1">
        <f>B149/$AI$5</f>
        <v>1</v>
      </c>
      <c r="AO149" s="1">
        <f>IF(B149&lt;0.4,1.3*(0.4-B149),0)</f>
        <v>0</v>
      </c>
      <c r="AP149" s="1">
        <f t="shared" si="189"/>
        <v>-0.43</v>
      </c>
      <c r="AQ149" s="1">
        <f t="shared" si="190"/>
        <v>0</v>
      </c>
      <c r="AR149" s="1">
        <f t="shared" si="160"/>
        <v>1</v>
      </c>
      <c r="AS149" s="1">
        <f t="shared" si="161"/>
        <v>0.30867472713898642</v>
      </c>
      <c r="AT149" s="1">
        <f>(((1+0.55*B149)/(1+0.55*$AI$5))/(AN149^2))</f>
        <v>1</v>
      </c>
      <c r="AU149" s="1">
        <f t="shared" si="162"/>
        <v>3.465254791234245E-2</v>
      </c>
      <c r="AV149" s="8">
        <f t="shared" si="163"/>
        <v>1.1090821662576895</v>
      </c>
      <c r="AW149" s="8">
        <f t="shared" si="191"/>
        <v>0.99488346483194778</v>
      </c>
      <c r="AX149" s="8"/>
      <c r="AY149" s="4"/>
      <c r="AZ149" s="1">
        <f t="shared" si="164"/>
        <v>0.30709538204209086</v>
      </c>
      <c r="BA149" s="14">
        <f t="shared" si="192"/>
        <v>0.29941799749103859</v>
      </c>
      <c r="BB149" s="1"/>
      <c r="BC149" s="14">
        <f t="shared" si="193"/>
        <v>5.0790942922836875</v>
      </c>
      <c r="BD149" s="14">
        <f>IF(0.7*(AM149*(B149^3)/BA149)*(I149*L149*$N$5/43000000)&lt;$AH$5*(1-0.178*(C149/100)+0.0085*((C149/100)^2)),$AH$5*(1-0.178*(C149/100)+0.0085*((C149/100)^2)),0.7*(AM149*(B149^3)/BA149)*(I149*L149*$N$5/43000000))</f>
        <v>0.58639104140835629</v>
      </c>
      <c r="BE149" s="4">
        <f t="shared" si="165"/>
        <v>2.6402391743943687E-3</v>
      </c>
      <c r="BF149" s="4"/>
      <c r="BG149" s="1">
        <f t="shared" si="166"/>
        <v>1.0436328665030759</v>
      </c>
      <c r="BH149" s="1">
        <f>0.6*$AN$5*(1-0.53*((B149-$AM$5)^2))*(1+((2/3)*AV149))</f>
        <v>5.8244767301009928</v>
      </c>
      <c r="BJ149" s="1">
        <f t="shared" si="167"/>
        <v>5.5716643034260143</v>
      </c>
      <c r="BK149" s="5">
        <f t="shared" si="168"/>
        <v>27.579577218592686</v>
      </c>
      <c r="BL149" s="5">
        <f t="shared" si="194"/>
        <v>1.6663259682921612</v>
      </c>
      <c r="BM149" s="5">
        <f t="shared" si="195"/>
        <v>3.0117953423852253</v>
      </c>
      <c r="BN149" s="1">
        <f t="shared" si="196"/>
        <v>1.1849745700822716</v>
      </c>
      <c r="BO149" s="1">
        <f t="shared" si="169"/>
        <v>3.3665799380495764</v>
      </c>
      <c r="BP149" s="9">
        <f>(1+0.2*B149*B149)*K149</f>
        <v>241.19892737570004</v>
      </c>
      <c r="BQ149" s="9">
        <f t="shared" si="128"/>
        <v>726.44180605844554</v>
      </c>
      <c r="BR149" s="9">
        <f t="shared" si="129"/>
        <v>1404.8575398250841</v>
      </c>
      <c r="BS149" s="9">
        <f t="shared" si="197"/>
        <v>812.01546998210847</v>
      </c>
      <c r="BU149" s="9">
        <f>((1+0.2*B149*B149)^3.5)*I149</f>
        <v>26529.301703649729</v>
      </c>
      <c r="BV149" s="9">
        <f t="shared" si="198"/>
        <v>731666.92489115021</v>
      </c>
      <c r="BX149" s="3">
        <f t="shared" si="170"/>
        <v>2.3028937028551456E-2</v>
      </c>
      <c r="BZ149" s="3">
        <f t="shared" si="171"/>
        <v>4.2906030505412016E-2</v>
      </c>
      <c r="CA149"/>
      <c r="CB149" s="14">
        <f>$CB$12*($AO$5/K149)/($AN$5*(1-0.53*((B149-$AM$5)^2))*(1+0.2*B149*B149))</f>
        <v>1.3629629629629629</v>
      </c>
      <c r="CC149" s="1">
        <f t="shared" si="199"/>
        <v>1.9074074074074074</v>
      </c>
      <c r="CD149" s="3">
        <f t="shared" si="172"/>
        <v>6.6096526573542078E-2</v>
      </c>
      <c r="CE149" s="6">
        <f t="shared" si="173"/>
        <v>1.5404950258729921</v>
      </c>
      <c r="CF149" s="22" t="str">
        <f t="shared" si="200"/>
        <v/>
      </c>
      <c r="CG149" s="22"/>
      <c r="CH149" s="7">
        <f t="shared" si="174"/>
        <v>1.0318643085171484</v>
      </c>
      <c r="CI149" s="23">
        <f>CH149*(0.7*I149*B149*B149)*$N$5/9.80665</f>
        <v>93066.342849706998</v>
      </c>
      <c r="CK149" s="1">
        <f>B149/$AI$5</f>
        <v>1</v>
      </c>
      <c r="CL149" s="14">
        <f t="shared" si="201"/>
        <v>1.4515200000000053</v>
      </c>
      <c r="CM149" s="1">
        <f t="shared" si="175"/>
        <v>0.8569758833631711</v>
      </c>
      <c r="CN149" s="14">
        <f>SQRT((A149*9.80665)/(0.7*I149*$N$5*CM149))</f>
        <v>0.656509855668858</v>
      </c>
      <c r="CO149" s="1">
        <f t="shared" si="176"/>
        <v>0.76074423222114884</v>
      </c>
      <c r="CP149" s="29" t="str">
        <f>IF(C149&lt;30,"",IF(CO149&gt;1,"no",""))</f>
        <v/>
      </c>
      <c r="CQ149" s="22"/>
      <c r="CR149" s="23">
        <f>CM149*(0.7*I149*B149*B149)*$N$5/9.80665</f>
        <v>77292.731919006925</v>
      </c>
      <c r="CS149"/>
      <c r="CT149" s="6">
        <f t="shared" si="177"/>
        <v>0.99024390243902449</v>
      </c>
      <c r="CU149" s="22" t="str">
        <f t="shared" si="202"/>
        <v/>
      </c>
      <c r="CV149" s="5"/>
      <c r="CW149" s="6">
        <f>IF(C149&lt;100,SQRT(2)*SQRT(SQRT(1+(2/1.4)*(10510/I149))-1),IF(I149&gt;$AW$5,SQRT(2)*SQRT(SQRT(1+(2/1.4)*($AV$5/I149))-1),$AS$5))</f>
        <v>0.82</v>
      </c>
      <c r="CX149" s="22" t="str">
        <f>IF(B149&gt;CW149,"no","")</f>
        <v/>
      </c>
    </row>
    <row r="150" spans="1:102" x14ac:dyDescent="0.2">
      <c r="A150">
        <v>58800</v>
      </c>
      <c r="B150" s="1">
        <v>0.75270000000000004</v>
      </c>
      <c r="C150" s="5">
        <v>406.5</v>
      </c>
      <c r="D150" s="1">
        <v>0</v>
      </c>
      <c r="E150" s="1">
        <v>0</v>
      </c>
      <c r="G150">
        <f t="shared" si="153"/>
        <v>40650</v>
      </c>
      <c r="H150" s="9">
        <f t="shared" si="154"/>
        <v>12390.120000049559</v>
      </c>
      <c r="I150" s="5">
        <f t="shared" si="178"/>
        <v>18177.064916871877</v>
      </c>
      <c r="J150" s="5">
        <v>0</v>
      </c>
      <c r="K150" s="6">
        <f t="shared" si="179"/>
        <v>216.65</v>
      </c>
      <c r="L150" s="5">
        <f t="shared" si="180"/>
        <v>295.06801842964956</v>
      </c>
      <c r="M150" s="10">
        <f t="shared" si="181"/>
        <v>1.4216130796413355E-5</v>
      </c>
      <c r="O150" s="6">
        <f>B150*L150</f>
        <v>222.09769747199724</v>
      </c>
      <c r="P150" s="1">
        <f>IF(E150=0,0,E150/9.80665)</f>
        <v>0</v>
      </c>
      <c r="Q150" s="7">
        <f>IF(D150=0,0,(D150/O150))</f>
        <v>0</v>
      </c>
      <c r="R150" s="19">
        <f t="shared" si="182"/>
        <v>1</v>
      </c>
      <c r="S150" s="19">
        <f t="shared" si="183"/>
        <v>0</v>
      </c>
      <c r="T150" s="19">
        <f t="shared" si="184"/>
        <v>0</v>
      </c>
      <c r="U150" s="19"/>
      <c r="V150" s="19"/>
      <c r="X150" s="1">
        <f>(A150*9.80665*R150)/(0.7*I150*B150*B150*$N$5)</f>
        <v>0.65350806786470161</v>
      </c>
      <c r="Y150" s="10">
        <f>(SQRT($N$5)*B150)*(I150/M150)*SQRT(1.4/(287.05*K150))</f>
        <v>50519712.241373137</v>
      </c>
      <c r="Z150" s="10">
        <f t="shared" si="185"/>
        <v>2.2452657857559913E-3</v>
      </c>
      <c r="AA150" s="3">
        <f t="shared" si="155"/>
        <v>1.8849652036654164E-2</v>
      </c>
      <c r="AB150" s="3">
        <f t="shared" si="156"/>
        <v>7.8362811481612841E-3</v>
      </c>
      <c r="AC150" s="3">
        <f>IF($E$5="no",(1/((1+0.03+$Q$5)+AB150*3.141593*$S$5)),(1.075/((1+0.03+$Q$5)+AB150*3.141593*$S$5)))</f>
        <v>0.77476574167287759</v>
      </c>
      <c r="AD150" s="3">
        <f t="shared" si="157"/>
        <v>4.3246635934724303E-2</v>
      </c>
      <c r="AE150" s="1">
        <f t="shared" si="158"/>
        <v>0.6700235075940858</v>
      </c>
      <c r="AF150" s="1">
        <f>B150*$R$5/AE150</f>
        <v>1.0181401820470732</v>
      </c>
      <c r="AG150" s="8">
        <f t="shared" si="186"/>
        <v>1.2142100739317477E-3</v>
      </c>
      <c r="AH150" s="8"/>
      <c r="AI150" s="3">
        <f t="shared" si="187"/>
        <v>3.8533323783380903E-2</v>
      </c>
      <c r="AJ150" s="1">
        <f t="shared" si="188"/>
        <v>16.959556137395914</v>
      </c>
      <c r="AK150" s="1"/>
      <c r="AL150" s="1">
        <f t="shared" si="159"/>
        <v>5.8963807301241483E-2</v>
      </c>
      <c r="AM150" s="8">
        <f>AL150*(A150*9.80665)/(0.7*I150*B150*B150*$N$5)</f>
        <v>3.8533323783380903E-2</v>
      </c>
      <c r="AN150" s="1">
        <f>B150/$AI$5</f>
        <v>1</v>
      </c>
      <c r="AO150" s="1">
        <f>IF(B150&lt;0.4,1.3*(0.4-B150),0)</f>
        <v>0</v>
      </c>
      <c r="AP150" s="1">
        <f t="shared" si="189"/>
        <v>-0.43</v>
      </c>
      <c r="AQ150" s="1">
        <f t="shared" si="190"/>
        <v>0</v>
      </c>
      <c r="AR150" s="1">
        <f t="shared" si="160"/>
        <v>1</v>
      </c>
      <c r="AS150" s="1">
        <f t="shared" si="161"/>
        <v>0.30867472713898642</v>
      </c>
      <c r="AT150" s="1">
        <f>(((1+0.55*B150)/(1+0.55*$AI$5))/(AN150^2))</f>
        <v>1</v>
      </c>
      <c r="AU150" s="1">
        <f t="shared" si="162"/>
        <v>3.465254791234245E-2</v>
      </c>
      <c r="AV150" s="8">
        <f t="shared" si="163"/>
        <v>1.1119910686179646</v>
      </c>
      <c r="AW150" s="8">
        <f t="shared" si="191"/>
        <v>0.99460694023641671</v>
      </c>
      <c r="AX150" s="8"/>
      <c r="AY150" s="4"/>
      <c r="AZ150" s="1">
        <f t="shared" si="164"/>
        <v>0.30701002588801812</v>
      </c>
      <c r="BA150" s="14">
        <f t="shared" si="192"/>
        <v>0.29933477524081764</v>
      </c>
      <c r="BB150" s="1"/>
      <c r="BC150" s="14">
        <f t="shared" si="193"/>
        <v>5.076584924571435</v>
      </c>
      <c r="BD150" s="14">
        <f>IF(0.7*(AM150*(B150^3)/BA150)*(I150*L150*$N$5/43000000)&lt;$AH$5*(1-0.178*(C150/100)+0.0085*((C150/100)^2)),$AH$5*(1-0.178*(C150/100)+0.0085*((C150/100)^2)),0.7*(AM150*(B150^3)/BA150)*(I150*L150*$N$5/43000000))</f>
        <v>0.58668089586128613</v>
      </c>
      <c r="BE150" s="4">
        <f t="shared" si="165"/>
        <v>2.6415442507469341E-3</v>
      </c>
      <c r="BF150" s="4"/>
      <c r="BG150" s="1">
        <f t="shared" si="166"/>
        <v>1.0447964274471857</v>
      </c>
      <c r="BH150" s="1">
        <f>0.6*$AN$5*(1-0.53*((B150-$AM$5)^2))*(1+((2/3)*AV150))</f>
        <v>5.830970521031257</v>
      </c>
      <c r="BJ150" s="1">
        <f t="shared" si="167"/>
        <v>5.5646531512643973</v>
      </c>
      <c r="BK150" s="5">
        <f t="shared" si="168"/>
        <v>27.656513655127831</v>
      </c>
      <c r="BL150" s="5">
        <f t="shared" si="194"/>
        <v>1.6681837785232223</v>
      </c>
      <c r="BM150" s="5">
        <f t="shared" si="195"/>
        <v>3.0145853378823424</v>
      </c>
      <c r="BN150" s="1">
        <f t="shared" si="196"/>
        <v>1.1854135315669698</v>
      </c>
      <c r="BO150" s="1">
        <f t="shared" si="169"/>
        <v>3.3698941004070133</v>
      </c>
      <c r="BP150" s="9">
        <f>(1+0.2*B150*B150)*K150</f>
        <v>241.19892737570004</v>
      </c>
      <c r="BQ150" s="9">
        <f t="shared" si="128"/>
        <v>727.11474997973323</v>
      </c>
      <c r="BR150" s="9">
        <f t="shared" si="129"/>
        <v>1406.423835232066</v>
      </c>
      <c r="BS150" s="9">
        <f t="shared" si="197"/>
        <v>812.81484238787118</v>
      </c>
      <c r="BU150" s="9">
        <f>((1+0.2*B150*B150)^3.5)*I150</f>
        <v>26465.623744385393</v>
      </c>
      <c r="BV150" s="9">
        <f t="shared" si="198"/>
        <v>731946.88447806996</v>
      </c>
      <c r="BX150" s="3">
        <f t="shared" si="170"/>
        <v>2.3060977064817727E-2</v>
      </c>
      <c r="BZ150" s="3">
        <f t="shared" si="171"/>
        <v>4.3017594925144439E-2</v>
      </c>
      <c r="CA150"/>
      <c r="CB150" s="14">
        <f>$CB$12*($AO$5/K150)/($AN$5*(1-0.53*((B150-$AM$5)^2))*(1+0.2*B150*B150))</f>
        <v>1.3629629629629629</v>
      </c>
      <c r="CC150" s="1">
        <f t="shared" si="199"/>
        <v>1.9074074074074074</v>
      </c>
      <c r="CD150" s="3">
        <f t="shared" si="172"/>
        <v>6.6096526573542078E-2</v>
      </c>
      <c r="CE150" s="6">
        <f t="shared" si="173"/>
        <v>1.5364998133567818</v>
      </c>
      <c r="CF150" s="22" t="str">
        <f t="shared" si="200"/>
        <v/>
      </c>
      <c r="CG150" s="22"/>
      <c r="CH150" s="7">
        <f t="shared" si="174"/>
        <v>1.0317082220448202</v>
      </c>
      <c r="CI150" s="23">
        <f>CH150*(0.7*I150*B150*B150)*$N$5/9.80665</f>
        <v>92828.912815801741</v>
      </c>
      <c r="CK150" s="1">
        <f>B150/$AI$5</f>
        <v>1</v>
      </c>
      <c r="CL150" s="14">
        <f t="shared" si="201"/>
        <v>1.4515200000000053</v>
      </c>
      <c r="CM150" s="1">
        <f t="shared" si="175"/>
        <v>0.8569758833631711</v>
      </c>
      <c r="CN150" s="14">
        <f>SQRT((A150*9.80665)/(0.7*I150*$N$5*CM150))</f>
        <v>0.65729918321247882</v>
      </c>
      <c r="CO150" s="1">
        <f t="shared" si="176"/>
        <v>0.7625746308052832</v>
      </c>
      <c r="CP150" s="29" t="str">
        <f>IF(C150&lt;30,"",IF(CO150&gt;1,"no",""))</f>
        <v/>
      </c>
      <c r="CQ150" s="22"/>
      <c r="CR150" s="23">
        <f>CM150*(0.7*I150*B150*B150)*$N$5/9.80665</f>
        <v>77107.207117429105</v>
      </c>
      <c r="CS150"/>
      <c r="CT150" s="6">
        <f t="shared" si="177"/>
        <v>0.99146341463414644</v>
      </c>
      <c r="CU150" s="22" t="str">
        <f t="shared" si="202"/>
        <v/>
      </c>
      <c r="CV150" s="5"/>
      <c r="CW150" s="6">
        <f>IF(C150&lt;100,SQRT(2)*SQRT(SQRT(1+(2/1.4)*(10510/I150))-1),IF(I150&gt;$AW$5,SQRT(2)*SQRT(SQRT(1+(2/1.4)*($AV$5/I150))-1),$AS$5))</f>
        <v>0.82</v>
      </c>
      <c r="CX150" s="22" t="str">
        <f>IF(B150&gt;CW150,"no","")</f>
        <v/>
      </c>
    </row>
    <row r="151" spans="1:102" x14ac:dyDescent="0.2">
      <c r="A151">
        <v>58800</v>
      </c>
      <c r="B151" s="1">
        <v>0.75270000000000004</v>
      </c>
      <c r="C151" s="5">
        <v>407</v>
      </c>
      <c r="D151" s="1">
        <v>0</v>
      </c>
      <c r="E151" s="1">
        <v>0</v>
      </c>
      <c r="G151">
        <f t="shared" si="153"/>
        <v>40700</v>
      </c>
      <c r="H151" s="9">
        <f t="shared" si="154"/>
        <v>12405.360000049621</v>
      </c>
      <c r="I151" s="5">
        <f t="shared" si="178"/>
        <v>18133.43472968294</v>
      </c>
      <c r="J151" s="5">
        <v>0</v>
      </c>
      <c r="K151" s="6">
        <f t="shared" si="179"/>
        <v>216.65</v>
      </c>
      <c r="L151" s="5">
        <f t="shared" si="180"/>
        <v>295.06801842964956</v>
      </c>
      <c r="M151" s="10">
        <f t="shared" si="181"/>
        <v>1.4216130796413355E-5</v>
      </c>
      <c r="O151" s="6">
        <f>B151*L151</f>
        <v>222.09769747199724</v>
      </c>
      <c r="P151" s="1">
        <f>IF(E151=0,0,E151/9.80665)</f>
        <v>0</v>
      </c>
      <c r="Q151" s="7">
        <f>IF(D151=0,0,(D151/O151))</f>
        <v>0</v>
      </c>
      <c r="R151" s="19">
        <f t="shared" si="182"/>
        <v>1</v>
      </c>
      <c r="S151" s="19">
        <f t="shared" si="183"/>
        <v>0</v>
      </c>
      <c r="T151" s="19">
        <f t="shared" si="184"/>
        <v>0</v>
      </c>
      <c r="U151" s="19"/>
      <c r="V151" s="19"/>
      <c r="X151" s="1">
        <f>(A151*9.80665*R151)/(0.7*I151*B151*B151*$N$5)</f>
        <v>0.65508044947664978</v>
      </c>
      <c r="Y151" s="10">
        <f>(SQRT($N$5)*B151)*(I151/M151)*SQRT(1.4/(287.05*K151))</f>
        <v>50398450.39233961</v>
      </c>
      <c r="Z151" s="10">
        <f t="shared" si="185"/>
        <v>2.2460213195770297E-3</v>
      </c>
      <c r="AA151" s="3">
        <f t="shared" si="155"/>
        <v>1.8855994960382323E-2</v>
      </c>
      <c r="AB151" s="3">
        <f t="shared" si="156"/>
        <v>7.838918063343513E-3</v>
      </c>
      <c r="AC151" s="3">
        <f>IF($E$5="no",(1/((1+0.03+$Q$5)+AB151*3.141593*$S$5)),(1.075/((1+0.03+$Q$5)+AB151*3.141593*$S$5)))</f>
        <v>0.77471850407991327</v>
      </c>
      <c r="AD151" s="3">
        <f t="shared" si="157"/>
        <v>4.3249272849906532E-2</v>
      </c>
      <c r="AE151" s="1">
        <f t="shared" si="158"/>
        <v>0.66983207911322429</v>
      </c>
      <c r="AF151" s="1">
        <f>B151*$R$5/AE151</f>
        <v>1.0184311520295968</v>
      </c>
      <c r="AG151" s="8">
        <f t="shared" si="186"/>
        <v>1.2190210088642928E-3</v>
      </c>
      <c r="AH151" s="8"/>
      <c r="AI151" s="3">
        <f t="shared" si="187"/>
        <v>3.8634593523181972E-2</v>
      </c>
      <c r="AJ151" s="1">
        <f t="shared" si="188"/>
        <v>16.955800223019843</v>
      </c>
      <c r="AK151" s="1"/>
      <c r="AL151" s="1">
        <f t="shared" si="159"/>
        <v>5.897686849614811E-2</v>
      </c>
      <c r="AM151" s="8">
        <f>AL151*(A151*9.80665)/(0.7*I151*B151*B151*$N$5)</f>
        <v>3.8634593523181972E-2</v>
      </c>
      <c r="AN151" s="1">
        <f>B151/$AI$5</f>
        <v>1</v>
      </c>
      <c r="AO151" s="1">
        <f>IF(B151&lt;0.4,1.3*(0.4-B151),0)</f>
        <v>0</v>
      </c>
      <c r="AP151" s="1">
        <f t="shared" si="189"/>
        <v>-0.43</v>
      </c>
      <c r="AQ151" s="1">
        <f t="shared" si="190"/>
        <v>0</v>
      </c>
      <c r="AR151" s="1">
        <f t="shared" si="160"/>
        <v>1</v>
      </c>
      <c r="AS151" s="1">
        <f t="shared" si="161"/>
        <v>0.30867472713898642</v>
      </c>
      <c r="AT151" s="1">
        <f>(((1+0.55*B151)/(1+0.55*$AI$5))/(AN151^2))</f>
        <v>1</v>
      </c>
      <c r="AU151" s="1">
        <f t="shared" si="162"/>
        <v>3.465254791234245E-2</v>
      </c>
      <c r="AV151" s="8">
        <f t="shared" si="163"/>
        <v>1.1149135013365412</v>
      </c>
      <c r="AW151" s="8">
        <f t="shared" si="191"/>
        <v>0.99432180150054805</v>
      </c>
      <c r="AX151" s="8"/>
      <c r="AY151" s="4"/>
      <c r="AZ151" s="1">
        <f t="shared" si="164"/>
        <v>0.30692201076652709</v>
      </c>
      <c r="BA151" s="14">
        <f t="shared" si="192"/>
        <v>0.29924896049736388</v>
      </c>
      <c r="BB151" s="1"/>
      <c r="BC151" s="14">
        <f t="shared" si="193"/>
        <v>5.0740055911396587</v>
      </c>
      <c r="BD151" s="14">
        <f>IF(0.7*(AM151*(B151^3)/BA151)*(I151*L151*$N$5/43000000)&lt;$AH$5*(1-0.178*(C151/100)+0.0085*((C151/100)^2)),$AH$5*(1-0.178*(C151/100)+0.0085*((C151/100)^2)),0.7*(AM151*(B151^3)/BA151)*(I151*L151*$N$5/43000000))</f>
        <v>0.58697913078068042</v>
      </c>
      <c r="BE151" s="4">
        <f t="shared" si="165"/>
        <v>2.642887060342841E-3</v>
      </c>
      <c r="BF151" s="4"/>
      <c r="BG151" s="1">
        <f t="shared" si="166"/>
        <v>1.0459654005346164</v>
      </c>
      <c r="BH151" s="1">
        <f>0.6*$AN$5*(1-0.53*((B151-$AM$5)^2))*(1+((2/3)*AV151))</f>
        <v>5.837494516934786</v>
      </c>
      <c r="BJ151" s="1">
        <f t="shared" si="167"/>
        <v>5.5576261152910487</v>
      </c>
      <c r="BK151" s="5">
        <f t="shared" si="168"/>
        <v>27.733937480248649</v>
      </c>
      <c r="BL151" s="5">
        <f t="shared" si="194"/>
        <v>1.6700502301024518</v>
      </c>
      <c r="BM151" s="5">
        <f t="shared" si="195"/>
        <v>3.0173877817929866</v>
      </c>
      <c r="BN151" s="1">
        <f t="shared" si="196"/>
        <v>1.1858542062916251</v>
      </c>
      <c r="BO151" s="1">
        <f t="shared" si="169"/>
        <v>3.3732280762775577</v>
      </c>
      <c r="BP151" s="9">
        <f>(1+0.2*B151*B151)*K151</f>
        <v>241.19892737570004</v>
      </c>
      <c r="BQ151" s="9">
        <f t="shared" si="128"/>
        <v>727.79069644501124</v>
      </c>
      <c r="BR151" s="9">
        <f t="shared" si="129"/>
        <v>1407.9974160462007</v>
      </c>
      <c r="BS151" s="9">
        <f t="shared" si="197"/>
        <v>813.61899379174304</v>
      </c>
      <c r="BU151" s="9">
        <f>((1+0.2*B151*B151)^3.5)*I151</f>
        <v>26402.098630549895</v>
      </c>
      <c r="BV151" s="9">
        <f t="shared" si="198"/>
        <v>732234.15276702924</v>
      </c>
      <c r="BX151" s="3">
        <f t="shared" si="170"/>
        <v>2.3093172280163651E-2</v>
      </c>
      <c r="BZ151" s="3">
        <f t="shared" si="171"/>
        <v>4.3129654104025174E-2</v>
      </c>
      <c r="CA151"/>
      <c r="CB151" s="14">
        <f>$CB$12*($AO$5/K151)/($AN$5*(1-0.53*((B151-$AM$5)^2))*(1+0.2*B151*B151))</f>
        <v>1.3629629629629629</v>
      </c>
      <c r="CC151" s="1">
        <f t="shared" si="199"/>
        <v>1.9074074074074074</v>
      </c>
      <c r="CD151" s="3">
        <f t="shared" si="172"/>
        <v>6.6096526573542078E-2</v>
      </c>
      <c r="CE151" s="6">
        <f t="shared" si="173"/>
        <v>1.5325076898164474</v>
      </c>
      <c r="CF151" s="22" t="str">
        <f t="shared" si="200"/>
        <v/>
      </c>
      <c r="CG151" s="22"/>
      <c r="CH151" s="7">
        <f t="shared" si="174"/>
        <v>1.0315517730293153</v>
      </c>
      <c r="CI151" s="23">
        <f>CH151*(0.7*I151*B151*B151)*$N$5/9.80665</f>
        <v>92592.05385015202</v>
      </c>
      <c r="CK151" s="1">
        <f>B151/$AI$5</f>
        <v>1</v>
      </c>
      <c r="CL151" s="14">
        <f t="shared" si="201"/>
        <v>1.4515200000000053</v>
      </c>
      <c r="CM151" s="1">
        <f t="shared" si="175"/>
        <v>0.8569758833631711</v>
      </c>
      <c r="CN151" s="14">
        <f>SQRT((A151*9.80665)/(0.7*I151*$N$5*CM151))</f>
        <v>0.65808945977151179</v>
      </c>
      <c r="CO151" s="1">
        <f t="shared" si="176"/>
        <v>0.76440943344380952</v>
      </c>
      <c r="CP151" s="29" t="str">
        <f>IF(C151&lt;30,"",IF(CO151&gt;1,"no",""))</f>
        <v/>
      </c>
      <c r="CQ151" s="22"/>
      <c r="CR151" s="23">
        <f>CM151*(0.7*I151*B151*B151)*$N$5/9.80665</f>
        <v>76922.127628769362</v>
      </c>
      <c r="CS151"/>
      <c r="CT151" s="6">
        <f t="shared" si="177"/>
        <v>0.9926829268292684</v>
      </c>
      <c r="CU151" s="22" t="str">
        <f t="shared" si="202"/>
        <v/>
      </c>
      <c r="CV151" s="5"/>
      <c r="CW151" s="6">
        <f>IF(C151&lt;100,SQRT(2)*SQRT(SQRT(1+(2/1.4)*(10510/I151))-1),IF(I151&gt;$AW$5,SQRT(2)*SQRT(SQRT(1+(2/1.4)*($AV$5/I151))-1),$AS$5))</f>
        <v>0.82</v>
      </c>
      <c r="CX151" s="22" t="str">
        <f>IF(B151&gt;CW151,"no","")</f>
        <v/>
      </c>
    </row>
    <row r="152" spans="1:102" x14ac:dyDescent="0.2">
      <c r="A152">
        <v>58800</v>
      </c>
      <c r="B152" s="1">
        <v>0.75270000000000004</v>
      </c>
      <c r="C152" s="5">
        <v>407.5</v>
      </c>
      <c r="D152" s="1">
        <v>0</v>
      </c>
      <c r="E152" s="1">
        <v>0</v>
      </c>
      <c r="G152">
        <f t="shared" si="153"/>
        <v>40750</v>
      </c>
      <c r="H152" s="9">
        <f t="shared" si="154"/>
        <v>12420.600000049682</v>
      </c>
      <c r="I152" s="5">
        <f t="shared" si="178"/>
        <v>18089.909267500097</v>
      </c>
      <c r="J152" s="5">
        <v>0</v>
      </c>
      <c r="K152" s="6">
        <f t="shared" si="179"/>
        <v>216.65</v>
      </c>
      <c r="L152" s="5">
        <f t="shared" si="180"/>
        <v>295.06801842964956</v>
      </c>
      <c r="M152" s="10">
        <f t="shared" si="181"/>
        <v>1.4216130796413355E-5</v>
      </c>
      <c r="O152" s="6">
        <f>B152*L152</f>
        <v>222.09769747199724</v>
      </c>
      <c r="P152" s="1">
        <f>IF(E152=0,0,E152/9.80665)</f>
        <v>0</v>
      </c>
      <c r="Q152" s="7">
        <f>IF(D152=0,0,(D152/O152))</f>
        <v>0</v>
      </c>
      <c r="R152" s="7">
        <f t="shared" si="182"/>
        <v>1</v>
      </c>
      <c r="S152" s="7">
        <f t="shared" si="183"/>
        <v>0</v>
      </c>
      <c r="T152" s="7">
        <f t="shared" si="184"/>
        <v>0</v>
      </c>
      <c r="U152" s="7"/>
      <c r="V152" s="7"/>
      <c r="X152" s="1">
        <f>(A152*9.80665*R152)/(0.7*I152*B152*B152*$N$5)</f>
        <v>0.6566566143378878</v>
      </c>
      <c r="Y152" s="10">
        <f>(SQRT($N$5)*B152)*(I152/M152)*SQRT(1.4/(287.05*K152))</f>
        <v>50277479.606643133</v>
      </c>
      <c r="Z152" s="10">
        <f t="shared" si="185"/>
        <v>2.2467771076358331E-3</v>
      </c>
      <c r="AA152" s="3">
        <f t="shared" si="155"/>
        <v>1.8862340018509643E-2</v>
      </c>
      <c r="AB152" s="3">
        <f t="shared" si="156"/>
        <v>7.8415558658499161E-3</v>
      </c>
      <c r="AC152" s="3">
        <f>IF($E$5="no",(1/((1+0.03+$Q$5)+AB152*3.141593*$S$5)),(1.075/((1+0.03+$Q$5)+AB152*3.141593*$S$5)))</f>
        <v>0.77467125635418299</v>
      </c>
      <c r="AD152" s="3">
        <f t="shared" si="157"/>
        <v>4.3251910652412934E-2</v>
      </c>
      <c r="AE152" s="1">
        <f t="shared" si="158"/>
        <v>0.66964019004336917</v>
      </c>
      <c r="AF152" s="1">
        <f>B152*$R$5/AE152</f>
        <v>1.0187229890629472</v>
      </c>
      <c r="AG152" s="8">
        <f t="shared" si="186"/>
        <v>1.2238612641713381E-3</v>
      </c>
      <c r="AH152" s="8"/>
      <c r="AI152" s="3">
        <f t="shared" si="187"/>
        <v>3.8736334722903977E-2</v>
      </c>
      <c r="AJ152" s="1">
        <f t="shared" si="188"/>
        <v>16.951955290432284</v>
      </c>
      <c r="AK152" s="1"/>
      <c r="AL152" s="1">
        <f t="shared" si="159"/>
        <v>5.8990245247071992E-2</v>
      </c>
      <c r="AM152" s="8">
        <f>AL152*(A152*9.80665)/(0.7*I152*B152*B152*$N$5)</f>
        <v>3.873633472290397E-2</v>
      </c>
      <c r="AN152" s="1">
        <f>B152/$AI$5</f>
        <v>1</v>
      </c>
      <c r="AO152" s="1">
        <f>IF(B152&lt;0.4,1.3*(0.4-B152),0)</f>
        <v>0</v>
      </c>
      <c r="AP152" s="1">
        <f t="shared" si="189"/>
        <v>-0.43</v>
      </c>
      <c r="AQ152" s="1">
        <f t="shared" si="190"/>
        <v>0</v>
      </c>
      <c r="AR152" s="1">
        <f t="shared" si="160"/>
        <v>1</v>
      </c>
      <c r="AS152" s="1">
        <f t="shared" si="161"/>
        <v>0.30867472713898642</v>
      </c>
      <c r="AT152" s="1">
        <f>(((1+0.55*B152)/(1+0.55*$AI$5))/(AN152^2))</f>
        <v>1</v>
      </c>
      <c r="AU152" s="1">
        <f t="shared" si="162"/>
        <v>3.465254791234245E-2</v>
      </c>
      <c r="AV152" s="8">
        <f t="shared" si="163"/>
        <v>1.1178495394016026</v>
      </c>
      <c r="AW152" s="8">
        <f t="shared" si="191"/>
        <v>0.99402793900701691</v>
      </c>
      <c r="AX152" s="8"/>
      <c r="AY152" s="4"/>
      <c r="AZ152" s="1">
        <f t="shared" si="164"/>
        <v>0.30683130284151999</v>
      </c>
      <c r="BA152" s="14">
        <f t="shared" si="192"/>
        <v>0.29916052027048201</v>
      </c>
      <c r="BB152" s="1"/>
      <c r="BC152" s="14">
        <f t="shared" si="193"/>
        <v>5.0713557642876719</v>
      </c>
      <c r="BD152" s="14">
        <f>IF(0.7*(AM152*(B152^3)/BA152)*(I152*L152*$N$5/43000000)&lt;$AH$5*(1-0.178*(C152/100)+0.0085*((C152/100)^2)),$AH$5*(1-0.178*(C152/100)+0.0085*((C152/100)^2)),0.7*(AM152*(B152^3)/BA152)*(I152*L152*$N$5/43000000))</f>
        <v>0.58728583240734444</v>
      </c>
      <c r="BE152" s="4">
        <f t="shared" si="165"/>
        <v>2.6442679914833031E-3</v>
      </c>
      <c r="BF152" s="4"/>
      <c r="BG152" s="1">
        <f t="shared" si="166"/>
        <v>1.0471398157606409</v>
      </c>
      <c r="BH152" s="1">
        <f>0.6*$AN$5*(1-0.53*((B152-$AM$5)^2))*(1+((2/3)*AV152))</f>
        <v>5.8440488852140984</v>
      </c>
      <c r="BJ152" s="1">
        <f t="shared" si="167"/>
        <v>5.5505831897290783</v>
      </c>
      <c r="BK152" s="5">
        <f t="shared" si="168"/>
        <v>27.811852562013105</v>
      </c>
      <c r="BL152" s="5">
        <f t="shared" si="194"/>
        <v>1.6719253709220767</v>
      </c>
      <c r="BM152" s="5">
        <f t="shared" si="195"/>
        <v>3.020202739340665</v>
      </c>
      <c r="BN152" s="1">
        <f t="shared" si="196"/>
        <v>1.1862966015951126</v>
      </c>
      <c r="BO152" s="1">
        <f t="shared" si="169"/>
        <v>3.3765819944741926</v>
      </c>
      <c r="BP152" s="9">
        <f>(1+0.2*B152*B152)*K152</f>
        <v>241.19892737570004</v>
      </c>
      <c r="BQ152" s="9">
        <f t="shared" si="128"/>
        <v>728.46966118611931</v>
      </c>
      <c r="BR152" s="9">
        <f t="shared" si="129"/>
        <v>1409.5783226447961</v>
      </c>
      <c r="BS152" s="9">
        <f t="shared" si="197"/>
        <v>814.42795526327711</v>
      </c>
      <c r="BU152" s="9">
        <f>((1+0.2*B152*B152)^3.5)*I152</f>
        <v>26338.725995270237</v>
      </c>
      <c r="BV152" s="9">
        <f t="shared" si="198"/>
        <v>732528.76405171771</v>
      </c>
      <c r="BX152" s="3">
        <f t="shared" si="170"/>
        <v>2.31255235833129E-2</v>
      </c>
      <c r="BZ152" s="3">
        <f t="shared" si="171"/>
        <v>4.32422107028975E-2</v>
      </c>
      <c r="CA152"/>
      <c r="CB152" s="14">
        <f>$CB$12*($AO$5/K152)/($AN$5*(1-0.53*((B152-$AM$5)^2))*(1+0.2*B152*B152))</f>
        <v>1.3629629629629629</v>
      </c>
      <c r="CC152" s="1">
        <f t="shared" si="199"/>
        <v>1.9074074074074074</v>
      </c>
      <c r="CD152" s="3">
        <f t="shared" si="172"/>
        <v>6.6096526573542078E-2</v>
      </c>
      <c r="CE152" s="6">
        <f t="shared" si="173"/>
        <v>1.5285186742109185</v>
      </c>
      <c r="CF152" s="22" t="str">
        <f t="shared" si="200"/>
        <v/>
      </c>
      <c r="CG152" s="22"/>
      <c r="CH152" s="7">
        <f t="shared" si="174"/>
        <v>1.0313949562290714</v>
      </c>
      <c r="CI152" s="23">
        <f>CH152*(0.7*I152*B152*B152)*$N$5/9.80665</f>
        <v>92355.764187983223</v>
      </c>
      <c r="CK152" s="1">
        <f>B152/$AI$5</f>
        <v>1</v>
      </c>
      <c r="CL152" s="14">
        <f t="shared" si="201"/>
        <v>1.4515200000000053</v>
      </c>
      <c r="CM152" s="1">
        <f t="shared" si="175"/>
        <v>0.8569758833631711</v>
      </c>
      <c r="CN152" s="14">
        <f>SQRT((A152*9.80665)/(0.7*I152*$N$5*CM152))</f>
        <v>0.65888068648696607</v>
      </c>
      <c r="CO152" s="1">
        <f t="shared" si="176"/>
        <v>0.76624865073316006</v>
      </c>
      <c r="CP152" s="29" t="str">
        <f>IF(C152&lt;30,"",IF(CO152&gt;1,"no",""))</f>
        <v/>
      </c>
      <c r="CQ152" s="22"/>
      <c r="CR152" s="23">
        <f>CM152*(0.7*I152*B152*B152)*$N$5/9.80665</f>
        <v>76737.492384148602</v>
      </c>
      <c r="CS152"/>
      <c r="CT152" s="6">
        <f t="shared" si="177"/>
        <v>0.99390243902439035</v>
      </c>
      <c r="CU152" s="22" t="str">
        <f t="shared" si="202"/>
        <v/>
      </c>
      <c r="CV152" s="5"/>
      <c r="CW152" s="6">
        <f>IF(C152&lt;100,SQRT(2)*SQRT(SQRT(1+(2/1.4)*(10510/I152))-1),IF(I152&gt;$AW$5,SQRT(2)*SQRT(SQRT(1+(2/1.4)*($AV$5/I152))-1),$AS$5))</f>
        <v>0.82</v>
      </c>
      <c r="CX152" s="22" t="str">
        <f>IF(B152&gt;CW152,"no","")</f>
        <v/>
      </c>
    </row>
    <row r="153" spans="1:102" x14ac:dyDescent="0.2">
      <c r="A153">
        <v>58800</v>
      </c>
      <c r="B153" s="1">
        <v>0.75270000000000004</v>
      </c>
      <c r="C153" s="5">
        <v>408</v>
      </c>
      <c r="D153" s="1">
        <v>0</v>
      </c>
      <c r="E153" s="1">
        <v>0</v>
      </c>
      <c r="G153">
        <f t="shared" si="153"/>
        <v>40800</v>
      </c>
      <c r="H153" s="9">
        <f t="shared" si="154"/>
        <v>12435.840000049742</v>
      </c>
      <c r="I153" s="5">
        <f t="shared" si="178"/>
        <v>18046.488278953198</v>
      </c>
      <c r="J153" s="5">
        <v>0</v>
      </c>
      <c r="K153" s="6">
        <f t="shared" si="179"/>
        <v>216.65</v>
      </c>
      <c r="L153" s="5">
        <f t="shared" si="180"/>
        <v>295.06801842964956</v>
      </c>
      <c r="M153" s="10">
        <f t="shared" si="181"/>
        <v>1.4216130796413355E-5</v>
      </c>
      <c r="O153" s="6">
        <f>B153*L153</f>
        <v>222.09769747199724</v>
      </c>
      <c r="P153" s="1">
        <f>IF(E153=0,0,E153/9.80665)</f>
        <v>0</v>
      </c>
      <c r="Q153" s="7">
        <f>IF(D153=0,0,(D153/O153))</f>
        <v>0</v>
      </c>
      <c r="R153" s="19">
        <f t="shared" si="182"/>
        <v>1</v>
      </c>
      <c r="S153" s="19">
        <f t="shared" si="183"/>
        <v>0</v>
      </c>
      <c r="T153" s="19">
        <f t="shared" si="184"/>
        <v>0</v>
      </c>
      <c r="U153" s="19"/>
      <c r="V153" s="19"/>
      <c r="X153" s="1">
        <f>(A153*9.80665*R153)/(0.7*I153*B153*B153*$N$5)</f>
        <v>0.65823657155115156</v>
      </c>
      <c r="Y153" s="10">
        <f>(SQRT($N$5)*B153)*(I153/M153)*SQRT(1.4/(287.05*K153))</f>
        <v>50156799.18564792</v>
      </c>
      <c r="Z153" s="10">
        <f t="shared" si="185"/>
        <v>2.247533150017952E-3</v>
      </c>
      <c r="AA153" s="3">
        <f t="shared" si="155"/>
        <v>1.8868687211754342E-2</v>
      </c>
      <c r="AB153" s="3">
        <f t="shared" si="156"/>
        <v>7.8441945559790741E-3</v>
      </c>
      <c r="AC153" s="3">
        <f>IF($E$5="no",(1/((1+0.03+$Q$5)+AB153*3.141593*$S$5)),(1.075/((1+0.03+$Q$5)+AB153*3.141593*$S$5)))</f>
        <v>0.77462399849510111</v>
      </c>
      <c r="AD153" s="3">
        <f t="shared" si="157"/>
        <v>4.3254549342542081E-2</v>
      </c>
      <c r="AE153" s="1">
        <f t="shared" si="158"/>
        <v>0.66944783927631435</v>
      </c>
      <c r="AF153" s="1">
        <f>B153*$R$5/AE153</f>
        <v>1.0190156961819581</v>
      </c>
      <c r="AG153" s="8">
        <f t="shared" si="186"/>
        <v>1.2287313113150096E-3</v>
      </c>
      <c r="AH153" s="8"/>
      <c r="AI153" s="3">
        <f t="shared" si="187"/>
        <v>3.8838550004717469E-2</v>
      </c>
      <c r="AJ153" s="1">
        <f t="shared" si="188"/>
        <v>16.948021269362524</v>
      </c>
      <c r="AK153" s="1"/>
      <c r="AL153" s="1">
        <f t="shared" si="159"/>
        <v>5.900393822420625E-2</v>
      </c>
      <c r="AM153" s="8">
        <f>AL153*(A153*9.80665)/(0.7*I153*B153*B153*$N$5)</f>
        <v>3.8838550004717462E-2</v>
      </c>
      <c r="AN153" s="1">
        <f>B153/$AI$5</f>
        <v>1</v>
      </c>
      <c r="AO153" s="1">
        <f>IF(B153&lt;0.4,1.3*(0.4-B153),0)</f>
        <v>0</v>
      </c>
      <c r="AP153" s="1">
        <f t="shared" si="189"/>
        <v>-0.43</v>
      </c>
      <c r="AQ153" s="1">
        <f t="shared" si="190"/>
        <v>0</v>
      </c>
      <c r="AR153" s="1">
        <f t="shared" si="160"/>
        <v>1</v>
      </c>
      <c r="AS153" s="1">
        <f t="shared" si="161"/>
        <v>0.30867472713898642</v>
      </c>
      <c r="AT153" s="1">
        <f>(((1+0.55*B153)/(1+0.55*$AI$5))/(AN153^2))</f>
        <v>1</v>
      </c>
      <c r="AU153" s="1">
        <f t="shared" si="162"/>
        <v>3.465254791234245E-2</v>
      </c>
      <c r="AV153" s="8">
        <f t="shared" si="163"/>
        <v>1.1207992584835025</v>
      </c>
      <c r="AW153" s="8">
        <f t="shared" si="191"/>
        <v>0.99372524183442945</v>
      </c>
      <c r="AX153" s="8"/>
      <c r="AY153" s="4"/>
      <c r="AZ153" s="1">
        <f t="shared" si="164"/>
        <v>0.3067378678743658</v>
      </c>
      <c r="BA153" s="14">
        <f t="shared" si="192"/>
        <v>0.29906942117750662</v>
      </c>
      <c r="BB153" s="1"/>
      <c r="BC153" s="14">
        <f t="shared" si="193"/>
        <v>5.068634911132321</v>
      </c>
      <c r="BD153" s="14">
        <f>IF(0.7*(AM153*(B153^3)/BA153)*(I153*L153*$N$5/43000000)&lt;$AH$5*(1-0.178*(C153/100)+0.0085*((C153/100)^2)),$AH$5*(1-0.178*(C153/100)+0.0085*((C153/100)^2)),0.7*(AM153*(B153^3)/BA153)*(I153*L153*$N$5/43000000))</f>
        <v>0.5876010885933225</v>
      </c>
      <c r="BE153" s="4">
        <f t="shared" si="165"/>
        <v>2.645687439724174E-3</v>
      </c>
      <c r="BF153" s="4"/>
      <c r="BG153" s="1">
        <f t="shared" si="166"/>
        <v>1.0483197033934009</v>
      </c>
      <c r="BH153" s="1">
        <f>0.6*$AN$5*(1-0.53*((B153-$AM$5)^2))*(1+((2/3)*AV153))</f>
        <v>5.8506337947945832</v>
      </c>
      <c r="BJ153" s="1">
        <f t="shared" si="167"/>
        <v>5.5435243686083941</v>
      </c>
      <c r="BK153" s="5">
        <f t="shared" si="168"/>
        <v>27.890262810434827</v>
      </c>
      <c r="BL153" s="5">
        <f t="shared" si="194"/>
        <v>1.6738092493100032</v>
      </c>
      <c r="BM153" s="5">
        <f t="shared" si="195"/>
        <v>3.0230302763315726</v>
      </c>
      <c r="BN153" s="1">
        <f t="shared" si="196"/>
        <v>1.1867407248791428</v>
      </c>
      <c r="BO153" s="1">
        <f t="shared" si="169"/>
        <v>3.3799559849173724</v>
      </c>
      <c r="BP153" s="9">
        <f>(1+0.2*B153*B153)*K153</f>
        <v>241.19892737570004</v>
      </c>
      <c r="BQ153" s="9">
        <f t="shared" si="128"/>
        <v>729.15166007544144</v>
      </c>
      <c r="BR153" s="9">
        <f t="shared" si="129"/>
        <v>1411.1665957724749</v>
      </c>
      <c r="BS153" s="9">
        <f t="shared" si="197"/>
        <v>815.24175813914803</v>
      </c>
      <c r="BU153" s="9">
        <f>((1+0.2*B153*B153)^3.5)*I153</f>
        <v>26275.505472554007</v>
      </c>
      <c r="BV153" s="9">
        <f t="shared" si="198"/>
        <v>732830.75310654973</v>
      </c>
      <c r="BX153" s="3">
        <f t="shared" si="170"/>
        <v>2.3158031891461591E-2</v>
      </c>
      <c r="BZ153" s="3">
        <f t="shared" si="171"/>
        <v>4.3355267406393526E-2</v>
      </c>
      <c r="CA153"/>
      <c r="CB153" s="14">
        <f>$CB$12*($AO$5/K153)/($AN$5*(1-0.53*((B153-$AM$5)^2))*(1+0.2*B153*B153))</f>
        <v>1.3629629629629629</v>
      </c>
      <c r="CC153" s="1">
        <f t="shared" si="199"/>
        <v>1.9074074074074074</v>
      </c>
      <c r="CD153" s="3">
        <f t="shared" si="172"/>
        <v>6.6096526573542078E-2</v>
      </c>
      <c r="CE153" s="6">
        <f t="shared" si="173"/>
        <v>1.5245327852318802</v>
      </c>
      <c r="CF153" s="22" t="str">
        <f t="shared" si="200"/>
        <v/>
      </c>
      <c r="CG153" s="22"/>
      <c r="CH153" s="7">
        <f t="shared" si="174"/>
        <v>1.0312377662525303</v>
      </c>
      <c r="CI153" s="23">
        <f>CH153*(0.7*I153*B153*B153)*$N$5/9.80665</f>
        <v>92120.042058369145</v>
      </c>
      <c r="CK153" s="1">
        <f>B153/$AI$5</f>
        <v>1</v>
      </c>
      <c r="CL153" s="14">
        <f t="shared" si="201"/>
        <v>1.4515200000000053</v>
      </c>
      <c r="CM153" s="1">
        <f t="shared" si="175"/>
        <v>0.8569758833631711</v>
      </c>
      <c r="CN153" s="14">
        <f>SQRT((A153*9.80665)/(0.7*I153*$N$5*CM153))</f>
        <v>0.6596728645012232</v>
      </c>
      <c r="CO153" s="1">
        <f t="shared" si="176"/>
        <v>0.76809229329526263</v>
      </c>
      <c r="CP153" s="29" t="str">
        <f>IF(C153&lt;30,"",IF(CO153&gt;1,"no",""))</f>
        <v/>
      </c>
      <c r="CQ153" s="22"/>
      <c r="CR153" s="23">
        <f>CM153*(0.7*I153*B153*B153)*$N$5/9.80665</f>
        <v>76553.300317253263</v>
      </c>
      <c r="CS153"/>
      <c r="CT153" s="6">
        <f t="shared" si="177"/>
        <v>0.9951219512195123</v>
      </c>
      <c r="CU153" s="22" t="str">
        <f t="shared" si="202"/>
        <v/>
      </c>
      <c r="CV153" s="5"/>
      <c r="CW153" s="6">
        <f>IF(C153&lt;100,SQRT(2)*SQRT(SQRT(1+(2/1.4)*(10510/I153))-1),IF(I153&gt;$AW$5,SQRT(2)*SQRT(SQRT(1+(2/1.4)*($AV$5/I153))-1),$AS$5))</f>
        <v>0.82</v>
      </c>
      <c r="CX153" s="22" t="str">
        <f>IF(B153&gt;CW153,"no","")</f>
        <v/>
      </c>
    </row>
    <row r="154" spans="1:102" x14ac:dyDescent="0.2">
      <c r="A154">
        <v>58800</v>
      </c>
      <c r="B154" s="1">
        <v>0.75270000000000004</v>
      </c>
      <c r="C154" s="5">
        <v>408.5</v>
      </c>
      <c r="D154" s="1">
        <v>0</v>
      </c>
      <c r="E154" s="1">
        <v>0</v>
      </c>
      <c r="G154">
        <f t="shared" si="153"/>
        <v>40850</v>
      </c>
      <c r="H154" s="9">
        <f t="shared" si="154"/>
        <v>12451.080000049804</v>
      </c>
      <c r="I154" s="5">
        <f t="shared" si="178"/>
        <v>18003.171513275433</v>
      </c>
      <c r="J154" s="5">
        <v>0</v>
      </c>
      <c r="K154" s="6">
        <f t="shared" si="179"/>
        <v>216.65</v>
      </c>
      <c r="L154" s="5">
        <f t="shared" si="180"/>
        <v>295.06801842964956</v>
      </c>
      <c r="M154" s="10">
        <f t="shared" si="181"/>
        <v>1.4216130796413355E-5</v>
      </c>
      <c r="O154" s="6">
        <f>B154*L154</f>
        <v>222.09769747199724</v>
      </c>
      <c r="P154" s="1">
        <f>IF(E154=0,0,E154/9.80665)</f>
        <v>0</v>
      </c>
      <c r="Q154" s="7">
        <f>IF(D154=0,0,(D154/O154))</f>
        <v>0</v>
      </c>
      <c r="R154" s="7">
        <f t="shared" si="182"/>
        <v>1</v>
      </c>
      <c r="S154" s="7">
        <f t="shared" si="183"/>
        <v>0</v>
      </c>
      <c r="T154" s="7">
        <f t="shared" si="184"/>
        <v>0</v>
      </c>
      <c r="U154" s="7"/>
      <c r="V154" s="7"/>
      <c r="X154" s="1">
        <f>(A154*9.80665*R154)/(0.7*I154*B154*B154*$N$5)</f>
        <v>0.65982033024107956</v>
      </c>
      <c r="Y154" s="10">
        <f>(SQRT($N$5)*B154)*(I154/M154)*SQRT(1.4/(287.05*K154))</f>
        <v>50036408.432395093</v>
      </c>
      <c r="Z154" s="10">
        <f t="shared" si="185"/>
        <v>2.2482894468089675E-3</v>
      </c>
      <c r="AA154" s="3">
        <f t="shared" si="155"/>
        <v>1.8875036540834899E-2</v>
      </c>
      <c r="AB154" s="3">
        <f t="shared" si="156"/>
        <v>7.846834134029675E-3</v>
      </c>
      <c r="AC154" s="3">
        <f>IF($E$5="no",(1/((1+0.03+$Q$5)+AB154*3.141593*$S$5)),(1.075/((1+0.03+$Q$5)+AB154*3.141593*$S$5)))</f>
        <v>0.77457673050208253</v>
      </c>
      <c r="AD154" s="3">
        <f t="shared" si="157"/>
        <v>4.3257188920592694E-2</v>
      </c>
      <c r="AE154" s="1">
        <f t="shared" si="158"/>
        <v>0.66925502570118711</v>
      </c>
      <c r="AF154" s="1">
        <f>B154*$R$5/AE154</f>
        <v>1.0193092764345468</v>
      </c>
      <c r="AG154" s="8">
        <f t="shared" si="186"/>
        <v>1.2336316352180225E-3</v>
      </c>
      <c r="AH154" s="8"/>
      <c r="AI154" s="3">
        <f t="shared" si="187"/>
        <v>3.8941242014767515E-2</v>
      </c>
      <c r="AJ154" s="1">
        <f t="shared" si="188"/>
        <v>16.943998087961827</v>
      </c>
      <c r="AK154" s="1"/>
      <c r="AL154" s="1">
        <f t="shared" si="159"/>
        <v>5.9017948114056286E-2</v>
      </c>
      <c r="AM154" s="8">
        <f>AL154*(A154*9.80665)/(0.7*I154*B154*B154*$N$5)</f>
        <v>3.8941242014767515E-2</v>
      </c>
      <c r="AN154" s="1">
        <f>B154/$AI$5</f>
        <v>1</v>
      </c>
      <c r="AO154" s="1">
        <f>IF(B154&lt;0.4,1.3*(0.4-B154),0)</f>
        <v>0</v>
      </c>
      <c r="AP154" s="1">
        <f t="shared" si="189"/>
        <v>-0.43</v>
      </c>
      <c r="AQ154" s="1">
        <f t="shared" si="190"/>
        <v>0</v>
      </c>
      <c r="AR154" s="1">
        <f t="shared" si="160"/>
        <v>1</v>
      </c>
      <c r="AS154" s="1">
        <f t="shared" si="161"/>
        <v>0.30867472713898642</v>
      </c>
      <c r="AT154" s="1">
        <f>(((1+0.55*B154)/(1+0.55*$AI$5))/(AN154^2))</f>
        <v>1</v>
      </c>
      <c r="AU154" s="1">
        <f t="shared" si="162"/>
        <v>3.465254791234245E-2</v>
      </c>
      <c r="AV154" s="8">
        <f t="shared" si="163"/>
        <v>1.1237627349444492</v>
      </c>
      <c r="AW154" s="8">
        <f t="shared" si="191"/>
        <v>0.99341359773880011</v>
      </c>
      <c r="AX154" s="8"/>
      <c r="AY154" s="4"/>
      <c r="AZ154" s="1">
        <f t="shared" si="164"/>
        <v>0.30664167121818292</v>
      </c>
      <c r="BA154" s="14">
        <f t="shared" si="192"/>
        <v>0.29897562943772832</v>
      </c>
      <c r="BB154" s="1"/>
      <c r="BC154" s="14">
        <f t="shared" si="193"/>
        <v>5.0658424935400523</v>
      </c>
      <c r="BD154" s="14">
        <f>IF(0.7*(AM154*(B154^3)/BA154)*(I154*L154*$N$5/43000000)&lt;$AH$5*(1-0.178*(C154/100)+0.0085*((C154/100)^2)),$AH$5*(1-0.178*(C154/100)+0.0085*((C154/100)^2)),0.7*(AM154*(B154^3)/BA154)*(I154*L154*$N$5/43000000))</f>
        <v>0.58792498883678956</v>
      </c>
      <c r="BE154" s="4">
        <f t="shared" si="165"/>
        <v>2.6471458080330481E-3</v>
      </c>
      <c r="BF154" s="4"/>
      <c r="BG154" s="1">
        <f t="shared" si="166"/>
        <v>1.0495050939777797</v>
      </c>
      <c r="BH154" s="1">
        <f>0.6*$AN$5*(1-0.53*((B154-$AM$5)^2))*(1+((2/3)*AV154))</f>
        <v>5.8572494161461117</v>
      </c>
      <c r="BJ154" s="1">
        <f t="shared" si="167"/>
        <v>5.5364496457591184</v>
      </c>
      <c r="BK154" s="5">
        <f t="shared" si="168"/>
        <v>27.969172178091405</v>
      </c>
      <c r="BL154" s="5">
        <f t="shared" si="194"/>
        <v>1.6757019140359981</v>
      </c>
      <c r="BM154" s="5">
        <f t="shared" si="195"/>
        <v>3.0258704591629426</v>
      </c>
      <c r="BN154" s="1">
        <f t="shared" si="196"/>
        <v>1.1871865836092181</v>
      </c>
      <c r="BO154" s="1">
        <f t="shared" si="169"/>
        <v>3.3833501786497751</v>
      </c>
      <c r="BP154" s="9">
        <f>(1+0.2*B154*B154)*K154</f>
        <v>241.19892737570004</v>
      </c>
      <c r="BQ154" s="9">
        <f t="shared" si="128"/>
        <v>729.83670912791877</v>
      </c>
      <c r="BR154" s="9">
        <f t="shared" si="129"/>
        <v>1412.7622765463875</v>
      </c>
      <c r="BS154" s="9">
        <f t="shared" si="197"/>
        <v>816.06043402670889</v>
      </c>
      <c r="BU154" s="9">
        <f>((1+0.2*B154*B154)^3.5)*I154</f>
        <v>26212.436697287249</v>
      </c>
      <c r="BV154" s="9">
        <f t="shared" si="198"/>
        <v>733140.15519374865</v>
      </c>
      <c r="BX154" s="3">
        <f t="shared" si="170"/>
        <v>2.3190698130398202E-2</v>
      </c>
      <c r="BZ154" s="3">
        <f t="shared" si="171"/>
        <v>4.3468826923270185E-2</v>
      </c>
      <c r="CA154"/>
      <c r="CB154" s="14">
        <f>$CB$12*($AO$5/K154)/($AN$5*(1-0.53*((B154-$AM$5)^2))*(1+0.2*B154*B154))</f>
        <v>1.3629629629629629</v>
      </c>
      <c r="CC154" s="1">
        <f t="shared" si="199"/>
        <v>1.9074074074074074</v>
      </c>
      <c r="CD154" s="3">
        <f t="shared" si="172"/>
        <v>6.6096526573542078E-2</v>
      </c>
      <c r="CE154" s="6">
        <f t="shared" si="173"/>
        <v>1.5205500413023245</v>
      </c>
      <c r="CF154" s="22" t="str">
        <f t="shared" si="200"/>
        <v/>
      </c>
      <c r="CG154" s="22"/>
      <c r="CH154" s="7">
        <f t="shared" si="174"/>
        <v>1.0310801975548651</v>
      </c>
      <c r="CI154" s="23">
        <f>CH154*(0.7*I154*B154*B154)*$N$5/9.80665</f>
        <v>91884.885684068722</v>
      </c>
      <c r="CK154" s="1">
        <f>B154/$AI$5</f>
        <v>1</v>
      </c>
      <c r="CL154" s="14">
        <f t="shared" si="201"/>
        <v>1.4515200000000053</v>
      </c>
      <c r="CM154" s="1">
        <f t="shared" si="175"/>
        <v>0.8569758833631711</v>
      </c>
      <c r="CN154" s="14">
        <f>SQRT((A154*9.80665)/(0.7*I154*$N$5*CM154))</f>
        <v>0.66046599495803815</v>
      </c>
      <c r="CO154" s="1">
        <f t="shared" si="176"/>
        <v>0.76994037177760288</v>
      </c>
      <c r="CP154" s="29" t="str">
        <f>IF(C154&lt;30,"",IF(CO154&gt;1,"no",""))</f>
        <v/>
      </c>
      <c r="CQ154" s="22"/>
      <c r="CR154" s="23">
        <f>CM154*(0.7*I154*B154*B154)*$N$5/9.80665</f>
        <v>76369.550364329218</v>
      </c>
      <c r="CS154"/>
      <c r="CT154" s="6">
        <f t="shared" si="177"/>
        <v>0.99634146341463425</v>
      </c>
      <c r="CU154" s="22" t="str">
        <f t="shared" si="202"/>
        <v/>
      </c>
      <c r="CV154" s="5"/>
      <c r="CW154" s="6">
        <f>IF(C154&lt;100,SQRT(2)*SQRT(SQRT(1+(2/1.4)*(10510/I154))-1),IF(I154&gt;$AW$5,SQRT(2)*SQRT(SQRT(1+(2/1.4)*($AV$5/I154))-1),$AS$5))</f>
        <v>0.82</v>
      </c>
      <c r="CX154" s="22" t="str">
        <f>IF(B154&gt;CW154,"no","")</f>
        <v/>
      </c>
    </row>
    <row r="155" spans="1:102" x14ac:dyDescent="0.2">
      <c r="A155">
        <v>58800</v>
      </c>
      <c r="B155" s="1">
        <v>0.75270000000000004</v>
      </c>
      <c r="C155" s="5">
        <v>409</v>
      </c>
      <c r="D155" s="1">
        <v>0</v>
      </c>
      <c r="E155" s="1">
        <v>0</v>
      </c>
      <c r="G155">
        <f t="shared" si="153"/>
        <v>40900</v>
      </c>
      <c r="H155" s="9">
        <f t="shared" si="154"/>
        <v>12466.320000049865</v>
      </c>
      <c r="I155" s="5">
        <f t="shared" si="178"/>
        <v>17959.958720301929</v>
      </c>
      <c r="J155" s="5">
        <v>0</v>
      </c>
      <c r="K155" s="6">
        <f t="shared" si="179"/>
        <v>216.65</v>
      </c>
      <c r="L155" s="5">
        <f t="shared" si="180"/>
        <v>295.06801842964956</v>
      </c>
      <c r="M155" s="10">
        <f t="shared" si="181"/>
        <v>1.4216130796413355E-5</v>
      </c>
      <c r="O155" s="6">
        <f>B155*L155</f>
        <v>222.09769747199724</v>
      </c>
      <c r="P155" s="1">
        <f>IF(E155=0,0,E155/9.80665)</f>
        <v>0</v>
      </c>
      <c r="Q155" s="7">
        <f>IF(D155=0,0,(D155/O155))</f>
        <v>0</v>
      </c>
      <c r="R155" s="19">
        <f t="shared" si="182"/>
        <v>1</v>
      </c>
      <c r="S155" s="19">
        <f t="shared" si="183"/>
        <v>0</v>
      </c>
      <c r="T155" s="19">
        <f t="shared" si="184"/>
        <v>0</v>
      </c>
      <c r="U155" s="19"/>
      <c r="V155" s="19"/>
      <c r="X155" s="1">
        <f>(A155*9.80665*R155)/(0.7*I155*B155*B155*$N$5)</f>
        <v>0.66140789955426438</v>
      </c>
      <c r="Y155" s="10">
        <f>(SQRT($N$5)*B155)*(I155/M155)*SQRT(1.4/(287.05*K155))</f>
        <v>49916306.651598729</v>
      </c>
      <c r="Z155" s="10">
        <f t="shared" si="185"/>
        <v>2.2490459980944867E-3</v>
      </c>
      <c r="AA155" s="3">
        <f t="shared" si="155"/>
        <v>1.8881388006470011E-2</v>
      </c>
      <c r="AB155" s="3">
        <f t="shared" si="156"/>
        <v>7.8494746003005024E-3</v>
      </c>
      <c r="AC155" s="3">
        <f>IF($E$5="no",(1/((1+0.03+$Q$5)+AB155*3.141593*$S$5)),(1.075/((1+0.03+$Q$5)+AB155*3.141593*$S$5)))</f>
        <v>0.77452945237454374</v>
      </c>
      <c r="AD155" s="3">
        <f t="shared" si="157"/>
        <v>4.325982938686352E-2</v>
      </c>
      <c r="AE155" s="1">
        <f t="shared" si="158"/>
        <v>0.66906174820444209</v>
      </c>
      <c r="AF155" s="1">
        <f>B155*$R$5/AE155</f>
        <v>1.0196037328817835</v>
      </c>
      <c r="AG155" s="8">
        <f t="shared" si="186"/>
        <v>1.2385627345530364E-3</v>
      </c>
      <c r="AH155" s="8"/>
      <c r="AI155" s="3">
        <f t="shared" si="187"/>
        <v>3.9044413423514314E-2</v>
      </c>
      <c r="AJ155" s="1">
        <f t="shared" si="188"/>
        <v>16.939885672758873</v>
      </c>
      <c r="AK155" s="1"/>
      <c r="AL155" s="1">
        <f t="shared" si="159"/>
        <v>5.9032275619669956E-2</v>
      </c>
      <c r="AM155" s="8">
        <f>AL155*(A155*9.80665)/(0.7*I155*B155*B155*$N$5)</f>
        <v>3.9044413423514314E-2</v>
      </c>
      <c r="AN155" s="1">
        <f>B155/$AI$5</f>
        <v>1</v>
      </c>
      <c r="AO155" s="1">
        <f>IF(B155&lt;0.4,1.3*(0.4-B155),0)</f>
        <v>0</v>
      </c>
      <c r="AP155" s="1">
        <f t="shared" si="189"/>
        <v>-0.43</v>
      </c>
      <c r="AQ155" s="1">
        <f t="shared" si="190"/>
        <v>0</v>
      </c>
      <c r="AR155" s="1">
        <f t="shared" si="160"/>
        <v>1</v>
      </c>
      <c r="AS155" s="1">
        <f t="shared" si="161"/>
        <v>0.30867472713898642</v>
      </c>
      <c r="AT155" s="1">
        <f>(((1+0.55*B155)/(1+0.55*$AI$5))/(AN155^2))</f>
        <v>1</v>
      </c>
      <c r="AU155" s="1">
        <f t="shared" si="162"/>
        <v>3.465254791234245E-2</v>
      </c>
      <c r="AV155" s="8">
        <f t="shared" si="163"/>
        <v>1.1267400458483336</v>
      </c>
      <c r="AW155" s="8">
        <f t="shared" si="191"/>
        <v>0.99309289313469573</v>
      </c>
      <c r="AX155" s="8"/>
      <c r="AY155" s="4"/>
      <c r="AZ155" s="1">
        <f t="shared" si="164"/>
        <v>0.30654267781201883</v>
      </c>
      <c r="BA155" s="14">
        <f t="shared" si="192"/>
        <v>0.29887911086671837</v>
      </c>
      <c r="BB155" s="1"/>
      <c r="BC155" s="14">
        <f t="shared" si="193"/>
        <v>5.0629779680580329</v>
      </c>
      <c r="BD155" s="14">
        <f>IF(0.7*(AM155*(B155^3)/BA155)*(I155*L155*$N$5/43000000)&lt;$AH$5*(1-0.178*(C155/100)+0.0085*((C155/100)^2)),$AH$5*(1-0.178*(C155/100)+0.0085*((C155/100)^2)),0.7*(AM155*(B155^3)/BA155)*(I155*L155*$N$5/43000000))</f>
        <v>0.588257624317857</v>
      </c>
      <c r="BE155" s="4">
        <f t="shared" si="165"/>
        <v>2.6486435069504777E-3</v>
      </c>
      <c r="BF155" s="4"/>
      <c r="BG155" s="1">
        <f t="shared" si="166"/>
        <v>1.0506960183393335</v>
      </c>
      <c r="BH155" s="1">
        <f>0.6*$AN$5*(1-0.53*((B155-$AM$5)^2))*(1+((2/3)*AV155))</f>
        <v>5.8638959213049828</v>
      </c>
      <c r="BJ155" s="1">
        <f t="shared" si="167"/>
        <v>5.5293590148049248</v>
      </c>
      <c r="BK155" s="5">
        <f t="shared" si="168"/>
        <v>28.04858466074332</v>
      </c>
      <c r="BL155" s="5">
        <f t="shared" si="194"/>
        <v>1.6776034143179681</v>
      </c>
      <c r="BM155" s="5">
        <f t="shared" si="195"/>
        <v>3.0287233548315236</v>
      </c>
      <c r="BN155" s="1">
        <f t="shared" si="196"/>
        <v>1.1876341853156016</v>
      </c>
      <c r="BO155" s="1">
        <f t="shared" si="169"/>
        <v>3.3867647078512988</v>
      </c>
      <c r="BP155" s="9">
        <f>(1+0.2*B155*B155)*K155</f>
        <v>241.19892737570004</v>
      </c>
      <c r="BQ155" s="9">
        <f t="shared" si="128"/>
        <v>730.52482450309526</v>
      </c>
      <c r="BR155" s="9">
        <f t="shared" si="129"/>
        <v>1414.3654064615041</v>
      </c>
      <c r="BS155" s="9">
        <f t="shared" si="197"/>
        <v>816.88401480760933</v>
      </c>
      <c r="BU155" s="9">
        <f>((1+0.2*B155*B155)^3.5)*I155</f>
        <v>26149.519305232428</v>
      </c>
      <c r="BV155" s="9">
        <f t="shared" si="198"/>
        <v>733457.00607055356</v>
      </c>
      <c r="BX155" s="3">
        <f t="shared" si="170"/>
        <v>2.3223523234625353E-2</v>
      </c>
      <c r="BZ155" s="3">
        <f t="shared" si="171"/>
        <v>4.3582891986750166E-2</v>
      </c>
      <c r="CA155"/>
      <c r="CB155" s="14">
        <f>$CB$12*($AO$5/K155)/($AN$5*(1-0.53*((B155-$AM$5)^2))*(1+0.2*B155*B155))</f>
        <v>1.3629629629629629</v>
      </c>
      <c r="CC155" s="1">
        <f t="shared" si="199"/>
        <v>1.9074074074074074</v>
      </c>
      <c r="CD155" s="3">
        <f t="shared" si="172"/>
        <v>6.6096526573542078E-2</v>
      </c>
      <c r="CE155" s="6">
        <f t="shared" si="173"/>
        <v>1.5165704605751353</v>
      </c>
      <c r="CF155" s="22" t="str">
        <f t="shared" si="200"/>
        <v/>
      </c>
      <c r="CG155" s="22"/>
      <c r="CH155" s="7">
        <f t="shared" si="174"/>
        <v>1.0309222444346462</v>
      </c>
      <c r="CI155" s="23">
        <f>CH155*(0.7*I155*B155*B155)*$N$5/9.80665</f>
        <v>91650.293281360864</v>
      </c>
      <c r="CK155" s="1">
        <f>B155/$AI$5</f>
        <v>1</v>
      </c>
      <c r="CL155" s="14">
        <f t="shared" si="201"/>
        <v>1.4515200000000053</v>
      </c>
      <c r="CM155" s="1">
        <f t="shared" si="175"/>
        <v>0.8569758833631711</v>
      </c>
      <c r="CN155" s="14">
        <f>SQRT((A155*9.80665)/(0.7*I155*$N$5*CM155))</f>
        <v>0.6612600790025408</v>
      </c>
      <c r="CO155" s="1">
        <f t="shared" si="176"/>
        <v>0.77179289685328456</v>
      </c>
      <c r="CP155" s="29" t="str">
        <f>IF(C155&lt;30,"",IF(CO155&gt;1,"no",""))</f>
        <v/>
      </c>
      <c r="CQ155" s="22"/>
      <c r="CR155" s="23">
        <f>CM155*(0.7*I155*B155*B155)*$N$5/9.80665</f>
        <v>76186.24146417572</v>
      </c>
      <c r="CS155"/>
      <c r="CT155" s="6">
        <f t="shared" si="177"/>
        <v>0.99756097560975621</v>
      </c>
      <c r="CU155" s="22" t="str">
        <f t="shared" si="202"/>
        <v/>
      </c>
      <c r="CV155" s="5"/>
      <c r="CW155" s="6">
        <f>IF(C155&lt;100,SQRT(2)*SQRT(SQRT(1+(2/1.4)*(10510/I155))-1),IF(I155&gt;$AW$5,SQRT(2)*SQRT(SQRT(1+(2/1.4)*($AV$5/I155))-1),$AS$5))</f>
        <v>0.82</v>
      </c>
      <c r="CX155" s="22" t="str">
        <f>IF(B155&gt;CW155,"no","")</f>
        <v/>
      </c>
    </row>
    <row r="156" spans="1:102" x14ac:dyDescent="0.2">
      <c r="A156">
        <v>58800</v>
      </c>
      <c r="B156" s="1">
        <v>0.75270000000000004</v>
      </c>
      <c r="C156" s="5">
        <v>409.5</v>
      </c>
      <c r="D156" s="1">
        <v>0</v>
      </c>
      <c r="E156" s="1">
        <v>0</v>
      </c>
      <c r="G156">
        <f t="shared" si="153"/>
        <v>40950</v>
      </c>
      <c r="H156" s="9">
        <f t="shared" si="154"/>
        <v>12481.560000049925</v>
      </c>
      <c r="I156" s="5">
        <f t="shared" si="178"/>
        <v>17916.849650468281</v>
      </c>
      <c r="J156" s="5">
        <v>0</v>
      </c>
      <c r="K156" s="6">
        <f t="shared" si="179"/>
        <v>216.65</v>
      </c>
      <c r="L156" s="5">
        <f t="shared" si="180"/>
        <v>295.06801842964956</v>
      </c>
      <c r="M156" s="10">
        <f t="shared" si="181"/>
        <v>1.4216130796413355E-5</v>
      </c>
      <c r="O156" s="6">
        <f>B156*L156</f>
        <v>222.09769747199724</v>
      </c>
      <c r="P156" s="1">
        <f>IF(E156=0,0,E156/9.80665)</f>
        <v>0</v>
      </c>
      <c r="Q156" s="7">
        <f>IF(D156=0,0,(D156/O156))</f>
        <v>0</v>
      </c>
      <c r="R156" s="19">
        <f t="shared" si="182"/>
        <v>1</v>
      </c>
      <c r="S156" s="19">
        <f t="shared" si="183"/>
        <v>0</v>
      </c>
      <c r="T156" s="19">
        <f t="shared" si="184"/>
        <v>0</v>
      </c>
      <c r="U156" s="19"/>
      <c r="V156" s="19"/>
      <c r="X156" s="1">
        <f>(A156*9.80665*R156)/(0.7*I156*B156*B156*$N$5)</f>
        <v>0.66299928865930546</v>
      </c>
      <c r="Y156" s="10">
        <f>(SQRT($N$5)*B156)*(I156/M156)*SQRT(1.4/(287.05*K156))</f>
        <v>49796493.149641789</v>
      </c>
      <c r="Z156" s="10">
        <f t="shared" si="185"/>
        <v>2.2498028039601493E-3</v>
      </c>
      <c r="AA156" s="3">
        <f t="shared" si="155"/>
        <v>1.8887741609378644E-2</v>
      </c>
      <c r="AB156" s="3">
        <f t="shared" si="156"/>
        <v>7.8521159550904492E-3</v>
      </c>
      <c r="AC156" s="3">
        <f>IF($E$5="no",(1/((1+0.03+$Q$5)+AB156*3.141593*$S$5)),(1.075/((1+0.03+$Q$5)+AB156*3.141593*$S$5)))</f>
        <v>0.77448216411190141</v>
      </c>
      <c r="AD156" s="3">
        <f t="shared" si="157"/>
        <v>4.3262470741653472E-2</v>
      </c>
      <c r="AE156" s="1">
        <f t="shared" si="158"/>
        <v>0.6688680056698546</v>
      </c>
      <c r="AF156" s="1">
        <f>B156*$R$5/AE156</f>
        <v>1.0198990685979619</v>
      </c>
      <c r="AG156" s="8">
        <f t="shared" si="186"/>
        <v>1.2435251220373124E-3</v>
      </c>
      <c r="AH156" s="8"/>
      <c r="AI156" s="3">
        <f t="shared" si="187"/>
        <v>3.9148066926079687E-2</v>
      </c>
      <c r="AJ156" s="1">
        <f t="shared" si="188"/>
        <v>16.935683948614795</v>
      </c>
      <c r="AK156" s="1"/>
      <c r="AL156" s="1">
        <f t="shared" si="159"/>
        <v>5.9046921460871503E-2</v>
      </c>
      <c r="AM156" s="8">
        <f>AL156*(A156*9.80665)/(0.7*I156*B156*B156*$N$5)</f>
        <v>3.914806692607968E-2</v>
      </c>
      <c r="AN156" s="1">
        <f>B156/$AI$5</f>
        <v>1</v>
      </c>
      <c r="AO156" s="1">
        <f>IF(B156&lt;0.4,1.3*(0.4-B156),0)</f>
        <v>0</v>
      </c>
      <c r="AP156" s="1">
        <f t="shared" si="189"/>
        <v>-0.43</v>
      </c>
      <c r="AQ156" s="1">
        <f t="shared" si="190"/>
        <v>0</v>
      </c>
      <c r="AR156" s="1">
        <f t="shared" si="160"/>
        <v>1</v>
      </c>
      <c r="AS156" s="1">
        <f t="shared" si="161"/>
        <v>0.30867472713898642</v>
      </c>
      <c r="AT156" s="1">
        <f>(((1+0.55*B156)/(1+0.55*$AI$5))/(AN156^2))</f>
        <v>1</v>
      </c>
      <c r="AU156" s="1">
        <f t="shared" si="162"/>
        <v>3.465254791234245E-2</v>
      </c>
      <c r="AV156" s="8">
        <f t="shared" si="163"/>
        <v>1.1297312689707306</v>
      </c>
      <c r="AW156" s="8">
        <f t="shared" si="191"/>
        <v>0.99276301307603487</v>
      </c>
      <c r="AX156" s="8"/>
      <c r="AY156" s="4"/>
      <c r="AZ156" s="1">
        <f t="shared" si="164"/>
        <v>0.30644085217492306</v>
      </c>
      <c r="BA156" s="14">
        <f t="shared" si="192"/>
        <v>0.29877983087054999</v>
      </c>
      <c r="BB156" s="1"/>
      <c r="BC156" s="14">
        <f t="shared" si="193"/>
        <v>5.0600407858442162</v>
      </c>
      <c r="BD156" s="14">
        <f>IF(0.7*(AM156*(B156^3)/BA156)*(I156*L156*$N$5/43000000)&lt;$AH$5*(1-0.178*(C156/100)+0.0085*((C156/100)^2)),$AH$5*(1-0.178*(C156/100)+0.0085*((C156/100)^2)),0.7*(AM156*(B156^3)/BA156)*(I156*L156*$N$5/43000000))</f>
        <v>0.58859908793532878</v>
      </c>
      <c r="BE156" s="4">
        <f t="shared" si="165"/>
        <v>2.6501809547554681E-3</v>
      </c>
      <c r="BF156" s="4"/>
      <c r="BG156" s="1">
        <f t="shared" si="166"/>
        <v>1.0518925075882921</v>
      </c>
      <c r="BH156" s="1">
        <f>0.6*$AN$5*(1-0.53*((B156-$AM$5)^2))*(1+((2/3)*AV156))</f>
        <v>5.8705734838962487</v>
      </c>
      <c r="BJ156" s="1">
        <f t="shared" si="167"/>
        <v>5.5222524691563031</v>
      </c>
      <c r="BK156" s="5">
        <f t="shared" si="168"/>
        <v>28.128504297963946</v>
      </c>
      <c r="BL156" s="5">
        <f t="shared" si="194"/>
        <v>1.6795137998283467</v>
      </c>
      <c r="BM156" s="5">
        <f t="shared" si="195"/>
        <v>3.031589030942206</v>
      </c>
      <c r="BN156" s="1">
        <f t="shared" si="196"/>
        <v>1.1880835375943046</v>
      </c>
      <c r="BO156" s="1">
        <f t="shared" si="169"/>
        <v>3.3901997058543216</v>
      </c>
      <c r="BP156" s="9">
        <f>(1+0.2*B156*B156)*K156</f>
        <v>241.19892737570004</v>
      </c>
      <c r="BQ156" s="9">
        <f t="shared" si="128"/>
        <v>731.21602250719798</v>
      </c>
      <c r="BR156" s="9">
        <f t="shared" si="129"/>
        <v>1415.9760273960017</v>
      </c>
      <c r="BS156" s="9">
        <f t="shared" si="197"/>
        <v>817.71253264147617</v>
      </c>
      <c r="BU156" s="9">
        <f>((1+0.2*B156*B156)^3.5)*I156</f>
        <v>26086.752933026277</v>
      </c>
      <c r="BV156" s="9">
        <f t="shared" si="198"/>
        <v>733781.34199655324</v>
      </c>
      <c r="BX156" s="3">
        <f t="shared" si="170"/>
        <v>2.3256508147483698E-2</v>
      </c>
      <c r="BZ156" s="3">
        <f t="shared" si="171"/>
        <v>4.3697465354868792E-2</v>
      </c>
      <c r="CA156"/>
      <c r="CB156" s="14">
        <f>$CB$12*($AO$5/K156)/($AN$5*(1-0.53*((B156-$AM$5)^2))*(1+0.2*B156*B156))</f>
        <v>1.3629629629629629</v>
      </c>
      <c r="CC156" s="1">
        <f t="shared" si="199"/>
        <v>1.9074074074074074</v>
      </c>
      <c r="CD156" s="3">
        <f t="shared" si="172"/>
        <v>6.6096526573542078E-2</v>
      </c>
      <c r="CE156" s="6">
        <f t="shared" si="173"/>
        <v>1.512594060931673</v>
      </c>
      <c r="CF156" s="22" t="str">
        <f t="shared" si="200"/>
        <v/>
      </c>
      <c r="CG156" s="22"/>
      <c r="CH156" s="7">
        <f t="shared" si="174"/>
        <v>1.0307639010304421</v>
      </c>
      <c r="CI156" s="23">
        <f>CH156*(0.7*I156*B156*B156)*$N$5/9.80665</f>
        <v>91416.263059876423</v>
      </c>
      <c r="CK156" s="1">
        <f>B156/$AI$5</f>
        <v>1</v>
      </c>
      <c r="CL156" s="14">
        <f t="shared" si="201"/>
        <v>1.4515200000000053</v>
      </c>
      <c r="CM156" s="1">
        <f t="shared" si="175"/>
        <v>0.8569758833631711</v>
      </c>
      <c r="CN156" s="14">
        <f>SQRT((A156*9.80665)/(0.7*I156*$N$5*CM156))</f>
        <v>0.66205511778123793</v>
      </c>
      <c r="CO156" s="1">
        <f t="shared" si="176"/>
        <v>0.77364987922109141</v>
      </c>
      <c r="CP156" s="29" t="str">
        <f>IF(C156&lt;30,"",IF(CO156&gt;1,"no",""))</f>
        <v/>
      </c>
      <c r="CQ156" s="22"/>
      <c r="CR156" s="23">
        <f>CM156*(0.7*I156*B156*B156)*$N$5/9.80665</f>
        <v>76003.372558139192</v>
      </c>
      <c r="CS156"/>
      <c r="CT156" s="6">
        <f t="shared" si="177"/>
        <v>0.99878048780487816</v>
      </c>
      <c r="CU156" s="22" t="str">
        <f t="shared" si="202"/>
        <v/>
      </c>
      <c r="CV156" s="5"/>
      <c r="CW156" s="6">
        <f>IF(C156&lt;100,SQRT(2)*SQRT(SQRT(1+(2/1.4)*(10510/I156))-1),IF(I156&gt;$AW$5,SQRT(2)*SQRT(SQRT(1+(2/1.4)*($AV$5/I156))-1),$AS$5))</f>
        <v>0.82</v>
      </c>
      <c r="CX156" s="22" t="str">
        <f>IF(B156&gt;CW156,"no","")</f>
        <v/>
      </c>
    </row>
    <row r="157" spans="1:102" x14ac:dyDescent="0.2">
      <c r="A157">
        <v>58800</v>
      </c>
      <c r="B157" s="1">
        <v>0.75270000000000004</v>
      </c>
      <c r="C157" s="5">
        <v>410</v>
      </c>
      <c r="D157" s="1">
        <v>0</v>
      </c>
      <c r="E157" s="1">
        <v>0</v>
      </c>
      <c r="G157">
        <f t="shared" si="153"/>
        <v>41000</v>
      </c>
      <c r="H157" s="9">
        <f t="shared" si="154"/>
        <v>12496.800000049987</v>
      </c>
      <c r="I157" s="5">
        <f t="shared" si="178"/>
        <v>17873.844054809088</v>
      </c>
      <c r="J157" s="5">
        <v>0</v>
      </c>
      <c r="K157" s="6">
        <f t="shared" si="179"/>
        <v>216.65</v>
      </c>
      <c r="L157" s="5">
        <f t="shared" si="180"/>
        <v>295.06801842964956</v>
      </c>
      <c r="M157" s="10">
        <f t="shared" si="181"/>
        <v>1.4216130796413355E-5</v>
      </c>
      <c r="O157" s="6">
        <f>B157*L157</f>
        <v>222.09769747199724</v>
      </c>
      <c r="P157" s="1">
        <f>IF(E157=0,0,E157/9.80665)</f>
        <v>0</v>
      </c>
      <c r="Q157" s="7">
        <f>IF(D157=0,0,(D157/O157))</f>
        <v>0</v>
      </c>
      <c r="R157" s="19">
        <f t="shared" si="182"/>
        <v>1</v>
      </c>
      <c r="S157" s="19">
        <f t="shared" si="183"/>
        <v>0</v>
      </c>
      <c r="T157" s="19">
        <f t="shared" si="184"/>
        <v>0</v>
      </c>
      <c r="U157" s="19"/>
      <c r="V157" s="19"/>
      <c r="X157" s="1">
        <f>(A157*9.80665*R157)/(0.7*I157*B157*B157*$N$5)</f>
        <v>0.66459450674686293</v>
      </c>
      <c r="Y157" s="10">
        <f>(SQRT($N$5)*B157)*(I157/M157)*SQRT(1.4/(287.05*K157))</f>
        <v>49676967.234572046</v>
      </c>
      <c r="Z157" s="10">
        <f t="shared" si="185"/>
        <v>2.2505598644916207E-3</v>
      </c>
      <c r="AA157" s="3">
        <f t="shared" si="155"/>
        <v>1.8894097350279991E-2</v>
      </c>
      <c r="AB157" s="3">
        <f t="shared" si="156"/>
        <v>7.8547581986984985E-3</v>
      </c>
      <c r="AC157" s="3">
        <f>IF($E$5="no",(1/((1+0.03+$Q$5)+AB157*3.141593*$S$5)),(1.075/((1+0.03+$Q$5)+AB157*3.141593*$S$5)))</f>
        <v>0.77443486571357378</v>
      </c>
      <c r="AD157" s="3">
        <f t="shared" si="157"/>
        <v>4.3265112985261513E-2</v>
      </c>
      <c r="AE157" s="1">
        <f t="shared" si="158"/>
        <v>0.66867379697851437</v>
      </c>
      <c r="AF157" s="1">
        <f>B157*$R$5/AE157</f>
        <v>1.0201952866706703</v>
      </c>
      <c r="AG157" s="8">
        <f t="shared" si="186"/>
        <v>1.2485193247327177E-3</v>
      </c>
      <c r="AH157" s="8"/>
      <c r="AI157" s="3">
        <f t="shared" si="187"/>
        <v>3.9252205242598981E-2</v>
      </c>
      <c r="AJ157" s="1">
        <f t="shared" si="188"/>
        <v>16.931392838678089</v>
      </c>
      <c r="AK157" s="1"/>
      <c r="AL157" s="1">
        <f t="shared" si="159"/>
        <v>5.9061886374498329E-2</v>
      </c>
      <c r="AM157" s="8">
        <f>AL157*(A157*9.80665)/(0.7*I157*B157*B157*$N$5)</f>
        <v>3.9252205242598981E-2</v>
      </c>
      <c r="AN157" s="1">
        <f>B157/$AI$5</f>
        <v>1</v>
      </c>
      <c r="AO157" s="1">
        <f>IF(B157&lt;0.4,1.3*(0.4-B157),0)</f>
        <v>0</v>
      </c>
      <c r="AP157" s="1">
        <f t="shared" si="189"/>
        <v>-0.43</v>
      </c>
      <c r="AQ157" s="1">
        <f t="shared" si="190"/>
        <v>0</v>
      </c>
      <c r="AR157" s="1">
        <f t="shared" si="160"/>
        <v>1</v>
      </c>
      <c r="AS157" s="1">
        <f t="shared" si="161"/>
        <v>0.30867472713898642</v>
      </c>
      <c r="AT157" s="1">
        <f>(((1+0.55*B157)/(1+0.55*$AI$5))/(AN157^2))</f>
        <v>1</v>
      </c>
      <c r="AU157" s="1">
        <f t="shared" si="162"/>
        <v>3.465254791234245E-2</v>
      </c>
      <c r="AV157" s="8">
        <f t="shared" si="163"/>
        <v>1.1327364828090531</v>
      </c>
      <c r="AW157" s="8">
        <f t="shared" si="191"/>
        <v>0.99242384123653726</v>
      </c>
      <c r="AX157" s="8"/>
      <c r="AY157" s="4"/>
      <c r="AZ157" s="1">
        <f t="shared" si="164"/>
        <v>0.30633615839991291</v>
      </c>
      <c r="BA157" s="14">
        <f t="shared" si="192"/>
        <v>0.29867775443991507</v>
      </c>
      <c r="BB157" s="1"/>
      <c r="BC157" s="14">
        <f t="shared" si="193"/>
        <v>5.0570303925964311</v>
      </c>
      <c r="BD157" s="14">
        <f>IF(0.7*(AM157*(B157^3)/BA157)*(I157*L157*$N$5/43000000)&lt;$AH$5*(1-0.178*(C157/100)+0.0085*((C157/100)^2)),$AH$5*(1-0.178*(C157/100)+0.0085*((C157/100)^2)),0.7*(AM157*(B157^3)/BA157)*(I157*L157*$N$5/43000000))</f>
        <v>0.58894947434442901</v>
      </c>
      <c r="BE157" s="4">
        <f t="shared" si="165"/>
        <v>2.6517585776353473E-3</v>
      </c>
      <c r="BF157" s="4"/>
      <c r="BG157" s="1">
        <f t="shared" si="166"/>
        <v>1.0530945931236211</v>
      </c>
      <c r="BH157" s="1">
        <f>0.6*$AN$5*(1-0.53*((B157-$AM$5)^2))*(1+((2/3)*AV157))</f>
        <v>5.8772822791563817</v>
      </c>
      <c r="BJ157" s="1">
        <f t="shared" si="167"/>
        <v>5.5151300020037679</v>
      </c>
      <c r="BK157" s="5">
        <f t="shared" si="168"/>
        <v>28.208935173780493</v>
      </c>
      <c r="BL157" s="5">
        <f t="shared" si="194"/>
        <v>1.681433120700579</v>
      </c>
      <c r="BM157" s="5">
        <f t="shared" si="195"/>
        <v>3.034467555716776</v>
      </c>
      <c r="BN157" s="1">
        <f t="shared" si="196"/>
        <v>1.1885346481080852</v>
      </c>
      <c r="BO157" s="1">
        <f t="shared" si="169"/>
        <v>3.3936553071592162</v>
      </c>
      <c r="BP157" s="9">
        <f>(1+0.2*B157*B157)*K157</f>
        <v>241.19892737570004</v>
      </c>
      <c r="BQ157" s="9">
        <f t="shared" si="128"/>
        <v>731.91031959524867</v>
      </c>
      <c r="BR157" s="9">
        <f t="shared" si="129"/>
        <v>1417.594181616729</v>
      </c>
      <c r="BS157" s="9">
        <f t="shared" si="197"/>
        <v>818.54601996965482</v>
      </c>
      <c r="BU157" s="9">
        <f>((1+0.2*B157*B157)^3.5)*I157</f>
        <v>26024.137218177675</v>
      </c>
      <c r="BV157" s="9">
        <f t="shared" si="198"/>
        <v>734113.19974114222</v>
      </c>
      <c r="BX157" s="3">
        <f t="shared" si="170"/>
        <v>2.3289653821277827E-2</v>
      </c>
      <c r="BZ157" s="3">
        <f t="shared" si="171"/>
        <v>4.3812549810826308E-2</v>
      </c>
      <c r="CA157"/>
      <c r="CB157" s="14">
        <f>$CB$12*($AO$5/K157)/($AN$5*(1-0.53*((B157-$AM$5)^2))*(1+0.2*B157*B157))</f>
        <v>1.3629629629629629</v>
      </c>
      <c r="CC157" s="1">
        <f t="shared" si="199"/>
        <v>1.9074074074074074</v>
      </c>
      <c r="CD157" s="3">
        <f t="shared" si="172"/>
        <v>6.6096526573542078E-2</v>
      </c>
      <c r="CE157" s="6">
        <f t="shared" si="173"/>
        <v>1.5086208599803814</v>
      </c>
      <c r="CF157" s="22" t="str">
        <f t="shared" si="200"/>
        <v/>
      </c>
      <c r="CG157" s="22"/>
      <c r="CH157" s="7">
        <f t="shared" si="174"/>
        <v>1.030605161317363</v>
      </c>
      <c r="CI157" s="23">
        <f>CH157*(0.7*I157*B157*B157)*$N$5/9.80665</f>
        <v>91182.793222428329</v>
      </c>
      <c r="CK157" s="1">
        <f>B157/$AI$5</f>
        <v>1</v>
      </c>
      <c r="CL157" s="14">
        <f t="shared" si="201"/>
        <v>1.4515200000000053</v>
      </c>
      <c r="CM157" s="1">
        <f t="shared" si="175"/>
        <v>0.8569758833631711</v>
      </c>
      <c r="CN157" s="14">
        <f>SQRT((A157*9.80665)/(0.7*I157*$N$5*CM157))</f>
        <v>0.662851112442015</v>
      </c>
      <c r="CO157" s="1">
        <f t="shared" si="176"/>
        <v>0.77551132960554925</v>
      </c>
      <c r="CP157" s="29" t="str">
        <f>IF(C157&lt;30,"",IF(CO157&gt;1,"no",""))</f>
        <v/>
      </c>
      <c r="CQ157" s="22"/>
      <c r="CR157" s="23">
        <f>CM157*(0.7*I157*B157*B157)*$N$5/9.80665</f>
        <v>75820.942590107137</v>
      </c>
      <c r="CS157"/>
      <c r="CT157" s="6">
        <f t="shared" si="177"/>
        <v>1.0000000000000002</v>
      </c>
      <c r="CU157" s="22" t="str">
        <f t="shared" si="202"/>
        <v/>
      </c>
      <c r="CV157" s="5"/>
      <c r="CW157" s="6">
        <f>IF(C157&lt;100,SQRT(2)*SQRT(SQRT(1+(2/1.4)*(10510/I157))-1),IF(I157&gt;$AW$5,SQRT(2)*SQRT(SQRT(1+(2/1.4)*($AV$5/I157))-1),$AS$5))</f>
        <v>0.82</v>
      </c>
      <c r="CX157" s="22" t="str">
        <f>IF(B157&gt;CW157,"no","")</f>
        <v/>
      </c>
    </row>
    <row r="158" spans="1:102" x14ac:dyDescent="0.2">
      <c r="A158">
        <v>58800</v>
      </c>
      <c r="B158" s="1">
        <v>0.75270000000000004</v>
      </c>
      <c r="C158" s="5">
        <v>410.5</v>
      </c>
      <c r="D158" s="1">
        <v>0</v>
      </c>
      <c r="E158" s="1">
        <v>0</v>
      </c>
      <c r="G158">
        <f t="shared" si="153"/>
        <v>41050</v>
      </c>
      <c r="H158" s="9">
        <f t="shared" si="154"/>
        <v>12512.040000050047</v>
      </c>
      <c r="I158" s="5">
        <f t="shared" si="178"/>
        <v>17830.941684956557</v>
      </c>
      <c r="J158" s="5">
        <v>0</v>
      </c>
      <c r="K158" s="6">
        <f t="shared" si="179"/>
        <v>216.65</v>
      </c>
      <c r="L158" s="5">
        <f t="shared" si="180"/>
        <v>295.06801842964956</v>
      </c>
      <c r="M158" s="10">
        <f t="shared" si="181"/>
        <v>1.4216130796413355E-5</v>
      </c>
      <c r="O158" s="6">
        <f>B158*L158</f>
        <v>222.09769747199724</v>
      </c>
      <c r="P158" s="1">
        <f>IF(E158=0,0,E158/9.80665)</f>
        <v>0</v>
      </c>
      <c r="Q158" s="7">
        <f>IF(D158=0,0,(D158/O158))</f>
        <v>0</v>
      </c>
      <c r="R158" s="19">
        <f t="shared" si="182"/>
        <v>1</v>
      </c>
      <c r="S158" s="19">
        <f t="shared" si="183"/>
        <v>0</v>
      </c>
      <c r="T158" s="19">
        <f t="shared" si="184"/>
        <v>0</v>
      </c>
      <c r="U158" s="19"/>
      <c r="V158" s="19"/>
      <c r="X158" s="1">
        <f>(A158*9.80665*R158)/(0.7*I158*B158*B158*$N$5)</f>
        <v>0.66619356302971022</v>
      </c>
      <c r="Y158" s="10">
        <f>(SQRT($N$5)*B158)*(I158/M158)*SQRT(1.4/(287.05*K158))</f>
        <v>49557728.216098219</v>
      </c>
      <c r="Z158" s="10">
        <f t="shared" si="185"/>
        <v>2.2513171797745963E-3</v>
      </c>
      <c r="AA158" s="3">
        <f t="shared" si="155"/>
        <v>1.8900455229893483E-2</v>
      </c>
      <c r="AB158" s="3">
        <f t="shared" si="156"/>
        <v>7.8574013314237391E-3</v>
      </c>
      <c r="AC158" s="3">
        <f>IF($E$5="no",(1/((1+0.03+$Q$5)+AB158*3.141593*$S$5)),(1.075/((1+0.03+$Q$5)+AB158*3.141593*$S$5)))</f>
        <v>0.77438755717897922</v>
      </c>
      <c r="AD158" s="3">
        <f t="shared" si="157"/>
        <v>4.3267756117986757E-2</v>
      </c>
      <c r="AE158" s="1">
        <f t="shared" si="158"/>
        <v>0.6684791210088189</v>
      </c>
      <c r="AF158" s="1">
        <f>B158*$R$5/AE158</f>
        <v>1.0204923902008622</v>
      </c>
      <c r="AG158" s="8">
        <f t="shared" si="186"/>
        <v>1.2535458843511581E-3</v>
      </c>
      <c r="AH158" s="8"/>
      <c r="AI158" s="3">
        <f t="shared" si="187"/>
        <v>3.935683111857876E-2</v>
      </c>
      <c r="AJ158" s="1">
        <f t="shared" si="188"/>
        <v>16.927012264339222</v>
      </c>
      <c r="AK158" s="1"/>
      <c r="AL158" s="1">
        <f t="shared" si="159"/>
        <v>5.9077171114641294E-2</v>
      </c>
      <c r="AM158" s="8">
        <f>AL158*(A158*9.80665)/(0.7*I158*B158*B158*$N$5)</f>
        <v>3.935683111857876E-2</v>
      </c>
      <c r="AN158" s="1">
        <f>B158/$AI$5</f>
        <v>1</v>
      </c>
      <c r="AO158" s="1">
        <f>IF(B158&lt;0.4,1.3*(0.4-B158),0)</f>
        <v>0</v>
      </c>
      <c r="AP158" s="1">
        <f t="shared" si="189"/>
        <v>-0.43</v>
      </c>
      <c r="AQ158" s="1">
        <f t="shared" si="190"/>
        <v>0</v>
      </c>
      <c r="AR158" s="1">
        <f t="shared" si="160"/>
        <v>1</v>
      </c>
      <c r="AS158" s="1">
        <f t="shared" si="161"/>
        <v>0.30867472713898642</v>
      </c>
      <c r="AT158" s="1">
        <f>(((1+0.55*B158)/(1+0.55*$AI$5))/(AN158^2))</f>
        <v>1</v>
      </c>
      <c r="AU158" s="1">
        <f t="shared" si="162"/>
        <v>3.465254791234245E-2</v>
      </c>
      <c r="AV158" s="8">
        <f t="shared" si="163"/>
        <v>1.135755766592873</v>
      </c>
      <c r="AW158" s="8">
        <f t="shared" si="191"/>
        <v>0.99207525988981604</v>
      </c>
      <c r="AX158" s="8"/>
      <c r="AY158" s="4"/>
      <c r="AZ158" s="1">
        <f t="shared" si="164"/>
        <v>0.30622856014782801</v>
      </c>
      <c r="BA158" s="14">
        <f t="shared" si="192"/>
        <v>0.29857284614413232</v>
      </c>
      <c r="BB158" s="1"/>
      <c r="BC158" s="14">
        <f t="shared" si="193"/>
        <v>5.0539462284803953</v>
      </c>
      <c r="BD158" s="14">
        <f>IF(0.7*(AM158*(B158^3)/BA158)*(I158*L158*$N$5/43000000)&lt;$AH$5*(1-0.178*(C158/100)+0.0085*((C158/100)^2)),$AH$5*(1-0.178*(C158/100)+0.0085*((C158/100)^2)),0.7*(AM158*(B158^3)/BA158)*(I158*L158*$N$5/43000000))</f>
        <v>0.58930887999554082</v>
      </c>
      <c r="BE158" s="4">
        <f t="shared" si="165"/>
        <v>2.6533768098601865E-3</v>
      </c>
      <c r="BF158" s="4"/>
      <c r="BG158" s="1">
        <f t="shared" si="166"/>
        <v>1.0543023066371491</v>
      </c>
      <c r="BH158" s="1">
        <f>0.6*$AN$5*(1-0.53*((B158-$AM$5)^2))*(1+((2/3)*AV158))</f>
        <v>5.8840224839563149</v>
      </c>
      <c r="BJ158" s="1">
        <f t="shared" si="167"/>
        <v>5.5079916063110046</v>
      </c>
      <c r="BK158" s="5">
        <f t="shared" si="168"/>
        <v>28.289881417326253</v>
      </c>
      <c r="BL158" s="5">
        <f t="shared" si="194"/>
        <v>1.6833614275357138</v>
      </c>
      <c r="BM158" s="5">
        <f t="shared" si="195"/>
        <v>3.0373589980028108</v>
      </c>
      <c r="BN158" s="1">
        <f t="shared" si="196"/>
        <v>1.1889875245874642</v>
      </c>
      <c r="BO158" s="1">
        <f t="shared" si="169"/>
        <v>3.3971316474501267</v>
      </c>
      <c r="BP158" s="9">
        <f>(1+0.2*B158*B158)*K158</f>
        <v>241.19892737570004</v>
      </c>
      <c r="BQ158" s="9">
        <f t="shared" si="128"/>
        <v>732.60773237320905</v>
      </c>
      <c r="BR158" s="9">
        <f t="shared" si="129"/>
        <v>1419.2199117847654</v>
      </c>
      <c r="BS158" s="9">
        <f t="shared" si="197"/>
        <v>819.3845095190153</v>
      </c>
      <c r="BU158" s="9">
        <f>((1+0.2*B158*B158)^3.5)*I158</f>
        <v>25961.671799065614</v>
      </c>
      <c r="BV158" s="9">
        <f t="shared" si="198"/>
        <v>734452.61659110931</v>
      </c>
      <c r="BX158" s="3">
        <f t="shared" si="170"/>
        <v>2.3322961217404171E-2</v>
      </c>
      <c r="BZ158" s="3">
        <f t="shared" si="171"/>
        <v>4.3928148163345906E-2</v>
      </c>
      <c r="CA158"/>
      <c r="CB158" s="14">
        <f>$CB$12*($AO$5/K158)/($AN$5*(1-0.53*((B158-$AM$5)^2))*(1+0.2*B158*B158))</f>
        <v>1.3629629629629629</v>
      </c>
      <c r="CC158" s="1">
        <f t="shared" si="199"/>
        <v>1.9074074074074074</v>
      </c>
      <c r="CD158" s="3">
        <f t="shared" si="172"/>
        <v>6.6096526573542078E-2</v>
      </c>
      <c r="CE158" s="6">
        <f t="shared" si="173"/>
        <v>1.5046508750554091</v>
      </c>
      <c r="CF158" s="22" t="str">
        <f t="shared" si="200"/>
        <v/>
      </c>
      <c r="CG158" s="22"/>
      <c r="CH158" s="7">
        <f t="shared" si="174"/>
        <v>1.0304460191035332</v>
      </c>
      <c r="CI158" s="23">
        <f>CH158*(0.7*I158*B158*B158)*$N$5/9.80665</f>
        <v>90949.881964839107</v>
      </c>
      <c r="CK158" s="1">
        <f>B158/$AI$5</f>
        <v>1</v>
      </c>
      <c r="CL158" s="14">
        <f t="shared" si="201"/>
        <v>1.4515200000000053</v>
      </c>
      <c r="CM158" s="1">
        <f t="shared" si="175"/>
        <v>0.8569758833631711</v>
      </c>
      <c r="CN158" s="14">
        <f>SQRT((A158*9.80665)/(0.7*I158*$N$5*CM158))</f>
        <v>0.66364806413413724</v>
      </c>
      <c r="CO158" s="1">
        <f t="shared" si="176"/>
        <v>0.77737725875698804</v>
      </c>
      <c r="CP158" s="29" t="str">
        <f>IF(C158&lt;30,"",IF(CO158&gt;1,"no",""))</f>
        <v/>
      </c>
      <c r="CQ158" s="22"/>
      <c r="CR158" s="23">
        <f>CM158*(0.7*I158*B158*B158)*$N$5/9.80665</f>
        <v>75638.950506501991</v>
      </c>
      <c r="CS158"/>
      <c r="CT158" s="6">
        <f t="shared" si="177"/>
        <v>1.0012195121951222</v>
      </c>
      <c r="CU158" s="22" t="str">
        <f t="shared" si="202"/>
        <v>no</v>
      </c>
      <c r="CV158" s="5"/>
      <c r="CW158" s="6">
        <f>IF(C158&lt;100,SQRT(2)*SQRT(SQRT(1+(2/1.4)*(10510/I158))-1),IF(I158&gt;$AW$5,SQRT(2)*SQRT(SQRT(1+(2/1.4)*($AV$5/I158))-1),$AS$5))</f>
        <v>0.82</v>
      </c>
      <c r="CX158" s="22" t="str">
        <f>IF(B158&gt;CW158,"no","")</f>
        <v/>
      </c>
    </row>
    <row r="159" spans="1:102" x14ac:dyDescent="0.2">
      <c r="A159">
        <v>58800</v>
      </c>
      <c r="B159" s="1">
        <v>0.75270000000000004</v>
      </c>
      <c r="C159" s="5">
        <v>411</v>
      </c>
      <c r="D159" s="1">
        <v>0</v>
      </c>
      <c r="E159" s="1">
        <v>0</v>
      </c>
      <c r="G159">
        <f t="shared" si="153"/>
        <v>41100</v>
      </c>
      <c r="H159" s="9">
        <f t="shared" si="154"/>
        <v>12527.280000050108</v>
      </c>
      <c r="I159" s="5">
        <f t="shared" si="178"/>
        <v>17788.142293139041</v>
      </c>
      <c r="J159" s="5">
        <v>0</v>
      </c>
      <c r="K159" s="6">
        <f t="shared" si="179"/>
        <v>216.65</v>
      </c>
      <c r="L159" s="5">
        <f t="shared" si="180"/>
        <v>295.06801842964956</v>
      </c>
      <c r="M159" s="10">
        <f t="shared" si="181"/>
        <v>1.4216130796413355E-5</v>
      </c>
      <c r="O159" s="6">
        <f>B159*L159</f>
        <v>222.09769747199724</v>
      </c>
      <c r="P159" s="1">
        <f>IF(E159=0,0,E159/9.80665)</f>
        <v>0</v>
      </c>
      <c r="Q159" s="7">
        <f>IF(D159=0,0,(D159/O159))</f>
        <v>0</v>
      </c>
      <c r="R159" s="19">
        <f t="shared" si="182"/>
        <v>1</v>
      </c>
      <c r="S159" s="19">
        <f t="shared" si="183"/>
        <v>0</v>
      </c>
      <c r="T159" s="19">
        <f t="shared" si="184"/>
        <v>0</v>
      </c>
      <c r="U159" s="19"/>
      <c r="V159" s="19"/>
      <c r="X159" s="1">
        <f>(A159*9.80665*R159)/(0.7*I159*B159*B159*$N$5)</f>
        <v>0.66779646674278736</v>
      </c>
      <c r="Y159" s="10">
        <f>(SQRT($N$5)*B159)*(I159/M159)*SQRT(1.4/(287.05*K159))</f>
        <v>49438775.4055859</v>
      </c>
      <c r="Z159" s="10">
        <f t="shared" si="185"/>
        <v>2.2520747498948001E-3</v>
      </c>
      <c r="AA159" s="3">
        <f t="shared" si="155"/>
        <v>1.8906815248938801E-2</v>
      </c>
      <c r="AB159" s="3">
        <f t="shared" si="156"/>
        <v>7.8600453535653605E-3</v>
      </c>
      <c r="AC159" s="3">
        <f>IF($E$5="no",(1/((1+0.03+$Q$5)+AB159*3.141593*$S$5)),(1.075/((1+0.03+$Q$5)+AB159*3.141593*$S$5)))</f>
        <v>0.77434023850753764</v>
      </c>
      <c r="AD159" s="3">
        <f t="shared" si="157"/>
        <v>4.3270400140128375E-2</v>
      </c>
      <c r="AE159" s="1">
        <f t="shared" si="158"/>
        <v>0.66828397663646677</v>
      </c>
      <c r="AF159" s="1">
        <f>B159*$R$5/AE159</f>
        <v>1.0207903823029296</v>
      </c>
      <c r="AG159" s="8">
        <f t="shared" si="186"/>
        <v>1.2586053575655929E-3</v>
      </c>
      <c r="AH159" s="8"/>
      <c r="AI159" s="3">
        <f t="shared" si="187"/>
        <v>3.946194732526024E-2</v>
      </c>
      <c r="AJ159" s="1">
        <f t="shared" si="188"/>
        <v>16.922542145185012</v>
      </c>
      <c r="AK159" s="1"/>
      <c r="AL159" s="1">
        <f t="shared" si="159"/>
        <v>5.9092776452888372E-2</v>
      </c>
      <c r="AM159" s="8">
        <f>AL159*(A159*9.80665)/(0.7*I159*B159*B159*$N$5)</f>
        <v>3.9461947325260233E-2</v>
      </c>
      <c r="AN159" s="1">
        <f>B159/$AI$5</f>
        <v>1</v>
      </c>
      <c r="AO159" s="1">
        <f>IF(B159&lt;0.4,1.3*(0.4-B159),0)</f>
        <v>0</v>
      </c>
      <c r="AP159" s="1">
        <f t="shared" si="189"/>
        <v>-0.43</v>
      </c>
      <c r="AQ159" s="1">
        <f t="shared" si="190"/>
        <v>0</v>
      </c>
      <c r="AR159" s="1">
        <f t="shared" si="160"/>
        <v>1</v>
      </c>
      <c r="AS159" s="1">
        <f t="shared" si="161"/>
        <v>0.30867472713898642</v>
      </c>
      <c r="AT159" s="1">
        <f>(((1+0.55*B159)/(1+0.55*$AI$5))/(AN159^2))</f>
        <v>1</v>
      </c>
      <c r="AU159" s="1">
        <f t="shared" si="162"/>
        <v>3.465254791234245E-2</v>
      </c>
      <c r="AV159" s="8">
        <f t="shared" si="163"/>
        <v>1.1387892002944113</v>
      </c>
      <c r="AW159" s="8">
        <f t="shared" si="191"/>
        <v>0.9917171498891042</v>
      </c>
      <c r="AX159" s="8"/>
      <c r="AY159" s="4"/>
      <c r="AZ159" s="1">
        <f t="shared" si="164"/>
        <v>0.30611802064107252</v>
      </c>
      <c r="BA159" s="14">
        <f t="shared" si="192"/>
        <v>0.2984650701250457</v>
      </c>
      <c r="BB159" s="1"/>
      <c r="BC159" s="14">
        <f t="shared" si="193"/>
        <v>5.0507877280566857</v>
      </c>
      <c r="BD159" s="14">
        <f>IF(0.7*(AM159*(B159^3)/BA159)*(I159*L159*$N$5/43000000)&lt;$AH$5*(1-0.178*(C159/100)+0.0085*((C159/100)^2)),$AH$5*(1-0.178*(C159/100)+0.0085*((C159/100)^2)),0.7*(AM159*(B159^3)/BA159)*(I159*L159*$N$5/43000000))</f>
        <v>0.58967740317397943</v>
      </c>
      <c r="BE159" s="4">
        <f t="shared" si="165"/>
        <v>2.6550360939618825E-3</v>
      </c>
      <c r="BF159" s="4"/>
      <c r="BG159" s="1">
        <f t="shared" si="166"/>
        <v>1.0555156801177645</v>
      </c>
      <c r="BH159" s="1">
        <f>0.6*$AN$5*(1-0.53*((B159-$AM$5)^2))*(1+((2/3)*AV159))</f>
        <v>5.8907942768248605</v>
      </c>
      <c r="BJ159" s="1">
        <f t="shared" si="167"/>
        <v>5.5008372748079353</v>
      </c>
      <c r="BK159" s="5">
        <f t="shared" si="168"/>
        <v>28.371347203504524</v>
      </c>
      <c r="BL159" s="5">
        <f t="shared" si="194"/>
        <v>1.6852987714091019</v>
      </c>
      <c r="BM159" s="5">
        <f t="shared" si="195"/>
        <v>3.0402634272827229</v>
      </c>
      <c r="BN159" s="1">
        <f t="shared" si="196"/>
        <v>1.1894421748317572</v>
      </c>
      <c r="BO159" s="1">
        <f t="shared" si="169"/>
        <v>3.4006288636110149</v>
      </c>
      <c r="BP159" s="9">
        <f>(1+0.2*B159*B159)*K159</f>
        <v>241.19892737570004</v>
      </c>
      <c r="BQ159" s="9">
        <f t="shared" si="128"/>
        <v>733.30827760016234</v>
      </c>
      <c r="BR159" s="9">
        <f t="shared" si="129"/>
        <v>1420.8532609610688</v>
      </c>
      <c r="BS159" s="9">
        <f t="shared" si="197"/>
        <v>820.22803430582258</v>
      </c>
      <c r="BU159" s="9">
        <f>((1+0.2*B159*B159)^3.5)*I159</f>
        <v>25899.356314937064</v>
      </c>
      <c r="BV159" s="9">
        <f t="shared" si="198"/>
        <v>734799.63035835687</v>
      </c>
      <c r="BX159" s="3">
        <f t="shared" si="170"/>
        <v>2.3356431306481105E-2</v>
      </c>
      <c r="BZ159" s="3">
        <f t="shared" si="171"/>
        <v>4.4044263247037529E-2</v>
      </c>
      <c r="CA159"/>
      <c r="CB159" s="14">
        <f>$CB$12*($AO$5/K159)/($AN$5*(1-0.53*((B159-$AM$5)^2))*(1+0.2*B159*B159))</f>
        <v>1.3629629629629629</v>
      </c>
      <c r="CC159" s="1">
        <f t="shared" si="199"/>
        <v>1.9074074074074074</v>
      </c>
      <c r="CD159" s="3">
        <f t="shared" si="172"/>
        <v>6.6096526573542078E-2</v>
      </c>
      <c r="CE159" s="6">
        <f t="shared" si="173"/>
        <v>1.5006841232152477</v>
      </c>
      <c r="CF159" s="22" t="str">
        <f t="shared" si="200"/>
        <v/>
      </c>
      <c r="CG159" s="22"/>
      <c r="CH159" s="7">
        <f t="shared" si="174"/>
        <v>1.0302864680265038</v>
      </c>
      <c r="CI159" s="23">
        <f>CH159*(0.7*I159*B159*B159)*$N$5/9.80665</f>
        <v>90717.527475766241</v>
      </c>
      <c r="CK159" s="1">
        <f>B159/$AI$5</f>
        <v>1</v>
      </c>
      <c r="CL159" s="14">
        <f t="shared" si="201"/>
        <v>1.4515200000000053</v>
      </c>
      <c r="CM159" s="1">
        <f t="shared" si="175"/>
        <v>0.8569758833631711</v>
      </c>
      <c r="CN159" s="14">
        <f>SQRT((A159*9.80665)/(0.7*I159*$N$5*CM159))</f>
        <v>0.66444597400825189</v>
      </c>
      <c r="CO159" s="1">
        <f t="shared" si="176"/>
        <v>0.7792476774516035</v>
      </c>
      <c r="CP159" s="29" t="str">
        <f>IF(C159&lt;30,"",IF(CO159&gt;1,"no",""))</f>
        <v/>
      </c>
      <c r="CQ159" s="22"/>
      <c r="CR159" s="23">
        <f>CM159*(0.7*I159*B159*B159)*$N$5/9.80665</f>
        <v>75457.395256275078</v>
      </c>
      <c r="CS159"/>
      <c r="CT159" s="6">
        <f t="shared" si="177"/>
        <v>1.0024390243902441</v>
      </c>
      <c r="CU159" s="22" t="str">
        <f t="shared" si="202"/>
        <v>no</v>
      </c>
      <c r="CV159" s="5"/>
      <c r="CW159" s="6">
        <f>IF(C159&lt;100,SQRT(2)*SQRT(SQRT(1+(2/1.4)*(10510/I159))-1),IF(I159&gt;$AW$5,SQRT(2)*SQRT(SQRT(1+(2/1.4)*($AV$5/I159))-1),$AS$5))</f>
        <v>0.82</v>
      </c>
      <c r="CX159" s="22" t="str">
        <f>IF(B159&gt;CW159,"no","")</f>
        <v/>
      </c>
    </row>
    <row r="160" spans="1:102" x14ac:dyDescent="0.2">
      <c r="A160">
        <v>58800</v>
      </c>
      <c r="B160" s="1">
        <v>0.75270000000000004</v>
      </c>
      <c r="C160" s="5">
        <v>411.5</v>
      </c>
      <c r="D160" s="1">
        <v>0</v>
      </c>
      <c r="E160" s="1">
        <v>0</v>
      </c>
      <c r="G160">
        <f t="shared" si="153"/>
        <v>41150</v>
      </c>
      <c r="H160" s="9">
        <f t="shared" si="154"/>
        <v>12542.52000005017</v>
      </c>
      <c r="I160" s="5">
        <f t="shared" si="178"/>
        <v>17745.445632179621</v>
      </c>
      <c r="J160" s="5">
        <v>0</v>
      </c>
      <c r="K160" s="6">
        <f t="shared" si="179"/>
        <v>216.65</v>
      </c>
      <c r="L160" s="5">
        <f t="shared" si="180"/>
        <v>295.06801842964956</v>
      </c>
      <c r="M160" s="10">
        <f t="shared" si="181"/>
        <v>1.4216130796413355E-5</v>
      </c>
      <c r="O160" s="6">
        <f>B160*L160</f>
        <v>222.09769747199724</v>
      </c>
      <c r="P160" s="1">
        <f>IF(E160=0,0,E160/9.80665)</f>
        <v>0</v>
      </c>
      <c r="Q160" s="7">
        <f>IF(D160=0,0,(D160/O160))</f>
        <v>0</v>
      </c>
      <c r="R160" s="19">
        <f t="shared" si="182"/>
        <v>1</v>
      </c>
      <c r="S160" s="19">
        <f t="shared" si="183"/>
        <v>0</v>
      </c>
      <c r="T160" s="19">
        <f t="shared" si="184"/>
        <v>0</v>
      </c>
      <c r="U160" s="19"/>
      <c r="V160" s="19"/>
      <c r="X160" s="1">
        <f>(A160*9.80665*R160)/(0.7*I160*B160*B160*$N$5)</f>
        <v>0.66940322714325373</v>
      </c>
      <c r="Y160" s="10">
        <f>(SQRT($N$5)*B160)*(I160/M160)*SQRT(1.4/(287.05*K160))</f>
        <v>49320108.116053618</v>
      </c>
      <c r="Z160" s="10">
        <f t="shared" si="185"/>
        <v>2.2528325749379837E-3</v>
      </c>
      <c r="AA160" s="3">
        <f t="shared" si="155"/>
        <v>1.8913177408135851E-2</v>
      </c>
      <c r="AB160" s="3">
        <f t="shared" si="156"/>
        <v>7.862690265422646E-3</v>
      </c>
      <c r="AC160" s="3">
        <f>IF($E$5="no",(1/((1+0.03+$Q$5)+AB160*3.141593*$S$5)),(1.075/((1+0.03+$Q$5)+AB160*3.141593*$S$5)))</f>
        <v>0.7742929096986696</v>
      </c>
      <c r="AD160" s="3">
        <f t="shared" si="157"/>
        <v>4.3273045051985662E-2</v>
      </c>
      <c r="AE160" s="1">
        <f t="shared" si="158"/>
        <v>0.66808836273445193</v>
      </c>
      <c r="AF160" s="1">
        <f>B160*$R$5/AE160</f>
        <v>1.0210892661047732</v>
      </c>
      <c r="AG160" s="8">
        <f t="shared" si="186"/>
        <v>1.2636983163266269E-3</v>
      </c>
      <c r="AH160" s="8"/>
      <c r="AI160" s="3">
        <f t="shared" si="187"/>
        <v>3.9567556659988595E-2</v>
      </c>
      <c r="AJ160" s="1">
        <f t="shared" si="188"/>
        <v>16.917982398952777</v>
      </c>
      <c r="AK160" s="1"/>
      <c r="AL160" s="1">
        <f t="shared" si="159"/>
        <v>5.9108703178571698E-2</v>
      </c>
      <c r="AM160" s="8">
        <f>AL160*(A160*9.80665)/(0.7*I160*B160*B160*$N$5)</f>
        <v>3.9567556659988595E-2</v>
      </c>
      <c r="AN160" s="1">
        <f>B160/$AI$5</f>
        <v>1</v>
      </c>
      <c r="AO160" s="1">
        <f>IF(B160&lt;0.4,1.3*(0.4-B160),0)</f>
        <v>0</v>
      </c>
      <c r="AP160" s="1">
        <f t="shared" si="189"/>
        <v>-0.43</v>
      </c>
      <c r="AQ160" s="1">
        <f t="shared" si="190"/>
        <v>0</v>
      </c>
      <c r="AR160" s="1">
        <f t="shared" si="160"/>
        <v>1</v>
      </c>
      <c r="AS160" s="1">
        <f t="shared" si="161"/>
        <v>0.30867472713898642</v>
      </c>
      <c r="AT160" s="1">
        <f>(((1+0.55*B160)/(1+0.55*$AI$5))/(AN160^2))</f>
        <v>1</v>
      </c>
      <c r="AU160" s="1">
        <f t="shared" si="162"/>
        <v>3.465254791234245E-2</v>
      </c>
      <c r="AV160" s="8">
        <f t="shared" si="163"/>
        <v>1.1418368646391952</v>
      </c>
      <c r="AW160" s="8">
        <f t="shared" si="191"/>
        <v>0.99134939064660876</v>
      </c>
      <c r="AX160" s="8"/>
      <c r="AY160" s="4"/>
      <c r="AZ160" s="1">
        <f t="shared" si="164"/>
        <v>0.30600450265724244</v>
      </c>
      <c r="BA160" s="14">
        <f t="shared" si="192"/>
        <v>0.29835439009081138</v>
      </c>
      <c r="BB160" s="1"/>
      <c r="BC160" s="14">
        <f t="shared" si="193"/>
        <v>5.047554320206638</v>
      </c>
      <c r="BD160" s="14">
        <f>IF(0.7*(AM160*(B160^3)/BA160)*(I160*L160*$N$5/43000000)&lt;$AH$5*(1-0.178*(C160/100)+0.0085*((C160/100)^2)),$AH$5*(1-0.178*(C160/100)+0.0085*((C160/100)^2)),0.7*(AM160*(B160^3)/BA160)*(I160*L160*$N$5/43000000))</f>
        <v>0.59005514404083581</v>
      </c>
      <c r="BE160" s="4">
        <f t="shared" si="165"/>
        <v>2.6567368809180553E-3</v>
      </c>
      <c r="BF160" s="4"/>
      <c r="BG160" s="1">
        <f t="shared" si="166"/>
        <v>1.0567347458556779</v>
      </c>
      <c r="BH160" s="1">
        <f>0.6*$AN$5*(1-0.53*((B160-$AM$5)^2))*(1+((2/3)*AV160))</f>
        <v>5.8975978379725014</v>
      </c>
      <c r="BJ160" s="1">
        <f t="shared" si="167"/>
        <v>5.4936669999837235</v>
      </c>
      <c r="BK160" s="5">
        <f t="shared" si="168"/>
        <v>28.453336753664175</v>
      </c>
      <c r="BL160" s="5">
        <f t="shared" si="194"/>
        <v>1.6872452038772048</v>
      </c>
      <c r="BM160" s="5">
        <f t="shared" si="195"/>
        <v>3.0431809136829404</v>
      </c>
      <c r="BN160" s="1">
        <f t="shared" si="196"/>
        <v>1.1898986067101207</v>
      </c>
      <c r="BO160" s="1">
        <f t="shared" si="169"/>
        <v>3.4041470937419835</v>
      </c>
      <c r="BP160" s="9">
        <f>(1+0.2*B160*B160)*K160</f>
        <v>241.19892737570004</v>
      </c>
      <c r="BQ160" s="9">
        <f t="shared" si="128"/>
        <v>734.01197219052801</v>
      </c>
      <c r="BR160" s="9">
        <f t="shared" si="129"/>
        <v>1422.4942726122149</v>
      </c>
      <c r="BS160" s="9">
        <f t="shared" si="197"/>
        <v>821.07662763967301</v>
      </c>
      <c r="BU160" s="9">
        <f>((1+0.2*B160*B160)^3.5)*I160</f>
        <v>25837.190405904923</v>
      </c>
      <c r="BV160" s="9">
        <f t="shared" si="198"/>
        <v>735154.27938775392</v>
      </c>
      <c r="BX160" s="3">
        <f t="shared" si="170"/>
        <v>2.3390065068481115E-2</v>
      </c>
      <c r="BZ160" s="3">
        <f t="shared" si="171"/>
        <v>4.4160897922767534E-2</v>
      </c>
      <c r="CA160"/>
      <c r="CB160" s="14">
        <f>$CB$12*($AO$5/K160)/($AN$5*(1-0.53*((B160-$AM$5)^2))*(1+0.2*B160*B160))</f>
        <v>1.3629629629629629</v>
      </c>
      <c r="CC160" s="1">
        <f t="shared" si="199"/>
        <v>1.9074074074074074</v>
      </c>
      <c r="CD160" s="3">
        <f t="shared" si="172"/>
        <v>6.6096526573542078E-2</v>
      </c>
      <c r="CE160" s="6">
        <f t="shared" si="173"/>
        <v>1.4967206212413866</v>
      </c>
      <c r="CF160" s="22" t="str">
        <f t="shared" si="200"/>
        <v/>
      </c>
      <c r="CG160" s="22"/>
      <c r="CH160" s="7">
        <f t="shared" si="174"/>
        <v>1.0301265015495966</v>
      </c>
      <c r="CI160" s="23">
        <f>CH160*(0.7*I160*B160*B160)*$N$5/9.80665</f>
        <v>90485.727936524971</v>
      </c>
      <c r="CK160" s="1">
        <f>B160/$AI$5</f>
        <v>1</v>
      </c>
      <c r="CL160" s="14">
        <f t="shared" si="201"/>
        <v>1.4515200000000053</v>
      </c>
      <c r="CM160" s="1">
        <f t="shared" si="175"/>
        <v>0.8569758833631711</v>
      </c>
      <c r="CN160" s="14">
        <f>SQRT((A160*9.80665)/(0.7*I160*$N$5*CM160))</f>
        <v>0.66524484321638955</v>
      </c>
      <c r="CO160" s="1">
        <f t="shared" si="176"/>
        <v>0.78112259649151949</v>
      </c>
      <c r="CP160" s="29" t="str">
        <f>IF(C160&lt;30,"",IF(CO160&gt;1,"no",""))</f>
        <v/>
      </c>
      <c r="CQ160" s="22"/>
      <c r="CR160" s="23">
        <f>CM160*(0.7*I160*B160*B160)*$N$5/9.80665</f>
        <v>75276.275790900632</v>
      </c>
      <c r="CS160"/>
      <c r="CT160" s="6">
        <f t="shared" si="177"/>
        <v>1.0036585365853661</v>
      </c>
      <c r="CU160" s="22" t="str">
        <f t="shared" si="202"/>
        <v>no</v>
      </c>
      <c r="CV160" s="5"/>
      <c r="CW160" s="6">
        <f>IF(C160&lt;100,SQRT(2)*SQRT(SQRT(1+(2/1.4)*(10510/I160))-1),IF(I160&gt;$AW$5,SQRT(2)*SQRT(SQRT(1+(2/1.4)*($AV$5/I160))-1),$AS$5))</f>
        <v>0.82</v>
      </c>
      <c r="CX160" s="22" t="str">
        <f>IF(B160&gt;CW160,"no","")</f>
        <v/>
      </c>
    </row>
    <row r="161" spans="1:102" x14ac:dyDescent="0.2">
      <c r="A161">
        <v>58800</v>
      </c>
      <c r="B161" s="1">
        <v>0.75270000000000004</v>
      </c>
      <c r="C161" s="5">
        <v>412</v>
      </c>
      <c r="D161" s="1">
        <v>0</v>
      </c>
      <c r="E161" s="1">
        <v>0</v>
      </c>
      <c r="G161">
        <f t="shared" si="153"/>
        <v>41200</v>
      </c>
      <c r="H161" s="9">
        <f t="shared" si="154"/>
        <v>12557.76000005023</v>
      </c>
      <c r="I161" s="5">
        <f t="shared" si="178"/>
        <v>17702.851455494674</v>
      </c>
      <c r="J161" s="5">
        <v>0</v>
      </c>
      <c r="K161" s="6">
        <f t="shared" si="179"/>
        <v>216.65</v>
      </c>
      <c r="L161" s="5">
        <f t="shared" si="180"/>
        <v>295.06801842964956</v>
      </c>
      <c r="M161" s="10">
        <f t="shared" si="181"/>
        <v>1.4216130796413355E-5</v>
      </c>
      <c r="O161" s="6">
        <f>B161*L161</f>
        <v>222.09769747199724</v>
      </c>
      <c r="P161" s="1">
        <f>IF(E161=0,0,E161/9.80665)</f>
        <v>0</v>
      </c>
      <c r="Q161" s="7">
        <f>IF(D161=0,0,(D161/O161))</f>
        <v>0</v>
      </c>
      <c r="R161" s="19">
        <f t="shared" si="182"/>
        <v>1</v>
      </c>
      <c r="S161" s="19">
        <f t="shared" si="183"/>
        <v>0</v>
      </c>
      <c r="T161" s="19">
        <f t="shared" si="184"/>
        <v>0</v>
      </c>
      <c r="U161" s="19"/>
      <c r="V161" s="19"/>
      <c r="X161" s="1">
        <f>(A161*9.80665*R161)/(0.7*I161*B161*B161*$N$5)</f>
        <v>0.67101385351054221</v>
      </c>
      <c r="Y161" s="10">
        <f>(SQRT($N$5)*B161)*(I161/M161)*SQRT(1.4/(287.05*K161))</f>
        <v>49201725.662168883</v>
      </c>
      <c r="Z161" s="10">
        <f t="shared" si="185"/>
        <v>2.2535906549899323E-3</v>
      </c>
      <c r="AA161" s="3">
        <f t="shared" si="155"/>
        <v>1.891954170820483E-2</v>
      </c>
      <c r="AB161" s="3">
        <f t="shared" si="156"/>
        <v>7.865336067295E-3</v>
      </c>
      <c r="AC161" s="3">
        <f>IF($E$5="no",(1/((1+0.03+$Q$5)+AB161*3.141593*$S$5)),(1.075/((1+0.03+$Q$5)+AB161*3.141593*$S$5)))</f>
        <v>0.77424557075179645</v>
      </c>
      <c r="AD161" s="3">
        <f t="shared" si="157"/>
        <v>4.3275690853858011E-2</v>
      </c>
      <c r="AE161" s="1">
        <f t="shared" si="158"/>
        <v>0.6678922781730563</v>
      </c>
      <c r="AF161" s="1">
        <f>B161*$R$5/AE161</f>
        <v>1.0213890447478766</v>
      </c>
      <c r="AG161" s="8">
        <f t="shared" si="186"/>
        <v>1.2688253481848799E-3</v>
      </c>
      <c r="AH161" s="8"/>
      <c r="AI161" s="3">
        <f t="shared" si="187"/>
        <v>3.9673661946588411E-2</v>
      </c>
      <c r="AJ161" s="1">
        <f t="shared" si="188"/>
        <v>16.913332941484207</v>
      </c>
      <c r="AK161" s="1"/>
      <c r="AL161" s="1">
        <f t="shared" si="159"/>
        <v>5.9124952099018184E-2</v>
      </c>
      <c r="AM161" s="8">
        <f>AL161*(A161*9.80665)/(0.7*I161*B161*B161*$N$5)</f>
        <v>3.9673661946588411E-2</v>
      </c>
      <c r="AN161" s="1">
        <f>B161/$AI$5</f>
        <v>1</v>
      </c>
      <c r="AO161" s="1">
        <f>IF(B161&lt;0.4,1.3*(0.4-B161),0)</f>
        <v>0</v>
      </c>
      <c r="AP161" s="1">
        <f t="shared" si="189"/>
        <v>-0.43</v>
      </c>
      <c r="AQ161" s="1">
        <f t="shared" si="190"/>
        <v>0</v>
      </c>
      <c r="AR161" s="1">
        <f t="shared" si="160"/>
        <v>1</v>
      </c>
      <c r="AS161" s="1">
        <f t="shared" si="161"/>
        <v>0.30867472713898642</v>
      </c>
      <c r="AT161" s="1">
        <f>(((1+0.55*B161)/(1+0.55*$AI$5))/(AN161^2))</f>
        <v>1</v>
      </c>
      <c r="AU161" s="1">
        <f t="shared" si="162"/>
        <v>3.465254791234245E-2</v>
      </c>
      <c r="AV161" s="8">
        <f t="shared" si="163"/>
        <v>1.144898841116891</v>
      </c>
      <c r="AW161" s="8">
        <f t="shared" si="191"/>
        <v>0.99097186011248228</v>
      </c>
      <c r="AX161" s="8"/>
      <c r="AY161" s="4"/>
      <c r="AZ161" s="1">
        <f t="shared" si="164"/>
        <v>0.30588796852263428</v>
      </c>
      <c r="BA161" s="14">
        <f t="shared" si="192"/>
        <v>0.29824076930956844</v>
      </c>
      <c r="BB161" s="1"/>
      <c r="BC161" s="14">
        <f t="shared" si="193"/>
        <v>5.0442454280571161</v>
      </c>
      <c r="BD161" s="14">
        <f>IF(0.7*(AM161*(B161^3)/BA161)*(I161*L161*$N$5/43000000)&lt;$AH$5*(1-0.178*(C161/100)+0.0085*((C161/100)^2)),$AH$5*(1-0.178*(C161/100)+0.0085*((C161/100)^2)),0.7*(AM161*(B161^3)/BA161)*(I161*L161*$N$5/43000000))</f>
        <v>0.59044220467492792</v>
      </c>
      <c r="BE161" s="4">
        <f t="shared" si="165"/>
        <v>2.6584796303409344E-3</v>
      </c>
      <c r="BF161" s="4"/>
      <c r="BG161" s="1">
        <f t="shared" si="166"/>
        <v>1.0579595364467564</v>
      </c>
      <c r="BH161" s="1">
        <f>0.6*$AN$5*(1-0.53*((B161-$AM$5)^2))*(1+((2/3)*AV161))</f>
        <v>5.9044333493155712</v>
      </c>
      <c r="BJ161" s="1">
        <f t="shared" si="167"/>
        <v>5.486480774079733</v>
      </c>
      <c r="BK161" s="5">
        <f t="shared" si="168"/>
        <v>28.535854336287262</v>
      </c>
      <c r="BL161" s="5">
        <f t="shared" si="194"/>
        <v>1.6892007769845103</v>
      </c>
      <c r="BM161" s="5">
        <f t="shared" si="195"/>
        <v>3.0461115279832396</v>
      </c>
      <c r="BN161" s="1">
        <f t="shared" si="196"/>
        <v>1.1903568281626149</v>
      </c>
      <c r="BO161" s="1">
        <f t="shared" si="169"/>
        <v>3.4076864771758713</v>
      </c>
      <c r="BP161" s="9">
        <f>(1+0.2*B161*B161)*K161</f>
        <v>241.19892737570004</v>
      </c>
      <c r="BQ161" s="9">
        <f t="shared" ref="BQ161:BQ166" si="203">BM161*BP161</f>
        <v>734.71883321631208</v>
      </c>
      <c r="BR161" s="9">
        <f t="shared" ref="BR161:BR166" si="204">BH161*BP161</f>
        <v>1424.1429906162277</v>
      </c>
      <c r="BS161" s="9">
        <f t="shared" si="197"/>
        <v>821.93032312749813</v>
      </c>
      <c r="BU161" s="9">
        <f>((1+0.2*B161*B161)^3.5)*I161</f>
        <v>25775.173712945911</v>
      </c>
      <c r="BV161" s="9">
        <f t="shared" si="198"/>
        <v>735516.60256512498</v>
      </c>
      <c r="BX161" s="3">
        <f t="shared" si="170"/>
        <v>2.3423863492865193E-2</v>
      </c>
      <c r="BZ161" s="3">
        <f t="shared" si="171"/>
        <v>4.4278055078034555E-2</v>
      </c>
      <c r="CA161"/>
      <c r="CB161" s="14">
        <f>$CB$12*($AO$5/K161)/($AN$5*(1-0.53*((B161-$AM$5)^2))*(1+0.2*B161*B161))</f>
        <v>1.3629629629629629</v>
      </c>
      <c r="CC161" s="1">
        <f t="shared" si="199"/>
        <v>1.9074074074074074</v>
      </c>
      <c r="CD161" s="3">
        <f t="shared" si="172"/>
        <v>6.6096526573542078E-2</v>
      </c>
      <c r="CE161" s="6">
        <f t="shared" si="173"/>
        <v>1.4927603856369749</v>
      </c>
      <c r="CF161" s="22" t="str">
        <f t="shared" si="200"/>
        <v/>
      </c>
      <c r="CG161" s="22"/>
      <c r="CH161" s="7">
        <f t="shared" si="174"/>
        <v>1.0299661129581781</v>
      </c>
      <c r="CI161" s="23">
        <f>CH161*(0.7*I161*B161*B161)*$N$5/9.80665</f>
        <v>90254.48152090855</v>
      </c>
      <c r="CK161" s="1">
        <f>B161/$AI$5</f>
        <v>1</v>
      </c>
      <c r="CL161" s="14">
        <f t="shared" si="201"/>
        <v>1.4515200000000053</v>
      </c>
      <c r="CM161" s="1">
        <f t="shared" si="175"/>
        <v>0.8569758833631711</v>
      </c>
      <c r="CN161" s="14">
        <f>SQRT((A161*9.80665)/(0.7*I161*$N$5*CM161))</f>
        <v>0.6660446729119659</v>
      </c>
      <c r="CO161" s="1">
        <f t="shared" si="176"/>
        <v>0.78300202670485008</v>
      </c>
      <c r="CP161" s="29" t="str">
        <f>IF(C161&lt;30,"",IF(CO161&gt;1,"no",""))</f>
        <v/>
      </c>
      <c r="CQ161" s="22"/>
      <c r="CR161" s="23">
        <f>CM161*(0.7*I161*B161*B161)*$N$5/9.80665</f>
        <v>75095.591064369568</v>
      </c>
      <c r="CS161"/>
      <c r="CT161" s="6">
        <f t="shared" si="177"/>
        <v>1.004878048780488</v>
      </c>
      <c r="CU161" s="22" t="str">
        <f t="shared" si="202"/>
        <v>no</v>
      </c>
      <c r="CV161" s="5"/>
      <c r="CW161" s="6">
        <f>IF(C161&lt;100,SQRT(2)*SQRT(SQRT(1+(2/1.4)*(10510/I161))-1),IF(I161&gt;$AW$5,SQRT(2)*SQRT(SQRT(1+(2/1.4)*($AV$5/I161))-1),$AS$5))</f>
        <v>0.82</v>
      </c>
      <c r="CX161" s="22" t="str">
        <f>IF(B161&gt;CW161,"no","")</f>
        <v/>
      </c>
    </row>
    <row r="162" spans="1:102" x14ac:dyDescent="0.2">
      <c r="A162">
        <v>58800</v>
      </c>
      <c r="B162" s="1">
        <v>0.75270000000000004</v>
      </c>
      <c r="C162" s="5">
        <v>412.5</v>
      </c>
      <c r="D162" s="1">
        <v>0</v>
      </c>
      <c r="E162" s="1">
        <v>0</v>
      </c>
      <c r="G162">
        <f t="shared" si="153"/>
        <v>41250</v>
      </c>
      <c r="H162" s="9">
        <f t="shared" si="154"/>
        <v>12573.000000050291</v>
      </c>
      <c r="I162" s="5">
        <f t="shared" si="178"/>
        <v>17660.359517092438</v>
      </c>
      <c r="J162" s="5">
        <v>0</v>
      </c>
      <c r="K162" s="6">
        <f t="shared" si="179"/>
        <v>216.65</v>
      </c>
      <c r="L162" s="5">
        <f t="shared" si="180"/>
        <v>295.06801842964956</v>
      </c>
      <c r="M162" s="10">
        <f t="shared" si="181"/>
        <v>1.4216130796413355E-5</v>
      </c>
      <c r="O162" s="6">
        <f>B162*L162</f>
        <v>222.09769747199724</v>
      </c>
      <c r="P162" s="1">
        <f>IF(E162=0,0,E162/9.80665)</f>
        <v>0</v>
      </c>
      <c r="Q162" s="7">
        <f>IF(D162=0,0,(D162/O162))</f>
        <v>0</v>
      </c>
      <c r="R162" s="7">
        <f t="shared" si="182"/>
        <v>1</v>
      </c>
      <c r="S162" s="7">
        <f t="shared" si="183"/>
        <v>0</v>
      </c>
      <c r="T162" s="7">
        <f t="shared" si="184"/>
        <v>0</v>
      </c>
      <c r="U162" s="7"/>
      <c r="V162" s="7"/>
      <c r="X162" s="1">
        <f>(A162*9.80665*R162)/(0.7*I162*B162*B162*$N$5)</f>
        <v>0.67262835514641339</v>
      </c>
      <c r="Y162" s="10">
        <f>(SQRT($N$5)*B162)*(I162/M162)*SQRT(1.4/(287.05*K162))</f>
        <v>49083627.360244088</v>
      </c>
      <c r="Z162" s="10">
        <f t="shared" si="185"/>
        <v>2.2543489901364544E-3</v>
      </c>
      <c r="AA162" s="3">
        <f t="shared" si="155"/>
        <v>1.8925908149866121E-2</v>
      </c>
      <c r="AB162" s="3">
        <f t="shared" si="156"/>
        <v>7.8679827594819018E-3</v>
      </c>
      <c r="AC162" s="3">
        <f>IF($E$5="no",(1/((1+0.03+$Q$5)+AB162*3.141593*$S$5)),(1.075/((1+0.03+$Q$5)+AB162*3.141593*$S$5)))</f>
        <v>0.77419822166634056</v>
      </c>
      <c r="AD162" s="3">
        <f t="shared" si="157"/>
        <v>4.3278337546044925E-2</v>
      </c>
      <c r="AE162" s="1">
        <f t="shared" si="158"/>
        <v>0.6676957218198436</v>
      </c>
      <c r="AF162" s="1">
        <f>B162*$R$5/AE162</f>
        <v>1.0216897213873792</v>
      </c>
      <c r="AG162" s="8">
        <f t="shared" si="186"/>
        <v>1.2739870566191639E-3</v>
      </c>
      <c r="AH162" s="8"/>
      <c r="AI162" s="3">
        <f t="shared" si="187"/>
        <v>3.978026603574504E-2</v>
      </c>
      <c r="AJ162" s="1">
        <f t="shared" si="188"/>
        <v>16.908593686679094</v>
      </c>
      <c r="AK162" s="1"/>
      <c r="AL162" s="1">
        <f t="shared" si="159"/>
        <v>5.9141524039803425E-2</v>
      </c>
      <c r="AM162" s="8">
        <f>AL162*(A162*9.80665)/(0.7*I162*B162*B162*$N$5)</f>
        <v>3.9780266035745047E-2</v>
      </c>
      <c r="AN162" s="1">
        <f>B162/$AI$5</f>
        <v>1</v>
      </c>
      <c r="AO162" s="1">
        <f>IF(B162&lt;0.4,1.3*(0.4-B162),0)</f>
        <v>0</v>
      </c>
      <c r="AP162" s="1">
        <f t="shared" si="189"/>
        <v>-0.43</v>
      </c>
      <c r="AQ162" s="1">
        <f t="shared" si="190"/>
        <v>0</v>
      </c>
      <c r="AR162" s="1">
        <f t="shared" si="160"/>
        <v>1</v>
      </c>
      <c r="AS162" s="1">
        <f t="shared" si="161"/>
        <v>0.30867472713898642</v>
      </c>
      <c r="AT162" s="1">
        <f>(((1+0.55*B162)/(1+0.55*$AI$5))/(AN162^2))</f>
        <v>1</v>
      </c>
      <c r="AU162" s="1">
        <f t="shared" si="162"/>
        <v>3.465254791234245E-2</v>
      </c>
      <c r="AV162" s="8">
        <f t="shared" si="163"/>
        <v>1.1479752119923112</v>
      </c>
      <c r="AW162" s="8">
        <f t="shared" si="191"/>
        <v>0.99058443475340718</v>
      </c>
      <c r="AX162" s="8"/>
      <c r="AY162" s="4"/>
      <c r="AZ162" s="1">
        <f t="shared" si="164"/>
        <v>0.30576838010563506</v>
      </c>
      <c r="BA162" s="14">
        <f t="shared" si="192"/>
        <v>0.29812417060299418</v>
      </c>
      <c r="BB162" s="1"/>
      <c r="BC162" s="14">
        <f t="shared" si="193"/>
        <v>5.0408604689042287</v>
      </c>
      <c r="BD162" s="14">
        <f>IF(0.7*(AM162*(B162^3)/BA162)*(I162*L162*$N$5/43000000)&lt;$AH$5*(1-0.178*(C162/100)+0.0085*((C162/100)^2)),$AH$5*(1-0.178*(C162/100)+0.0085*((C162/100)^2)),0.7*(AM162*(B162^3)/BA162)*(I162*L162*$N$5/43000000))</f>
        <v>0.59083868911588699</v>
      </c>
      <c r="BE162" s="4">
        <f t="shared" si="165"/>
        <v>2.6602648106713567E-3</v>
      </c>
      <c r="BF162" s="4"/>
      <c r="BG162" s="1">
        <f t="shared" si="166"/>
        <v>1.0591900847969244</v>
      </c>
      <c r="BH162" s="1">
        <f>0.6*$AN$5*(1-0.53*((B162-$AM$5)^2))*(1+((2/3)*AV162))</f>
        <v>5.9113009945008299</v>
      </c>
      <c r="BJ162" s="1">
        <f t="shared" si="167"/>
        <v>5.479278589082381</v>
      </c>
      <c r="BK162" s="5">
        <f t="shared" si="168"/>
        <v>28.618904267688894</v>
      </c>
      <c r="BL162" s="5">
        <f t="shared" si="194"/>
        <v>1.691165543270565</v>
      </c>
      <c r="BM162" s="5">
        <f t="shared" si="195"/>
        <v>3.0490553416262256</v>
      </c>
      <c r="BN162" s="1">
        <f t="shared" si="196"/>
        <v>1.1908168472012823</v>
      </c>
      <c r="BO162" s="1">
        <f t="shared" si="169"/>
        <v>3.4112471544951402</v>
      </c>
      <c r="BP162" s="9">
        <f>(1+0.2*B162*B162)*K162</f>
        <v>241.19892737570004</v>
      </c>
      <c r="BQ162" s="9">
        <f t="shared" si="203"/>
        <v>735.42887790939426</v>
      </c>
      <c r="BR162" s="9">
        <f t="shared" si="204"/>
        <v>1425.7994592685091</v>
      </c>
      <c r="BS162" s="9">
        <f t="shared" si="197"/>
        <v>822.7891546776367</v>
      </c>
      <c r="BU162" s="9">
        <f>((1+0.2*B162*B162)^3.5)*I162</f>
        <v>25713.305877898496</v>
      </c>
      <c r="BV162" s="9">
        <f t="shared" si="198"/>
        <v>735886.63932537916</v>
      </c>
      <c r="BX162" s="3">
        <f t="shared" si="170"/>
        <v>2.3457827578719417E-2</v>
      </c>
      <c r="BZ162" s="3">
        <f t="shared" si="171"/>
        <v>4.4395737627351162E-2</v>
      </c>
      <c r="CA162"/>
      <c r="CB162" s="14">
        <f>$CB$12*($AO$5/K162)/($AN$5*(1-0.53*((B162-$AM$5)^2))*(1+0.2*B162*B162))</f>
        <v>1.3629629629629629</v>
      </c>
      <c r="CC162" s="1">
        <f t="shared" si="199"/>
        <v>1.9074074074074074</v>
      </c>
      <c r="CD162" s="3">
        <f t="shared" si="172"/>
        <v>6.6096526573542078E-2</v>
      </c>
      <c r="CE162" s="6">
        <f t="shared" si="173"/>
        <v>1.4888034326255135</v>
      </c>
      <c r="CF162" s="22" t="str">
        <f t="shared" si="200"/>
        <v/>
      </c>
      <c r="CG162" s="22"/>
      <c r="CH162" s="7">
        <f t="shared" si="174"/>
        <v>1.0298052953558683</v>
      </c>
      <c r="CI162" s="23">
        <f>CH162*(0.7*I162*B162*B162)*$N$5/9.80665</f>
        <v>90023.786395006158</v>
      </c>
      <c r="CK162" s="1">
        <f>B162/$AI$5</f>
        <v>1</v>
      </c>
      <c r="CL162" s="14">
        <f t="shared" si="201"/>
        <v>1.4515200000000053</v>
      </c>
      <c r="CM162" s="1">
        <f t="shared" si="175"/>
        <v>0.8569758833631711</v>
      </c>
      <c r="CN162" s="14">
        <f>SQRT((A162*9.80665)/(0.7*I162*$N$5*CM162))</f>
        <v>0.6668454642497833</v>
      </c>
      <c r="CO162" s="1">
        <f t="shared" si="176"/>
        <v>0.78488597894576395</v>
      </c>
      <c r="CP162" s="29" t="str">
        <f>IF(C162&lt;30,"",IF(CO162&gt;1,"no",""))</f>
        <v/>
      </c>
      <c r="CQ162" s="22"/>
      <c r="CR162" s="23">
        <f>CM162*(0.7*I162*B162*B162)*$N$5/9.80665</f>
        <v>74915.3400331835</v>
      </c>
      <c r="CS162"/>
      <c r="CT162" s="6">
        <f t="shared" si="177"/>
        <v>1.00609756097561</v>
      </c>
      <c r="CU162" s="22" t="str">
        <f t="shared" si="202"/>
        <v>no</v>
      </c>
      <c r="CV162" s="5"/>
      <c r="CW162" s="6">
        <f>IF(C162&lt;100,SQRT(2)*SQRT(SQRT(1+(2/1.4)*(10510/I162))-1),IF(I162&gt;$AW$5,SQRT(2)*SQRT(SQRT(1+(2/1.4)*($AV$5/I162))-1),$AS$5))</f>
        <v>0.82</v>
      </c>
      <c r="CX162" s="22" t="str">
        <f>IF(B162&gt;CW162,"no","")</f>
        <v/>
      </c>
    </row>
    <row r="163" spans="1:102" x14ac:dyDescent="0.2">
      <c r="A163">
        <v>58800</v>
      </c>
      <c r="B163" s="1">
        <v>0.75270000000000004</v>
      </c>
      <c r="C163" s="5">
        <v>413</v>
      </c>
      <c r="D163" s="1">
        <v>0</v>
      </c>
      <c r="E163" s="1">
        <v>0</v>
      </c>
      <c r="G163">
        <f t="shared" si="153"/>
        <v>41300</v>
      </c>
      <c r="H163" s="9">
        <f t="shared" si="154"/>
        <v>12588.240000050353</v>
      </c>
      <c r="I163" s="5">
        <f t="shared" si="178"/>
        <v>17617.969571571619</v>
      </c>
      <c r="J163" s="5">
        <v>0</v>
      </c>
      <c r="K163" s="6">
        <f t="shared" si="179"/>
        <v>216.65</v>
      </c>
      <c r="L163" s="5">
        <f t="shared" si="180"/>
        <v>295.06801842964956</v>
      </c>
      <c r="M163" s="10">
        <f t="shared" si="181"/>
        <v>1.4216130796413355E-5</v>
      </c>
      <c r="O163" s="6">
        <f>B163*L163</f>
        <v>222.09769747199724</v>
      </c>
      <c r="P163" s="1">
        <f>IF(E163=0,0,E163/9.80665)</f>
        <v>0</v>
      </c>
      <c r="Q163" s="7">
        <f>IF(D163=0,0,(D163/O163))</f>
        <v>0</v>
      </c>
      <c r="R163" s="19">
        <f t="shared" si="182"/>
        <v>1</v>
      </c>
      <c r="S163" s="19">
        <f t="shared" si="183"/>
        <v>0</v>
      </c>
      <c r="T163" s="19">
        <f t="shared" si="184"/>
        <v>0</v>
      </c>
      <c r="U163" s="19"/>
      <c r="V163" s="19"/>
      <c r="X163" s="1">
        <f>(A163*9.80665*R163)/(0.7*I163*B163*B163*$N$5)</f>
        <v>0.67424674137500717</v>
      </c>
      <c r="Y163" s="10">
        <f>(SQRT($N$5)*B163)*(I163/M163)*SQRT(1.4/(287.05*K163))</f>
        <v>48965812.528232828</v>
      </c>
      <c r="Z163" s="10">
        <f t="shared" si="185"/>
        <v>2.2551075804633893E-3</v>
      </c>
      <c r="AA163" s="3">
        <f t="shared" si="155"/>
        <v>1.8932276733840368E-2</v>
      </c>
      <c r="AB163" s="3">
        <f t="shared" si="156"/>
        <v>7.870630342282945E-3</v>
      </c>
      <c r="AC163" s="3">
        <f>IF($E$5="no",(1/((1+0.03+$Q$5)+AB163*3.141593*$S$5)),(1.075/((1+0.03+$Q$5)+AB163*3.141593*$S$5)))</f>
        <v>0.77415086244172548</v>
      </c>
      <c r="AD163" s="3">
        <f t="shared" si="157"/>
        <v>4.3280985128845963E-2</v>
      </c>
      <c r="AE163" s="1">
        <f t="shared" si="158"/>
        <v>0.6674986925396531</v>
      </c>
      <c r="AF163" s="1">
        <f>B163*$R$5/AE163</f>
        <v>1.0219912991921491</v>
      </c>
      <c r="AG163" s="8">
        <f t="shared" si="186"/>
        <v>1.2791840613705675E-3</v>
      </c>
      <c r="AH163" s="8"/>
      <c r="AI163" s="3">
        <f t="shared" si="187"/>
        <v>3.9887371805392091E-2</v>
      </c>
      <c r="AJ163" s="1">
        <f t="shared" si="188"/>
        <v>16.903764546448773</v>
      </c>
      <c r="AK163" s="1"/>
      <c r="AL163" s="1">
        <f t="shared" si="159"/>
        <v>5.9158419845009316E-2</v>
      </c>
      <c r="AM163" s="8">
        <f>AL163*(A163*9.80665)/(0.7*I163*B163*B163*$N$5)</f>
        <v>3.9887371805392084E-2</v>
      </c>
      <c r="AN163" s="1">
        <f>B163/$AI$5</f>
        <v>1</v>
      </c>
      <c r="AO163" s="1">
        <f>IF(B163&lt;0.4,1.3*(0.4-B163),0)</f>
        <v>0</v>
      </c>
      <c r="AP163" s="1">
        <f t="shared" si="189"/>
        <v>-0.43</v>
      </c>
      <c r="AQ163" s="1">
        <f t="shared" si="190"/>
        <v>0</v>
      </c>
      <c r="AR163" s="1">
        <f t="shared" si="160"/>
        <v>1</v>
      </c>
      <c r="AS163" s="1">
        <f t="shared" si="161"/>
        <v>0.30867472713898642</v>
      </c>
      <c r="AT163" s="1">
        <f>(((1+0.55*B163)/(1+0.55*$AI$5))/(AN163^2))</f>
        <v>1</v>
      </c>
      <c r="AU163" s="1">
        <f t="shared" si="162"/>
        <v>3.465254791234245E-2</v>
      </c>
      <c r="AV163" s="8">
        <f t="shared" si="163"/>
        <v>1.1510660603165954</v>
      </c>
      <c r="AW163" s="8">
        <f t="shared" si="191"/>
        <v>0.99018698953078177</v>
      </c>
      <c r="AX163" s="8"/>
      <c r="AY163" s="4"/>
      <c r="AZ163" s="1">
        <f t="shared" si="164"/>
        <v>0.30564569880998849</v>
      </c>
      <c r="BA163" s="14">
        <f t="shared" si="192"/>
        <v>0.29800455633973877</v>
      </c>
      <c r="BB163" s="1"/>
      <c r="BC163" s="14">
        <f t="shared" si="193"/>
        <v>5.0373988541358719</v>
      </c>
      <c r="BD163" s="14">
        <f>IF(0.7*(AM163*(B163^3)/BA163)*(I163*L163*$N$5/43000000)&lt;$AH$5*(1-0.178*(C163/100)+0.0085*((C163/100)^2)),$AH$5*(1-0.178*(C163/100)+0.0085*((C163/100)^2)),0.7*(AM163*(B163^3)/BA163)*(I163*L163*$N$5/43000000))</f>
        <v>0.59124470340841817</v>
      </c>
      <c r="BE163" s="4">
        <f t="shared" si="165"/>
        <v>2.6620928993780504E-3</v>
      </c>
      <c r="BF163" s="4"/>
      <c r="BG163" s="1">
        <f t="shared" si="166"/>
        <v>1.0604264241266381</v>
      </c>
      <c r="BH163" s="1">
        <f>0.6*$AN$5*(1-0.53*((B163-$AM$5)^2))*(1+((2/3)*AV163))</f>
        <v>5.9182009589304236</v>
      </c>
      <c r="BJ163" s="1">
        <f t="shared" si="167"/>
        <v>5.4720604367159771</v>
      </c>
      <c r="BK163" s="5">
        <f t="shared" si="168"/>
        <v>28.702490912729449</v>
      </c>
      <c r="BL163" s="5">
        <f t="shared" si="194"/>
        <v>1.6931395557771143</v>
      </c>
      <c r="BM163" s="5">
        <f t="shared" si="195"/>
        <v>3.0520124267269613</v>
      </c>
      <c r="BN163" s="1">
        <f t="shared" si="196"/>
        <v>1.1912786719112436</v>
      </c>
      <c r="BO163" s="1">
        <f t="shared" si="169"/>
        <v>3.4148292675490302</v>
      </c>
      <c r="BP163" s="9">
        <f>(1+0.2*B163*B163)*K163</f>
        <v>241.19892737570004</v>
      </c>
      <c r="BQ163" s="9">
        <f t="shared" si="203"/>
        <v>736.14212366385038</v>
      </c>
      <c r="BR163" s="9">
        <f t="shared" si="204"/>
        <v>1427.4637232878576</v>
      </c>
      <c r="BS163" s="9">
        <f t="shared" si="197"/>
        <v>823.65315650397349</v>
      </c>
      <c r="BU163" s="9">
        <f>((1+0.2*B163*B163)^3.5)*I163</f>
        <v>25651.586543460864</v>
      </c>
      <c r="BV163" s="9">
        <f t="shared" si="198"/>
        <v>736264.42966077849</v>
      </c>
      <c r="BX163" s="3">
        <f t="shared" si="170"/>
        <v>2.349195833489379E-2</v>
      </c>
      <c r="BZ163" s="3">
        <f t="shared" si="171"/>
        <v>4.4513948512631782E-2</v>
      </c>
      <c r="CA163"/>
      <c r="CB163" s="14">
        <f>$CB$12*($AO$5/K163)/($AN$5*(1-0.53*((B163-$AM$5)^2))*(1+0.2*B163*B163))</f>
        <v>1.3629629629629629</v>
      </c>
      <c r="CC163" s="1">
        <f t="shared" si="199"/>
        <v>1.9074074074074074</v>
      </c>
      <c r="CD163" s="3">
        <f t="shared" si="172"/>
        <v>6.6096526573542078E-2</v>
      </c>
      <c r="CE163" s="6">
        <f t="shared" si="173"/>
        <v>1.4848497781495564</v>
      </c>
      <c r="CF163" s="22" t="str">
        <f t="shared" si="200"/>
        <v/>
      </c>
      <c r="CG163" s="22"/>
      <c r="CH163" s="7">
        <f t="shared" si="174"/>
        <v>1.0296440416606789</v>
      </c>
      <c r="CI163" s="23">
        <f>CH163*(0.7*I163*B163*B163)*$N$5/9.80665</f>
        <v>89793.64071701857</v>
      </c>
      <c r="CK163" s="1">
        <f>B163/$AI$5</f>
        <v>1</v>
      </c>
      <c r="CL163" s="14">
        <f t="shared" si="201"/>
        <v>1.4515200000000053</v>
      </c>
      <c r="CM163" s="1">
        <f t="shared" si="175"/>
        <v>0.8569758833631711</v>
      </c>
      <c r="CN163" s="14">
        <f>SQRT((A163*9.80665)/(0.7*I163*$N$5*CM163))</f>
        <v>0.66764721838603291</v>
      </c>
      <c r="CO163" s="1">
        <f t="shared" si="176"/>
        <v>0.78677446409454377</v>
      </c>
      <c r="CP163" s="29" t="str">
        <f>IF(C163&lt;30,"",IF(CO163&gt;1,"no",""))</f>
        <v/>
      </c>
      <c r="CQ163" s="22"/>
      <c r="CR163" s="23">
        <f>CM163*(0.7*I163*B163*B163)*$N$5/9.80665</f>
        <v>74735.521656348807</v>
      </c>
      <c r="CS163"/>
      <c r="CT163" s="6">
        <f t="shared" si="177"/>
        <v>1.0073170731707319</v>
      </c>
      <c r="CU163" s="22" t="str">
        <f t="shared" si="202"/>
        <v>no</v>
      </c>
      <c r="CV163" s="5"/>
      <c r="CW163" s="6">
        <f>IF(C163&lt;100,SQRT(2)*SQRT(SQRT(1+(2/1.4)*(10510/I163))-1),IF(I163&gt;$AW$5,SQRT(2)*SQRT(SQRT(1+(2/1.4)*($AV$5/I163))-1),$AS$5))</f>
        <v>0.82</v>
      </c>
      <c r="CX163" s="22" t="str">
        <f>IF(B163&gt;CW163,"no","")</f>
        <v/>
      </c>
    </row>
    <row r="164" spans="1:102" x14ac:dyDescent="0.2">
      <c r="A164">
        <v>58800</v>
      </c>
      <c r="B164" s="1">
        <v>0.75270000000000004</v>
      </c>
      <c r="C164" s="5">
        <v>413.5</v>
      </c>
      <c r="D164" s="1">
        <v>0</v>
      </c>
      <c r="E164" s="1">
        <v>0</v>
      </c>
      <c r="G164">
        <f t="shared" si="153"/>
        <v>41350</v>
      </c>
      <c r="H164" s="9">
        <f t="shared" si="154"/>
        <v>12603.480000050413</v>
      </c>
      <c r="I164" s="5">
        <f t="shared" si="178"/>
        <v>17575.681374119948</v>
      </c>
      <c r="J164" s="5">
        <v>0</v>
      </c>
      <c r="K164" s="6">
        <f t="shared" si="179"/>
        <v>216.65</v>
      </c>
      <c r="L164" s="5">
        <f t="shared" si="180"/>
        <v>295.06801842964956</v>
      </c>
      <c r="M164" s="10">
        <f t="shared" si="181"/>
        <v>1.4216130796413355E-5</v>
      </c>
      <c r="O164" s="6">
        <f>B164*L164</f>
        <v>222.09769747199724</v>
      </c>
      <c r="P164" s="1">
        <f>IF(E164=0,0,E164/9.80665)</f>
        <v>0</v>
      </c>
      <c r="Q164" s="7">
        <f>IF(D164=0,0,(D164/O164))</f>
        <v>0</v>
      </c>
      <c r="R164" s="19">
        <f t="shared" si="182"/>
        <v>1</v>
      </c>
      <c r="S164" s="19">
        <f t="shared" si="183"/>
        <v>0</v>
      </c>
      <c r="T164" s="19">
        <f t="shared" si="184"/>
        <v>0</v>
      </c>
      <c r="U164" s="19"/>
      <c r="V164" s="19"/>
      <c r="X164" s="1">
        <f>(A164*9.80665*R164)/(0.7*I164*B164*B164*$N$5)</f>
        <v>0.67586902154289852</v>
      </c>
      <c r="Y164" s="10">
        <f>(SQRT($N$5)*B164)*(I164/M164)*SQRT(1.4/(287.05*K164))</f>
        <v>48848280.485725679</v>
      </c>
      <c r="Z164" s="10">
        <f t="shared" si="185"/>
        <v>2.2558664260566054E-3</v>
      </c>
      <c r="AA164" s="3">
        <f t="shared" si="155"/>
        <v>1.8938647460848466E-2</v>
      </c>
      <c r="AB164" s="3">
        <f t="shared" si="156"/>
        <v>7.8732788159978206E-3</v>
      </c>
      <c r="AC164" s="3">
        <f>IF($E$5="no",(1/((1+0.03+$Q$5)+AB164*3.141593*$S$5)),(1.075/((1+0.03+$Q$5)+AB164*3.141593*$S$5)))</f>
        <v>0.77410349307737514</v>
      </c>
      <c r="AD164" s="3">
        <f t="shared" si="157"/>
        <v>4.3283633602560843E-2</v>
      </c>
      <c r="AE164" s="1">
        <f t="shared" si="158"/>
        <v>0.6673011891945928</v>
      </c>
      <c r="AF164" s="1">
        <f>B164*$R$5/AE164</f>
        <v>1.0222937813448583</v>
      </c>
      <c r="AG164" s="8">
        <f t="shared" si="186"/>
        <v>1.2844169987826009E-3</v>
      </c>
      <c r="AH164" s="8"/>
      <c r="AI164" s="3">
        <f t="shared" si="187"/>
        <v>3.9994982161105509E-2</v>
      </c>
      <c r="AJ164" s="1">
        <f t="shared" si="188"/>
        <v>16.898845430669311</v>
      </c>
      <c r="AK164" s="1"/>
      <c r="AL164" s="1">
        <f t="shared" si="159"/>
        <v>5.9175640377485426E-2</v>
      </c>
      <c r="AM164" s="8">
        <f>AL164*(A164*9.80665)/(0.7*I164*B164*B164*$N$5)</f>
        <v>3.9994982161105516E-2</v>
      </c>
      <c r="AN164" s="1">
        <f>B164/$AI$5</f>
        <v>1</v>
      </c>
      <c r="AO164" s="1">
        <f>IF(B164&lt;0.4,1.3*(0.4-B164),0)</f>
        <v>0</v>
      </c>
      <c r="AP164" s="1">
        <f t="shared" si="189"/>
        <v>-0.43</v>
      </c>
      <c r="AQ164" s="1">
        <f t="shared" si="190"/>
        <v>0</v>
      </c>
      <c r="AR164" s="1">
        <f t="shared" si="160"/>
        <v>1</v>
      </c>
      <c r="AS164" s="1">
        <f t="shared" si="161"/>
        <v>0.30867472713898642</v>
      </c>
      <c r="AT164" s="1">
        <f>(((1+0.55*B164)/(1+0.55*$AI$5))/(AN164^2))</f>
        <v>1</v>
      </c>
      <c r="AU164" s="1">
        <f t="shared" si="162"/>
        <v>3.465254791234245E-2</v>
      </c>
      <c r="AV164" s="8">
        <f t="shared" si="163"/>
        <v>1.1541714699385845</v>
      </c>
      <c r="AW164" s="8">
        <f t="shared" si="191"/>
        <v>0.98977939787849978</v>
      </c>
      <c r="AX164" s="8"/>
      <c r="AY164" s="4"/>
      <c r="AZ164" s="1">
        <f t="shared" si="164"/>
        <v>0.30551988556793619</v>
      </c>
      <c r="BA164" s="14">
        <f t="shared" si="192"/>
        <v>0.29788188842873775</v>
      </c>
      <c r="BB164" s="1"/>
      <c r="BC164" s="14">
        <f t="shared" si="193"/>
        <v>5.0338599891531208</v>
      </c>
      <c r="BD164" s="14">
        <f>IF(0.7*(AM164*(B164^3)/BA164)*(I164*L164*$N$5/43000000)&lt;$AH$5*(1-0.178*(C164/100)+0.0085*((C164/100)^2)),$AH$5*(1-0.178*(C164/100)+0.0085*((C164/100)^2)),0.7*(AM164*(B164^3)/BA164)*(I164*L164*$N$5/43000000))</f>
        <v>0.59166035564778108</v>
      </c>
      <c r="BE164" s="4">
        <f t="shared" si="165"/>
        <v>2.663964383162412E-3</v>
      </c>
      <c r="BF164" s="4"/>
      <c r="BG164" s="1">
        <f t="shared" si="166"/>
        <v>1.0616685879754337</v>
      </c>
      <c r="BH164" s="1">
        <f>0.6*$AN$5*(1-0.53*((B164-$AM$5)^2))*(1+((2/3)*AV164))</f>
        <v>5.9251334297872731</v>
      </c>
      <c r="BJ164" s="1">
        <f t="shared" si="167"/>
        <v>5.4648263084354456</v>
      </c>
      <c r="BK164" s="5">
        <f t="shared" si="168"/>
        <v>28.786618685539771</v>
      </c>
      <c r="BL164" s="5">
        <f t="shared" si="194"/>
        <v>1.6951228680553654</v>
      </c>
      <c r="BM164" s="5">
        <f t="shared" si="195"/>
        <v>3.054982856082757</v>
      </c>
      <c r="BN164" s="1">
        <f t="shared" si="196"/>
        <v>1.1917423104518086</v>
      </c>
      <c r="BO164" s="1">
        <f t="shared" si="169"/>
        <v>3.4184329594710379</v>
      </c>
      <c r="BP164" s="9">
        <f>(1+0.2*B164*B164)*K164</f>
        <v>241.19892737570004</v>
      </c>
      <c r="BQ164" s="9">
        <f t="shared" si="203"/>
        <v>736.85858803831354</v>
      </c>
      <c r="BR164" s="9">
        <f t="shared" si="204"/>
        <v>1429.135827822593</v>
      </c>
      <c r="BS164" s="9">
        <f t="shared" si="197"/>
        <v>824.52236313015419</v>
      </c>
      <c r="BU164" s="9">
        <f>((1+0.2*B164*B164)^3.5)*I164</f>
        <v>25590.015353188806</v>
      </c>
      <c r="BV164" s="9">
        <f t="shared" si="198"/>
        <v>736650.0141293545</v>
      </c>
      <c r="BX164" s="3">
        <f t="shared" si="170"/>
        <v>2.3526256780143376E-2</v>
      </c>
      <c r="BZ164" s="3">
        <f t="shared" si="171"/>
        <v>4.4632690703587122E-2</v>
      </c>
      <c r="CA164"/>
      <c r="CB164" s="14">
        <f>$CB$12*($AO$5/K164)/($AN$5*(1-0.53*((B164-$AM$5)^2))*(1+0.2*B164*B164))</f>
        <v>1.3629629629629629</v>
      </c>
      <c r="CC164" s="1">
        <f t="shared" si="199"/>
        <v>1.9074074074074074</v>
      </c>
      <c r="CD164" s="3">
        <f t="shared" si="172"/>
        <v>6.6096526573542078E-2</v>
      </c>
      <c r="CE164" s="6">
        <f t="shared" si="173"/>
        <v>1.4808994378694249</v>
      </c>
      <c r="CF164" s="22" t="str">
        <f t="shared" si="200"/>
        <v/>
      </c>
      <c r="CG164" s="22"/>
      <c r="CH164" s="7">
        <f t="shared" si="174"/>
        <v>1.029482344601075</v>
      </c>
      <c r="CI164" s="23">
        <f>CH164*(0.7*I164*B164*B164)*$N$5/9.80665</f>
        <v>89564.042637070394</v>
      </c>
      <c r="CK164" s="1">
        <f>B164/$AI$5</f>
        <v>1</v>
      </c>
      <c r="CL164" s="14">
        <f t="shared" si="201"/>
        <v>1.4515200000000053</v>
      </c>
      <c r="CM164" s="1">
        <f t="shared" si="175"/>
        <v>0.8569758833631711</v>
      </c>
      <c r="CN164" s="14">
        <f>SQRT((A164*9.80665)/(0.7*I164*$N$5*CM164))</f>
        <v>0.6684499364782952</v>
      </c>
      <c r="CO164" s="1">
        <f t="shared" si="176"/>
        <v>0.78866749305765149</v>
      </c>
      <c r="CP164" s="29" t="str">
        <f>IF(C164&lt;30,"",IF(CO164&gt;1,"no",""))</f>
        <v/>
      </c>
      <c r="CQ164" s="22"/>
      <c r="CR164" s="23">
        <f>CM164*(0.7*I164*B164*B164)*$N$5/9.80665</f>
        <v>74556.134895370575</v>
      </c>
      <c r="CS164"/>
      <c r="CT164" s="6">
        <f t="shared" si="177"/>
        <v>1.0085365853658539</v>
      </c>
      <c r="CU164" s="22" t="str">
        <f t="shared" si="202"/>
        <v>no</v>
      </c>
      <c r="CV164" s="5"/>
      <c r="CW164" s="6">
        <f>IF(C164&lt;100,SQRT(2)*SQRT(SQRT(1+(2/1.4)*(10510/I164))-1),IF(I164&gt;$AW$5,SQRT(2)*SQRT(SQRT(1+(2/1.4)*($AV$5/I164))-1),$AS$5))</f>
        <v>0.82</v>
      </c>
      <c r="CX164" s="22" t="str">
        <f>IF(B164&gt;CW164,"no","")</f>
        <v/>
      </c>
    </row>
    <row r="165" spans="1:102" x14ac:dyDescent="0.2">
      <c r="A165">
        <v>58800</v>
      </c>
      <c r="B165" s="1">
        <v>0.75270000000000004</v>
      </c>
      <c r="C165" s="5">
        <v>414</v>
      </c>
      <c r="D165" s="1">
        <v>0</v>
      </c>
      <c r="E165" s="1">
        <v>0</v>
      </c>
      <c r="G165">
        <f t="shared" si="153"/>
        <v>41400</v>
      </c>
      <c r="H165" s="9">
        <f t="shared" si="154"/>
        <v>12618.720000050474</v>
      </c>
      <c r="I165" s="5">
        <f t="shared" si="178"/>
        <v>17533.494680512766</v>
      </c>
      <c r="J165" s="5">
        <v>0</v>
      </c>
      <c r="K165" s="6">
        <f t="shared" si="179"/>
        <v>216.65</v>
      </c>
      <c r="L165" s="5">
        <f t="shared" si="180"/>
        <v>295.06801842964956</v>
      </c>
      <c r="M165" s="10">
        <f t="shared" si="181"/>
        <v>1.4216130796413355E-5</v>
      </c>
      <c r="O165" s="6">
        <f>B165*L165</f>
        <v>222.09769747199724</v>
      </c>
      <c r="P165" s="1">
        <f>IF(E165=0,0,E165/9.80665)</f>
        <v>0</v>
      </c>
      <c r="Q165" s="7">
        <f>IF(D165=0,0,(D165/O165))</f>
        <v>0</v>
      </c>
      <c r="R165" s="19">
        <f t="shared" si="182"/>
        <v>1</v>
      </c>
      <c r="S165" s="19">
        <f t="shared" si="183"/>
        <v>0</v>
      </c>
      <c r="T165" s="19">
        <f t="shared" si="184"/>
        <v>0</v>
      </c>
      <c r="U165" s="19"/>
      <c r="V165" s="19"/>
      <c r="X165" s="1">
        <f>(A165*9.80665*R165)/(0.7*I165*B165*B165*$N$5)</f>
        <v>0.67749520501915128</v>
      </c>
      <c r="Y165" s="10">
        <f>(SQRT($N$5)*B165)*(I165/M165)*SQRT(1.4/(287.05*K165))</f>
        <v>48731030.55394645</v>
      </c>
      <c r="Z165" s="10">
        <f t="shared" si="185"/>
        <v>2.256625527002001E-3</v>
      </c>
      <c r="AA165" s="3">
        <f t="shared" si="155"/>
        <v>1.8945020331611554E-2</v>
      </c>
      <c r="AB165" s="3">
        <f t="shared" si="156"/>
        <v>7.8759281809263268E-3</v>
      </c>
      <c r="AC165" s="3">
        <f>IF($E$5="no",(1/((1+0.03+$Q$5)+AB165*3.141593*$S$5)),(1.075/((1+0.03+$Q$5)+AB165*3.141593*$S$5)))</f>
        <v>0.77405611357271464</v>
      </c>
      <c r="AD165" s="3">
        <f t="shared" si="157"/>
        <v>4.3286282967489348E-2</v>
      </c>
      <c r="AE165" s="1">
        <f t="shared" si="158"/>
        <v>0.66710321064403255</v>
      </c>
      <c r="AF165" s="1">
        <f>B165*$R$5/AE165</f>
        <v>1.0225971710420567</v>
      </c>
      <c r="AG165" s="8">
        <f t="shared" si="186"/>
        <v>1.2896865221474461E-3</v>
      </c>
      <c r="AH165" s="8"/>
      <c r="AI165" s="3">
        <f t="shared" si="187"/>
        <v>4.0103100036503816E-2</v>
      </c>
      <c r="AJ165" s="1">
        <f t="shared" si="188"/>
        <v>16.893836247134555</v>
      </c>
      <c r="AK165" s="1"/>
      <c r="AL165" s="1">
        <f t="shared" si="159"/>
        <v>5.9193186519113726E-2</v>
      </c>
      <c r="AM165" s="8">
        <f>AL165*(A165*9.80665)/(0.7*I165*B165*B165*$N$5)</f>
        <v>4.0103100036503816E-2</v>
      </c>
      <c r="AN165" s="1">
        <f>B165/$AI$5</f>
        <v>1</v>
      </c>
      <c r="AO165" s="1">
        <f>IF(B165&lt;0.4,1.3*(0.4-B165),0)</f>
        <v>0</v>
      </c>
      <c r="AP165" s="1">
        <f t="shared" si="189"/>
        <v>-0.43</v>
      </c>
      <c r="AQ165" s="1">
        <f t="shared" si="190"/>
        <v>0</v>
      </c>
      <c r="AR165" s="1">
        <f t="shared" si="160"/>
        <v>1</v>
      </c>
      <c r="AS165" s="1">
        <f t="shared" si="161"/>
        <v>0.30867472713898642</v>
      </c>
      <c r="AT165" s="1">
        <f>(((1+0.55*B165)/(1+0.55*$AI$5))/(AN165^2))</f>
        <v>1</v>
      </c>
      <c r="AU165" s="1">
        <f t="shared" si="162"/>
        <v>3.465254791234245E-2</v>
      </c>
      <c r="AV165" s="8">
        <f t="shared" si="163"/>
        <v>1.1572915255163676</v>
      </c>
      <c r="AW165" s="8">
        <f t="shared" si="191"/>
        <v>0.9893615316803156</v>
      </c>
      <c r="AX165" s="8"/>
      <c r="AY165" s="4"/>
      <c r="AZ165" s="1">
        <f t="shared" si="164"/>
        <v>0.30539090083323106</v>
      </c>
      <c r="BA165" s="14">
        <f t="shared" si="192"/>
        <v>0.29775612831240028</v>
      </c>
      <c r="BB165" s="1"/>
      <c r="BC165" s="14">
        <f t="shared" si="193"/>
        <v>5.0302432732904752</v>
      </c>
      <c r="BD165" s="14">
        <f>IF(0.7*(AM165*(B165^3)/BA165)*(I165*L165*$N$5/43000000)&lt;$AH$5*(1-0.178*(C165/100)+0.0085*((C165/100)^2)),$AH$5*(1-0.178*(C165/100)+0.0085*((C165/100)^2)),0.7*(AM165*(B165^3)/BA165)*(I165*L165*$N$5/43000000))</f>
        <v>0.59208575602651248</v>
      </c>
      <c r="BE165" s="4">
        <f t="shared" si="165"/>
        <v>2.6658797581688774E-3</v>
      </c>
      <c r="BF165" s="4"/>
      <c r="BG165" s="1">
        <f t="shared" si="166"/>
        <v>1.062916610206547</v>
      </c>
      <c r="BH165" s="1">
        <f>0.6*$AN$5*(1-0.53*((B165-$AM$5)^2))*(1+((2/3)*AV165))</f>
        <v>5.9320985960608539</v>
      </c>
      <c r="BJ165" s="1">
        <f t="shared" si="167"/>
        <v>5.4575761954190192</v>
      </c>
      <c r="BK165" s="5">
        <f t="shared" si="168"/>
        <v>28.871292050259179</v>
      </c>
      <c r="BL165" s="5">
        <f t="shared" si="194"/>
        <v>1.6971155341733635</v>
      </c>
      <c r="BM165" s="5">
        <f t="shared" si="195"/>
        <v>3.0579667031831126</v>
      </c>
      <c r="BN165" s="1">
        <f t="shared" si="196"/>
        <v>1.1922077710576058</v>
      </c>
      <c r="BO165" s="1">
        <f t="shared" si="169"/>
        <v>3.4220583746966589</v>
      </c>
      <c r="BP165" s="9">
        <f>(1+0.2*B165*B165)*K165</f>
        <v>241.19892737570004</v>
      </c>
      <c r="BQ165" s="9">
        <f t="shared" si="203"/>
        <v>737.57828875837242</v>
      </c>
      <c r="BR165" s="9">
        <f t="shared" si="204"/>
        <v>1430.815818456774</v>
      </c>
      <c r="BS165" s="9">
        <f t="shared" si="197"/>
        <v>825.39680939386551</v>
      </c>
      <c r="BU165" s="9">
        <f>((1+0.2*B165*B165)^3.5)*I165</f>
        <v>25528.591951493687</v>
      </c>
      <c r="BV165" s="9">
        <f t="shared" si="198"/>
        <v>737043.4338634701</v>
      </c>
      <c r="BX165" s="3">
        <f t="shared" si="170"/>
        <v>2.3560723943271755E-2</v>
      </c>
      <c r="BZ165" s="3">
        <f t="shared" si="171"/>
        <v>4.4751967198124742E-2</v>
      </c>
      <c r="CA165"/>
      <c r="CB165" s="14">
        <f>$CB$12*($AO$5/K165)/($AN$5*(1-0.53*((B165-$AM$5)^2))*(1+0.2*B165*B165))</f>
        <v>1.3629629629629629</v>
      </c>
      <c r="CC165" s="1">
        <f t="shared" si="199"/>
        <v>1.9074074074074074</v>
      </c>
      <c r="CD165" s="3">
        <f t="shared" si="172"/>
        <v>6.6096526573542078E-2</v>
      </c>
      <c r="CE165" s="6">
        <f t="shared" si="173"/>
        <v>1.4769524271619447</v>
      </c>
      <c r="CF165" s="22" t="str">
        <f t="shared" si="200"/>
        <v/>
      </c>
      <c r="CG165" s="22"/>
      <c r="CH165" s="7">
        <f t="shared" si="174"/>
        <v>1.0293201967119709</v>
      </c>
      <c r="CI165" s="23">
        <f>CH165*(0.7*I165*B165*B165)*$N$5/9.80665</f>
        <v>89334.990297020646</v>
      </c>
      <c r="CK165" s="1">
        <f>B165/$AI$5</f>
        <v>1</v>
      </c>
      <c r="CL165" s="14">
        <f t="shared" si="201"/>
        <v>1.4515200000000053</v>
      </c>
      <c r="CM165" s="1">
        <f t="shared" si="175"/>
        <v>0.8569758833631711</v>
      </c>
      <c r="CN165" s="14">
        <f>SQRT((A165*9.80665)/(0.7*I165*$N$5*CM165))</f>
        <v>0.66925361968554342</v>
      </c>
      <c r="CO165" s="1">
        <f t="shared" si="176"/>
        <v>0.79056507676779153</v>
      </c>
      <c r="CP165" s="29" t="str">
        <f>IF(C165&lt;30,"",IF(CO165&gt;1,"no",""))</f>
        <v/>
      </c>
      <c r="CQ165" s="22"/>
      <c r="CR165" s="23">
        <f>CM165*(0.7*I165*B165*B165)*$N$5/9.80665</f>
        <v>74377.178714246475</v>
      </c>
      <c r="CS165"/>
      <c r="CT165" s="6">
        <f t="shared" si="177"/>
        <v>1.0097560975609758</v>
      </c>
      <c r="CU165" s="22" t="str">
        <f t="shared" si="202"/>
        <v>no</v>
      </c>
      <c r="CV165" s="5"/>
      <c r="CW165" s="6">
        <f>IF(C165&lt;100,SQRT(2)*SQRT(SQRT(1+(2/1.4)*(10510/I165))-1),IF(I165&gt;$AW$5,SQRT(2)*SQRT(SQRT(1+(2/1.4)*($AV$5/I165))-1),$AS$5))</f>
        <v>0.82</v>
      </c>
      <c r="CX165" s="22" t="str">
        <f>IF(B165&gt;CW165,"no","")</f>
        <v/>
      </c>
    </row>
    <row r="166" spans="1:102" x14ac:dyDescent="0.2">
      <c r="A166">
        <v>58800</v>
      </c>
      <c r="B166" s="1">
        <v>0.75270000000000004</v>
      </c>
      <c r="C166" s="5">
        <v>414.5</v>
      </c>
      <c r="D166" s="1">
        <v>0</v>
      </c>
      <c r="E166" s="1">
        <v>0</v>
      </c>
      <c r="G166">
        <f t="shared" si="153"/>
        <v>41450</v>
      </c>
      <c r="H166" s="9">
        <f t="shared" si="154"/>
        <v>12633.960000050534</v>
      </c>
      <c r="I166" s="5">
        <f t="shared" si="178"/>
        <v>17491.409247111642</v>
      </c>
      <c r="J166" s="5">
        <v>0</v>
      </c>
      <c r="K166" s="6">
        <f t="shared" si="179"/>
        <v>216.65</v>
      </c>
      <c r="L166" s="5">
        <f t="shared" si="180"/>
        <v>295.06801842964956</v>
      </c>
      <c r="M166" s="10">
        <f t="shared" si="181"/>
        <v>1.4216130796413355E-5</v>
      </c>
      <c r="O166" s="6">
        <f>B166*L166</f>
        <v>222.09769747199724</v>
      </c>
      <c r="P166" s="1">
        <f>IF(E166=0,0,E166/9.80665)</f>
        <v>0</v>
      </c>
      <c r="Q166" s="7">
        <f>IF(D166=0,0,(D166/O166))</f>
        <v>0</v>
      </c>
      <c r="R166" s="19">
        <f t="shared" si="182"/>
        <v>1</v>
      </c>
      <c r="S166" s="19">
        <f t="shared" si="183"/>
        <v>0</v>
      </c>
      <c r="T166" s="19">
        <f t="shared" si="184"/>
        <v>0</v>
      </c>
      <c r="U166" s="19"/>
      <c r="V166" s="19"/>
      <c r="X166" s="1">
        <f>(A166*9.80665*R166)/(0.7*I166*B166*B166*$N$5)</f>
        <v>0.67912530119537107</v>
      </c>
      <c r="Y166" s="10">
        <f>(SQRT($N$5)*B166)*(I166/M166)*SQRT(1.4/(287.05*K166))</f>
        <v>48614062.055748224</v>
      </c>
      <c r="Z166" s="10">
        <f t="shared" si="185"/>
        <v>2.2573848833855E-3</v>
      </c>
      <c r="AA166" s="3">
        <f t="shared" si="155"/>
        <v>1.8951395346850985E-2</v>
      </c>
      <c r="AB166" s="3">
        <f t="shared" si="156"/>
        <v>7.8785784373683471E-3</v>
      </c>
      <c r="AC166" s="3">
        <f>IF($E$5="no",(1/((1+0.03+$Q$5)+AB166*3.141593*$S$5)),(1.075/((1+0.03+$Q$5)+AB166*3.141593*$S$5)))</f>
        <v>0.77400872392717013</v>
      </c>
      <c r="AD166" s="3">
        <f t="shared" si="157"/>
        <v>4.3288933223931368E-2</v>
      </c>
      <c r="AE166" s="1">
        <f t="shared" si="158"/>
        <v>0.66690475574459807</v>
      </c>
      <c r="AF166" s="1">
        <f>B166*$R$5/AE166</f>
        <v>1.0229014714942475</v>
      </c>
      <c r="AG166" s="8">
        <f t="shared" si="186"/>
        <v>1.294993302058434E-3</v>
      </c>
      <c r="AH166" s="8"/>
      <c r="AI166" s="3">
        <f t="shared" si="187"/>
        <v>4.0211728393654757E-2</v>
      </c>
      <c r="AJ166" s="1">
        <f t="shared" si="188"/>
        <v>16.888736901508921</v>
      </c>
      <c r="AK166" s="1"/>
      <c r="AL166" s="1">
        <f t="shared" si="159"/>
        <v>5.9211059171077218E-2</v>
      </c>
      <c r="AM166" s="8">
        <f>AL166*(A166*9.80665)/(0.7*I166*B166*B166*$N$5)</f>
        <v>4.0211728393654757E-2</v>
      </c>
      <c r="AN166" s="1">
        <f>B166/$AI$5</f>
        <v>1</v>
      </c>
      <c r="AO166" s="1">
        <f>IF(B166&lt;0.4,1.3*(0.4-B166),0)</f>
        <v>0</v>
      </c>
      <c r="AP166" s="1">
        <f t="shared" si="189"/>
        <v>-0.43</v>
      </c>
      <c r="AQ166" s="1">
        <f t="shared" si="190"/>
        <v>0</v>
      </c>
      <c r="AR166" s="1">
        <f t="shared" si="160"/>
        <v>1</v>
      </c>
      <c r="AS166" s="1">
        <f t="shared" si="161"/>
        <v>0.30867472713898642</v>
      </c>
      <c r="AT166" s="1">
        <f>(((1+0.55*B166)/(1+0.55*$AI$5))/(AN166^2))</f>
        <v>1</v>
      </c>
      <c r="AU166" s="1">
        <f t="shared" si="162"/>
        <v>3.465254791234245E-2</v>
      </c>
      <c r="AV166" s="8">
        <f t="shared" si="163"/>
        <v>1.1604263125290204</v>
      </c>
      <c r="AW166" s="8">
        <f t="shared" si="191"/>
        <v>0.98893326124678671</v>
      </c>
      <c r="AX166" s="8"/>
      <c r="AY166" s="4"/>
      <c r="AZ166" s="1">
        <f t="shared" si="164"/>
        <v>0.30525870457401988</v>
      </c>
      <c r="BA166" s="14">
        <f>$BA$14*AZ166</f>
        <v>0.29762723695966936</v>
      </c>
      <c r="BB166" s="1"/>
      <c r="BC166" s="14">
        <f t="shared" si="193"/>
        <v>5.0265480997349075</v>
      </c>
      <c r="BD166" s="14">
        <f>IF(0.7*(AM166*(B166^3)/BA166)*(I166*L166*$N$5/43000000)&lt;$AH$5*(1-0.178*(C166/100)+0.0085*((C166/100)^2)),$AH$5*(1-0.178*(C166/100)+0.0085*((C166/100)^2)),0.7*(AM166*(B166^3)/BA166)*(I166*L166*$N$5/43000000))</f>
        <v>0.59252101688244918</v>
      </c>
      <c r="BE166" s="4">
        <f t="shared" si="165"/>
        <v>2.6678395302011451E-3</v>
      </c>
      <c r="BF166" s="4"/>
      <c r="BG166" s="1">
        <f t="shared" si="166"/>
        <v>1.064170525011608</v>
      </c>
      <c r="BH166" s="1">
        <f>0.6*$AN$5*(1-0.53*((B166-$AM$5)^2))*(1+((2/3)*AV166))</f>
        <v>5.9390966485734005</v>
      </c>
      <c r="BJ166" s="1">
        <f t="shared" si="167"/>
        <v>5.4503100885608609</v>
      </c>
      <c r="BK166" s="5">
        <f t="shared" si="168"/>
        <v>28.956515521786717</v>
      </c>
      <c r="BL166" s="5">
        <f t="shared" si="194"/>
        <v>1.699117608723488</v>
      </c>
      <c r="BM166" s="5">
        <f t="shared" si="195"/>
        <v>3.0609640422198168</v>
      </c>
      <c r="BN166" s="1">
        <f t="shared" si="196"/>
        <v>1.1926750620397264</v>
      </c>
      <c r="BO166" s="1">
        <f t="shared" si="169"/>
        <v>3.4257056589814612</v>
      </c>
      <c r="BP166" s="9">
        <f>(1+0.2*B166*B166)*K166</f>
        <v>241.19892737570004</v>
      </c>
      <c r="BQ166" s="9">
        <f t="shared" si="203"/>
        <v>738.30124371900683</v>
      </c>
      <c r="BR166" s="9">
        <f t="shared" si="204"/>
        <v>1432.5037412165191</v>
      </c>
      <c r="BS166" s="9">
        <f t="shared" si="197"/>
        <v>826.27653045119405</v>
      </c>
      <c r="BU166" s="9">
        <f>((1+0.2*B166*B166)^3.5)*I166</f>
        <v>25467.315983640387</v>
      </c>
      <c r="BV166" s="9">
        <f t="shared" si="198"/>
        <v>737444.73057852976</v>
      </c>
      <c r="BX166" s="3">
        <f t="shared" si="170"/>
        <v>2.3595360863276838E-2</v>
      </c>
      <c r="BZ166" s="3">
        <f t="shared" si="171"/>
        <v>4.4871781022756144E-2</v>
      </c>
      <c r="CA166"/>
      <c r="CB166" s="14">
        <f>$CB$12*($AO$5/K166)/($AN$5*(1-0.53*((B166-$AM$5)^2))*(1+0.2*B166*B166))</f>
        <v>1.3629629629629629</v>
      </c>
      <c r="CC166" s="1">
        <f t="shared" si="199"/>
        <v>1.9074074074074074</v>
      </c>
      <c r="CD166" s="3">
        <f t="shared" si="172"/>
        <v>6.6096526573542078E-2</v>
      </c>
      <c r="CE166" s="6">
        <f t="shared" si="173"/>
        <v>1.4730087611192004</v>
      </c>
      <c r="CF166" s="22" t="str">
        <f t="shared" si="200"/>
        <v/>
      </c>
      <c r="CG166" s="22"/>
      <c r="CH166" s="7">
        <f t="shared" si="174"/>
        <v>1.0291575903306482</v>
      </c>
      <c r="CI166" s="23">
        <f>CH166*(0.7*I166*B166*B166)*$N$5/9.80665</f>
        <v>89106.481830270219</v>
      </c>
      <c r="CK166" s="1">
        <f>B166/$AI$5</f>
        <v>1</v>
      </c>
      <c r="CL166" s="14">
        <f t="shared" si="201"/>
        <v>1.4515200000000053</v>
      </c>
      <c r="CM166" s="1">
        <f t="shared" si="175"/>
        <v>0.8569758833631711</v>
      </c>
      <c r="CN166" s="14">
        <f>SQRT((A166*9.80665)/(0.7*I166*$N$5*CM166))</f>
        <v>0.67005826916814337</v>
      </c>
      <c r="CO166" s="1">
        <f t="shared" si="176"/>
        <v>0.7924672261839717</v>
      </c>
      <c r="CP166" s="29" t="str">
        <f>IF(C166&lt;30,"",IF(CO166&gt;1,"no",""))</f>
        <v/>
      </c>
      <c r="CQ166" s="22"/>
      <c r="CR166" s="23">
        <f>CM166*(0.7*I166*B166*B166)*$N$5/9.80665</f>
        <v>74198.652079460953</v>
      </c>
      <c r="CS166"/>
      <c r="CT166" s="6">
        <f t="shared" si="177"/>
        <v>1.0109756097560978</v>
      </c>
      <c r="CU166" s="22" t="str">
        <f t="shared" si="202"/>
        <v>no</v>
      </c>
      <c r="CV166" s="5"/>
      <c r="CW166" s="6">
        <f>IF(C166&lt;100,SQRT(2)*SQRT(SQRT(1+(2/1.4)*(10510/I166))-1),IF(I166&gt;$AW$5,SQRT(2)*SQRT(SQRT(1+(2/1.4)*($AV$5/I166))-1),$AS$5))</f>
        <v>0.82</v>
      </c>
      <c r="CX166" s="22" t="str">
        <f>IF(B166&gt;CW166,"no","")</f>
        <v/>
      </c>
    </row>
    <row r="167" spans="1:102" x14ac:dyDescent="0.2">
      <c r="A167" s="9"/>
      <c r="D167" s="9"/>
      <c r="E167" s="5"/>
      <c r="F167" s="5"/>
      <c r="G167" s="6"/>
      <c r="H167" s="9"/>
      <c r="I167" s="5"/>
      <c r="K167" s="6"/>
      <c r="M167" s="6"/>
      <c r="N167" s="1"/>
      <c r="O167" s="1"/>
      <c r="P167" s="1"/>
      <c r="Q167" s="7"/>
      <c r="R167" s="19"/>
      <c r="S167" s="19"/>
      <c r="T167" s="19"/>
      <c r="U167" s="19"/>
      <c r="V167" s="19"/>
      <c r="X167" s="1"/>
      <c r="Y167" s="10"/>
      <c r="Z167" s="10"/>
      <c r="AA167" s="3"/>
      <c r="AB167" s="3"/>
      <c r="AC167" s="3"/>
      <c r="AD167" s="3"/>
      <c r="AE167" s="1"/>
      <c r="AF167" s="1"/>
      <c r="AG167" s="8"/>
      <c r="AH167" s="8"/>
      <c r="AI167" s="3"/>
      <c r="AJ167" s="1"/>
      <c r="AK167" s="1"/>
      <c r="AL167" s="1"/>
      <c r="AM167" s="8"/>
      <c r="AN167" s="1"/>
      <c r="AO167" s="1"/>
      <c r="AP167" s="1"/>
      <c r="AQ167" s="1"/>
      <c r="AS167" s="1"/>
      <c r="AT167" s="1"/>
      <c r="AU167" s="1"/>
      <c r="AV167" s="14"/>
      <c r="AW167" s="10"/>
      <c r="AX167" s="10"/>
      <c r="AY167" s="10"/>
      <c r="AZ167" s="8"/>
      <c r="BB167" s="8"/>
      <c r="BC167" s="28"/>
      <c r="BD167" s="14"/>
      <c r="BE167" s="4"/>
      <c r="BF167" s="4"/>
      <c r="BG167" s="4"/>
    </row>
    <row r="168" spans="1:102" x14ac:dyDescent="0.2">
      <c r="H168" s="9"/>
      <c r="I168" s="9"/>
      <c r="J168" s="8"/>
      <c r="K168" s="6"/>
    </row>
    <row r="175" spans="1:102" x14ac:dyDescent="0.2">
      <c r="O175" s="26"/>
    </row>
    <row r="179" spans="6:101" x14ac:dyDescent="0.2">
      <c r="F179" s="6"/>
      <c r="H179" s="1"/>
      <c r="J179" s="26"/>
    </row>
    <row r="180" spans="6:101" x14ac:dyDescent="0.2">
      <c r="F180" s="6"/>
      <c r="H180" s="1"/>
      <c r="J180" s="26"/>
    </row>
    <row r="181" spans="6:101" x14ac:dyDescent="0.2">
      <c r="F181" s="6"/>
      <c r="H181" s="1"/>
      <c r="J181" s="26"/>
    </row>
    <row r="182" spans="6:101" x14ac:dyDescent="0.2">
      <c r="F182" s="6"/>
      <c r="H182" s="1"/>
      <c r="J182" s="26"/>
    </row>
    <row r="183" spans="6:101" x14ac:dyDescent="0.2">
      <c r="F183" s="6"/>
      <c r="H183" s="1"/>
      <c r="J183" s="26"/>
    </row>
    <row r="184" spans="6:101" x14ac:dyDescent="0.2">
      <c r="F184" s="6"/>
      <c r="H184" s="1"/>
      <c r="J184" s="26"/>
    </row>
    <row r="185" spans="6:101" x14ac:dyDescent="0.2">
      <c r="F185" s="6"/>
      <c r="H185" s="1"/>
      <c r="J185" s="26"/>
    </row>
    <row r="186" spans="6:101" x14ac:dyDescent="0.2">
      <c r="F186" s="6"/>
      <c r="H186" s="1"/>
      <c r="J186" s="26"/>
    </row>
    <row r="187" spans="6:101" x14ac:dyDescent="0.2">
      <c r="F187" s="6"/>
      <c r="H187" s="1"/>
      <c r="J187" s="26"/>
    </row>
    <row r="188" spans="6:101" x14ac:dyDescent="0.2">
      <c r="F188" s="6"/>
      <c r="H188" s="1"/>
      <c r="J188" s="26"/>
    </row>
    <row r="189" spans="6:101" x14ac:dyDescent="0.2">
      <c r="F189" s="6"/>
      <c r="H189" s="1"/>
      <c r="J189" s="26"/>
    </row>
    <row r="190" spans="6:101" s="2" customFormat="1" x14ac:dyDescent="0.2">
      <c r="F190" s="13"/>
      <c r="H190" s="14"/>
      <c r="J190" s="27"/>
      <c r="L190"/>
      <c r="M190"/>
      <c r="AG190"/>
      <c r="BA190" s="14"/>
      <c r="BH190" s="14"/>
      <c r="BI190" s="14"/>
      <c r="BJ190" s="14"/>
      <c r="BK190" s="15"/>
      <c r="BL190" s="15"/>
      <c r="BM190" s="15"/>
      <c r="BN190" s="14"/>
      <c r="BO190" s="14"/>
      <c r="BP190" s="14"/>
      <c r="BQ190" s="14"/>
      <c r="BR190" s="14"/>
      <c r="BS190" s="18"/>
      <c r="BT190" s="18"/>
      <c r="BU190" s="18"/>
      <c r="BV190" s="18"/>
      <c r="BW190" s="18"/>
      <c r="BX190" s="18"/>
      <c r="BY190" s="18"/>
      <c r="BZ190" s="21"/>
      <c r="CB190" s="14"/>
      <c r="CC190" s="14"/>
      <c r="CD190" s="21"/>
      <c r="CI190" s="18"/>
      <c r="CR190" s="18"/>
      <c r="CV190" s="15"/>
      <c r="CW190" s="13"/>
    </row>
    <row r="191" spans="6:101" s="2" customFormat="1" x14ac:dyDescent="0.2">
      <c r="F191" s="13"/>
      <c r="H191" s="14"/>
      <c r="J191" s="27"/>
      <c r="L191"/>
      <c r="M191"/>
      <c r="AG191"/>
      <c r="BA191" s="14"/>
      <c r="BH191" s="14"/>
      <c r="BI191" s="14"/>
      <c r="BJ191" s="14"/>
      <c r="BK191" s="15"/>
      <c r="BL191" s="15"/>
      <c r="BM191" s="15"/>
      <c r="BN191" s="14"/>
      <c r="BO191" s="14"/>
      <c r="BP191" s="14"/>
      <c r="BQ191" s="14"/>
      <c r="BR191" s="14"/>
      <c r="BS191" s="18"/>
      <c r="BT191" s="18"/>
      <c r="BU191" s="18"/>
      <c r="BV191" s="18"/>
      <c r="BW191" s="18"/>
      <c r="BX191" s="18"/>
      <c r="BY191" s="18"/>
      <c r="BZ191" s="21"/>
      <c r="CB191" s="14"/>
      <c r="CC191" s="14"/>
      <c r="CD191" s="21"/>
      <c r="CI191" s="18"/>
      <c r="CR191" s="18"/>
      <c r="CV191" s="15"/>
      <c r="CW191" s="13"/>
    </row>
    <row r="192" spans="6:101" x14ac:dyDescent="0.2">
      <c r="F192" s="6"/>
      <c r="H192" s="1"/>
      <c r="J192" s="26"/>
    </row>
    <row r="193" spans="6:10" x14ac:dyDescent="0.2">
      <c r="F193" s="6"/>
      <c r="H193" s="1"/>
      <c r="J193" s="26"/>
    </row>
    <row r="194" spans="6:10" x14ac:dyDescent="0.2">
      <c r="F194" s="6"/>
      <c r="H194" s="1"/>
      <c r="J194" s="26"/>
    </row>
    <row r="195" spans="6:10" x14ac:dyDescent="0.2">
      <c r="F195" s="6"/>
      <c r="H195" s="1"/>
      <c r="J195" s="26"/>
    </row>
    <row r="196" spans="6:10" x14ac:dyDescent="0.2">
      <c r="F196" s="6"/>
      <c r="H196" s="1"/>
      <c r="J196" s="26"/>
    </row>
    <row r="197" spans="6:10" x14ac:dyDescent="0.2">
      <c r="F197" s="6"/>
      <c r="H197" s="1"/>
      <c r="J197" s="26"/>
    </row>
    <row r="198" spans="6:10" x14ac:dyDescent="0.2">
      <c r="F198" s="6"/>
      <c r="H198" s="1"/>
      <c r="J198" s="26"/>
    </row>
    <row r="199" spans="6:10" x14ac:dyDescent="0.2">
      <c r="F199" s="6"/>
      <c r="H199" s="1"/>
      <c r="J199" s="26"/>
    </row>
    <row r="200" spans="6:10" x14ac:dyDescent="0.2">
      <c r="F200" s="6"/>
      <c r="H200" s="1"/>
      <c r="J200" s="26"/>
    </row>
    <row r="201" spans="6:10" x14ac:dyDescent="0.2">
      <c r="F201" s="6"/>
      <c r="H201" s="1"/>
      <c r="J201" s="26"/>
    </row>
    <row r="202" spans="6:10" x14ac:dyDescent="0.2">
      <c r="F202" s="6"/>
      <c r="H202" s="1"/>
      <c r="J202" s="26"/>
    </row>
    <row r="203" spans="6:10" x14ac:dyDescent="0.2">
      <c r="F203" s="6"/>
      <c r="H203" s="1"/>
      <c r="J203" s="26"/>
    </row>
    <row r="204" spans="6:10" x14ac:dyDescent="0.2">
      <c r="F204" s="6"/>
      <c r="H204" s="1"/>
      <c r="J204" s="26"/>
    </row>
    <row r="205" spans="6:10" x14ac:dyDescent="0.2">
      <c r="F205" s="6"/>
      <c r="H205" s="1"/>
      <c r="J205" s="26"/>
    </row>
    <row r="206" spans="6:10" x14ac:dyDescent="0.2">
      <c r="F206" s="6"/>
      <c r="H206" s="1"/>
      <c r="J206" s="26"/>
    </row>
    <row r="207" spans="6:10" x14ac:dyDescent="0.2">
      <c r="F207" s="6"/>
      <c r="H207" s="1"/>
      <c r="J207" s="26"/>
    </row>
    <row r="208" spans="6:10" x14ac:dyDescent="0.2">
      <c r="F208" s="6"/>
      <c r="H208" s="1"/>
      <c r="J208" s="26"/>
    </row>
    <row r="209" spans="6:10" x14ac:dyDescent="0.2">
      <c r="F209" s="6"/>
      <c r="H209" s="1"/>
      <c r="J209" s="26"/>
    </row>
    <row r="210" spans="6:10" x14ac:dyDescent="0.2">
      <c r="F210" s="6"/>
      <c r="H210" s="1"/>
      <c r="J210" s="26"/>
    </row>
    <row r="211" spans="6:10" x14ac:dyDescent="0.2">
      <c r="F211" s="6"/>
      <c r="H211" s="1"/>
      <c r="J211" s="26"/>
    </row>
    <row r="212" spans="6:10" x14ac:dyDescent="0.2">
      <c r="F212" s="6"/>
      <c r="H212" s="1"/>
      <c r="J212" s="26"/>
    </row>
    <row r="213" spans="6:10" x14ac:dyDescent="0.2">
      <c r="F213" s="6"/>
      <c r="H213" s="1"/>
      <c r="J213" s="26"/>
    </row>
    <row r="214" spans="6:10" x14ac:dyDescent="0.2">
      <c r="F214" s="6"/>
      <c r="H214" s="1"/>
      <c r="J214" s="26"/>
    </row>
    <row r="215" spans="6:10" x14ac:dyDescent="0.2">
      <c r="F215" s="6"/>
      <c r="H215" s="1"/>
      <c r="J215" s="26"/>
    </row>
    <row r="216" spans="6:10" x14ac:dyDescent="0.2">
      <c r="F216" s="6"/>
      <c r="H216" s="1"/>
      <c r="J216" s="26"/>
    </row>
    <row r="217" spans="6:10" x14ac:dyDescent="0.2">
      <c r="F217" s="6"/>
      <c r="H217" s="1"/>
      <c r="J217" s="26"/>
    </row>
    <row r="218" spans="6:10" x14ac:dyDescent="0.2">
      <c r="F218" s="6"/>
      <c r="H218" s="1"/>
      <c r="J218" s="26"/>
    </row>
    <row r="219" spans="6:10" x14ac:dyDescent="0.2">
      <c r="F219" s="6"/>
      <c r="H219" s="1"/>
      <c r="J219" s="26"/>
    </row>
    <row r="220" spans="6:10" x14ac:dyDescent="0.2">
      <c r="F220" s="6"/>
      <c r="H220" s="1"/>
      <c r="J220" s="26"/>
    </row>
    <row r="221" spans="6:10" x14ac:dyDescent="0.2">
      <c r="F221" s="6"/>
      <c r="H221" s="1"/>
      <c r="J221" s="26"/>
    </row>
    <row r="222" spans="6:10" x14ac:dyDescent="0.2">
      <c r="F222" s="6"/>
      <c r="H222" s="1"/>
      <c r="J222" s="26"/>
    </row>
    <row r="223" spans="6:10" x14ac:dyDescent="0.2">
      <c r="F223" s="6"/>
      <c r="H223" s="1"/>
      <c r="J223" s="26"/>
    </row>
    <row r="224" spans="6:10" x14ac:dyDescent="0.2">
      <c r="F224" s="6"/>
      <c r="H224" s="1"/>
      <c r="J224" s="26"/>
    </row>
    <row r="225" spans="6:10" x14ac:dyDescent="0.2">
      <c r="F225" s="6"/>
      <c r="H225" s="1"/>
      <c r="J225" s="26"/>
    </row>
    <row r="226" spans="6:10" x14ac:dyDescent="0.2">
      <c r="F226" s="6"/>
      <c r="H226" s="1"/>
      <c r="J226" s="26"/>
    </row>
    <row r="227" spans="6:10" x14ac:dyDescent="0.2">
      <c r="F227" s="6"/>
      <c r="H227" s="1"/>
      <c r="J227" s="26"/>
    </row>
    <row r="228" spans="6:10" x14ac:dyDescent="0.2">
      <c r="F228" s="6"/>
      <c r="H228" s="1"/>
      <c r="J228" s="26"/>
    </row>
    <row r="229" spans="6:10" x14ac:dyDescent="0.2">
      <c r="F229" s="6"/>
      <c r="H229" s="1"/>
      <c r="J229" s="2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Elizabeth Poll</dc:creator>
  <cp:lastModifiedBy>Elizabeth Poll</cp:lastModifiedBy>
  <dcterms:created xsi:type="dcterms:W3CDTF">2023-04-10T14:33:24Z</dcterms:created>
  <dcterms:modified xsi:type="dcterms:W3CDTF">2024-10-17T09:52:40Z</dcterms:modified>
</cp:coreProperties>
</file>