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li\OneDrive\Desktop\"/>
    </mc:Choice>
  </mc:AlternateContent>
  <xr:revisionPtr revIDLastSave="0" documentId="13_ncr:1_{4A618FC3-4925-4F38-98E9-454BAC8BE7F4}" xr6:coauthVersionLast="47" xr6:coauthVersionMax="47" xr10:uidLastSave="{00000000-0000-0000-0000-000000000000}"/>
  <bookViews>
    <workbookView xWindow="-108" yWindow="-108" windowWidth="23256" windowHeight="12456" activeTab="2" xr2:uid="{BAB172CC-A65E-4053-BE47-07EB4B1FAE88}"/>
  </bookViews>
  <sheets>
    <sheet name="Rules" sheetId="2" r:id="rId1"/>
    <sheet name="OverView" sheetId="7" r:id="rId2"/>
    <sheet name="Dashboard" sheetId="13" r:id="rId3"/>
    <sheet name="Forecast" sheetId="11" r:id="rId4"/>
    <sheet name="Old Agreement" sheetId="1" r:id="rId5"/>
    <sheet name="Proposed New Agreement" sheetId="3" r:id="rId6"/>
    <sheet name="Income Analysis" sheetId="4" r:id="rId7"/>
    <sheet name="P&amp;L" sheetId="5" r:id="rId8"/>
    <sheet name="Consolidated workshee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7" l="1"/>
  <c r="B115" i="7"/>
  <c r="B114" i="7"/>
  <c r="B113" i="7"/>
  <c r="B112" i="7"/>
  <c r="B111" i="7"/>
  <c r="B110" i="7"/>
  <c r="B103" i="7"/>
  <c r="F52" i="5"/>
  <c r="D53" i="5"/>
  <c r="D52" i="5"/>
  <c r="C53" i="5"/>
  <c r="C52" i="5"/>
  <c r="D16" i="12"/>
  <c r="C16" i="12"/>
  <c r="B16" i="12"/>
  <c r="D12" i="3"/>
  <c r="D13" i="3"/>
  <c r="D14" i="3"/>
  <c r="D15" i="3"/>
  <c r="D16" i="3"/>
  <c r="D17" i="3"/>
  <c r="F3" i="3"/>
  <c r="F4" i="3"/>
  <c r="F5" i="3"/>
  <c r="F6" i="3"/>
  <c r="F7" i="3"/>
  <c r="D45" i="4"/>
  <c r="D44" i="4"/>
  <c r="C45" i="4"/>
  <c r="C44" i="4"/>
  <c r="H46" i="5"/>
  <c r="H45" i="5"/>
  <c r="H44" i="5"/>
  <c r="H43" i="5"/>
  <c r="H42" i="5"/>
  <c r="H41" i="5"/>
  <c r="H47" i="5" s="1"/>
  <c r="D24" i="3"/>
  <c r="D25" i="3"/>
  <c r="D26" i="3"/>
  <c r="D27" i="3"/>
  <c r="D28" i="3"/>
  <c r="D29" i="3"/>
  <c r="E24" i="3"/>
  <c r="E25" i="3"/>
  <c r="E26" i="3"/>
  <c r="E27" i="3"/>
  <c r="E28" i="3"/>
  <c r="E29" i="3"/>
  <c r="C57" i="7"/>
  <c r="D8" i="5"/>
  <c r="D57" i="7"/>
  <c r="I27" i="5"/>
  <c r="D27" i="5"/>
  <c r="D63" i="7"/>
  <c r="C63" i="7"/>
  <c r="H17" i="5"/>
  <c r="D58" i="7"/>
  <c r="D26" i="7"/>
  <c r="D27" i="7" s="1"/>
  <c r="B7" i="5"/>
  <c r="H8" i="5"/>
  <c r="C58" i="7" s="1"/>
  <c r="H36" i="5"/>
  <c r="H27" i="5"/>
  <c r="D54" i="7"/>
  <c r="D26" i="5"/>
  <c r="I26" i="5" s="1"/>
  <c r="H25" i="5"/>
  <c r="D25" i="5"/>
  <c r="I25" i="5" s="1"/>
  <c r="H24" i="5"/>
  <c r="D24" i="5"/>
  <c r="I24" i="5" s="1"/>
  <c r="H23" i="5"/>
  <c r="D23" i="5"/>
  <c r="H22" i="5"/>
  <c r="D22" i="5"/>
  <c r="I22" i="5" s="1"/>
  <c r="D53" i="7"/>
  <c r="C53" i="7"/>
  <c r="D45" i="7"/>
  <c r="C45" i="7"/>
  <c r="C35" i="7"/>
  <c r="D35" i="7"/>
  <c r="C27" i="7"/>
  <c r="D7" i="1"/>
  <c r="E7" i="1"/>
  <c r="F8" i="1"/>
  <c r="H35" i="5"/>
  <c r="H34" i="5"/>
  <c r="H33" i="5"/>
  <c r="H32" i="5"/>
  <c r="H31" i="5"/>
  <c r="H30" i="5"/>
  <c r="D7" i="5"/>
  <c r="H12" i="5"/>
  <c r="H13" i="5"/>
  <c r="H14" i="5"/>
  <c r="H15" i="5"/>
  <c r="H16" i="5"/>
  <c r="H11" i="5"/>
  <c r="E3" i="4"/>
  <c r="F3" i="4"/>
  <c r="D61" i="11"/>
  <c r="C12" i="1" s="1"/>
  <c r="E12" i="1" s="1"/>
  <c r="D62" i="11"/>
  <c r="D63" i="11"/>
  <c r="D64" i="11"/>
  <c r="C15" i="1" s="1"/>
  <c r="E15" i="1" s="1"/>
  <c r="C35" i="4" s="1"/>
  <c r="D65" i="11"/>
  <c r="C16" i="1" s="1"/>
  <c r="E16" i="1" s="1"/>
  <c r="D66" i="11"/>
  <c r="C17" i="1" s="1"/>
  <c r="E17" i="1" s="1"/>
  <c r="C13" i="1"/>
  <c r="E13" i="1" s="1"/>
  <c r="C33" i="4" s="1"/>
  <c r="C14" i="1"/>
  <c r="E14" i="1" s="1"/>
  <c r="C34" i="4" s="1"/>
  <c r="E12" i="3"/>
  <c r="D32" i="4" s="1"/>
  <c r="E13" i="3"/>
  <c r="D33" i="4" s="1"/>
  <c r="E14" i="3"/>
  <c r="D34" i="4" s="1"/>
  <c r="E15" i="3"/>
  <c r="D35" i="4" s="1"/>
  <c r="E16" i="3"/>
  <c r="D36" i="4" s="1"/>
  <c r="E17" i="3"/>
  <c r="D37" i="4" s="1"/>
  <c r="F13" i="3"/>
  <c r="D31" i="5" s="1"/>
  <c r="D23" i="4"/>
  <c r="D24" i="4"/>
  <c r="D25" i="4"/>
  <c r="D26" i="4"/>
  <c r="D21" i="4"/>
  <c r="D15" i="1"/>
  <c r="D16" i="1"/>
  <c r="C25" i="4" s="1"/>
  <c r="D17" i="1"/>
  <c r="C26" i="4" s="1"/>
  <c r="D14" i="1"/>
  <c r="C23" i="4" s="1"/>
  <c r="D13" i="1"/>
  <c r="C22" i="4" s="1"/>
  <c r="D12" i="1"/>
  <c r="D3" i="1"/>
  <c r="E3" i="1"/>
  <c r="D4" i="1"/>
  <c r="E4" i="1"/>
  <c r="D5" i="1"/>
  <c r="E5" i="1"/>
  <c r="D6" i="1"/>
  <c r="E6" i="1"/>
  <c r="H3" i="5"/>
  <c r="H4" i="5"/>
  <c r="H5" i="5"/>
  <c r="H6" i="5"/>
  <c r="F24" i="3" l="1"/>
  <c r="D41" i="5" s="1"/>
  <c r="I41" i="5" s="1"/>
  <c r="D18" i="1"/>
  <c r="F26" i="3"/>
  <c r="D43" i="5" s="1"/>
  <c r="F15" i="1"/>
  <c r="D14" i="5" s="1"/>
  <c r="I14" i="5" s="1"/>
  <c r="D8" i="1"/>
  <c r="F29" i="3"/>
  <c r="D46" i="5" s="1"/>
  <c r="F27" i="3"/>
  <c r="D44" i="5" s="1"/>
  <c r="I44" i="5" s="1"/>
  <c r="E8" i="1"/>
  <c r="C21" i="4"/>
  <c r="E21" i="4" s="1"/>
  <c r="F12" i="1"/>
  <c r="D11" i="5" s="1"/>
  <c r="F25" i="4"/>
  <c r="C24" i="4"/>
  <c r="E24" i="4" s="1"/>
  <c r="F23" i="4"/>
  <c r="E26" i="4"/>
  <c r="F17" i="3"/>
  <c r="D35" i="5" s="1"/>
  <c r="I35" i="5" s="1"/>
  <c r="E30" i="3"/>
  <c r="F16" i="3"/>
  <c r="D34" i="5" s="1"/>
  <c r="I34" i="5" s="1"/>
  <c r="F15" i="3"/>
  <c r="D33" i="5" s="1"/>
  <c r="I33" i="5" s="1"/>
  <c r="F28" i="3"/>
  <c r="F25" i="3"/>
  <c r="D30" i="3"/>
  <c r="F17" i="1"/>
  <c r="D16" i="5" s="1"/>
  <c r="I16" i="5" s="1"/>
  <c r="C37" i="4"/>
  <c r="F37" i="4" s="1"/>
  <c r="C36" i="4"/>
  <c r="E36" i="4" s="1"/>
  <c r="F16" i="1"/>
  <c r="D15" i="5" s="1"/>
  <c r="I15" i="5" s="1"/>
  <c r="F14" i="1"/>
  <c r="D13" i="5" s="1"/>
  <c r="I13" i="5" s="1"/>
  <c r="F13" i="1"/>
  <c r="D12" i="5" s="1"/>
  <c r="I12" i="5" s="1"/>
  <c r="D59" i="7"/>
  <c r="D36" i="7"/>
  <c r="C59" i="7"/>
  <c r="I23" i="5"/>
  <c r="I31" i="5"/>
  <c r="F14" i="3"/>
  <c r="D32" i="5" s="1"/>
  <c r="I32" i="5" s="1"/>
  <c r="F12" i="3"/>
  <c r="D30" i="5" s="1"/>
  <c r="D18" i="3"/>
  <c r="F24" i="4"/>
  <c r="F35" i="4"/>
  <c r="E18" i="3"/>
  <c r="E25" i="4"/>
  <c r="D22" i="4"/>
  <c r="E22" i="4" s="1"/>
  <c r="E34" i="4"/>
  <c r="F34" i="4"/>
  <c r="F33" i="4"/>
  <c r="E33" i="4"/>
  <c r="E18" i="1"/>
  <c r="C32" i="4"/>
  <c r="E35" i="4"/>
  <c r="F26" i="4"/>
  <c r="E23" i="4"/>
  <c r="I7" i="5"/>
  <c r="D4" i="5"/>
  <c r="I4" i="5" s="1"/>
  <c r="D5" i="5"/>
  <c r="I5" i="5" s="1"/>
  <c r="D6" i="5"/>
  <c r="I6" i="5" s="1"/>
  <c r="D3" i="5"/>
  <c r="I3" i="5" s="1"/>
  <c r="F15" i="4"/>
  <c r="E15" i="4"/>
  <c r="F14" i="4"/>
  <c r="E14" i="4"/>
  <c r="F13" i="4"/>
  <c r="E13" i="4"/>
  <c r="F12" i="4"/>
  <c r="E12" i="4"/>
  <c r="F11" i="4"/>
  <c r="E11" i="4"/>
  <c r="F7" i="4"/>
  <c r="E7" i="4"/>
  <c r="F6" i="4"/>
  <c r="E6" i="4"/>
  <c r="F5" i="4"/>
  <c r="E5" i="4"/>
  <c r="F4" i="4"/>
  <c r="E4" i="4"/>
  <c r="E4" i="3"/>
  <c r="E5" i="3"/>
  <c r="E6" i="3"/>
  <c r="E7" i="3"/>
  <c r="E3" i="3"/>
  <c r="B26" i="2"/>
  <c r="B27" i="2"/>
  <c r="B25" i="2"/>
  <c r="A26" i="2"/>
  <c r="A27" i="2"/>
  <c r="A25" i="2"/>
  <c r="D18" i="2"/>
  <c r="D21" i="2"/>
  <c r="C21" i="2"/>
  <c r="C18" i="2"/>
  <c r="B20" i="2"/>
  <c r="B19" i="2"/>
  <c r="A20" i="2"/>
  <c r="A19" i="2"/>
  <c r="D7" i="3"/>
  <c r="D6" i="3"/>
  <c r="D5" i="3"/>
  <c r="D4" i="3"/>
  <c r="D3" i="3"/>
  <c r="C25" i="2" l="1"/>
  <c r="C27" i="2"/>
  <c r="D19" i="2"/>
  <c r="D20" i="2"/>
  <c r="F36" i="4"/>
  <c r="C26" i="2"/>
  <c r="C20" i="2"/>
  <c r="C19" i="2"/>
  <c r="D22" i="2"/>
  <c r="F21" i="4"/>
  <c r="I43" i="5"/>
  <c r="D42" i="5"/>
  <c r="I42" i="5" s="1"/>
  <c r="I46" i="5"/>
  <c r="D45" i="5"/>
  <c r="I45" i="5" s="1"/>
  <c r="E37" i="4"/>
  <c r="D27" i="2"/>
  <c r="D26" i="2"/>
  <c r="F30" i="3"/>
  <c r="D25" i="2"/>
  <c r="I30" i="5"/>
  <c r="I36" i="5" s="1"/>
  <c r="D36" i="5"/>
  <c r="D62" i="7" s="1"/>
  <c r="D64" i="7" s="1"/>
  <c r="F18" i="1"/>
  <c r="I11" i="5"/>
  <c r="I17" i="5" s="1"/>
  <c r="D17" i="5"/>
  <c r="C62" i="7" s="1"/>
  <c r="C64" i="7" s="1"/>
  <c r="F22" i="4"/>
  <c r="F18" i="3"/>
  <c r="D8" i="3"/>
  <c r="I8" i="5"/>
  <c r="E8" i="3"/>
  <c r="F32" i="4"/>
  <c r="F38" i="4" s="1"/>
  <c r="E32" i="4"/>
  <c r="F8" i="4"/>
  <c r="F16" i="4"/>
  <c r="F27" i="4" l="1"/>
  <c r="F39" i="4" s="1"/>
  <c r="F8" i="3"/>
  <c r="D28" i="2"/>
  <c r="D47" i="5"/>
  <c r="I47" i="5"/>
  <c r="F53" i="5" s="1"/>
  <c r="F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akalikac@gmail.com</author>
  </authors>
  <commentList>
    <comment ref="G3" authorId="0" shapeId="0" xr:uid="{A7B657B7-1D88-4084-92BA-C489096545F3}">
      <text>
        <r>
          <rPr>
            <sz val="9"/>
            <color indexed="81"/>
            <rFont val="Tahoma"/>
            <family val="2"/>
          </rPr>
          <t xml:space="preserve">Work Expense includes:
Transportation
Packaging Materials
Printing Accessories
Other Miscellaneous
</t>
        </r>
      </text>
    </comment>
    <comment ref="G22" authorId="0" shapeId="0" xr:uid="{27B6A3EF-3B9B-4063-837A-C813EC0BF888}">
      <text>
        <r>
          <rPr>
            <sz val="9"/>
            <color indexed="81"/>
            <rFont val="Tahoma"/>
            <family val="2"/>
          </rPr>
          <t xml:space="preserve">Work Expense includes:
Transportation
Packaging Materials
Printing Accessories
Other Miscellaneous
</t>
        </r>
      </text>
    </comment>
  </commentList>
</comments>
</file>

<file path=xl/sharedStrings.xml><?xml version="1.0" encoding="utf-8"?>
<sst xmlns="http://schemas.openxmlformats.org/spreadsheetml/2006/main" count="273" uniqueCount="126">
  <si>
    <t>Month</t>
  </si>
  <si>
    <t>Number of Shipments</t>
  </si>
  <si>
    <t>Comm Received</t>
  </si>
  <si>
    <t>Previous Commission Breakedown Structure by Volume</t>
  </si>
  <si>
    <t>Amount Due per Shipment</t>
  </si>
  <si>
    <t>&lt;1000</t>
  </si>
  <si>
    <t>Shipment Vol. Per month</t>
  </si>
  <si>
    <t>1000-1499</t>
  </si>
  <si>
    <t>1500-1999</t>
  </si>
  <si>
    <t>2000 and Above</t>
  </si>
  <si>
    <t>Proposed New Commission Breakdown Structure by Volume</t>
  </si>
  <si>
    <t>&lt;1,750</t>
  </si>
  <si>
    <t>1750-2500</t>
  </si>
  <si>
    <t>2501-3000</t>
  </si>
  <si>
    <t>3000 above</t>
  </si>
  <si>
    <t>Previous Commission Breakedown Structure by Revenue</t>
  </si>
  <si>
    <t>Proposed New Commission Breakedown Structure by Revenue</t>
  </si>
  <si>
    <t>Revenue Breakdown</t>
  </si>
  <si>
    <t>Commission Due</t>
  </si>
  <si>
    <t>Revenue Generated</t>
  </si>
  <si>
    <t>Comm. Due in Vol per Shipment(old Rule)</t>
  </si>
  <si>
    <t>Comm. Due by Revenue(Old rule)</t>
  </si>
  <si>
    <t>Comm. Due in Vol per Shipment(New Rule)</t>
  </si>
  <si>
    <t>Comm. Due by Revenue(New rule)</t>
  </si>
  <si>
    <t>Average Shipment breakdown per month</t>
  </si>
  <si>
    <t>Column1</t>
  </si>
  <si>
    <t>Difference</t>
  </si>
  <si>
    <t>Average Increament=</t>
  </si>
  <si>
    <t>Percentage Increament</t>
  </si>
  <si>
    <t>Percentage Difference</t>
  </si>
  <si>
    <t>Differencein amount</t>
  </si>
  <si>
    <t>Percentage Reduction in Earnings</t>
  </si>
  <si>
    <t>VOLUME ANALYSIS</t>
  </si>
  <si>
    <t>% COMMISSION ANALYSIS</t>
  </si>
  <si>
    <t>Applying New proposed payment rule to Feb - June 2024 performance Data</t>
  </si>
  <si>
    <t>Current Business Performance Using The Previous Commission Breakdown Agreement</t>
  </si>
  <si>
    <t>Average Loss %=</t>
  </si>
  <si>
    <t>Salaries Paid</t>
  </si>
  <si>
    <t>Partnership Subsidy</t>
  </si>
  <si>
    <t>Work Expense</t>
  </si>
  <si>
    <t>Total Reciepts</t>
  </si>
  <si>
    <t>Total Expense</t>
  </si>
  <si>
    <t>P&amp;L</t>
  </si>
  <si>
    <t>Forecasted Shipments</t>
  </si>
  <si>
    <t>Logistic Expense</t>
  </si>
  <si>
    <t>Current Performance</t>
  </si>
  <si>
    <t>Shipment Volume</t>
  </si>
  <si>
    <t>Average Forecasted Revenue</t>
  </si>
  <si>
    <t>Forcasted Revenue per Month</t>
  </si>
  <si>
    <t>Percieved Profit or Loss if New proposed rule is applied to current performance</t>
  </si>
  <si>
    <t>Expected Comm.</t>
  </si>
  <si>
    <t>Revenue Forecast for quarters 3&amp;4</t>
  </si>
  <si>
    <t>Volume Forecast for July to December</t>
  </si>
  <si>
    <t>Performance Forecast for July to December</t>
  </si>
  <si>
    <t>Forecasted Business Performance Using Previous Commission Breakdwon Agreement</t>
  </si>
  <si>
    <t>Applying New proposed payment rule to July - Dec 2024 forecasted performance Data</t>
  </si>
  <si>
    <t>Percieved Profit or Loss if New Proposed rule is applied to forecasted Performance</t>
  </si>
  <si>
    <t>Expected Comm. Payment</t>
  </si>
  <si>
    <t>Forcasted Performance Values (with Previous Agreement)</t>
  </si>
  <si>
    <t>Forecasted Volume</t>
  </si>
  <si>
    <t>Total Expected Reciepts</t>
  </si>
  <si>
    <t>Salaries</t>
  </si>
  <si>
    <t>Projected Logistic Expense</t>
  </si>
  <si>
    <t>Projected Work Expense</t>
  </si>
  <si>
    <t>Forcasted Performance Values (with Proposed Agreement)</t>
  </si>
  <si>
    <t>Prev. Revenue Settings</t>
  </si>
  <si>
    <t>Prev. Shipment qty Settings</t>
  </si>
  <si>
    <t>Proposed revenue Settings</t>
  </si>
  <si>
    <t>Proposed Shipment Qty Settings</t>
  </si>
  <si>
    <t>Overview of Entire Analysis</t>
  </si>
  <si>
    <t>Rules Breakdown</t>
  </si>
  <si>
    <t>Forecasted Performance</t>
  </si>
  <si>
    <t xml:space="preserve">Total Revenue </t>
  </si>
  <si>
    <t>Commission Paid</t>
  </si>
  <si>
    <t>Forcasted Revenue</t>
  </si>
  <si>
    <t>Forecasted Comm.</t>
  </si>
  <si>
    <t>Volume and Revenue Performance (Previouse Commission Agreement)</t>
  </si>
  <si>
    <t>Profit &amp; Loss Analysis</t>
  </si>
  <si>
    <t>Total Average Change (loss)=</t>
  </si>
  <si>
    <t>Current Performance (With Proposed Commission Agreement)</t>
  </si>
  <si>
    <t>Current Performance (With Previous Agreement)</t>
  </si>
  <si>
    <t>Expected Comm Received</t>
  </si>
  <si>
    <t>Total</t>
  </si>
  <si>
    <t>Grand Total=</t>
  </si>
  <si>
    <t>Previous Agreement</t>
  </si>
  <si>
    <t>Proposed Agreement</t>
  </si>
  <si>
    <t>February - June 2024</t>
  </si>
  <si>
    <t>Expt. Commission Paid</t>
  </si>
  <si>
    <t>P&amp;L Commission Agreement</t>
  </si>
  <si>
    <t>July - Dec 2024</t>
  </si>
  <si>
    <t xml:space="preserve">Commission Paid </t>
  </si>
  <si>
    <t>Expense payment</t>
  </si>
  <si>
    <t>Income Analysis</t>
  </si>
  <si>
    <t xml:space="preserve">This Analysis Shows that with the level of activity within our company, if the partner goes through with the </t>
  </si>
  <si>
    <t>increase in the 3rd and 4th Qtr of the year.</t>
  </si>
  <si>
    <t xml:space="preserve">proposed rate and volume changes, we will not be profitable despite the fact that shipments had a relative </t>
  </si>
  <si>
    <r>
      <t xml:space="preserve">Projected Profits from Proposed Agreement  </t>
    </r>
    <r>
      <rPr>
        <b/>
        <sz val="11"/>
        <color rgb="FFC00000"/>
        <rFont val="Calibri"/>
        <family val="2"/>
        <scheme val="minor"/>
      </rPr>
      <t>(-333%)</t>
    </r>
    <r>
      <rPr>
        <b/>
        <sz val="11"/>
        <color theme="1"/>
        <rFont val="Calibri"/>
        <family val="2"/>
        <scheme val="minor"/>
      </rPr>
      <t xml:space="preserve"> for the 3rd and 4th Quarter and an average of </t>
    </r>
    <r>
      <rPr>
        <b/>
        <sz val="11"/>
        <color rgb="FFC00000"/>
        <rFont val="Calibri"/>
        <family val="2"/>
        <scheme val="minor"/>
      </rPr>
      <t>(-275%)</t>
    </r>
    <r>
      <rPr>
        <b/>
        <sz val="11"/>
        <color theme="1"/>
        <rFont val="Calibri"/>
        <family val="2"/>
        <scheme val="minor"/>
      </rPr>
      <t xml:space="preserve"> if the same calculation is used to caculate for the whole year.</t>
    </r>
  </si>
  <si>
    <t>Volume and Revenue Performance (Proposed Commission Agreement)</t>
  </si>
  <si>
    <t>Old structure Commission</t>
  </si>
  <si>
    <t xml:space="preserve">New Structure commission </t>
  </si>
  <si>
    <t>Applying Adjusted proposed commission payment rule to July - Dec 2024 forecasted performance Data</t>
  </si>
  <si>
    <t>Forcasted Performance Values (with Proposed Adjusted commission Agreement)</t>
  </si>
  <si>
    <t>Adjusted for breakeven</t>
  </si>
  <si>
    <t>Adjusted Volume Price</t>
  </si>
  <si>
    <t>Recommendation:</t>
  </si>
  <si>
    <t xml:space="preserve">Based on the above calculations, it is our recommendation that the Commission per Volume and the </t>
  </si>
  <si>
    <t xml:space="preserve">and the commission on revenue be adjuted as follows in other to minimise loss in July-August and breake </t>
  </si>
  <si>
    <t>even from September - December 2024.</t>
  </si>
  <si>
    <t xml:space="preserve"> (at 2% = profit for all months)</t>
  </si>
  <si>
    <t>( At N1500, losses in Jul/Aug is minimized greatly</t>
  </si>
  <si>
    <t>while other month see profits)</t>
  </si>
  <si>
    <t>Average Projected loss under the new proposed commission</t>
  </si>
  <si>
    <t>Months</t>
  </si>
  <si>
    <t>Volume Structure</t>
  </si>
  <si>
    <t>Revenue Structure</t>
  </si>
  <si>
    <t>Feb - Jun 2024</t>
  </si>
  <si>
    <t>Jul - Dec 2024</t>
  </si>
  <si>
    <t>P&amp;L comparison by Structure</t>
  </si>
  <si>
    <t>Previous Structure</t>
  </si>
  <si>
    <t>Proposed Structure</t>
  </si>
  <si>
    <t>By Partner</t>
  </si>
  <si>
    <t>Adjusted Counter offer</t>
  </si>
  <si>
    <t>Proposed Counter Offer that will lead to a break-even in returns.</t>
  </si>
  <si>
    <t>P&amp;L for proposed Counter offer from July 2024 - Dec 2024</t>
  </si>
  <si>
    <t>Total=</t>
  </si>
  <si>
    <t>Projected Commision Structure for qtr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</si>
</sst>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₦-470]#,##0.00"/>
    <numFmt numFmtId="165" formatCode="[$₦-468]\ #,##0.00"/>
    <numFmt numFmtId="166" formatCode="[$₦-470]#,##0"/>
    <numFmt numFmtId="167" formatCode="[$-409]m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17" fontId="0" fillId="0" borderId="0" xfId="0" applyNumberFormat="1"/>
    <xf numFmtId="0" fontId="3" fillId="0" borderId="0" xfId="0" applyFont="1"/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0" fontId="3" fillId="0" borderId="1" xfId="0" applyFont="1" applyBorder="1"/>
    <xf numFmtId="164" fontId="0" fillId="0" borderId="1" xfId="0" applyNumberFormat="1" applyBorder="1"/>
    <xf numFmtId="166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0" borderId="3" xfId="0" applyBorder="1"/>
    <xf numFmtId="9" fontId="0" fillId="0" borderId="0" xfId="1" applyFont="1"/>
    <xf numFmtId="0" fontId="3" fillId="0" borderId="5" xfId="0" applyFont="1" applyBorder="1"/>
    <xf numFmtId="0" fontId="0" fillId="0" borderId="5" xfId="0" applyBorder="1"/>
    <xf numFmtId="0" fontId="3" fillId="0" borderId="6" xfId="0" applyFont="1" applyBorder="1"/>
    <xf numFmtId="165" fontId="0" fillId="0" borderId="6" xfId="0" applyNumberForma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4" fontId="0" fillId="0" borderId="5" xfId="0" applyNumberFormat="1" applyBorder="1"/>
    <xf numFmtId="9" fontId="0" fillId="0" borderId="6" xfId="0" applyNumberFormat="1" applyBorder="1"/>
    <xf numFmtId="164" fontId="0" fillId="0" borderId="9" xfId="0" applyNumberFormat="1" applyBorder="1"/>
    <xf numFmtId="9" fontId="0" fillId="0" borderId="10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0" fontId="0" fillId="0" borderId="6" xfId="0" applyNumberFormat="1" applyBorder="1"/>
    <xf numFmtId="166" fontId="0" fillId="3" borderId="3" xfId="0" applyNumberFormat="1" applyFill="1" applyBorder="1"/>
    <xf numFmtId="166" fontId="0" fillId="0" borderId="3" xfId="0" applyNumberFormat="1" applyBorder="1"/>
    <xf numFmtId="0" fontId="2" fillId="2" borderId="12" xfId="0" applyFont="1" applyFill="1" applyBorder="1"/>
    <xf numFmtId="166" fontId="0" fillId="3" borderId="13" xfId="0" applyNumberFormat="1" applyFill="1" applyBorder="1"/>
    <xf numFmtId="9" fontId="0" fillId="3" borderId="3" xfId="1" applyFont="1" applyFill="1" applyBorder="1"/>
    <xf numFmtId="9" fontId="0" fillId="0" borderId="3" xfId="1" applyFont="1" applyBorder="1"/>
    <xf numFmtId="9" fontId="0" fillId="3" borderId="13" xfId="1" applyFont="1" applyFill="1" applyBorder="1"/>
    <xf numFmtId="0" fontId="0" fillId="0" borderId="13" xfId="0" applyBorder="1"/>
    <xf numFmtId="9" fontId="0" fillId="0" borderId="15" xfId="1" applyFont="1" applyBorder="1"/>
    <xf numFmtId="0" fontId="2" fillId="4" borderId="17" xfId="0" applyFont="1" applyFill="1" applyBorder="1"/>
    <xf numFmtId="0" fontId="2" fillId="4" borderId="16" xfId="0" applyFont="1" applyFill="1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9" fontId="0" fillId="0" borderId="0" xfId="1" applyFont="1" applyAlignment="1">
      <alignment vertical="center"/>
    </xf>
    <xf numFmtId="164" fontId="9" fillId="0" borderId="0" xfId="0" applyNumberFormat="1" applyFont="1"/>
    <xf numFmtId="17" fontId="0" fillId="3" borderId="2" xfId="0" applyNumberFormat="1" applyFill="1" applyBorder="1"/>
    <xf numFmtId="17" fontId="0" fillId="0" borderId="2" xfId="0" applyNumberFormat="1" applyBorder="1"/>
    <xf numFmtId="0" fontId="2" fillId="2" borderId="12" xfId="0" applyFont="1" applyFill="1" applyBorder="1" applyAlignment="1">
      <alignment horizontal="center"/>
    </xf>
    <xf numFmtId="0" fontId="10" fillId="0" borderId="0" xfId="0" applyFont="1"/>
    <xf numFmtId="1" fontId="0" fillId="3" borderId="4" xfId="0" applyNumberFormat="1" applyFill="1" applyBorder="1"/>
    <xf numFmtId="1" fontId="0" fillId="0" borderId="4" xfId="0" applyNumberFormat="1" applyBorder="1"/>
    <xf numFmtId="0" fontId="5" fillId="0" borderId="0" xfId="0" applyFont="1"/>
    <xf numFmtId="17" fontId="0" fillId="3" borderId="3" xfId="0" applyNumberFormat="1" applyFill="1" applyBorder="1"/>
    <xf numFmtId="17" fontId="0" fillId="0" borderId="3" xfId="0" applyNumberFormat="1" applyBorder="1"/>
    <xf numFmtId="17" fontId="0" fillId="3" borderId="13" xfId="0" applyNumberFormat="1" applyFill="1" applyBorder="1"/>
    <xf numFmtId="0" fontId="0" fillId="3" borderId="13" xfId="0" applyFill="1" applyBorder="1"/>
    <xf numFmtId="166" fontId="0" fillId="3" borderId="4" xfId="0" applyNumberFormat="1" applyFill="1" applyBorder="1"/>
    <xf numFmtId="166" fontId="0" fillId="0" borderId="4" xfId="0" applyNumberFormat="1" applyBorder="1"/>
    <xf numFmtId="166" fontId="0" fillId="0" borderId="19" xfId="0" applyNumberFormat="1" applyBorder="1"/>
    <xf numFmtId="166" fontId="0" fillId="0" borderId="19" xfId="0" applyNumberFormat="1" applyBorder="1" applyAlignment="1">
      <alignment horizontal="right"/>
    </xf>
    <xf numFmtId="166" fontId="3" fillId="0" borderId="20" xfId="0" applyNumberFormat="1" applyFont="1" applyBorder="1"/>
    <xf numFmtId="164" fontId="2" fillId="4" borderId="18" xfId="0" applyNumberFormat="1" applyFont="1" applyFill="1" applyBorder="1"/>
    <xf numFmtId="17" fontId="0" fillId="0" borderId="14" xfId="0" applyNumberFormat="1" applyBorder="1"/>
    <xf numFmtId="0" fontId="2" fillId="4" borderId="21" xfId="0" applyFont="1" applyFill="1" applyBorder="1"/>
    <xf numFmtId="17" fontId="0" fillId="5" borderId="2" xfId="0" applyNumberFormat="1" applyFill="1" applyBorder="1"/>
    <xf numFmtId="164" fontId="0" fillId="0" borderId="19" xfId="0" applyNumberFormat="1" applyBorder="1"/>
    <xf numFmtId="164" fontId="11" fillId="0" borderId="0" xfId="0" applyNumberFormat="1" applyFont="1"/>
    <xf numFmtId="164" fontId="3" fillId="0" borderId="0" xfId="0" applyNumberFormat="1" applyFont="1"/>
    <xf numFmtId="0" fontId="2" fillId="2" borderId="3" xfId="0" applyFont="1" applyFill="1" applyBorder="1" applyAlignment="1">
      <alignment horizontal="center"/>
    </xf>
    <xf numFmtId="164" fontId="7" fillId="0" borderId="0" xfId="0" applyNumberFormat="1" applyFont="1"/>
    <xf numFmtId="0" fontId="6" fillId="0" borderId="0" xfId="0" applyFont="1"/>
    <xf numFmtId="1" fontId="0" fillId="0" borderId="1" xfId="0" applyNumberFormat="1" applyBorder="1"/>
    <xf numFmtId="9" fontId="0" fillId="0" borderId="1" xfId="1" applyFont="1" applyBorder="1"/>
    <xf numFmtId="9" fontId="3" fillId="0" borderId="1" xfId="1" applyFont="1" applyBorder="1"/>
    <xf numFmtId="9" fontId="6" fillId="0" borderId="1" xfId="1" applyFont="1" applyBorder="1"/>
    <xf numFmtId="167" fontId="0" fillId="0" borderId="1" xfId="0" applyNumberFormat="1" applyBorder="1"/>
    <xf numFmtId="164" fontId="3" fillId="0" borderId="1" xfId="0" applyNumberFormat="1" applyFont="1" applyBorder="1"/>
    <xf numFmtId="0" fontId="3" fillId="0" borderId="23" xfId="0" applyFont="1" applyBorder="1"/>
    <xf numFmtId="164" fontId="3" fillId="0" borderId="22" xfId="0" applyNumberFormat="1" applyFont="1" applyBorder="1"/>
    <xf numFmtId="166" fontId="0" fillId="0" borderId="1" xfId="0" applyNumberFormat="1" applyBorder="1"/>
    <xf numFmtId="166" fontId="3" fillId="0" borderId="22" xfId="0" applyNumberFormat="1" applyFont="1" applyBorder="1"/>
    <xf numFmtId="0" fontId="13" fillId="0" borderId="0" xfId="0" applyFont="1"/>
    <xf numFmtId="9" fontId="14" fillId="0" borderId="0" xfId="1" applyFont="1"/>
    <xf numFmtId="9" fontId="14" fillId="0" borderId="0" xfId="0" applyNumberFormat="1" applyFont="1"/>
    <xf numFmtId="9" fontId="5" fillId="0" borderId="0" xfId="1" applyFont="1"/>
    <xf numFmtId="164" fontId="15" fillId="0" borderId="0" xfId="0" applyNumberFormat="1" applyFont="1" applyAlignment="1">
      <alignment horizontal="right"/>
    </xf>
    <xf numFmtId="9" fontId="5" fillId="0" borderId="0" xfId="0" applyNumberFormat="1" applyFont="1"/>
    <xf numFmtId="164" fontId="16" fillId="4" borderId="18" xfId="0" applyNumberFormat="1" applyFont="1" applyFill="1" applyBorder="1" applyAlignment="1">
      <alignment horizontal="right"/>
    </xf>
    <xf numFmtId="9" fontId="17" fillId="4" borderId="18" xfId="1" applyFont="1" applyFill="1" applyBorder="1"/>
    <xf numFmtId="17" fontId="0" fillId="0" borderId="24" xfId="0" applyNumberFormat="1" applyBorder="1"/>
    <xf numFmtId="1" fontId="0" fillId="0" borderId="25" xfId="0" applyNumberFormat="1" applyBorder="1"/>
    <xf numFmtId="164" fontId="0" fillId="0" borderId="26" xfId="0" applyNumberFormat="1" applyBorder="1"/>
    <xf numFmtId="164" fontId="9" fillId="0" borderId="26" xfId="0" applyNumberFormat="1" applyFont="1" applyBorder="1"/>
    <xf numFmtId="0" fontId="0" fillId="0" borderId="26" xfId="0" applyBorder="1"/>
    <xf numFmtId="0" fontId="3" fillId="0" borderId="27" xfId="0" applyFont="1" applyBorder="1" applyAlignment="1">
      <alignment horizontal="right"/>
    </xf>
    <xf numFmtId="164" fontId="3" fillId="0" borderId="27" xfId="0" applyNumberFormat="1" applyFont="1" applyBorder="1"/>
    <xf numFmtId="164" fontId="3" fillId="0" borderId="26" xfId="0" applyNumberFormat="1" applyFont="1" applyBorder="1"/>
    <xf numFmtId="164" fontId="19" fillId="0" borderId="1" xfId="0" applyNumberFormat="1" applyFont="1" applyBorder="1"/>
    <xf numFmtId="164" fontId="19" fillId="0" borderId="0" xfId="0" applyNumberFormat="1" applyFont="1"/>
    <xf numFmtId="164" fontId="7" fillId="0" borderId="1" xfId="0" applyNumberFormat="1" applyFont="1" applyBorder="1"/>
    <xf numFmtId="0" fontId="3" fillId="0" borderId="1" xfId="0" applyFont="1" applyBorder="1" applyAlignment="1">
      <alignment horizontal="right"/>
    </xf>
    <xf numFmtId="164" fontId="7" fillId="0" borderId="26" xfId="0" applyNumberFormat="1" applyFont="1" applyBorder="1"/>
    <xf numFmtId="164" fontId="0" fillId="0" borderId="30" xfId="0" applyNumberFormat="1" applyBorder="1"/>
    <xf numFmtId="164" fontId="0" fillId="0" borderId="28" xfId="0" applyNumberFormat="1" applyBorder="1"/>
    <xf numFmtId="164" fontId="7" fillId="0" borderId="28" xfId="0" applyNumberFormat="1" applyFont="1" applyBorder="1"/>
    <xf numFmtId="10" fontId="0" fillId="0" borderId="0" xfId="0" applyNumberFormat="1"/>
    <xf numFmtId="164" fontId="9" fillId="0" borderId="28" xfId="0" applyNumberFormat="1" applyFont="1" applyBorder="1"/>
    <xf numFmtId="0" fontId="0" fillId="0" borderId="0" xfId="0" applyAlignment="1">
      <alignment wrapText="1"/>
    </xf>
    <xf numFmtId="9" fontId="0" fillId="0" borderId="1" xfId="0" applyNumberFormat="1" applyBorder="1"/>
    <xf numFmtId="17" fontId="0" fillId="6" borderId="29" xfId="0" applyNumberFormat="1" applyFill="1" applyBorder="1"/>
    <xf numFmtId="17" fontId="0" fillId="0" borderId="29" xfId="0" applyNumberFormat="1" applyBorder="1"/>
    <xf numFmtId="164" fontId="0" fillId="3" borderId="4" xfId="0" applyNumberFormat="1" applyFill="1" applyBorder="1"/>
    <xf numFmtId="164" fontId="0" fillId="0" borderId="4" xfId="0" applyNumberFormat="1" applyBorder="1"/>
    <xf numFmtId="166" fontId="3" fillId="0" borderId="0" xfId="0" applyNumberFormat="1" applyFont="1"/>
    <xf numFmtId="0" fontId="3" fillId="6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0" fontId="0" fillId="6" borderId="1" xfId="0" applyNumberFormat="1" applyFill="1" applyBorder="1"/>
    <xf numFmtId="10" fontId="0" fillId="0" borderId="1" xfId="0" applyNumberFormat="1" applyBorder="1"/>
    <xf numFmtId="0" fontId="0" fillId="10" borderId="0" xfId="0" applyFill="1"/>
    <xf numFmtId="0" fontId="13" fillId="0" borderId="0" xfId="0" applyFont="1" applyAlignment="1">
      <alignment horizontal="center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2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7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17" fontId="0" fillId="3" borderId="2" xfId="0" applyNumberFormat="1" applyFill="1" applyBorder="1" applyAlignment="1">
      <alignment horizontal="left"/>
    </xf>
    <xf numFmtId="17" fontId="0" fillId="0" borderId="2" xfId="0" applyNumberFormat="1" applyBorder="1" applyAlignment="1">
      <alignment horizontal="left"/>
    </xf>
    <xf numFmtId="164" fontId="20" fillId="0" borderId="1" xfId="0" applyNumberFormat="1" applyFont="1" applyBorder="1"/>
    <xf numFmtId="164" fontId="21" fillId="0" borderId="1" xfId="0" applyNumberFormat="1" applyFont="1" applyBorder="1"/>
    <xf numFmtId="164" fontId="9" fillId="0" borderId="1" xfId="0" applyNumberFormat="1" applyFont="1" applyBorder="1"/>
  </cellXfs>
  <cellStyles count="2">
    <cellStyle name="Normal" xfId="0" builtinId="0"/>
    <cellStyle name="Percent" xfId="1" builtinId="5"/>
  </cellStyles>
  <dxfs count="16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22" formatCode="mmm/yy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164" formatCode="[$₦-470]#,##0.00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22" formatCode="mmm/yy"/>
    </dxf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₦-470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border outline="0">
        <top style="thick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[$₦-470]#,##0.00"/>
      <fill>
        <patternFill patternType="solid">
          <fgColor theme="6"/>
          <bgColor theme="6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₦-470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₦-470]#,##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4" formatCode="[$₦-470]#,##0.00"/>
    </dxf>
    <dxf>
      <numFmt numFmtId="166" formatCode="[$₦-470]#,##0"/>
    </dxf>
    <dxf>
      <numFmt numFmtId="1" formatCode="0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₦-470]#,##0"/>
    </dxf>
    <dxf>
      <numFmt numFmtId="1" formatCode="0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₦-470]#,##0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166" formatCode="[$₦-470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₦-470]#,##0.00"/>
      <border diagonalUp="0" diagonalDown="0" outline="0">
        <left/>
        <right/>
        <top/>
        <bottom style="medium">
          <color indexed="64"/>
        </bottom>
      </border>
    </dxf>
    <dxf>
      <numFmt numFmtId="164" formatCode="[$₦-470]#,##0.00"/>
    </dxf>
    <dxf>
      <numFmt numFmtId="166" formatCode="[$₦-470]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6" formatCode="[$₦-470]#,##0"/>
    </dxf>
    <dxf>
      <numFmt numFmtId="166" formatCode="[$₦-470]#,##0"/>
      <border diagonalUp="0" diagonalDown="0" outline="0">
        <left/>
        <right/>
        <top/>
        <bottom style="medium">
          <color indexed="64"/>
        </bottom>
      </border>
    </dxf>
    <dxf>
      <numFmt numFmtId="166" formatCode="[$₦-470]#,##0"/>
    </dxf>
    <dxf>
      <numFmt numFmtId="166" formatCode="[$₦-470]#,##0"/>
    </dxf>
    <dxf>
      <numFmt numFmtId="166" formatCode="[$₦-470]#,##0"/>
    </dxf>
    <dxf>
      <numFmt numFmtId="22" formatCode="mmm/yy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70]#,##0.00"/>
    </dxf>
    <dxf>
      <numFmt numFmtId="164" formatCode="[$₦-470]#,##0.00"/>
    </dxf>
    <dxf>
      <numFmt numFmtId="1" formatCode="0"/>
    </dxf>
    <dxf>
      <numFmt numFmtId="22" formatCode="mmm/yy"/>
    </dxf>
    <dxf>
      <numFmt numFmtId="1" formatCode="0"/>
    </dxf>
    <dxf>
      <numFmt numFmtId="22" formatCode="mmm/yy"/>
    </dxf>
    <dxf>
      <numFmt numFmtId="164" formatCode="[$₦-470]#,##0.00"/>
    </dxf>
    <dxf>
      <numFmt numFmtId="164" formatCode="[$₦-470]#,##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numFmt numFmtId="166" formatCode="[$₦-470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70]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70]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70]#,##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70]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70]#,##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₦-470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₦-470]#,##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[$₦-468]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5757"/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Average Projected loss under the new proposed commission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Analysis'!$B$44</c:f>
              <c:strCache>
                <c:ptCount val="1"/>
                <c:pt idx="0">
                  <c:v>Feb - Jun 2024</c:v>
                </c:pt>
              </c:strCache>
            </c:strRef>
          </c:tx>
          <c:spPr>
            <a:solidFill>
              <a:srgbClr val="FF57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Analysis'!$C$42:$D$43</c:f>
              <c:strCache>
                <c:ptCount val="2"/>
                <c:pt idx="0">
                  <c:v>Volume Structure</c:v>
                </c:pt>
                <c:pt idx="1">
                  <c:v>Revenue Structure</c:v>
                </c:pt>
              </c:strCache>
            </c:strRef>
          </c:cat>
          <c:val>
            <c:numRef>
              <c:f>'Income Analysis'!$C$44:$D$44</c:f>
              <c:numCache>
                <c:formatCode>0%</c:formatCode>
                <c:ptCount val="2"/>
                <c:pt idx="0">
                  <c:v>-0.8</c:v>
                </c:pt>
                <c:pt idx="1">
                  <c:v>-2.1666666666666665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D2C-9001-B6C90BF1FB84}"/>
            </c:ext>
          </c:extLst>
        </c:ser>
        <c:ser>
          <c:idx val="1"/>
          <c:order val="1"/>
          <c:tx>
            <c:strRef>
              <c:f>'Income Analysis'!$B$45</c:f>
              <c:strCache>
                <c:ptCount val="1"/>
                <c:pt idx="0">
                  <c:v>Jul - Dec 2024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Analysis'!$C$42:$D$43</c:f>
              <c:strCache>
                <c:ptCount val="2"/>
                <c:pt idx="0">
                  <c:v>Volume Structure</c:v>
                </c:pt>
                <c:pt idx="1">
                  <c:v>Revenue Structure</c:v>
                </c:pt>
              </c:strCache>
            </c:strRef>
          </c:cat>
          <c:val>
            <c:numRef>
              <c:f>'Income Analysis'!$C$45:$D$45</c:f>
              <c:numCache>
                <c:formatCode>0%</c:formatCode>
                <c:ptCount val="2"/>
                <c:pt idx="0">
                  <c:v>-2.0225580141918122</c:v>
                </c:pt>
                <c:pt idx="1">
                  <c:v>-3.3333333333333339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4-4D2C-9001-B6C90BF1FB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6608207"/>
        <c:axId val="864690959"/>
      </c:barChart>
      <c:catAx>
        <c:axId val="8466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0959"/>
        <c:crosses val="autoZero"/>
        <c:auto val="1"/>
        <c:lblAlgn val="ctr"/>
        <c:lblOffset val="100"/>
        <c:noMultiLvlLbl val="0"/>
      </c:catAx>
      <c:valAx>
        <c:axId val="8646909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466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Commission</a:t>
            </a:r>
            <a:r>
              <a:rPr lang="en-US" b="1" baseline="0"/>
              <a:t> Comparison against total Expense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worksheet'!$B$9</c:f>
              <c:strCache>
                <c:ptCount val="1"/>
                <c:pt idx="0">
                  <c:v>Old structure Commission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'Consolidated worksheet'!$A$10:$A$15</c:f>
              <c:numCache>
                <c:formatCode>mmm\-yy</c:formatCode>
                <c:ptCount val="6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</c:numCache>
            </c:numRef>
          </c:cat>
          <c:val>
            <c:numRef>
              <c:f>'Consolidated worksheet'!$B$10:$B$15</c:f>
              <c:numCache>
                <c:formatCode>[$₦-470]#,##0</c:formatCode>
                <c:ptCount val="6"/>
                <c:pt idx="0">
                  <c:v>5423307.6320000002</c:v>
                </c:pt>
                <c:pt idx="1">
                  <c:v>5423307.6320000002</c:v>
                </c:pt>
                <c:pt idx="2">
                  <c:v>14225269.08</c:v>
                </c:pt>
                <c:pt idx="3">
                  <c:v>14225269.08</c:v>
                </c:pt>
                <c:pt idx="4">
                  <c:v>14225269.08</c:v>
                </c:pt>
                <c:pt idx="5">
                  <c:v>14225269.08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9-4C84-A8B4-36402848E078}"/>
            </c:ext>
          </c:extLst>
        </c:ser>
        <c:ser>
          <c:idx val="1"/>
          <c:order val="1"/>
          <c:tx>
            <c:strRef>
              <c:f>'Consolidated worksheet'!$C$9</c:f>
              <c:strCache>
                <c:ptCount val="1"/>
                <c:pt idx="0">
                  <c:v>New Structure commission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'Consolidated worksheet'!$A$10:$A$15</c:f>
              <c:numCache>
                <c:formatCode>mmm\-yy</c:formatCode>
                <c:ptCount val="6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</c:numCache>
            </c:numRef>
          </c:cat>
          <c:val>
            <c:numRef>
              <c:f>'Consolidated worksheet'!$C$10:$C$15</c:f>
              <c:numCache>
                <c:formatCode>[$₦-470]#,##0</c:formatCode>
                <c:ptCount val="6"/>
                <c:pt idx="0">
                  <c:v>2163502.5439999998</c:v>
                </c:pt>
                <c:pt idx="1">
                  <c:v>2163502.5439999998</c:v>
                </c:pt>
                <c:pt idx="2">
                  <c:v>3245253.8159999996</c:v>
                </c:pt>
                <c:pt idx="3">
                  <c:v>3245253.8159999996</c:v>
                </c:pt>
                <c:pt idx="4">
                  <c:v>3245253.8159999996</c:v>
                </c:pt>
                <c:pt idx="5">
                  <c:v>3245253.8159999996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9-4C84-A8B4-36402848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9866287"/>
        <c:axId val="809863407"/>
      </c:barChart>
      <c:lineChart>
        <c:grouping val="standard"/>
        <c:varyColors val="0"/>
        <c:ser>
          <c:idx val="2"/>
          <c:order val="2"/>
          <c:tx>
            <c:strRef>
              <c:f>'Consolidated worksheet'!$D$9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8575" cap="rnd">
              <a:solidFill>
                <a:srgbClr val="FF1111"/>
              </a:solidFill>
              <a:round/>
            </a:ln>
            <a:effectLst/>
          </c:spPr>
          <c:marker>
            <c:symbol val="none"/>
          </c:marker>
          <c:cat>
            <c:numRef>
              <c:f>'Consolidated worksheet'!$A$10:$A$15</c:f>
              <c:numCache>
                <c:formatCode>mmm\-yy</c:formatCode>
                <c:ptCount val="6"/>
                <c:pt idx="0">
                  <c:v>45474</c:v>
                </c:pt>
                <c:pt idx="1">
                  <c:v>45505</c:v>
                </c:pt>
                <c:pt idx="2">
                  <c:v>45536</c:v>
                </c:pt>
                <c:pt idx="3">
                  <c:v>45566</c:v>
                </c:pt>
                <c:pt idx="4">
                  <c:v>45597</c:v>
                </c:pt>
                <c:pt idx="5">
                  <c:v>45627</c:v>
                </c:pt>
              </c:numCache>
            </c:numRef>
          </c:cat>
          <c:val>
            <c:numRef>
              <c:f>'Consolidated worksheet'!$D$10:$D$15</c:f>
              <c:numCache>
                <c:formatCode>[$₦-470]#,##0</c:formatCode>
                <c:ptCount val="6"/>
                <c:pt idx="0">
                  <c:v>3548000</c:v>
                </c:pt>
                <c:pt idx="1">
                  <c:v>3548000</c:v>
                </c:pt>
                <c:pt idx="2">
                  <c:v>3548000</c:v>
                </c:pt>
                <c:pt idx="3">
                  <c:v>3548000</c:v>
                </c:pt>
                <c:pt idx="4">
                  <c:v>3548000</c:v>
                </c:pt>
                <c:pt idx="5">
                  <c:v>3548000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9-4C84-A8B4-36402848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66287"/>
        <c:axId val="809863407"/>
      </c:lineChart>
      <c:dateAx>
        <c:axId val="809866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3407"/>
        <c:crosses val="autoZero"/>
        <c:auto val="1"/>
        <c:lblOffset val="100"/>
        <c:baseTimeUnit val="months"/>
      </c:dateAx>
      <c:valAx>
        <c:axId val="809863407"/>
        <c:scaling>
          <c:orientation val="minMax"/>
        </c:scaling>
        <c:delete val="1"/>
        <c:axPos val="l"/>
        <c:numFmt formatCode="[$₦-470]#,##0" sourceLinked="1"/>
        <c:majorTickMark val="none"/>
        <c:minorTickMark val="none"/>
        <c:tickLblPos val="nextTo"/>
        <c:crossAx val="8098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worksheet'!$A$16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A7-4188-BF13-45E6B5EFC6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A7-4188-BF13-45E6B5EFC6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'Consolidated worksheet'!$B$9:$D$9</c:f>
              <c:strCache>
                <c:ptCount val="3"/>
                <c:pt idx="0">
                  <c:v>Old structure Commission</c:v>
                </c:pt>
                <c:pt idx="1">
                  <c:v>New Structure commission </c:v>
                </c:pt>
                <c:pt idx="2">
                  <c:v>Total Expense</c:v>
                </c:pt>
              </c:strCache>
            </c:strRef>
          </c:cat>
          <c:val>
            <c:numRef>
              <c:f>'Consolidated worksheet'!$B$16:$D$16</c:f>
              <c:numCache>
                <c:formatCode>[$₦-470]#,##0</c:formatCode>
                <c:ptCount val="3"/>
                <c:pt idx="0">
                  <c:v>67747691.584000006</c:v>
                </c:pt>
                <c:pt idx="1">
                  <c:v>17308020.351999998</c:v>
                </c:pt>
                <c:pt idx="2">
                  <c:v>21288000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7-4188-BF13-45E6B5EF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44873231"/>
        <c:axId val="844873711"/>
      </c:barChart>
      <c:catAx>
        <c:axId val="8448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73711"/>
        <c:crosses val="autoZero"/>
        <c:auto val="1"/>
        <c:lblAlgn val="ctr"/>
        <c:lblOffset val="100"/>
        <c:noMultiLvlLbl val="0"/>
      </c:catAx>
      <c:valAx>
        <c:axId val="844873711"/>
        <c:scaling>
          <c:orientation val="minMax"/>
        </c:scaling>
        <c:delete val="1"/>
        <c:axPos val="l"/>
        <c:numFmt formatCode="[$₦-470]#,##0" sourceLinked="1"/>
        <c:majorTickMark val="none"/>
        <c:minorTickMark val="none"/>
        <c:tickLblPos val="nextTo"/>
        <c:crossAx val="8448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</a:t>
            </a:r>
            <a:r>
              <a:rPr lang="en-US" b="1" baseline="0"/>
              <a:t> &amp; L COmparison By Structure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22222222222223E-2"/>
          <c:y val="0.1902314814814815"/>
          <c:w val="0.93888888888888888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'P&amp;L'!$B$52</c:f>
              <c:strCache>
                <c:ptCount val="1"/>
                <c:pt idx="0">
                  <c:v>Feb - Jun 2024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34-43E0-9977-53E0EB880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'P&amp;L'!$C$51:$D$51</c:f>
              <c:strCache>
                <c:ptCount val="2"/>
                <c:pt idx="0">
                  <c:v>Previous Structure</c:v>
                </c:pt>
                <c:pt idx="1">
                  <c:v>Proposed Structure</c:v>
                </c:pt>
              </c:strCache>
            </c:strRef>
          </c:cat>
          <c:val>
            <c:numRef>
              <c:f>'P&amp;L'!$C$52:$D$52</c:f>
              <c:numCache>
                <c:formatCode>[$₦-470]#,##0</c:formatCode>
                <c:ptCount val="2"/>
                <c:pt idx="0">
                  <c:v>10855989.530000001</c:v>
                </c:pt>
                <c:pt idx="1">
                  <c:v>-5504000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4-43E0-9977-53E0EB880E74}"/>
            </c:ext>
          </c:extLst>
        </c:ser>
        <c:ser>
          <c:idx val="1"/>
          <c:order val="1"/>
          <c:tx>
            <c:strRef>
              <c:f>'P&amp;L'!$B$53</c:f>
              <c:strCache>
                <c:ptCount val="1"/>
                <c:pt idx="0">
                  <c:v>Jul - Dec 2024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-5.55551910177896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34-43E0-9977-53E0EB880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'P&amp;L'!$C$51:$D$51</c:f>
              <c:strCache>
                <c:ptCount val="2"/>
                <c:pt idx="0">
                  <c:v>Previous Structure</c:v>
                </c:pt>
                <c:pt idx="1">
                  <c:v>Proposed Structure</c:v>
                </c:pt>
              </c:strCache>
            </c:strRef>
          </c:cat>
          <c:val>
            <c:numRef>
              <c:f>'P&amp;L'!$C$53:$D$53</c:f>
              <c:numCache>
                <c:formatCode>[$₦-470]#,##0</c:formatCode>
                <c:ptCount val="2"/>
                <c:pt idx="0">
                  <c:v>46459691.583999999</c:v>
                </c:pt>
                <c:pt idx="1">
                  <c:v>-2779979.6480000019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4-43E0-9977-53E0EB880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27"/>
        <c:axId val="855335183"/>
        <c:axId val="846661007"/>
      </c:barChart>
      <c:catAx>
        <c:axId val="8553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61007"/>
        <c:crosses val="autoZero"/>
        <c:auto val="1"/>
        <c:lblAlgn val="ctr"/>
        <c:lblOffset val="100"/>
        <c:noMultiLvlLbl val="0"/>
      </c:catAx>
      <c:valAx>
        <c:axId val="846661007"/>
        <c:scaling>
          <c:orientation val="minMax"/>
        </c:scaling>
        <c:delete val="1"/>
        <c:axPos val="l"/>
        <c:numFmt formatCode="[$₦-470]#,##0" sourceLinked="1"/>
        <c:majorTickMark val="none"/>
        <c:minorTickMark val="none"/>
        <c:tickLblPos val="nextTo"/>
        <c:crossAx val="8553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P&amp;L for proposed commission and Counter Offer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'P&amp;L'!$F$51</c:f>
              <c:strCache>
                <c:ptCount val="1"/>
                <c:pt idx="0">
                  <c:v>Proposed Structure</c:v>
                </c:pt>
              </c:strCache>
            </c:strRef>
          </c:tx>
          <c:spPr>
            <a:solidFill>
              <a:srgbClr val="FF575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D-4CF9-BA60-92CC3A384C3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8D-4CF9-BA60-92CC3A384C3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8D-4CF9-BA60-92CC3A384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'P&amp;L'!$E$52:$E$53</c:f>
              <c:strCache>
                <c:ptCount val="2"/>
                <c:pt idx="0">
                  <c:v>By Partner</c:v>
                </c:pt>
                <c:pt idx="1">
                  <c:v>Adjusted Counter offer</c:v>
                </c:pt>
              </c:strCache>
            </c:strRef>
          </c:cat>
          <c:val>
            <c:numRef>
              <c:f>'P&amp;L'!$F$52:$F$53</c:f>
              <c:numCache>
                <c:formatCode>[$₦-470]#,##0</c:formatCode>
                <c:ptCount val="2"/>
                <c:pt idx="0">
                  <c:v>-2779979.6480000019</c:v>
                </c:pt>
                <c:pt idx="1">
                  <c:v>2458990.5279999981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D-4CF9-BA60-92CC3A38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852467119"/>
        <c:axId val="852468079"/>
      </c:barChart>
      <c:catAx>
        <c:axId val="8524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68079"/>
        <c:crosses val="autoZero"/>
        <c:auto val="1"/>
        <c:lblAlgn val="ctr"/>
        <c:lblOffset val="100"/>
        <c:noMultiLvlLbl val="0"/>
      </c:catAx>
      <c:valAx>
        <c:axId val="852468079"/>
        <c:scaling>
          <c:orientation val="minMax"/>
        </c:scaling>
        <c:delete val="1"/>
        <c:axPos val="l"/>
        <c:numFmt formatCode="[$₦-470]#,##0" sourceLinked="1"/>
        <c:majorTickMark val="none"/>
        <c:minorTickMark val="none"/>
        <c:tickLblPos val="nextTo"/>
        <c:crossAx val="8524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0</xdr:row>
      <xdr:rowOff>93345</xdr:rowOff>
    </xdr:from>
    <xdr:to>
      <xdr:col>14</xdr:col>
      <xdr:colOff>19050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38C1F4-1080-4C4E-B798-9A8BD2F8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2</xdr:row>
      <xdr:rowOff>0</xdr:rowOff>
    </xdr:from>
    <xdr:to>
      <xdr:col>7</xdr:col>
      <xdr:colOff>426720</xdr:colOff>
      <xdr:row>17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364AEC-3219-4FD1-AF77-E5EBF419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99059</xdr:colOff>
      <xdr:row>0</xdr:row>
      <xdr:rowOff>121920</xdr:rowOff>
    </xdr:from>
    <xdr:to>
      <xdr:col>19</xdr:col>
      <xdr:colOff>428625</xdr:colOff>
      <xdr:row>14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F8EC7D7-C821-4C77-BA8D-72A667643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17</xdr:row>
      <xdr:rowOff>85724</xdr:rowOff>
    </xdr:from>
    <xdr:to>
      <xdr:col>7</xdr:col>
      <xdr:colOff>426720</xdr:colOff>
      <xdr:row>32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A621C6-8052-4364-83AF-623A4F57A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99060</xdr:colOff>
      <xdr:row>15</xdr:row>
      <xdr:rowOff>45719</xdr:rowOff>
    </xdr:from>
    <xdr:to>
      <xdr:col>19</xdr:col>
      <xdr:colOff>419100</xdr:colOff>
      <xdr:row>32</xdr:row>
      <xdr:rowOff>19049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E3D466-286D-4A0D-891C-B9FC484FC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15</xdr:row>
      <xdr:rowOff>57149</xdr:rowOff>
    </xdr:from>
    <xdr:to>
      <xdr:col>14</xdr:col>
      <xdr:colOff>28575</xdr:colOff>
      <xdr:row>32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F3DD-58C8-781D-DFAC-1E257803C457}"/>
            </a:ext>
          </a:extLst>
        </xdr:cNvPr>
        <xdr:cNvSpPr txBox="1"/>
      </xdr:nvSpPr>
      <xdr:spPr>
        <a:xfrm>
          <a:off x="4810125" y="2771774"/>
          <a:ext cx="3752850" cy="307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Proposed Counter Offer</a:t>
          </a:r>
        </a:p>
      </xdr:txBody>
    </xdr:sp>
    <xdr:clientData/>
  </xdr:twoCellAnchor>
  <xdr:twoCellAnchor editAs="oneCell">
    <xdr:from>
      <xdr:col>8</xdr:col>
      <xdr:colOff>85726</xdr:colOff>
      <xdr:row>17</xdr:row>
      <xdr:rowOff>38100</xdr:rowOff>
    </xdr:from>
    <xdr:to>
      <xdr:col>13</xdr:col>
      <xdr:colOff>447676</xdr:colOff>
      <xdr:row>31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DE08AE-D2C5-1E1B-866B-9F61E0FB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6" y="3114675"/>
          <a:ext cx="3409950" cy="251460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0</xdr:row>
      <xdr:rowOff>28575</xdr:rowOff>
    </xdr:from>
    <xdr:to>
      <xdr:col>7</xdr:col>
      <xdr:colOff>419100</xdr:colOff>
      <xdr:row>1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2D7FD6-5B04-43E2-490E-6B44D5629701}"/>
            </a:ext>
          </a:extLst>
        </xdr:cNvPr>
        <xdr:cNvSpPr txBox="1"/>
      </xdr:nvSpPr>
      <xdr:spPr>
        <a:xfrm>
          <a:off x="161925" y="28575"/>
          <a:ext cx="45243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7</xdr:col>
      <xdr:colOff>586740</xdr:colOff>
      <xdr:row>16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CC1125-ED02-4118-8135-E3D22D167E16}"/>
            </a:ext>
          </a:extLst>
        </xdr:cNvPr>
        <xdr:cNvSpPr txBox="1"/>
      </xdr:nvSpPr>
      <xdr:spPr>
        <a:xfrm>
          <a:off x="0" y="1714500"/>
          <a:ext cx="570738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The average shipment volume can be calculated as:</a:t>
          </a:r>
        </a:p>
        <a:p>
          <a:endParaRPr lang="en-US"/>
        </a:p>
        <a:p>
          <a:endParaRPr lang="en-US"/>
        </a:p>
        <a:p>
          <a:r>
            <a:rPr lang="en-US"/>
            <a:t>Next, we'll use this average to forecast the shipments for July and August. For September to December, we'll increase the forecasted shipment volumes by 50%.</a:t>
          </a:r>
        </a:p>
        <a:p>
          <a:endParaRPr lang="en-US"/>
        </a:p>
        <a:p>
          <a:r>
            <a:rPr lang="en-US"/>
            <a:t>Based on the historical shipment data from February to June, the forecasted shipment volumes for July to December are as follows:</a:t>
          </a:r>
          <a:endParaRPr lang="en-US" sz="1100" b="1"/>
        </a:p>
      </xdr:txBody>
    </xdr:sp>
    <xdr:clientData/>
  </xdr:twoCellAnchor>
  <xdr:twoCellAnchor editAs="oneCell">
    <xdr:from>
      <xdr:col>0</xdr:col>
      <xdr:colOff>106679</xdr:colOff>
      <xdr:row>9</xdr:row>
      <xdr:rowOff>91440</xdr:rowOff>
    </xdr:from>
    <xdr:to>
      <xdr:col>2</xdr:col>
      <xdr:colOff>695768</xdr:colOff>
      <xdr:row>11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0817F-28D1-494E-ACEE-984F8773A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9" y="1965960"/>
          <a:ext cx="2661729" cy="289560"/>
        </a:xfrm>
        <a:prstGeom prst="rect">
          <a:avLst/>
        </a:prstGeom>
      </xdr:spPr>
    </xdr:pic>
    <xdr:clientData/>
  </xdr:twoCellAnchor>
  <xdr:twoCellAnchor>
    <xdr:from>
      <xdr:col>0</xdr:col>
      <xdr:colOff>7620</xdr:colOff>
      <xdr:row>25</xdr:row>
      <xdr:rowOff>175260</xdr:rowOff>
    </xdr:from>
    <xdr:to>
      <xdr:col>8</xdr:col>
      <xdr:colOff>487680</xdr:colOff>
      <xdr:row>57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498BC13-23B0-234F-8950-0E731F75060A}"/>
            </a:ext>
          </a:extLst>
        </xdr:cNvPr>
        <xdr:cNvSpPr txBox="1"/>
      </xdr:nvSpPr>
      <xdr:spPr>
        <a:xfrm>
          <a:off x="7620" y="5059680"/>
          <a:ext cx="8892540" cy="5814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Let's analyze the potential commission earnings based on these forecasted shipments using both the old and new commission structures.</a:t>
          </a:r>
        </a:p>
        <a:p>
          <a:r>
            <a:rPr lang="en-US" b="1"/>
            <a:t>Commission Calculation</a:t>
          </a:r>
        </a:p>
        <a:p>
          <a:r>
            <a:rPr lang="en-US" b="1"/>
            <a:t>Old Commission Structure</a:t>
          </a:r>
        </a:p>
        <a:p>
          <a:r>
            <a:rPr lang="en-US" b="1"/>
            <a:t>Volume-Based Commission</a:t>
          </a:r>
          <a:r>
            <a:rPr lang="en-US"/>
            <a:t>:</a:t>
          </a:r>
        </a:p>
        <a:p>
          <a:pPr lvl="1"/>
          <a:r>
            <a:rPr lang="en-US"/>
            <a:t>&lt;1000: ₦1,500 per shipment</a:t>
          </a:r>
        </a:p>
        <a:p>
          <a:pPr lvl="1"/>
          <a:r>
            <a:rPr lang="en-US"/>
            <a:t>1000-1499: ₦2,000 per shipment</a:t>
          </a:r>
        </a:p>
        <a:p>
          <a:pPr lvl="1"/>
          <a:r>
            <a:rPr lang="en-US"/>
            <a:t>1500-1999: ₦3,750 per shipment</a:t>
          </a:r>
        </a:p>
        <a:p>
          <a:pPr lvl="1"/>
          <a:r>
            <a:rPr lang="en-US"/>
            <a:t>2000 and Above: ₦5,500 per shipment</a:t>
          </a:r>
        </a:p>
        <a:p>
          <a:r>
            <a:rPr lang="en-US" b="1"/>
            <a:t>Revenue-Based Commission</a:t>
          </a:r>
          <a:r>
            <a:rPr lang="en-US"/>
            <a:t>:</a:t>
          </a:r>
        </a:p>
        <a:p>
          <a:pPr lvl="1"/>
          <a:r>
            <a:rPr lang="en-US"/>
            <a:t>₦60,000,000: 2%</a:t>
          </a:r>
        </a:p>
        <a:p>
          <a:pPr lvl="1"/>
          <a:r>
            <a:rPr lang="en-US"/>
            <a:t>₦100,000,000: 3%</a:t>
          </a:r>
        </a:p>
        <a:p>
          <a:pPr lvl="1"/>
          <a:r>
            <a:rPr lang="en-US"/>
            <a:t>₦150,000,000: 5%</a:t>
          </a:r>
        </a:p>
        <a:p>
          <a:r>
            <a:rPr lang="en-US" b="1"/>
            <a:t>New Commission Structure</a:t>
          </a:r>
        </a:p>
        <a:p>
          <a:r>
            <a:rPr lang="en-US" b="1"/>
            <a:t>Volume-Based Commission</a:t>
          </a:r>
          <a:r>
            <a:rPr lang="en-US"/>
            <a:t>:</a:t>
          </a:r>
        </a:p>
        <a:p>
          <a:pPr lvl="1"/>
          <a:r>
            <a:rPr lang="en-US"/>
            <a:t>&lt;1,750: ₦1,000 per shipment</a:t>
          </a:r>
        </a:p>
        <a:p>
          <a:pPr lvl="1"/>
          <a:r>
            <a:rPr lang="en-US"/>
            <a:t>1750-2500: ₦1,500 per shipment</a:t>
          </a:r>
        </a:p>
        <a:p>
          <a:pPr lvl="1"/>
          <a:r>
            <a:rPr lang="en-US"/>
            <a:t>2501-3000: ₦1,750 per shipment</a:t>
          </a:r>
        </a:p>
        <a:p>
          <a:pPr lvl="1"/>
          <a:r>
            <a:rPr lang="en-US"/>
            <a:t>3000 and Above: ₦2,000 per shipment</a:t>
          </a:r>
        </a:p>
        <a:p>
          <a:r>
            <a:rPr lang="en-US" b="1"/>
            <a:t>Revenue-Based Commission</a:t>
          </a:r>
          <a:r>
            <a:rPr lang="en-US"/>
            <a:t>:</a:t>
          </a:r>
        </a:p>
        <a:p>
          <a:pPr lvl="1"/>
          <a:r>
            <a:rPr lang="en-US"/>
            <a:t>₦150,000,000: 1%</a:t>
          </a:r>
        </a:p>
        <a:p>
          <a:pPr lvl="1"/>
          <a:r>
            <a:rPr lang="en-US"/>
            <a:t>₦200,000,000: 1.50%</a:t>
          </a:r>
        </a:p>
        <a:p>
          <a:pPr lvl="1"/>
          <a:r>
            <a:rPr lang="en-US"/>
            <a:t>₦250,000,000: 2%</a:t>
          </a:r>
        </a:p>
        <a:p>
          <a:r>
            <a:rPr lang="en-US"/>
            <a:t>For simplicity, let's assume the average revenue per shipment is constant, and calculate the potential earnings based on shipment volume alone.</a:t>
          </a:r>
        </a:p>
        <a:p>
          <a:r>
            <a:rPr lang="en-US" b="1"/>
            <a:t>Revenue Assumption</a:t>
          </a:r>
        </a:p>
        <a:p>
          <a:r>
            <a:rPr lang="en-US"/>
            <a:t>Using the historical data:</a:t>
          </a:r>
        </a:p>
        <a:p>
          <a:endParaRPr lang="en-US"/>
        </a:p>
        <a:p>
          <a:r>
            <a:rPr lang="en-US"/>
            <a:t>Average Revenue per Shipment: Total Revenue/Total Shipments</a:t>
          </a:r>
        </a:p>
        <a:p>
          <a:endParaRPr lang="en-US"/>
        </a:p>
        <a:p>
          <a:r>
            <a:rPr lang="en-US"/>
            <a:t>Total projected Revenue = </a:t>
          </a:r>
          <a:r>
            <a:rPr lang="en-US" b="1"/>
            <a:t>N580,000,000</a:t>
          </a:r>
          <a:r>
            <a:rPr lang="en-US"/>
            <a:t> (Based on historical data provided</a:t>
          </a:r>
          <a:r>
            <a:rPr lang="en-US" baseline="0"/>
            <a:t>)</a:t>
          </a:r>
        </a:p>
        <a:p>
          <a:r>
            <a:rPr lang="en-US" baseline="0"/>
            <a:t>Total Shipments given the projected sums above: </a:t>
          </a:r>
          <a:r>
            <a:rPr lang="en-US" b="1" baseline="0"/>
            <a:t>5336 shipments</a:t>
          </a:r>
        </a:p>
        <a:p>
          <a:endParaRPr lang="en-US" b="1"/>
        </a:p>
        <a:p>
          <a:r>
            <a:rPr lang="en-US"/>
            <a:t>Calculate potential earnings for each forecasted month</a:t>
          </a:r>
          <a:r>
            <a:rPr lang="en-US" baseline="0"/>
            <a:t> by getting the average Earnings per month</a:t>
          </a:r>
          <a:endParaRPr lang="en-US"/>
        </a:p>
        <a:p>
          <a:r>
            <a:rPr lang="en-US" sz="1100"/>
            <a:t>Average Revenue per Shipment = </a:t>
          </a:r>
          <a:r>
            <a:rPr lang="en-US" sz="1100" b="1"/>
            <a:t>N102,727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EA137-53B7-4FAD-90FE-485F7B87E340}" name="Table1" displayName="Table1" ref="A17:D22" totalsRowCount="1">
  <autoFilter ref="A17:D21" xr:uid="{45BEA137-53B7-4FAD-90FE-485F7B87E340}"/>
  <tableColumns count="4">
    <tableColumn id="1" xr3:uid="{16B77558-FAE1-4ED9-B2E7-F28197217800}" name="Prev. Shipment qty Settings"/>
    <tableColumn id="2" xr3:uid="{77BAD462-3379-467F-9038-1DCF351B6ABA}" name="Proposed Shipment Qty Settings"/>
    <tableColumn id="3" xr3:uid="{E6133AE2-2DF9-4686-B9F5-776643EFEEE1}" name="Difference" totalsRowLabel="Average Increament=">
      <calculatedColumnFormula>B18-A18</calculatedColumnFormula>
    </tableColumn>
    <tableColumn id="4" xr3:uid="{19DCDEBE-ED71-4650-A2CA-2CF3F45B310C}" name="Percentage Increament" totalsRowFunction="custom" totalsRowDxfId="162" dataCellStyle="Percent" totalsRowCellStyle="Percent">
      <calculatedColumnFormula>(Table1[[#This Row],[Proposed Shipment Qty Settings]]-Table1[[#This Row],[Prev. Shipment qty Settings]])/Table1[[#This Row],[Prev. Shipment qty Settings]]</calculatedColumnFormula>
      <totalsRowFormula>AVERAGE(D18:D21)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5EDC74A-81C8-4A91-8118-A632EFD9D0DB}" name="Table1921" displayName="Table1921" ref="A60:D66" totalsRowShown="0">
  <autoFilter ref="A60:D66" xr:uid="{05EDC74A-81C8-4A91-8118-A632EFD9D0DB}"/>
  <tableColumns count="4">
    <tableColumn id="1" xr3:uid="{E81A9124-639A-4A1A-A87C-85CBF1E348C7}" name="Month" dataDxfId="122"/>
    <tableColumn id="3" xr3:uid="{032E537A-72C2-4220-8B0D-28B371252995}" name="Shipment Volume" dataDxfId="121"/>
    <tableColumn id="2" xr3:uid="{09E288CE-4FCC-4C8F-8CDA-EE789BA2FEA7}" name="Average Forecasted Revenue" dataDxfId="120"/>
    <tableColumn id="4" xr3:uid="{BA3BBABA-E3A5-471B-9B50-271282FF1D46}" name="Forcasted Revenue per Month" dataDxfId="119">
      <calculatedColumnFormula>Table1921[[#This Row],[Shipment Volume]]*Table1921[[#This Row],[Average Forecasted Revenue]]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387F69B-DB10-4953-9BFD-5A59DD779CA1}" name="Table21" displayName="Table21" ref="A2:B7" totalsRowShown="0" headerRowDxfId="118" headerRowBorderDxfId="117" tableBorderDxfId="116" totalsRowBorderDxfId="115">
  <autoFilter ref="A2:B7" xr:uid="{1387F69B-DB10-4953-9BFD-5A59DD779CA1}"/>
  <tableColumns count="2">
    <tableColumn id="1" xr3:uid="{A8FF7030-EBD4-431C-B73D-72F8F2B97D24}" name="Month" dataDxfId="114"/>
    <tableColumn id="2" xr3:uid="{6AAC2C70-5A43-4329-9FFE-81A866DA6BAF}" name="Number of Shipments" dataDxfId="11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DA73FF-C08C-4F31-A7C4-BF20692533E1}" name="Table6" displayName="Table6" ref="A2:F8" totalsRowCount="1" headerRowDxfId="112">
  <autoFilter ref="A2:F7" xr:uid="{2CDA73FF-C08C-4F31-A7C4-BF20692533E1}"/>
  <tableColumns count="6">
    <tableColumn id="1" xr3:uid="{964A7875-12B0-4266-B4DD-96FA47EEA8AF}" name="Month" dataDxfId="111" totalsRowDxfId="110"/>
    <tableColumn id="2" xr3:uid="{72126004-2088-4374-82D1-4D8496CA78E8}" name="Number of Shipments"/>
    <tableColumn id="3" xr3:uid="{EF208E53-731A-403C-8C01-8D49835D4029}" name="Revenue Generated" dataDxfId="109" totalsRowDxfId="108"/>
    <tableColumn id="4" xr3:uid="{5EDF1917-6EFF-40D8-B6ED-4E3E0B5E41F9}" name="Comm. Due in Vol per Shipment(old Rule)" totalsRowFunction="custom" dataDxfId="107" totalsRowDxfId="106">
      <totalsRowFormula>SUM(D3:D7)</totalsRowFormula>
    </tableColumn>
    <tableColumn id="5" xr3:uid="{1C0CE7F2-16BC-4C6E-9241-DFBEB6D3FEE0}" name="Comm. Due by Revenue(Old rule)" totalsRowFunction="custom" dataDxfId="105" totalsRowDxfId="104">
      <totalsRowFormula>SUM(E3:E7)</totalsRowFormula>
    </tableColumn>
    <tableColumn id="6" xr3:uid="{E7D54083-D1B9-4B59-8C49-666EB06AD10A}" name="Comm Received" totalsRowFunction="custom" dataDxfId="103" totalsRowDxfId="102">
      <totalsRowFormula>SUM(F3:F7)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B4F8B8-1202-471F-BE00-C02B7E2F3FB0}" name="Table7" displayName="Table7" ref="D2:F8" totalsRowCount="1" headerRowDxfId="101">
  <autoFilter ref="D2:F7" xr:uid="{2BB4F8B8-1202-471F-BE00-C02B7E2F3FB0}"/>
  <tableColumns count="3">
    <tableColumn id="1" xr3:uid="{442A788B-17CF-4F0F-94B1-CB204C4A2895}" name="Comm. Due in Vol per Shipment(New Rule)" totalsRowFunction="custom" dataDxfId="100" totalsRowDxfId="99">
      <totalsRowFormula>SUM(D3:D7)</totalsRowFormula>
    </tableColumn>
    <tableColumn id="2" xr3:uid="{F554CF96-8E5B-4E63-A3E8-A3187A621B59}" name="Comm. Due by Revenue(New rule)" totalsRowFunction="custom" dataDxfId="98" totalsRowDxfId="97">
      <calculatedColumnFormula>C3*Rules!$E$11</calculatedColumnFormula>
      <totalsRowFormula>SUM(E3:E7)</totalsRowFormula>
    </tableColumn>
    <tableColumn id="4" xr3:uid="{21EBBF4C-C6C6-43D9-8CCC-6E74D731F0EA}" name="Expected Comm. Payment" totalsRowFunction="custom" dataDxfId="96">
      <calculatedColumnFormula>Table7[[#This Row],[Comm. Due in Vol per Shipment(New Rule)]]+Table7[[#This Row],[Comm. Due by Revenue(New rule)]]</calculatedColumnFormula>
      <totalsRowFormula>SUM(F3:F7)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1536569-5656-43A4-A0E0-380A4081E3DE}" name="Table10" displayName="Table10" ref="A2:C7" totalsRowShown="0" headerRowDxfId="95">
  <autoFilter ref="A2:C7" xr:uid="{91536569-5656-43A4-A0E0-380A4081E3DE}"/>
  <tableColumns count="3">
    <tableColumn id="1" xr3:uid="{A71E3DA8-2217-45A1-AF78-17C98B1C29F3}" name="Month" dataDxfId="94"/>
    <tableColumn id="2" xr3:uid="{AD8FC3E6-229A-41BE-A2B3-BF2D130B2600}" name="Number of Shipments"/>
    <tableColumn id="3" xr3:uid="{44804852-A2EE-4201-85DF-D419CCC52B13}" name="Revenue Generated" dataDxfId="9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F1F197-3FF7-4B90-B303-C43878D4AF15}" name="Table723" displayName="Table723" ref="D11:F18" totalsRowCount="1" headerRowDxfId="92">
  <autoFilter ref="D11:F17" xr:uid="{FEF1F197-3FF7-4B90-B303-C43878D4AF15}"/>
  <tableColumns count="3">
    <tableColumn id="1" xr3:uid="{09653F8F-3EE9-40D1-9776-33F2A9022BB6}" name="Comm. Due in Vol per Shipment(New Rule)" totalsRowFunction="custom" dataDxfId="91" totalsRowDxfId="90">
      <calculatedColumnFormula>Table1024[[#This Row],[Number of Shipments]]*Rules!$E$4</calculatedColumnFormula>
      <totalsRowFormula>SUM(D12:D17)</totalsRowFormula>
    </tableColumn>
    <tableColumn id="2" xr3:uid="{8F3B46B3-8345-440E-B455-4EDD23E130BC}" name="Comm. Due by Revenue(New rule)" totalsRowFunction="custom" dataDxfId="89" totalsRowDxfId="88">
      <calculatedColumnFormula>Table1024[[#This Row],[Revenue Generated]]*Rules!$E$11</calculatedColumnFormula>
      <totalsRowFormula>SUM(E12:E17)</totalsRowFormula>
    </tableColumn>
    <tableColumn id="4" xr3:uid="{DD388698-A1C2-4CD5-8A5F-4E9D8E160367}" name="Expected Comm. Payment" totalsRowFunction="custom" dataDxfId="87" totalsRowDxfId="86">
      <calculatedColumnFormula>Table723[[#This Row],[Comm. Due in Vol per Shipment(New Rule)]]+Table723[[#This Row],[Comm. Due by Revenue(New rule)]]</calculatedColumnFormula>
      <totalsRowFormula>SUM(F12:F17)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D6EF7EC-DCB4-4091-B60A-B45ED38BA04C}" name="Table1024" displayName="Table1024" ref="A11:C17" totalsRowShown="0" headerRowDxfId="85">
  <autoFilter ref="A11:C17" xr:uid="{2D6EF7EC-DCB4-4091-B60A-B45ED38BA04C}"/>
  <tableColumns count="3">
    <tableColumn id="1" xr3:uid="{276CF246-261C-4DF7-8574-4AAD1DDC5115}" name="Month" dataDxfId="84"/>
    <tableColumn id="2" xr3:uid="{36BE97C5-6C12-475C-B247-D4C51CCDE65C}" name="Number of Shipments" dataDxfId="83"/>
    <tableColumn id="3" xr3:uid="{8B97190D-0F14-4F95-820C-993B4D42B77E}" name="Revenue Generated" dataDxfId="8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9394B8-E6D7-46A3-B6BB-13057F27841E}" name="Table7239" displayName="Table7239" ref="D23:F30" totalsRowCount="1" headerRowDxfId="81">
  <autoFilter ref="D23:F29" xr:uid="{DA9394B8-E6D7-46A3-B6BB-13057F27841E}"/>
  <tableColumns count="3">
    <tableColumn id="1" xr3:uid="{DE08FC31-2DD5-4B20-ABF7-87CDDDE2DCA6}" name="Comm. Due in Vol per Shipment(New Rule)" totalsRowFunction="custom" dataDxfId="80" totalsRowDxfId="79">
      <calculatedColumnFormula>Table102414[[#This Row],[Number of Shipments]]*Rules!$G$4</calculatedColumnFormula>
      <totalsRowFormula>SUM(D24:D29)</totalsRowFormula>
    </tableColumn>
    <tableColumn id="2" xr3:uid="{F8CF5642-4EA7-4345-AA54-D36A3E793AB9}" name="Comm. Due by Revenue(New rule)" totalsRowFunction="custom" dataDxfId="78" totalsRowDxfId="77">
      <calculatedColumnFormula>Table102414[[#This Row],[Revenue Generated]]*Rules!$G$11</calculatedColumnFormula>
      <totalsRowFormula>SUM(E24:E29)</totalsRowFormula>
    </tableColumn>
    <tableColumn id="4" xr3:uid="{E3053B8B-B084-4E3B-BCDF-2967544E9335}" name="Expected Comm. Payment" totalsRowFunction="custom" dataDxfId="76" totalsRowDxfId="75">
      <calculatedColumnFormula>Table7239[[#This Row],[Comm. Due in Vol per Shipment(New Rule)]]+Table7239[[#This Row],[Comm. Due by Revenue(New rule)]]</calculatedColumnFormula>
      <totalsRowFormula>SUM(F24:F29)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5C3A8A-8AAD-4432-8F01-07590400F939}" name="Table102414" displayName="Table102414" ref="A23:C29" totalsRowShown="0" headerRowDxfId="74">
  <autoFilter ref="A23:C29" xr:uid="{B25C3A8A-8AAD-4432-8F01-07590400F939}"/>
  <tableColumns count="3">
    <tableColumn id="1" xr3:uid="{D778290E-2444-4423-934C-A2A5E5758FC1}" name="Month" dataDxfId="73"/>
    <tableColumn id="2" xr3:uid="{CBF4BF34-79D0-44ED-8582-642634D9C553}" name="Number of Shipments" dataDxfId="72"/>
    <tableColumn id="3" xr3:uid="{6FC371AA-DF1F-446D-85A9-93101CA4897C}" name="Revenue Generated" dataDxfId="7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EDE4B7-B183-460D-8692-59B91C068E2E}" name="Table12" displayName="Table12" ref="C10:F16" totalsRowCount="1">
  <autoFilter ref="C10:F15" xr:uid="{3DEDE4B7-B183-460D-8692-59B91C068E2E}"/>
  <tableColumns count="4">
    <tableColumn id="1" xr3:uid="{996A22AE-CFAA-4A53-A58A-BBC3E813F406}" name="Comm. Due by Revenue(Old rule)" dataDxfId="70" totalsRowDxfId="69"/>
    <tableColumn id="2" xr3:uid="{CEDC1D95-78B7-4D1F-A2C7-C48AB4D02257}" name="Comm. Due by Revenue(New rule)" dataDxfId="68" totalsRowDxfId="67"/>
    <tableColumn id="3" xr3:uid="{BB840BFC-1ADB-422A-9B1B-24F729909A56}" name="Differencein amount" totalsRowLabel="Average Loss %=" dataDxfId="66" totalsRowDxfId="65">
      <calculatedColumnFormula>Table12[[#This Row],[Comm. Due by Revenue(New rule)]]-Table12[[#This Row],[Comm. Due by Revenue(Old rule)]]</calculatedColumnFormula>
    </tableColumn>
    <tableColumn id="4" xr3:uid="{F6E070F6-F3D2-448E-A555-7C16B4751532}" name="Percentage Difference" totalsRowFunction="average" totalsRowDxfId="64" dataCellStyle="Percent" totalsRowCellStyle="Percent">
      <calculatedColumnFormula>(Table12[[#This Row],[Comm. Due by Revenue(New rule)]]-Table12[[#This Row],[Comm. Due by Revenue(Old rule)]])/Table12[[#This Row],[Comm. Due by Revenue(New rule)]]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56949-7BA1-46CE-BAB5-08E8BC064B04}" name="Table2" displayName="Table2" ref="A2:B7" totalsRowShown="0" headerRowDxfId="161" headerRowBorderDxfId="160" tableBorderDxfId="159" totalsRowBorderDxfId="158">
  <autoFilter ref="A2:B7" xr:uid="{40356949-7BA1-46CE-BAB5-08E8BC064B04}"/>
  <tableColumns count="2">
    <tableColumn id="1" xr3:uid="{B5D8E358-2607-444C-BDFC-BA4A41CDBD3D}" name="Previous Commission Breakedown Structure by Volume" dataDxfId="157"/>
    <tableColumn id="2" xr3:uid="{E3C33ABF-2348-4A07-9652-0120B1B5567A}" name="Column1" dataDxfId="15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E4FAF4-F7BC-4AB3-AEB5-AEA548B38CF3}" name="Table11" displayName="Table11" ref="C2:F8" totalsRowCount="1">
  <autoFilter ref="C2:F7" xr:uid="{1EE4FAF4-F7BC-4AB3-AEB5-AEA548B38CF3}"/>
  <tableColumns count="4">
    <tableColumn id="1" xr3:uid="{86AC588B-C7C9-4B04-B900-A1357A945C58}" name="Comm. Due in Vol per Shipment(old Rule)" dataDxfId="63" totalsRowDxfId="62"/>
    <tableColumn id="2" xr3:uid="{0C5A0FFE-4224-4A9B-BFC8-AD745E3248AB}" name="Comm. Due in Vol per Shipment(New Rule)" dataDxfId="61" totalsRowDxfId="60"/>
    <tableColumn id="3" xr3:uid="{55979D3F-0A80-4616-B5A9-E7BC3C39E975}" name="Differencein amount" totalsRowLabel="Average Loss %=" dataDxfId="59" totalsRowDxfId="58">
      <calculatedColumnFormula>Table11[[#This Row],[Comm. Due in Vol per Shipment(New Rule)]]-Table11[[#This Row],[Comm. Due in Vol per Shipment(old Rule)]]</calculatedColumnFormula>
    </tableColumn>
    <tableColumn id="4" xr3:uid="{08692868-6714-4D9D-BFF7-DDE4E219F393}" name="Percentage Reduction in Earnings" totalsRowFunction="custom" dataDxfId="57" totalsRowDxfId="56">
      <calculatedColumnFormula>(Table11[[#This Row],[Comm. Due in Vol per Shipment(New Rule)]]-Table11[[#This Row],[Comm. Due in Vol per Shipment(old Rule)]])/Table11[[#This Row],[Comm. Due in Vol per Shipment(New Rule)]]</calculatedColumnFormula>
      <totalsRowFormula>AVERAGE(F3:F7)</totalsRowFormula>
    </tableColumn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55BE72-B7E6-4DE6-AB1A-2059927CFFB2}" name="Table1225" displayName="Table1225" ref="C31:F38" totalsRowCount="1" totalsRowDxfId="55" totalsRowBorderDxfId="54">
  <autoFilter ref="C31:F37" xr:uid="{2E55BE72-B7E6-4DE6-AB1A-2059927CFFB2}"/>
  <tableColumns count="4">
    <tableColumn id="1" xr3:uid="{9EBC40A6-2129-468A-85C2-D6BA5E710D79}" name="Comm. Due by Revenue(Old rule)" dataDxfId="53" totalsRowDxfId="52">
      <calculatedColumnFormula>'Old Agreement'!E12</calculatedColumnFormula>
    </tableColumn>
    <tableColumn id="2" xr3:uid="{CC395F38-8C0E-4CE6-8E80-6CAE996B81A2}" name="Comm. Due by Revenue(New rule)" dataDxfId="51" totalsRowDxfId="50">
      <calculatedColumnFormula>'Proposed New Agreement'!E12</calculatedColumnFormula>
    </tableColumn>
    <tableColumn id="3" xr3:uid="{2A33FCEE-8A73-4540-9821-4FF74465167A}" name="Differencein amount" totalsRowLabel="Average Loss %=" dataDxfId="49" totalsRowDxfId="48" totalsRowCellStyle="Normal">
      <calculatedColumnFormula>Table1225[[#This Row],[Comm. Due by Revenue(New rule)]]-Table1225[[#This Row],[Comm. Due by Revenue(Old rule)]]</calculatedColumnFormula>
    </tableColumn>
    <tableColumn id="4" xr3:uid="{CAB37243-B092-43B3-8B6F-AC0A0ACE3ED2}" name="Percentage Difference" totalsRowFunction="average" totalsRowDxfId="47" dataCellStyle="Percent" totalsRowCellStyle="Percent">
      <calculatedColumnFormula>(Table1225[[#This Row],[Comm. Due by Revenue(New rule)]]-Table1225[[#This Row],[Comm. Due by Revenue(Old rule)]])/Table1225[[#This Row],[Comm. Due by Revenue(New rule)]]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D5FA0FE-EA64-47B2-8F75-5B9FE49F530A}" name="Table1126" displayName="Table1126" ref="C20:F27" totalsRowCount="1">
  <autoFilter ref="C20:F26" xr:uid="{1D5FA0FE-EA64-47B2-8F75-5B9FE49F530A}"/>
  <tableColumns count="4">
    <tableColumn id="1" xr3:uid="{5E8DAA7A-AE80-4532-B000-C46659FC9283}" name="Comm. Due in Vol per Shipment(old Rule)" dataDxfId="46" totalsRowDxfId="45">
      <calculatedColumnFormula>'Old Agreement'!D12</calculatedColumnFormula>
    </tableColumn>
    <tableColumn id="2" xr3:uid="{4171FD55-F3DD-4D32-934F-EB6C358E35AF}" name="Comm. Due in Vol per Shipment(New Rule)" dataDxfId="44" totalsRowDxfId="43">
      <calculatedColumnFormula>'Proposed New Agreement'!D12</calculatedColumnFormula>
    </tableColumn>
    <tableColumn id="3" xr3:uid="{094F0D36-DC58-410D-A362-7FBCC6E02423}" name="Differencein amount" totalsRowLabel="Average Loss %=" dataDxfId="42" totalsRowDxfId="41">
      <calculatedColumnFormula>Table1126[[#This Row],[Comm. Due in Vol per Shipment(New Rule)]]-Table1126[[#This Row],[Comm. Due in Vol per Shipment(old Rule)]]</calculatedColumnFormula>
    </tableColumn>
    <tableColumn id="4" xr3:uid="{FAB1AEEE-EAD7-45A4-A56F-EC05A044ECED}" name="Percentage Reduction in Earnings" totalsRowFunction="custom" dataDxfId="40" totalsRowDxfId="39">
      <calculatedColumnFormula>(Table1126[[#This Row],[Comm. Due in Vol per Shipment(New Rule)]]-Table1126[[#This Row],[Comm. Due in Vol per Shipment(old Rule)]])/Table1126[[#This Row],[Comm. Due in Vol per Shipment(New Rule)]]</calculatedColumnFormula>
      <totalsRowFormula>AVERAGE(F21:F26)</totalsRowFormula>
    </tableColumn>
  </tableColumns>
  <tableStyleInfo name="TableStyleMedium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F0C67-AE73-4708-B877-F1D37B789A68}" name="Table26" displayName="Table26" ref="B20:B26" totalsRowShown="0" dataDxfId="38" tableBorderDxfId="37">
  <autoFilter ref="B20:B26" xr:uid="{7C7F0C67-AE73-4708-B877-F1D37B789A68}"/>
  <tableColumns count="1">
    <tableColumn id="1" xr3:uid="{92F549EE-5F15-4A7C-B8D3-E939990EFF09}" name="Month" dataDxfId="36"/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B2182B-6CFF-4D7C-A4B6-FF905AB4DB39}" name="Table14" displayName="Table14" ref="A2:I8" totalsRowCount="1">
  <autoFilter ref="A2:I7" xr:uid="{3EB2182B-6CFF-4D7C-A4B6-FF905AB4DB39}"/>
  <tableColumns count="9">
    <tableColumn id="1" xr3:uid="{AC80E803-6E00-4EDC-9BF9-24361473C210}" name="Month" dataDxfId="35" totalsRowDxfId="34"/>
    <tableColumn id="2" xr3:uid="{A97272AA-2C80-4CDF-8663-B7DF72FBAEC4}" name="Comm Received" dataDxfId="33" totalsRowDxfId="32"/>
    <tableColumn id="3" xr3:uid="{61A8083B-5816-4740-AA21-069F87435D8E}" name="Partnership Subsidy" dataDxfId="31" totalsRowDxfId="30"/>
    <tableColumn id="4" xr3:uid="{8D126677-7F10-48A9-AE1D-E4E0D56E06A4}" name="Total Reciepts" totalsRowFunction="custom" dataDxfId="29" totalsRowDxfId="28">
      <totalsRowFormula>SUM(D3:D7)</totalsRowFormula>
    </tableColumn>
    <tableColumn id="5" xr3:uid="{C45D4060-D87E-42BA-9D46-D040BC824D65}" name="Salaries Paid" dataDxfId="27" totalsRowDxfId="26"/>
    <tableColumn id="9" xr3:uid="{3650F0B3-BDA3-4786-B9F1-2A5AA77F1875}" name="Logistic Expense" dataDxfId="25" totalsRowDxfId="24"/>
    <tableColumn id="6" xr3:uid="{60B56D77-505E-4C6E-9D76-408C9D25B7DD}" name="Work Expense" dataDxfId="23" totalsRowDxfId="22"/>
    <tableColumn id="7" xr3:uid="{45ADD7DD-D708-46CF-8CA4-238217F8DCB3}" name="Total Expense" totalsRowFunction="custom" dataDxfId="21" totalsRowDxfId="20">
      <calculatedColumnFormula>Table14[[#This Row],[Salaries Paid]]+Table14[[#This Row],[Work Expense]]+Table14[[#This Row],[Logistic Expense]]</calculatedColumnFormula>
      <totalsRowFormula>SUM(H3:H7)</totalsRowFormula>
    </tableColumn>
    <tableColumn id="8" xr3:uid="{8707A60B-2B1F-441C-84A1-EEA2812C10FB}" name="P&amp;L" totalsRowFunction="custom" dataDxfId="19" totalsRowDxfId="18">
      <calculatedColumnFormula>Table14[[#This Row],[Total Reciepts]]-Table14[[#This Row],[Total Expense]]</calculatedColumnFormula>
      <totalsRowFormula>SUM(I3:I7)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6A8E404-0AA1-4C43-A073-F57016A255B7}" name="Table1432" displayName="Table1432" ref="A21:I27" totalsRowCount="1">
  <autoFilter ref="A21:I26" xr:uid="{86A8E404-0AA1-4C43-A073-F57016A255B7}"/>
  <tableColumns count="9">
    <tableColumn id="1" xr3:uid="{15DEA533-88E8-4C6E-B9EF-D7D24DA6AE32}" name="Month" dataDxfId="17" totalsRowDxfId="16"/>
    <tableColumn id="2" xr3:uid="{02180165-6639-4E0D-9535-5051BEA0EB60}" name="Expected Comm Received" dataDxfId="15" totalsRowDxfId="14"/>
    <tableColumn id="3" xr3:uid="{6C29477A-0D42-4A76-B03A-29AF8374FE63}" name="Partnership Subsidy" dataDxfId="13" totalsRowDxfId="12"/>
    <tableColumn id="4" xr3:uid="{928A5771-1202-4786-9842-E3442A6B46E4}" name="Total Reciepts" totalsRowFunction="custom" dataDxfId="11" totalsRowDxfId="10">
      <calculatedColumnFormula>B22+C22</calculatedColumnFormula>
      <totalsRowFormula>SUM(D22:D26)</totalsRowFormula>
    </tableColumn>
    <tableColumn id="5" xr3:uid="{B0099674-E671-4970-ABA9-F6AA765EF695}" name="Salaries Paid" dataDxfId="9" totalsRowDxfId="8"/>
    <tableColumn id="9" xr3:uid="{92765511-A473-42B4-8F16-D31923C7E507}" name="Logistic Expense" dataDxfId="7" totalsRowDxfId="6"/>
    <tableColumn id="6" xr3:uid="{66C25F57-8950-41B0-9473-6C04E5F5F849}" name="Work Expense" dataDxfId="5" totalsRowDxfId="4"/>
    <tableColumn id="7" xr3:uid="{D3987D99-DC5E-4C4B-9E35-EBC7A16DB69A}" name="Total Expense" totalsRowFunction="custom" dataDxfId="3" totalsRowDxfId="2">
      <totalsRowFormula>SUM(H22:H26)</totalsRowFormula>
    </tableColumn>
    <tableColumn id="8" xr3:uid="{DB469394-FE85-43FA-A999-BB5EB55C1EFB}" name="P&amp;L" totalsRowFunction="custom" dataDxfId="1" totalsRowDxfId="0">
      <calculatedColumnFormula>Table1432[[#This Row],[Total Reciepts]]-Table1432[[#This Row],[Total Expense]]</calculatedColumnFormula>
      <totalsRowFormula>SUM(I22:I26)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686112-349A-450E-A195-26D6BA39D9FB}" name="Table3" displayName="Table3" ref="A9:B13" totalsRowShown="0" headerRowDxfId="155" headerRowBorderDxfId="154" tableBorderDxfId="153" totalsRowBorderDxfId="152">
  <autoFilter ref="A9:B13" xr:uid="{4A686112-349A-450E-A195-26D6BA39D9FB}"/>
  <tableColumns count="2">
    <tableColumn id="1" xr3:uid="{DA46FD65-5238-4996-8067-8BE1BDA5B5B0}" name="Previous Commission Breakedown Structure by Revenue" dataDxfId="151"/>
    <tableColumn id="2" xr3:uid="{1D1C28E6-AF2B-4B9C-A092-863598835DF9}" name="Column1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B00A0E-EA10-44C0-BE81-610D33715A25}" name="Table4" displayName="Table4" ref="D2:E7" totalsRowShown="0" headerRowDxfId="149" headerRowBorderDxfId="148" tableBorderDxfId="147" totalsRowBorderDxfId="146">
  <autoFilter ref="D2:E7" xr:uid="{31B00A0E-EA10-44C0-BE81-610D33715A25}"/>
  <tableColumns count="2">
    <tableColumn id="1" xr3:uid="{5163ADF6-E163-44C3-9442-F17C2FB57241}" name="Proposed New Commission Breakdown Structure by Volume" dataDxfId="145"/>
    <tableColumn id="2" xr3:uid="{EFBC9F9C-ECC0-4F1A-AFA8-DF4F12DCDD05}" name="Column1" dataDxfId="1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2E0156-C96B-4BCA-8293-044033C50DC9}" name="Table5" displayName="Table5" ref="D9:E13" totalsRowShown="0" headerRowDxfId="143" headerRowBorderDxfId="142" tableBorderDxfId="141" totalsRowBorderDxfId="140">
  <autoFilter ref="D9:E13" xr:uid="{D82E0156-C96B-4BCA-8293-044033C50DC9}"/>
  <tableColumns count="2">
    <tableColumn id="1" xr3:uid="{2EE586F5-31BB-4CF4-9510-10E5D9444968}" name="Proposed New Commission Breakedown Structure by Revenue" dataDxfId="139"/>
    <tableColumn id="2" xr3:uid="{B01F9CE1-ABE5-4BA6-A7E6-4DAC3E90D182}" name="Column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F3784F-0FA4-49E6-A591-0356D82C4257}" name="Table9" displayName="Table9" ref="A24:D28" totalsRowCount="1" headerRowDxfId="138" headerRowBorderDxfId="137" tableBorderDxfId="136" totalsRowBorderDxfId="135">
  <autoFilter ref="A24:D27" xr:uid="{AAF3784F-0FA4-49E6-A591-0356D82C4257}"/>
  <tableColumns count="4">
    <tableColumn id="1" xr3:uid="{5DD1DF2E-AD3F-4C43-9D70-D434CA791210}" name="Prev. Revenue Settings" dataDxfId="134" totalsRowDxfId="133">
      <calculatedColumnFormula>A11</calculatedColumnFormula>
    </tableColumn>
    <tableColumn id="2" xr3:uid="{92F1958B-D862-417A-ADC5-23838A864D94}" name="Proposed revenue Settings" dataDxfId="132" totalsRowDxfId="131">
      <calculatedColumnFormula>D11</calculatedColumnFormula>
    </tableColumn>
    <tableColumn id="3" xr3:uid="{A70E4072-AA26-47ED-8738-21A834E69F4A}" name="Difference" totalsRowLabel="Average Increament=" totalsRowDxfId="130">
      <calculatedColumnFormula>B25-A25</calculatedColumnFormula>
    </tableColumn>
    <tableColumn id="4" xr3:uid="{9287E088-CEC0-4044-8E41-144009A05A2C}" name="Percentage Increament" totalsRowFunction="custom" dataDxfId="129" totalsRowDxfId="128" totalsRowCellStyle="Percent">
      <calculatedColumnFormula>(Table9[[#This Row],[Proposed revenue Settings]]-Table9[[#This Row],[Prev. Revenue Settings]])/Table9[[#This Row],[Prev. Revenue Settings]]</calculatedColumnFormula>
      <totalsRowFormula>AVERAGE(D25:D27)</totalsRow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6D9B6D-AE42-454C-9511-19BD6B98DAFD}" name="Table16" displayName="Table16" ref="G3:G7" totalsRowShown="0" headerRowDxfId="127" dataDxfId="126">
  <autoFilter ref="G3:G7" xr:uid="{186D9B6D-AE42-454C-9511-19BD6B98DAFD}"/>
  <tableColumns count="1">
    <tableColumn id="1" xr3:uid="{CCC7F95F-2D9B-426A-A325-0FC0FC1DD3F4}" name="Adjusted Volume Price" dataDxfId="125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1F27A8-D73E-4F18-80BF-CAE828C851C3}" name="Table17" displayName="Table17" ref="G10:G13" totalsRowShown="0">
  <autoFilter ref="G10:G13" xr:uid="{631F27A8-D73E-4F18-80BF-CAE828C851C3}"/>
  <tableColumns count="1">
    <tableColumn id="1" xr3:uid="{C0BF65F1-9C0E-4BA7-A211-DB8BF41AD80A}" name="Adjusted for breakeven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2D4CB81-C266-4219-93B3-E551ABC87784}" name="Table19" displayName="Table19" ref="A19:B25" totalsRowShown="0">
  <autoFilter ref="A19:B25" xr:uid="{32D4CB81-C266-4219-93B3-E551ABC87784}"/>
  <tableColumns count="2">
    <tableColumn id="1" xr3:uid="{C3172EC3-67DD-49B8-AF56-7A57EC8E55D0}" name="Month" dataDxfId="124"/>
    <tableColumn id="2" xr3:uid="{99DCCDE9-E227-43C2-9A6A-AFCE51F99628}" name="Forecasted Shipments" dataDxfId="1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48F4-E9D1-4667-A351-D4C178A5FF17}">
  <sheetPr>
    <tabColor rgb="FF0070C0"/>
  </sheetPr>
  <dimension ref="A2:G28"/>
  <sheetViews>
    <sheetView showGridLines="0" topLeftCell="B1" workbookViewId="0">
      <selection activeCell="G11" sqref="G11"/>
    </sheetView>
  </sheetViews>
  <sheetFormatPr defaultRowHeight="14.4" x14ac:dyDescent="0.3"/>
  <cols>
    <col min="1" max="1" width="50.33203125" customWidth="1"/>
    <col min="2" max="2" width="30.77734375" bestFit="1" customWidth="1"/>
    <col min="3" max="3" width="18.21875" bestFit="1" customWidth="1"/>
    <col min="4" max="4" width="55.33203125" customWidth="1"/>
    <col min="5" max="5" width="23.77734375" bestFit="1" customWidth="1"/>
    <col min="7" max="7" width="22.6640625" customWidth="1"/>
  </cols>
  <sheetData>
    <row r="2" spans="1:7" x14ac:dyDescent="0.3">
      <c r="A2" s="20" t="s">
        <v>3</v>
      </c>
      <c r="B2" s="21" t="s">
        <v>25</v>
      </c>
      <c r="D2" s="20" t="s">
        <v>10</v>
      </c>
      <c r="E2" s="21" t="s">
        <v>25</v>
      </c>
    </row>
    <row r="3" spans="1:7" x14ac:dyDescent="0.3">
      <c r="A3" s="16" t="s">
        <v>6</v>
      </c>
      <c r="B3" s="18" t="s">
        <v>4</v>
      </c>
      <c r="D3" s="16" t="s">
        <v>6</v>
      </c>
      <c r="E3" s="18" t="s">
        <v>4</v>
      </c>
      <c r="G3" s="111" t="s">
        <v>103</v>
      </c>
    </row>
    <row r="4" spans="1:7" x14ac:dyDescent="0.3">
      <c r="A4" s="17" t="s">
        <v>5</v>
      </c>
      <c r="B4" s="19">
        <v>1500</v>
      </c>
      <c r="D4" s="17" t="s">
        <v>11</v>
      </c>
      <c r="E4" s="28">
        <v>1000</v>
      </c>
      <c r="G4" s="4">
        <v>1100</v>
      </c>
    </row>
    <row r="5" spans="1:7" x14ac:dyDescent="0.3">
      <c r="A5" s="17" t="s">
        <v>7</v>
      </c>
      <c r="B5" s="19">
        <v>2000</v>
      </c>
      <c r="D5" s="17" t="s">
        <v>12</v>
      </c>
      <c r="E5" s="28">
        <v>1500</v>
      </c>
      <c r="G5" s="4">
        <v>1750</v>
      </c>
    </row>
    <row r="6" spans="1:7" x14ac:dyDescent="0.3">
      <c r="A6" s="17" t="s">
        <v>8</v>
      </c>
      <c r="B6" s="19">
        <v>3750</v>
      </c>
      <c r="D6" s="17" t="s">
        <v>13</v>
      </c>
      <c r="E6" s="28">
        <v>1750</v>
      </c>
      <c r="G6" s="4">
        <v>2000</v>
      </c>
    </row>
    <row r="7" spans="1:7" x14ac:dyDescent="0.3">
      <c r="A7" s="22" t="s">
        <v>9</v>
      </c>
      <c r="B7" s="23">
        <v>5500</v>
      </c>
      <c r="D7" s="22" t="s">
        <v>14</v>
      </c>
      <c r="E7" s="29">
        <v>2000</v>
      </c>
      <c r="G7" s="4">
        <v>3000</v>
      </c>
    </row>
    <row r="9" spans="1:7" x14ac:dyDescent="0.3">
      <c r="A9" s="20" t="s">
        <v>15</v>
      </c>
      <c r="B9" s="21" t="s">
        <v>25</v>
      </c>
      <c r="D9" s="20" t="s">
        <v>16</v>
      </c>
      <c r="E9" s="21" t="s">
        <v>25</v>
      </c>
    </row>
    <row r="10" spans="1:7" x14ac:dyDescent="0.3">
      <c r="A10" s="16" t="s">
        <v>17</v>
      </c>
      <c r="B10" s="18" t="s">
        <v>18</v>
      </c>
      <c r="D10" s="16" t="s">
        <v>17</v>
      </c>
      <c r="E10" s="18" t="s">
        <v>18</v>
      </c>
      <c r="G10" t="s">
        <v>102</v>
      </c>
    </row>
    <row r="11" spans="1:7" x14ac:dyDescent="0.3">
      <c r="A11" s="24">
        <v>60000000</v>
      </c>
      <c r="B11" s="25">
        <v>0.02</v>
      </c>
      <c r="D11" s="24">
        <v>150000000</v>
      </c>
      <c r="E11" s="25">
        <v>0.01</v>
      </c>
      <c r="G11" s="109">
        <v>1.4999999999999999E-2</v>
      </c>
    </row>
    <row r="12" spans="1:7" x14ac:dyDescent="0.3">
      <c r="A12" s="24">
        <v>100000000</v>
      </c>
      <c r="B12" s="25">
        <v>0.03</v>
      </c>
      <c r="D12" s="24">
        <v>200000000</v>
      </c>
      <c r="E12" s="30">
        <v>1.4999999999999999E-2</v>
      </c>
      <c r="G12" s="109">
        <v>1.7999999999999999E-2</v>
      </c>
    </row>
    <row r="13" spans="1:7" x14ac:dyDescent="0.3">
      <c r="A13" s="26">
        <v>150000000</v>
      </c>
      <c r="B13" s="27">
        <v>0.05</v>
      </c>
      <c r="D13" s="26">
        <v>250000000</v>
      </c>
      <c r="E13" s="27">
        <v>0.02</v>
      </c>
      <c r="G13" s="3">
        <v>2.5000000000000001E-2</v>
      </c>
    </row>
    <row r="14" spans="1:7" x14ac:dyDescent="0.3">
      <c r="A14" s="4"/>
    </row>
    <row r="16" spans="1:7" x14ac:dyDescent="0.3">
      <c r="A16" s="10" t="s">
        <v>24</v>
      </c>
    </row>
    <row r="17" spans="1:4" x14ac:dyDescent="0.3">
      <c r="A17" s="43" t="s">
        <v>66</v>
      </c>
      <c r="B17" t="s">
        <v>68</v>
      </c>
      <c r="C17" t="s">
        <v>26</v>
      </c>
      <c r="D17" t="s">
        <v>28</v>
      </c>
    </row>
    <row r="18" spans="1:4" x14ac:dyDescent="0.3">
      <c r="A18">
        <v>999</v>
      </c>
      <c r="B18">
        <v>1749</v>
      </c>
      <c r="C18">
        <f>B18-A18</f>
        <v>750</v>
      </c>
      <c r="D18" s="15">
        <f>(Table1[[#This Row],[Proposed Shipment Qty Settings]]-Table1[[#This Row],[Prev. Shipment qty Settings]])/Table1[[#This Row],[Prev. Shipment qty Settings]]</f>
        <v>0.75075075075075071</v>
      </c>
    </row>
    <row r="19" spans="1:4" x14ac:dyDescent="0.3">
      <c r="A19" s="9">
        <f>(1000+1499)/2</f>
        <v>1249.5</v>
      </c>
      <c r="B19">
        <f>(1750+2500)/2</f>
        <v>2125</v>
      </c>
      <c r="C19" s="9">
        <f t="shared" ref="C19:C21" si="0">B19-A19</f>
        <v>875.5</v>
      </c>
      <c r="D19" s="15">
        <f>(Table1[[#This Row],[Proposed Shipment Qty Settings]]-Table1[[#This Row],[Prev. Shipment qty Settings]])/Table1[[#This Row],[Prev. Shipment qty Settings]]</f>
        <v>0.70068027210884354</v>
      </c>
    </row>
    <row r="20" spans="1:4" x14ac:dyDescent="0.3">
      <c r="A20" s="9">
        <f>(1500+1999)/2</f>
        <v>1749.5</v>
      </c>
      <c r="B20" s="9">
        <f>(2501+3000)/2</f>
        <v>2750.5</v>
      </c>
      <c r="C20">
        <f t="shared" si="0"/>
        <v>1001</v>
      </c>
      <c r="D20" s="15">
        <f>(Table1[[#This Row],[Proposed Shipment Qty Settings]]-Table1[[#This Row],[Prev. Shipment qty Settings]])/Table1[[#This Row],[Prev. Shipment qty Settings]]</f>
        <v>0.57216347527865108</v>
      </c>
    </row>
    <row r="21" spans="1:4" x14ac:dyDescent="0.3">
      <c r="A21">
        <v>2000</v>
      </c>
      <c r="B21">
        <v>3000</v>
      </c>
      <c r="C21">
        <f t="shared" si="0"/>
        <v>1000</v>
      </c>
      <c r="D21" s="15">
        <f>(Table1[[#This Row],[Proposed Shipment Qty Settings]]-Table1[[#This Row],[Prev. Shipment qty Settings]])/Table1[[#This Row],[Prev. Shipment qty Settings]]</f>
        <v>0.5</v>
      </c>
    </row>
    <row r="22" spans="1:4" x14ac:dyDescent="0.3">
      <c r="C22" t="s">
        <v>27</v>
      </c>
      <c r="D22" s="15">
        <f>AVERAGE(D18:D21)</f>
        <v>0.63089862453456136</v>
      </c>
    </row>
    <row r="24" spans="1:4" x14ac:dyDescent="0.3">
      <c r="A24" s="51" t="s">
        <v>65</v>
      </c>
      <c r="B24" s="33" t="s">
        <v>67</v>
      </c>
      <c r="C24" s="33" t="s">
        <v>26</v>
      </c>
      <c r="D24" s="33" t="s">
        <v>28</v>
      </c>
    </row>
    <row r="25" spans="1:4" x14ac:dyDescent="0.3">
      <c r="A25" s="31">
        <f>A11</f>
        <v>60000000</v>
      </c>
      <c r="B25" s="31">
        <f>D11</f>
        <v>150000000</v>
      </c>
      <c r="C25" s="31">
        <f>B25-A25</f>
        <v>90000000</v>
      </c>
      <c r="D25" s="35">
        <f>(Table9[[#This Row],[Proposed revenue Settings]]-Table9[[#This Row],[Prev. Revenue Settings]])/Table9[[#This Row],[Prev. Revenue Settings]]</f>
        <v>1.5</v>
      </c>
    </row>
    <row r="26" spans="1:4" x14ac:dyDescent="0.3">
      <c r="A26" s="31">
        <f t="shared" ref="A26:A27" si="1">A12</f>
        <v>100000000</v>
      </c>
      <c r="B26" s="31">
        <f t="shared" ref="B26:B27" si="2">D12</f>
        <v>200000000</v>
      </c>
      <c r="C26" s="32">
        <f t="shared" ref="C26:C27" si="3">B26-A26</f>
        <v>100000000</v>
      </c>
      <c r="D26" s="36">
        <f>(Table9[[#This Row],[Proposed revenue Settings]]-Table9[[#This Row],[Prev. Revenue Settings]])/Table9[[#This Row],[Prev. Revenue Settings]]</f>
        <v>1</v>
      </c>
    </row>
    <row r="27" spans="1:4" x14ac:dyDescent="0.3">
      <c r="A27" s="34">
        <f t="shared" si="1"/>
        <v>150000000</v>
      </c>
      <c r="B27" s="34">
        <f t="shared" si="2"/>
        <v>250000000</v>
      </c>
      <c r="C27" s="34">
        <f t="shared" si="3"/>
        <v>100000000</v>
      </c>
      <c r="D27" s="37">
        <f>(Table9[[#This Row],[Proposed revenue Settings]]-Table9[[#This Row],[Prev. Revenue Settings]])/Table9[[#This Row],[Prev. Revenue Settings]]</f>
        <v>0.66666666666666663</v>
      </c>
    </row>
    <row r="28" spans="1:4" x14ac:dyDescent="0.3">
      <c r="A28" s="34"/>
      <c r="B28" s="34"/>
      <c r="C28" s="38" t="s">
        <v>27</v>
      </c>
      <c r="D28" s="39">
        <f>AVERAGE(D25:D27)</f>
        <v>1.0555555555555556</v>
      </c>
    </row>
  </sheetData>
  <phoneticPr fontId="18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ADC-76C5-4AAB-8C64-B500446E849A}">
  <dimension ref="A2:L116"/>
  <sheetViews>
    <sheetView showGridLines="0" topLeftCell="A130" workbookViewId="0">
      <selection activeCell="A95" sqref="A95"/>
    </sheetView>
  </sheetViews>
  <sheetFormatPr defaultRowHeight="14.4" x14ac:dyDescent="0.3"/>
  <cols>
    <col min="1" max="1" width="23.21875" bestFit="1" customWidth="1"/>
    <col min="2" max="2" width="27.21875" bestFit="1" customWidth="1"/>
    <col min="3" max="3" width="18.5546875" bestFit="1" customWidth="1"/>
    <col min="4" max="4" width="20.109375" bestFit="1" customWidth="1"/>
  </cols>
  <sheetData>
    <row r="2" spans="1:12" ht="25.8" x14ac:dyDescent="0.5">
      <c r="A2" s="126" t="s">
        <v>69</v>
      </c>
      <c r="B2" s="126"/>
      <c r="C2" s="126"/>
      <c r="D2" s="126"/>
      <c r="E2" s="85"/>
      <c r="F2" s="85"/>
      <c r="G2" s="85"/>
      <c r="H2" s="85"/>
      <c r="I2" s="85"/>
      <c r="J2" s="85"/>
      <c r="K2" s="85"/>
      <c r="L2" s="85"/>
    </row>
    <row r="4" spans="1:12" ht="18" x14ac:dyDescent="0.35">
      <c r="A4" s="74" t="s">
        <v>70</v>
      </c>
    </row>
    <row r="5" spans="1:12" x14ac:dyDescent="0.3">
      <c r="A5" s="6" t="s">
        <v>66</v>
      </c>
      <c r="B5" s="6" t="s">
        <v>68</v>
      </c>
      <c r="C5" s="6" t="s">
        <v>26</v>
      </c>
      <c r="D5" s="6" t="s">
        <v>28</v>
      </c>
    </row>
    <row r="6" spans="1:12" x14ac:dyDescent="0.3">
      <c r="A6" s="5">
        <v>999</v>
      </c>
      <c r="B6" s="5">
        <v>1749</v>
      </c>
      <c r="C6" s="5">
        <v>750</v>
      </c>
      <c r="D6" s="76">
        <v>0.75075075075075071</v>
      </c>
    </row>
    <row r="7" spans="1:12" x14ac:dyDescent="0.3">
      <c r="A7" s="75">
        <v>1249.5</v>
      </c>
      <c r="B7" s="75">
        <v>2125</v>
      </c>
      <c r="C7" s="75">
        <v>875.5</v>
      </c>
      <c r="D7" s="76">
        <v>0.70068027210884354</v>
      </c>
    </row>
    <row r="8" spans="1:12" x14ac:dyDescent="0.3">
      <c r="A8" s="75">
        <v>1749.5</v>
      </c>
      <c r="B8" s="75">
        <v>2750.5</v>
      </c>
      <c r="C8" s="5">
        <v>1001</v>
      </c>
      <c r="D8" s="76">
        <v>0.57216347527865108</v>
      </c>
    </row>
    <row r="9" spans="1:12" x14ac:dyDescent="0.3">
      <c r="A9" s="5">
        <v>2000</v>
      </c>
      <c r="B9" s="5">
        <v>3000</v>
      </c>
      <c r="C9" s="5">
        <v>1000</v>
      </c>
      <c r="D9" s="76">
        <v>0.5</v>
      </c>
    </row>
    <row r="10" spans="1:12" ht="18" x14ac:dyDescent="0.35">
      <c r="A10" s="5"/>
      <c r="B10" s="5"/>
      <c r="C10" s="6" t="s">
        <v>27</v>
      </c>
      <c r="D10" s="78">
        <v>0.63089862453456136</v>
      </c>
    </row>
    <row r="11" spans="1:12" x14ac:dyDescent="0.3">
      <c r="A11" s="5"/>
      <c r="B11" s="5"/>
      <c r="C11" s="5"/>
      <c r="D11" s="5"/>
    </row>
    <row r="12" spans="1:12" x14ac:dyDescent="0.3">
      <c r="A12" s="6" t="s">
        <v>65</v>
      </c>
      <c r="B12" s="6" t="s">
        <v>67</v>
      </c>
      <c r="C12" s="6" t="s">
        <v>26</v>
      </c>
      <c r="D12" s="6" t="s">
        <v>28</v>
      </c>
    </row>
    <row r="13" spans="1:12" x14ac:dyDescent="0.3">
      <c r="A13" s="7">
        <v>60000000</v>
      </c>
      <c r="B13" s="7">
        <v>150000000</v>
      </c>
      <c r="C13" s="7">
        <v>90000000</v>
      </c>
      <c r="D13" s="76">
        <v>1.5</v>
      </c>
    </row>
    <row r="14" spans="1:12" x14ac:dyDescent="0.3">
      <c r="A14" s="7">
        <v>100000000</v>
      </c>
      <c r="B14" s="7">
        <v>200000000</v>
      </c>
      <c r="C14" s="7">
        <v>100000000</v>
      </c>
      <c r="D14" s="76">
        <v>1</v>
      </c>
    </row>
    <row r="15" spans="1:12" x14ac:dyDescent="0.3">
      <c r="A15" s="7">
        <v>150000000</v>
      </c>
      <c r="B15" s="7">
        <v>250000000</v>
      </c>
      <c r="C15" s="7">
        <v>100000000</v>
      </c>
      <c r="D15" s="76">
        <v>0.66666666666666663</v>
      </c>
    </row>
    <row r="16" spans="1:12" x14ac:dyDescent="0.3">
      <c r="A16" s="5"/>
      <c r="B16" s="5"/>
      <c r="C16" s="6" t="s">
        <v>27</v>
      </c>
      <c r="D16" s="77">
        <v>1.0555555555555556</v>
      </c>
    </row>
    <row r="19" spans="1:4" ht="18" x14ac:dyDescent="0.35">
      <c r="A19" s="74" t="s">
        <v>76</v>
      </c>
    </row>
    <row r="20" spans="1:4" x14ac:dyDescent="0.3">
      <c r="A20" s="6" t="s">
        <v>45</v>
      </c>
      <c r="B20" s="5"/>
      <c r="C20" s="5"/>
      <c r="D20" s="5"/>
    </row>
    <row r="21" spans="1:4" x14ac:dyDescent="0.3">
      <c r="A21" s="6" t="s">
        <v>0</v>
      </c>
      <c r="B21" s="6" t="s">
        <v>1</v>
      </c>
      <c r="C21" s="6" t="s">
        <v>72</v>
      </c>
      <c r="D21" s="6" t="s">
        <v>73</v>
      </c>
    </row>
    <row r="22" spans="1:4" x14ac:dyDescent="0.3">
      <c r="A22" s="79">
        <v>45323</v>
      </c>
      <c r="B22" s="5">
        <v>1408</v>
      </c>
      <c r="C22" s="7">
        <v>118000000</v>
      </c>
      <c r="D22" s="7">
        <v>8497683.2799999993</v>
      </c>
    </row>
    <row r="23" spans="1:4" x14ac:dyDescent="0.3">
      <c r="A23" s="79">
        <v>45352</v>
      </c>
      <c r="B23" s="5">
        <v>913</v>
      </c>
      <c r="C23" s="7">
        <v>105000000</v>
      </c>
      <c r="D23" s="7">
        <v>4943612.66</v>
      </c>
    </row>
    <row r="24" spans="1:4" x14ac:dyDescent="0.3">
      <c r="A24" s="79">
        <v>45383</v>
      </c>
      <c r="B24" s="5">
        <v>1078</v>
      </c>
      <c r="C24" s="7">
        <v>120000000</v>
      </c>
      <c r="D24" s="7">
        <v>6248224.8799999999</v>
      </c>
    </row>
    <row r="25" spans="1:4" x14ac:dyDescent="0.3">
      <c r="A25" s="79">
        <v>45413</v>
      </c>
      <c r="B25" s="5">
        <v>1159</v>
      </c>
      <c r="C25" s="7">
        <v>140000000</v>
      </c>
      <c r="D25" s="7">
        <v>6519468.71</v>
      </c>
    </row>
    <row r="26" spans="1:4" x14ac:dyDescent="0.3">
      <c r="A26" s="79">
        <v>45444</v>
      </c>
      <c r="B26" s="5">
        <v>778</v>
      </c>
      <c r="C26" s="7">
        <v>85000000</v>
      </c>
      <c r="D26" s="101">
        <f>'P&amp;L'!B7</f>
        <v>1167000</v>
      </c>
    </row>
    <row r="27" spans="1:4" ht="15" thickBot="1" x14ac:dyDescent="0.35">
      <c r="A27" s="6" t="s">
        <v>71</v>
      </c>
      <c r="B27" s="5"/>
      <c r="C27" s="82">
        <f>SUM(C22:C26)</f>
        <v>568000000</v>
      </c>
      <c r="D27" s="82">
        <f>SUM(D22:D26)</f>
        <v>27375989.530000001</v>
      </c>
    </row>
    <row r="28" spans="1:4" ht="22.8" customHeight="1" thickTop="1" x14ac:dyDescent="0.3">
      <c r="A28" s="6" t="s">
        <v>0</v>
      </c>
      <c r="B28" s="6" t="s">
        <v>43</v>
      </c>
      <c r="C28" s="81" t="s">
        <v>74</v>
      </c>
      <c r="D28" s="81" t="s">
        <v>75</v>
      </c>
    </row>
    <row r="29" spans="1:4" x14ac:dyDescent="0.3">
      <c r="A29" s="79">
        <v>45474</v>
      </c>
      <c r="B29" s="75">
        <v>1067.2</v>
      </c>
      <c r="C29" s="83">
        <v>109630254.40000001</v>
      </c>
      <c r="D29" s="83">
        <v>5423307.6320000002</v>
      </c>
    </row>
    <row r="30" spans="1:4" x14ac:dyDescent="0.3">
      <c r="A30" s="79">
        <v>45505</v>
      </c>
      <c r="B30" s="75">
        <v>1067.2</v>
      </c>
      <c r="C30" s="83">
        <v>109630254.40000001</v>
      </c>
      <c r="D30" s="83">
        <v>5423307.6320000002</v>
      </c>
    </row>
    <row r="31" spans="1:4" x14ac:dyDescent="0.3">
      <c r="A31" s="79">
        <v>45536</v>
      </c>
      <c r="B31" s="75">
        <v>1600.8</v>
      </c>
      <c r="C31" s="83">
        <v>164445381.59999999</v>
      </c>
      <c r="D31" s="83">
        <v>14225269.08</v>
      </c>
    </row>
    <row r="32" spans="1:4" x14ac:dyDescent="0.3">
      <c r="A32" s="79">
        <v>45566</v>
      </c>
      <c r="B32" s="75">
        <v>1600.8</v>
      </c>
      <c r="C32" s="83">
        <v>164445381.59999999</v>
      </c>
      <c r="D32" s="83">
        <v>14225269.08</v>
      </c>
    </row>
    <row r="33" spans="1:4" x14ac:dyDescent="0.3">
      <c r="A33" s="79">
        <v>45597</v>
      </c>
      <c r="B33" s="75">
        <v>1600.8</v>
      </c>
      <c r="C33" s="83">
        <v>164445381.59999999</v>
      </c>
      <c r="D33" s="83">
        <v>14225269.08</v>
      </c>
    </row>
    <row r="34" spans="1:4" x14ac:dyDescent="0.3">
      <c r="A34" s="79">
        <v>45627</v>
      </c>
      <c r="B34" s="75">
        <v>1600.8</v>
      </c>
      <c r="C34" s="83">
        <v>164445381.59999999</v>
      </c>
      <c r="D34" s="83">
        <v>14225269.08</v>
      </c>
    </row>
    <row r="35" spans="1:4" ht="15" thickBot="1" x14ac:dyDescent="0.35">
      <c r="A35" s="5"/>
      <c r="B35" s="5"/>
      <c r="C35" s="84">
        <f>SUM(C29:C34)</f>
        <v>877042035.20000005</v>
      </c>
      <c r="D35" s="84">
        <f>SUM(D29:D34)</f>
        <v>67747691.584000006</v>
      </c>
    </row>
    <row r="36" spans="1:4" ht="15.6" thickTop="1" thickBot="1" x14ac:dyDescent="0.35">
      <c r="C36" s="98" t="s">
        <v>83</v>
      </c>
      <c r="D36" s="99">
        <f>D27+D35</f>
        <v>95123681.114000008</v>
      </c>
    </row>
    <row r="37" spans="1:4" ht="32.4" customHeight="1" thickTop="1" x14ac:dyDescent="0.35">
      <c r="A37" s="74" t="s">
        <v>97</v>
      </c>
    </row>
    <row r="38" spans="1:4" x14ac:dyDescent="0.3">
      <c r="A38" s="6" t="s">
        <v>45</v>
      </c>
      <c r="B38" s="5"/>
      <c r="C38" s="5"/>
      <c r="D38" s="5"/>
    </row>
    <row r="39" spans="1:4" x14ac:dyDescent="0.3">
      <c r="A39" s="6" t="s">
        <v>0</v>
      </c>
      <c r="B39" s="6" t="s">
        <v>1</v>
      </c>
      <c r="C39" s="6" t="s">
        <v>72</v>
      </c>
      <c r="D39" s="6" t="s">
        <v>87</v>
      </c>
    </row>
    <row r="40" spans="1:4" x14ac:dyDescent="0.3">
      <c r="A40" s="79">
        <v>45323</v>
      </c>
      <c r="B40" s="5">
        <v>1408</v>
      </c>
      <c r="C40" s="7">
        <v>118000000</v>
      </c>
      <c r="D40" s="7">
        <v>2588000</v>
      </c>
    </row>
    <row r="41" spans="1:4" x14ac:dyDescent="0.3">
      <c r="A41" s="79">
        <v>45352</v>
      </c>
      <c r="B41" s="5">
        <v>913</v>
      </c>
      <c r="C41" s="7">
        <v>105000000</v>
      </c>
      <c r="D41" s="7">
        <v>1963000</v>
      </c>
    </row>
    <row r="42" spans="1:4" x14ac:dyDescent="0.3">
      <c r="A42" s="79">
        <v>45383</v>
      </c>
      <c r="B42" s="5">
        <v>1078</v>
      </c>
      <c r="C42" s="7">
        <v>120000000</v>
      </c>
      <c r="D42" s="7">
        <v>2278000</v>
      </c>
    </row>
    <row r="43" spans="1:4" x14ac:dyDescent="0.3">
      <c r="A43" s="79">
        <v>45413</v>
      </c>
      <c r="B43" s="5">
        <v>1159</v>
      </c>
      <c r="C43" s="7">
        <v>140000000</v>
      </c>
      <c r="D43" s="7">
        <v>2559000</v>
      </c>
    </row>
    <row r="44" spans="1:4" x14ac:dyDescent="0.3">
      <c r="A44" s="79">
        <v>45444</v>
      </c>
      <c r="B44" s="5">
        <v>778</v>
      </c>
      <c r="C44" s="7">
        <v>85000000</v>
      </c>
      <c r="D44" s="7">
        <v>1628000</v>
      </c>
    </row>
    <row r="45" spans="1:4" ht="15" thickBot="1" x14ac:dyDescent="0.35">
      <c r="A45" s="6" t="s">
        <v>71</v>
      </c>
      <c r="B45" s="5"/>
      <c r="C45" s="82">
        <f>SUM(C40:C44)</f>
        <v>568000000</v>
      </c>
      <c r="D45" s="82">
        <f>SUM(D40:D44)</f>
        <v>11016000</v>
      </c>
    </row>
    <row r="46" spans="1:4" ht="20.399999999999999" customHeight="1" thickTop="1" x14ac:dyDescent="0.3">
      <c r="A46" s="6" t="s">
        <v>0</v>
      </c>
      <c r="B46" s="6" t="s">
        <v>43</v>
      </c>
      <c r="C46" s="81" t="s">
        <v>74</v>
      </c>
      <c r="D46" s="81" t="s">
        <v>75</v>
      </c>
    </row>
    <row r="47" spans="1:4" x14ac:dyDescent="0.3">
      <c r="A47" s="79">
        <v>45474</v>
      </c>
      <c r="B47" s="83">
        <v>1067.2</v>
      </c>
      <c r="C47" s="83">
        <v>109630254.40000001</v>
      </c>
      <c r="D47" s="83">
        <v>2163502.5439999998</v>
      </c>
    </row>
    <row r="48" spans="1:4" x14ac:dyDescent="0.3">
      <c r="A48" s="79">
        <v>45505</v>
      </c>
      <c r="B48" s="83">
        <v>1067.2</v>
      </c>
      <c r="C48" s="83">
        <v>109630254.40000001</v>
      </c>
      <c r="D48" s="83">
        <v>2163502.5439999998</v>
      </c>
    </row>
    <row r="49" spans="1:4" x14ac:dyDescent="0.3">
      <c r="A49" s="79">
        <v>45536</v>
      </c>
      <c r="B49" s="83">
        <v>1600.8</v>
      </c>
      <c r="C49" s="83">
        <v>164445381.59999999</v>
      </c>
      <c r="D49" s="83">
        <v>3245253.8159999996</v>
      </c>
    </row>
    <row r="50" spans="1:4" x14ac:dyDescent="0.3">
      <c r="A50" s="79">
        <v>45566</v>
      </c>
      <c r="B50" s="83">
        <v>1600.8</v>
      </c>
      <c r="C50" s="83">
        <v>164445381.59999999</v>
      </c>
      <c r="D50" s="83">
        <v>3245253.8159999996</v>
      </c>
    </row>
    <row r="51" spans="1:4" x14ac:dyDescent="0.3">
      <c r="A51" s="79">
        <v>45597</v>
      </c>
      <c r="B51" s="83">
        <v>1600.8</v>
      </c>
      <c r="C51" s="83">
        <v>164445381.59999999</v>
      </c>
      <c r="D51" s="83">
        <v>3245253.8159999996</v>
      </c>
    </row>
    <row r="52" spans="1:4" x14ac:dyDescent="0.3">
      <c r="A52" s="79">
        <v>45627</v>
      </c>
      <c r="B52" s="83">
        <v>1600.8</v>
      </c>
      <c r="C52" s="83">
        <v>164445381.59999999</v>
      </c>
      <c r="D52" s="83">
        <v>3245253.8159999996</v>
      </c>
    </row>
    <row r="53" spans="1:4" ht="15" thickBot="1" x14ac:dyDescent="0.35">
      <c r="A53" s="5"/>
      <c r="B53" s="5"/>
      <c r="C53" s="84">
        <f>SUM(C47:C52)</f>
        <v>877042035.20000005</v>
      </c>
      <c r="D53" s="84">
        <f>SUM(D47:D52)</f>
        <v>17308020.351999998</v>
      </c>
    </row>
    <row r="54" spans="1:4" ht="15.6" thickTop="1" thickBot="1" x14ac:dyDescent="0.35">
      <c r="C54" s="98" t="s">
        <v>83</v>
      </c>
      <c r="D54" s="99">
        <f>D45+D53</f>
        <v>28324020.351999998</v>
      </c>
    </row>
    <row r="55" spans="1:4" ht="31.8" customHeight="1" thickTop="1" x14ac:dyDescent="0.4">
      <c r="A55" s="55" t="s">
        <v>77</v>
      </c>
    </row>
    <row r="56" spans="1:4" x14ac:dyDescent="0.3">
      <c r="A56" s="6" t="s">
        <v>88</v>
      </c>
      <c r="B56" s="5"/>
      <c r="C56" s="6" t="s">
        <v>84</v>
      </c>
      <c r="D56" s="6" t="s">
        <v>85</v>
      </c>
    </row>
    <row r="57" spans="1:4" x14ac:dyDescent="0.3">
      <c r="A57" s="5" t="s">
        <v>90</v>
      </c>
      <c r="B57" s="5" t="s">
        <v>86</v>
      </c>
      <c r="C57" s="7">
        <f>Table14[[#Totals],[Total Reciepts]]</f>
        <v>28375989.530000001</v>
      </c>
      <c r="D57" s="7">
        <f>Table1432[[#Totals],[Total Reciepts]]</f>
        <v>12016000</v>
      </c>
    </row>
    <row r="58" spans="1:4" x14ac:dyDescent="0.3">
      <c r="A58" s="5" t="s">
        <v>91</v>
      </c>
      <c r="B58" s="5" t="s">
        <v>86</v>
      </c>
      <c r="C58" s="7">
        <f>(Table14[[#Totals],[Total Expense]])*-1</f>
        <v>-17520000</v>
      </c>
      <c r="D58" s="7">
        <f>(Table1432[[#Totals],[Total Expense]])*-1</f>
        <v>-17520000</v>
      </c>
    </row>
    <row r="59" spans="1:4" x14ac:dyDescent="0.3">
      <c r="B59" s="104" t="s">
        <v>82</v>
      </c>
      <c r="C59" s="80">
        <f>SUM(C57:C58)</f>
        <v>10855989.530000001</v>
      </c>
      <c r="D59" s="103">
        <f>SUM(D57:D58)</f>
        <v>-5504000</v>
      </c>
    </row>
    <row r="61" spans="1:4" x14ac:dyDescent="0.3">
      <c r="A61" s="6" t="s">
        <v>88</v>
      </c>
      <c r="B61" s="5"/>
      <c r="C61" s="6" t="s">
        <v>84</v>
      </c>
      <c r="D61" s="6" t="s">
        <v>85</v>
      </c>
    </row>
    <row r="62" spans="1:4" x14ac:dyDescent="0.3">
      <c r="A62" s="5" t="s">
        <v>73</v>
      </c>
      <c r="B62" s="5" t="s">
        <v>89</v>
      </c>
      <c r="C62" s="7">
        <f>'P&amp;L'!D17</f>
        <v>67747691.584000006</v>
      </c>
      <c r="D62" s="7">
        <f>'P&amp;L'!D36</f>
        <v>18508020.351999998</v>
      </c>
    </row>
    <row r="63" spans="1:4" x14ac:dyDescent="0.3">
      <c r="A63" s="5" t="s">
        <v>91</v>
      </c>
      <c r="B63" s="5" t="s">
        <v>89</v>
      </c>
      <c r="C63" s="7">
        <f>('P&amp;L'!H17)*-1</f>
        <v>-21288000</v>
      </c>
      <c r="D63" s="7">
        <f>('P&amp;L'!H36)*-1</f>
        <v>-21288000</v>
      </c>
    </row>
    <row r="64" spans="1:4" x14ac:dyDescent="0.3">
      <c r="B64" s="104" t="s">
        <v>82</v>
      </c>
      <c r="C64" s="80">
        <f>SUM(C62:C63)</f>
        <v>46459691.584000006</v>
      </c>
      <c r="D64" s="103">
        <f>SUM(D62:D63)</f>
        <v>-2779979.6480000019</v>
      </c>
    </row>
    <row r="66" spans="1:4" ht="15.6" x14ac:dyDescent="0.3">
      <c r="A66" s="129" t="s">
        <v>92</v>
      </c>
      <c r="B66" s="129"/>
      <c r="C66" s="129"/>
      <c r="D66" s="129"/>
    </row>
    <row r="67" spans="1:4" ht="28.8" customHeight="1" x14ac:dyDescent="0.3">
      <c r="A67" s="127" t="s">
        <v>96</v>
      </c>
      <c r="B67" s="128"/>
      <c r="C67" s="128"/>
      <c r="D67" s="128"/>
    </row>
    <row r="69" spans="1:4" x14ac:dyDescent="0.3">
      <c r="A69" t="s">
        <v>93</v>
      </c>
    </row>
    <row r="70" spans="1:4" x14ac:dyDescent="0.3">
      <c r="A70" t="s">
        <v>95</v>
      </c>
    </row>
    <row r="71" spans="1:4" x14ac:dyDescent="0.3">
      <c r="A71" t="s">
        <v>94</v>
      </c>
    </row>
    <row r="73" spans="1:4" ht="18" x14ac:dyDescent="0.35">
      <c r="A73" s="74" t="s">
        <v>104</v>
      </c>
    </row>
    <row r="74" spans="1:4" x14ac:dyDescent="0.3">
      <c r="A74" t="s">
        <v>105</v>
      </c>
    </row>
    <row r="75" spans="1:4" x14ac:dyDescent="0.3">
      <c r="A75" t="s">
        <v>106</v>
      </c>
    </row>
    <row r="76" spans="1:4" x14ac:dyDescent="0.3">
      <c r="A76" t="s">
        <v>107</v>
      </c>
    </row>
    <row r="77" spans="1:4" x14ac:dyDescent="0.3">
      <c r="A77" s="16" t="s">
        <v>6</v>
      </c>
      <c r="B77" s="18" t="s">
        <v>4</v>
      </c>
    </row>
    <row r="78" spans="1:4" x14ac:dyDescent="0.3">
      <c r="A78" s="17" t="s">
        <v>11</v>
      </c>
      <c r="B78" s="28">
        <v>1100</v>
      </c>
      <c r="C78" t="s">
        <v>109</v>
      </c>
    </row>
    <row r="79" spans="1:4" x14ac:dyDescent="0.3">
      <c r="A79" s="17" t="s">
        <v>12</v>
      </c>
      <c r="B79" s="28">
        <v>1750</v>
      </c>
      <c r="C79" t="s">
        <v>110</v>
      </c>
    </row>
    <row r="80" spans="1:4" x14ac:dyDescent="0.3">
      <c r="A80" s="17" t="s">
        <v>13</v>
      </c>
      <c r="B80" s="28">
        <v>2000</v>
      </c>
    </row>
    <row r="81" spans="1:3" x14ac:dyDescent="0.3">
      <c r="A81" s="22" t="s">
        <v>14</v>
      </c>
      <c r="B81" s="29">
        <v>3000</v>
      </c>
    </row>
    <row r="82" spans="1:3" x14ac:dyDescent="0.3">
      <c r="A82" s="16" t="s">
        <v>17</v>
      </c>
      <c r="B82" s="18" t="s">
        <v>18</v>
      </c>
    </row>
    <row r="83" spans="1:3" x14ac:dyDescent="0.3">
      <c r="A83" s="24">
        <v>150000000</v>
      </c>
      <c r="B83" s="30">
        <v>1.4999999999999999E-2</v>
      </c>
      <c r="C83" t="s">
        <v>108</v>
      </c>
    </row>
    <row r="84" spans="1:3" x14ac:dyDescent="0.3">
      <c r="A84" s="24">
        <v>200000000</v>
      </c>
      <c r="B84" s="30">
        <v>1.6500000000000001E-2</v>
      </c>
    </row>
    <row r="85" spans="1:3" x14ac:dyDescent="0.3">
      <c r="A85" s="26">
        <v>250000000</v>
      </c>
      <c r="B85" s="27">
        <v>0.02</v>
      </c>
    </row>
    <row r="95" spans="1:3" x14ac:dyDescent="0.3">
      <c r="A95" s="2" t="s">
        <v>122</v>
      </c>
    </row>
    <row r="97" spans="1:2" x14ac:dyDescent="0.3">
      <c r="A97" s="118" t="s">
        <v>6</v>
      </c>
      <c r="B97" s="118" t="s">
        <v>4</v>
      </c>
    </row>
    <row r="98" spans="1:2" x14ac:dyDescent="0.3">
      <c r="A98" s="5" t="s">
        <v>11</v>
      </c>
      <c r="B98" s="121">
        <v>1100</v>
      </c>
    </row>
    <row r="99" spans="1:2" x14ac:dyDescent="0.3">
      <c r="A99" s="119" t="s">
        <v>12</v>
      </c>
      <c r="B99" s="122">
        <v>1750</v>
      </c>
    </row>
    <row r="100" spans="1:2" x14ac:dyDescent="0.3">
      <c r="A100" s="5" t="s">
        <v>13</v>
      </c>
      <c r="B100" s="121">
        <v>2000</v>
      </c>
    </row>
    <row r="101" spans="1:2" x14ac:dyDescent="0.3">
      <c r="A101" s="119" t="s">
        <v>14</v>
      </c>
      <c r="B101" s="122">
        <v>3000</v>
      </c>
    </row>
    <row r="102" spans="1:2" x14ac:dyDescent="0.3">
      <c r="A102" s="118" t="s">
        <v>17</v>
      </c>
      <c r="B102" s="118" t="s">
        <v>18</v>
      </c>
    </row>
    <row r="103" spans="1:2" x14ac:dyDescent="0.3">
      <c r="A103" s="7">
        <v>150000000</v>
      </c>
      <c r="B103" s="124">
        <f>Rules!G11</f>
        <v>1.4999999999999999E-2</v>
      </c>
    </row>
    <row r="104" spans="1:2" x14ac:dyDescent="0.3">
      <c r="A104" s="120">
        <v>200000000</v>
      </c>
      <c r="B104" s="123">
        <v>1.6500000000000001E-2</v>
      </c>
    </row>
    <row r="105" spans="1:2" x14ac:dyDescent="0.3">
      <c r="A105" s="7">
        <v>250000000</v>
      </c>
      <c r="B105" s="112">
        <v>0.02</v>
      </c>
    </row>
    <row r="108" spans="1:2" x14ac:dyDescent="0.3">
      <c r="A108" s="2" t="s">
        <v>123</v>
      </c>
    </row>
    <row r="110" spans="1:2" x14ac:dyDescent="0.3">
      <c r="A110" s="134">
        <v>45474</v>
      </c>
      <c r="B110" s="136">
        <f>'P&amp;L'!I41</f>
        <v>-529626.18399999989</v>
      </c>
    </row>
    <row r="111" spans="1:2" x14ac:dyDescent="0.3">
      <c r="A111" s="135">
        <v>45505</v>
      </c>
      <c r="B111" s="136">
        <f>'P&amp;L'!I42</f>
        <v>-529626.18399999989</v>
      </c>
    </row>
    <row r="112" spans="1:2" x14ac:dyDescent="0.3">
      <c r="A112" s="134">
        <v>45536</v>
      </c>
      <c r="B112" s="137">
        <f>'P&amp;L'!I43</f>
        <v>879560.72399999946</v>
      </c>
    </row>
    <row r="113" spans="1:2" x14ac:dyDescent="0.3">
      <c r="A113" s="135">
        <v>45566</v>
      </c>
      <c r="B113" s="137">
        <f>'P&amp;L'!I44</f>
        <v>879560.72399999946</v>
      </c>
    </row>
    <row r="114" spans="1:2" x14ac:dyDescent="0.3">
      <c r="A114" s="134">
        <v>45597</v>
      </c>
      <c r="B114" s="137">
        <f>'P&amp;L'!I45</f>
        <v>879560.72399999946</v>
      </c>
    </row>
    <row r="115" spans="1:2" x14ac:dyDescent="0.3">
      <c r="A115" s="135">
        <v>45627</v>
      </c>
      <c r="B115" s="137">
        <f>'P&amp;L'!I46</f>
        <v>879560.72399999946</v>
      </c>
    </row>
    <row r="116" spans="1:2" x14ac:dyDescent="0.3">
      <c r="A116" s="133" t="s">
        <v>124</v>
      </c>
      <c r="B116" s="138">
        <f>SUM(B110:B115)</f>
        <v>2458990.5279999981</v>
      </c>
    </row>
  </sheetData>
  <mergeCells count="3">
    <mergeCell ref="A2:D2"/>
    <mergeCell ref="A67:D67"/>
    <mergeCell ref="A66:D66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EFD9-2358-47F6-AB20-025E7EEB620B}">
  <dimension ref="A1:T33"/>
  <sheetViews>
    <sheetView showGridLines="0" tabSelected="1" zoomScale="80" zoomScaleNormal="80" workbookViewId="0">
      <selection activeCell="E2" sqref="E2"/>
    </sheetView>
  </sheetViews>
  <sheetFormatPr defaultColWidth="0" defaultRowHeight="14.4" zeroHeight="1" x14ac:dyDescent="0.3"/>
  <cols>
    <col min="1" max="20" width="8.88671875" customWidth="1"/>
    <col min="21" max="16384" width="8.88671875" hidden="1"/>
  </cols>
  <sheetData>
    <row r="1" spans="1:20" x14ac:dyDescent="0.3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x14ac:dyDescent="0.3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</row>
    <row r="3" spans="1:20" x14ac:dyDescent="0.3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x14ac:dyDescent="0.3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</row>
    <row r="6" spans="1:20" x14ac:dyDescent="0.3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</row>
    <row r="7" spans="1:20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</row>
    <row r="8" spans="1:20" x14ac:dyDescent="0.3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</row>
    <row r="9" spans="1:20" x14ac:dyDescent="0.3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</row>
    <row r="10" spans="1:20" x14ac:dyDescent="0.3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</row>
    <row r="11" spans="1:20" x14ac:dyDescent="0.3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</row>
    <row r="12" spans="1:20" x14ac:dyDescent="0.3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</row>
    <row r="13" spans="1:20" x14ac:dyDescent="0.3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</row>
    <row r="14" spans="1:20" x14ac:dyDescent="0.3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</row>
    <row r="15" spans="1:20" x14ac:dyDescent="0.3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</row>
    <row r="16" spans="1:20" x14ac:dyDescent="0.3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</row>
    <row r="17" spans="1:20" x14ac:dyDescent="0.3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</row>
    <row r="18" spans="1:20" x14ac:dyDescent="0.3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</row>
    <row r="19" spans="1:20" x14ac:dyDescent="0.3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</row>
    <row r="20" spans="1:20" x14ac:dyDescent="0.3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</row>
    <row r="21" spans="1:20" x14ac:dyDescent="0.3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0" x14ac:dyDescent="0.3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</row>
    <row r="23" spans="1:20" x14ac:dyDescent="0.3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</row>
    <row r="24" spans="1:20" x14ac:dyDescent="0.3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</row>
    <row r="25" spans="1:20" x14ac:dyDescent="0.3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</row>
    <row r="26" spans="1:20" x14ac:dyDescent="0.3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</row>
    <row r="27" spans="1:20" x14ac:dyDescent="0.3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</row>
    <row r="28" spans="1:20" x14ac:dyDescent="0.3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</row>
    <row r="29" spans="1:20" x14ac:dyDescent="0.3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</row>
    <row r="30" spans="1:20" x14ac:dyDescent="0.3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</row>
    <row r="31" spans="1:20" x14ac:dyDescent="0.3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</row>
    <row r="32" spans="1:20" x14ac:dyDescent="0.3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</row>
    <row r="33" spans="1:20" x14ac:dyDescent="0.3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0456-ED46-4D02-A9CC-B69D6A535B14}">
  <dimension ref="A1:D66"/>
  <sheetViews>
    <sheetView showGridLines="0" topLeftCell="A52" workbookViewId="0">
      <selection activeCell="G68" sqref="G68"/>
    </sheetView>
  </sheetViews>
  <sheetFormatPr defaultRowHeight="14.4" x14ac:dyDescent="0.3"/>
  <cols>
    <col min="2" max="2" width="21.33203125" customWidth="1"/>
    <col min="3" max="3" width="27.88671875" bestFit="1" customWidth="1"/>
    <col min="4" max="4" width="29" bestFit="1" customWidth="1"/>
  </cols>
  <sheetData>
    <row r="1" spans="1:3" ht="23.4" x14ac:dyDescent="0.45">
      <c r="A1" s="52" t="s">
        <v>53</v>
      </c>
      <c r="B1" s="52"/>
      <c r="C1" s="52"/>
    </row>
    <row r="2" spans="1:3" ht="23.4" x14ac:dyDescent="0.45">
      <c r="A2" s="33" t="s">
        <v>0</v>
      </c>
      <c r="B2" s="33" t="s">
        <v>1</v>
      </c>
      <c r="C2" s="52"/>
    </row>
    <row r="3" spans="1:3" x14ac:dyDescent="0.3">
      <c r="A3" s="56">
        <v>45323</v>
      </c>
      <c r="B3" s="13">
        <v>1408</v>
      </c>
    </row>
    <row r="4" spans="1:3" x14ac:dyDescent="0.3">
      <c r="A4" s="57">
        <v>45352</v>
      </c>
      <c r="B4" s="14">
        <v>913</v>
      </c>
    </row>
    <row r="5" spans="1:3" x14ac:dyDescent="0.3">
      <c r="A5" s="56">
        <v>45383</v>
      </c>
      <c r="B5" s="13">
        <v>1078</v>
      </c>
    </row>
    <row r="6" spans="1:3" x14ac:dyDescent="0.3">
      <c r="A6" s="57">
        <v>45413</v>
      </c>
      <c r="B6" s="14">
        <v>1159</v>
      </c>
    </row>
    <row r="7" spans="1:3" x14ac:dyDescent="0.3">
      <c r="A7" s="58">
        <v>45444</v>
      </c>
      <c r="B7" s="59">
        <v>778</v>
      </c>
    </row>
    <row r="18" spans="1:2" ht="21" x14ac:dyDescent="0.4">
      <c r="A18" s="55" t="s">
        <v>52</v>
      </c>
    </row>
    <row r="19" spans="1:2" x14ac:dyDescent="0.3">
      <c r="A19" t="s">
        <v>0</v>
      </c>
      <c r="B19" t="s">
        <v>43</v>
      </c>
    </row>
    <row r="20" spans="1:2" x14ac:dyDescent="0.3">
      <c r="A20" s="1">
        <v>45474</v>
      </c>
      <c r="B20" s="9">
        <v>1067.2</v>
      </c>
    </row>
    <row r="21" spans="1:2" x14ac:dyDescent="0.3">
      <c r="A21" s="1">
        <v>45505</v>
      </c>
      <c r="B21" s="9">
        <v>1067.2</v>
      </c>
    </row>
    <row r="22" spans="1:2" x14ac:dyDescent="0.3">
      <c r="A22" s="1">
        <v>45536</v>
      </c>
      <c r="B22" s="9">
        <v>1600.8</v>
      </c>
    </row>
    <row r="23" spans="1:2" x14ac:dyDescent="0.3">
      <c r="A23" s="1">
        <v>45566</v>
      </c>
      <c r="B23" s="9">
        <v>1600.8</v>
      </c>
    </row>
    <row r="24" spans="1:2" x14ac:dyDescent="0.3">
      <c r="A24" s="1">
        <v>45597</v>
      </c>
      <c r="B24" s="9">
        <v>1600.8</v>
      </c>
    </row>
    <row r="25" spans="1:2" x14ac:dyDescent="0.3">
      <c r="A25" s="1">
        <v>45627</v>
      </c>
      <c r="B25" s="9">
        <v>1600.8</v>
      </c>
    </row>
    <row r="59" spans="1:4" ht="21" x14ac:dyDescent="0.4">
      <c r="A59" s="55" t="s">
        <v>51</v>
      </c>
      <c r="B59" s="55"/>
    </row>
    <row r="60" spans="1:4" x14ac:dyDescent="0.3">
      <c r="A60" t="s">
        <v>0</v>
      </c>
      <c r="B60" t="s">
        <v>46</v>
      </c>
      <c r="C60" t="s">
        <v>47</v>
      </c>
      <c r="D60" t="s">
        <v>48</v>
      </c>
    </row>
    <row r="61" spans="1:4" x14ac:dyDescent="0.3">
      <c r="A61" s="1">
        <v>45474</v>
      </c>
      <c r="B61" s="9">
        <v>1067.2</v>
      </c>
      <c r="C61" s="4">
        <v>102727</v>
      </c>
      <c r="D61" s="4">
        <f>Table1921[[#This Row],[Shipment Volume]]*Table1921[[#This Row],[Average Forecasted Revenue]]</f>
        <v>109630254.40000001</v>
      </c>
    </row>
    <row r="62" spans="1:4" x14ac:dyDescent="0.3">
      <c r="A62" s="1">
        <v>45505</v>
      </c>
      <c r="B62" s="9">
        <v>1067.2</v>
      </c>
      <c r="C62" s="4">
        <v>102727</v>
      </c>
      <c r="D62" s="4">
        <f>Table1921[[#This Row],[Shipment Volume]]*Table1921[[#This Row],[Average Forecasted Revenue]]</f>
        <v>109630254.40000001</v>
      </c>
    </row>
    <row r="63" spans="1:4" x14ac:dyDescent="0.3">
      <c r="A63" s="1">
        <v>45536</v>
      </c>
      <c r="B63" s="9">
        <v>1600.8</v>
      </c>
      <c r="C63" s="4">
        <v>102727</v>
      </c>
      <c r="D63" s="4">
        <f>Table1921[[#This Row],[Shipment Volume]]*Table1921[[#This Row],[Average Forecasted Revenue]]</f>
        <v>164445381.59999999</v>
      </c>
    </row>
    <row r="64" spans="1:4" x14ac:dyDescent="0.3">
      <c r="A64" s="1">
        <v>45566</v>
      </c>
      <c r="B64" s="9">
        <v>1600.8</v>
      </c>
      <c r="C64" s="4">
        <v>102727</v>
      </c>
      <c r="D64" s="4">
        <f>Table1921[[#This Row],[Shipment Volume]]*Table1921[[#This Row],[Average Forecasted Revenue]]</f>
        <v>164445381.59999999</v>
      </c>
    </row>
    <row r="65" spans="1:4" x14ac:dyDescent="0.3">
      <c r="A65" s="1">
        <v>45597</v>
      </c>
      <c r="B65" s="9">
        <v>1600.8</v>
      </c>
      <c r="C65" s="4">
        <v>102727</v>
      </c>
      <c r="D65" s="4">
        <f>Table1921[[#This Row],[Shipment Volume]]*Table1921[[#This Row],[Average Forecasted Revenue]]</f>
        <v>164445381.59999999</v>
      </c>
    </row>
    <row r="66" spans="1:4" x14ac:dyDescent="0.3">
      <c r="A66" s="1">
        <v>45627</v>
      </c>
      <c r="B66" s="9">
        <v>1600.8</v>
      </c>
      <c r="C66" s="4">
        <v>102727</v>
      </c>
      <c r="D66" s="4">
        <f>Table1921[[#This Row],[Shipment Volume]]*Table1921[[#This Row],[Average Forecasted Revenue]]</f>
        <v>164445381.59999999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1AF5-D34F-4FCA-8158-007FFC13ABB6}">
  <dimension ref="A1:F18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26.33203125" bestFit="1" customWidth="1"/>
    <col min="3" max="3" width="19.44140625" customWidth="1"/>
    <col min="4" max="4" width="37.88671875" customWidth="1"/>
    <col min="5" max="5" width="39" customWidth="1"/>
    <col min="6" max="6" width="20.77734375" bestFit="1" customWidth="1"/>
    <col min="7" max="7" width="37.88671875" bestFit="1" customWidth="1"/>
    <col min="8" max="8" width="29.6640625" bestFit="1" customWidth="1"/>
  </cols>
  <sheetData>
    <row r="1" spans="1:6" s="2" customFormat="1" ht="21" x14ac:dyDescent="0.4">
      <c r="A1" s="130" t="s">
        <v>35</v>
      </c>
      <c r="B1" s="130"/>
      <c r="C1" s="130"/>
      <c r="D1" s="130"/>
      <c r="E1" s="130"/>
    </row>
    <row r="2" spans="1:6" x14ac:dyDescent="0.3">
      <c r="A2" s="2" t="s">
        <v>0</v>
      </c>
      <c r="B2" s="2" t="s">
        <v>1</v>
      </c>
      <c r="C2" s="2" t="s">
        <v>19</v>
      </c>
      <c r="D2" s="2" t="s">
        <v>20</v>
      </c>
      <c r="E2" s="2" t="s">
        <v>21</v>
      </c>
      <c r="F2" s="2" t="s">
        <v>2</v>
      </c>
    </row>
    <row r="3" spans="1:6" x14ac:dyDescent="0.3">
      <c r="A3" s="1">
        <v>45323</v>
      </c>
      <c r="B3">
        <v>1408</v>
      </c>
      <c r="C3" s="8">
        <v>118000000</v>
      </c>
      <c r="D3" s="8">
        <f>B3*Rules!B5</f>
        <v>2816000</v>
      </c>
      <c r="E3" s="8">
        <f>C3*Rules!B12</f>
        <v>3540000</v>
      </c>
      <c r="F3" s="4">
        <v>8497683.2799999993</v>
      </c>
    </row>
    <row r="4" spans="1:6" x14ac:dyDescent="0.3">
      <c r="A4" s="1">
        <v>45352</v>
      </c>
      <c r="B4">
        <v>913</v>
      </c>
      <c r="C4" s="8">
        <v>105000000</v>
      </c>
      <c r="D4" s="8">
        <f>B4*Rules!B4</f>
        <v>1369500</v>
      </c>
      <c r="E4" s="8">
        <f>C4*Rules!B12</f>
        <v>3150000</v>
      </c>
      <c r="F4" s="4">
        <v>4943612.66</v>
      </c>
    </row>
    <row r="5" spans="1:6" x14ac:dyDescent="0.3">
      <c r="A5" s="1">
        <v>45383</v>
      </c>
      <c r="B5">
        <v>1078</v>
      </c>
      <c r="C5" s="8">
        <v>120000000</v>
      </c>
      <c r="D5" s="8">
        <f>B5*Rules!B5</f>
        <v>2156000</v>
      </c>
      <c r="E5" s="8">
        <f>C5*Rules!B12</f>
        <v>3600000</v>
      </c>
      <c r="F5" s="4">
        <v>6248224.8799999999</v>
      </c>
    </row>
    <row r="6" spans="1:6" x14ac:dyDescent="0.3">
      <c r="A6" s="1">
        <v>45413</v>
      </c>
      <c r="B6">
        <v>1159</v>
      </c>
      <c r="C6" s="8">
        <v>140000000</v>
      </c>
      <c r="D6" s="8">
        <f>B6*Rules!B5</f>
        <v>2318000</v>
      </c>
      <c r="E6" s="8">
        <f>C6*Rules!B12</f>
        <v>4200000</v>
      </c>
      <c r="F6" s="4">
        <v>6519468.71</v>
      </c>
    </row>
    <row r="7" spans="1:6" x14ac:dyDescent="0.3">
      <c r="A7" s="1">
        <v>45444</v>
      </c>
      <c r="B7">
        <v>778</v>
      </c>
      <c r="C7" s="8">
        <v>85000000</v>
      </c>
      <c r="D7" s="8">
        <f>B7*Rules!B4</f>
        <v>1167000</v>
      </c>
      <c r="E7" s="8">
        <f>C7*Rules!B11</f>
        <v>1700000</v>
      </c>
      <c r="F7" s="4">
        <v>0</v>
      </c>
    </row>
    <row r="8" spans="1:6" ht="15" thickBot="1" x14ac:dyDescent="0.35">
      <c r="A8" s="1"/>
      <c r="C8" s="8"/>
      <c r="D8" s="62">
        <f>SUM(D3:D7)</f>
        <v>9826500</v>
      </c>
      <c r="E8" s="63">
        <f>SUM(E3:E7)</f>
        <v>16190000</v>
      </c>
      <c r="F8" s="69">
        <f>SUM(F3:F7)</f>
        <v>26208989.530000001</v>
      </c>
    </row>
    <row r="10" spans="1:6" ht="21" x14ac:dyDescent="0.4">
      <c r="A10" s="55" t="s">
        <v>54</v>
      </c>
    </row>
    <row r="11" spans="1:6" x14ac:dyDescent="0.3">
      <c r="A11" s="10" t="s">
        <v>0</v>
      </c>
      <c r="B11" s="11" t="s">
        <v>1</v>
      </c>
      <c r="C11" s="11" t="s">
        <v>19</v>
      </c>
      <c r="D11" s="11" t="s">
        <v>20</v>
      </c>
      <c r="E11" s="11" t="s">
        <v>21</v>
      </c>
      <c r="F11" s="12" t="s">
        <v>50</v>
      </c>
    </row>
    <row r="12" spans="1:6" x14ac:dyDescent="0.3">
      <c r="A12" s="49">
        <v>45474</v>
      </c>
      <c r="B12" s="53">
        <v>1067.2</v>
      </c>
      <c r="C12" s="60">
        <f>Forecast!D61</f>
        <v>109630254.40000001</v>
      </c>
      <c r="D12" s="60">
        <f>B12*Rules!B5</f>
        <v>2134400</v>
      </c>
      <c r="E12" s="60">
        <f>C12*Table3[[#This Row],[Column1]]</f>
        <v>3288907.6320000002</v>
      </c>
      <c r="F12" s="60">
        <f>D12+E12</f>
        <v>5423307.6320000002</v>
      </c>
    </row>
    <row r="13" spans="1:6" x14ac:dyDescent="0.3">
      <c r="A13" s="50">
        <v>45505</v>
      </c>
      <c r="B13" s="9">
        <v>1067.2</v>
      </c>
      <c r="C13" s="8">
        <f>Forecast!D62</f>
        <v>109630254.40000001</v>
      </c>
      <c r="D13" s="8">
        <f>B13*Rules!B5</f>
        <v>2134400</v>
      </c>
      <c r="E13" s="8">
        <f>C13*Rules!B12</f>
        <v>3288907.6320000002</v>
      </c>
      <c r="F13" s="60">
        <f t="shared" ref="F13:F17" si="0">D13+E13</f>
        <v>5423307.6320000002</v>
      </c>
    </row>
    <row r="14" spans="1:6" x14ac:dyDescent="0.3">
      <c r="A14" s="49">
        <v>45536</v>
      </c>
      <c r="B14" s="53">
        <v>1600.8</v>
      </c>
      <c r="C14" s="60">
        <f>Forecast!D63</f>
        <v>164445381.59999999</v>
      </c>
      <c r="D14" s="60">
        <f>B14*Rules!$B$6</f>
        <v>6003000</v>
      </c>
      <c r="E14" s="60">
        <f>C14*Rules!$B$13</f>
        <v>8222269.0800000001</v>
      </c>
      <c r="F14" s="60">
        <f t="shared" si="0"/>
        <v>14225269.08</v>
      </c>
    </row>
    <row r="15" spans="1:6" x14ac:dyDescent="0.3">
      <c r="A15" s="50">
        <v>45566</v>
      </c>
      <c r="B15" s="54">
        <v>1600.8</v>
      </c>
      <c r="C15" s="61">
        <f>Forecast!D64</f>
        <v>164445381.59999999</v>
      </c>
      <c r="D15" s="60">
        <f>B15*Rules!$B$6</f>
        <v>6003000</v>
      </c>
      <c r="E15" s="60">
        <f>C15*Rules!$B$13</f>
        <v>8222269.0800000001</v>
      </c>
      <c r="F15" s="60">
        <f t="shared" si="0"/>
        <v>14225269.08</v>
      </c>
    </row>
    <row r="16" spans="1:6" x14ac:dyDescent="0.3">
      <c r="A16" s="49">
        <v>45597</v>
      </c>
      <c r="B16" s="53">
        <v>1600.8</v>
      </c>
      <c r="C16" s="60">
        <f>Forecast!D65</f>
        <v>164445381.59999999</v>
      </c>
      <c r="D16" s="60">
        <f>B16*Rules!$B$6</f>
        <v>6003000</v>
      </c>
      <c r="E16" s="60">
        <f>C16*Rules!$B$13</f>
        <v>8222269.0800000001</v>
      </c>
      <c r="F16" s="60">
        <f t="shared" si="0"/>
        <v>14225269.08</v>
      </c>
    </row>
    <row r="17" spans="1:6" x14ac:dyDescent="0.3">
      <c r="A17" s="50">
        <v>45627</v>
      </c>
      <c r="B17" s="54">
        <v>1600.8</v>
      </c>
      <c r="C17" s="61">
        <f>Forecast!D66</f>
        <v>164445381.59999999</v>
      </c>
      <c r="D17" s="60">
        <f>B17*Rules!$B$6</f>
        <v>6003000</v>
      </c>
      <c r="E17" s="60">
        <f>C17*Rules!$B$13</f>
        <v>8222269.0800000001</v>
      </c>
      <c r="F17" s="60">
        <f t="shared" si="0"/>
        <v>14225269.08</v>
      </c>
    </row>
    <row r="18" spans="1:6" ht="15" thickBot="1" x14ac:dyDescent="0.35">
      <c r="D18" s="64">
        <f>SUM(D12:D17)</f>
        <v>28280800</v>
      </c>
      <c r="E18" s="64">
        <f>SUM(E12:E17)</f>
        <v>39466891.583999999</v>
      </c>
      <c r="F18" s="64">
        <f>SUM(F12:F17)</f>
        <v>67747691.584000006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4041-6862-4CE0-BA81-F3C3465A7A44}">
  <sheetPr>
    <tabColor rgb="FFC00000"/>
  </sheetPr>
  <dimension ref="A1:F30"/>
  <sheetViews>
    <sheetView topLeftCell="A10" workbookViewId="0">
      <selection activeCell="D33" sqref="D33"/>
    </sheetView>
  </sheetViews>
  <sheetFormatPr defaultRowHeight="14.4" x14ac:dyDescent="0.3"/>
  <cols>
    <col min="1" max="1" width="8.6640625" customWidth="1"/>
    <col min="2" max="2" width="21.33203125" customWidth="1"/>
    <col min="3" max="3" width="19.44140625" customWidth="1"/>
    <col min="4" max="4" width="39" customWidth="1"/>
    <col min="5" max="5" width="31.88671875" customWidth="1"/>
    <col min="6" max="6" width="25.77734375" bestFit="1" customWidth="1"/>
  </cols>
  <sheetData>
    <row r="1" spans="1:6" ht="18" x14ac:dyDescent="0.35">
      <c r="A1" s="131" t="s">
        <v>34</v>
      </c>
      <c r="B1" s="131"/>
      <c r="C1" s="131"/>
      <c r="D1" s="131"/>
      <c r="E1" s="131"/>
    </row>
    <row r="2" spans="1:6" x14ac:dyDescent="0.3">
      <c r="A2" s="2" t="s">
        <v>0</v>
      </c>
      <c r="B2" s="2" t="s">
        <v>1</v>
      </c>
      <c r="C2" s="2" t="s">
        <v>19</v>
      </c>
      <c r="D2" s="2" t="s">
        <v>22</v>
      </c>
      <c r="E2" s="2" t="s">
        <v>23</v>
      </c>
      <c r="F2" s="2" t="s">
        <v>57</v>
      </c>
    </row>
    <row r="3" spans="1:6" x14ac:dyDescent="0.3">
      <c r="A3" s="1">
        <v>45323</v>
      </c>
      <c r="B3">
        <v>1408</v>
      </c>
      <c r="C3" s="8">
        <v>118000000</v>
      </c>
      <c r="D3" s="8">
        <f>B3*Rules!E4</f>
        <v>1408000</v>
      </c>
      <c r="E3" s="8">
        <f>C3*Rules!$E$11</f>
        <v>1180000</v>
      </c>
      <c r="F3" s="8">
        <f>Table7[[#This Row],[Comm. Due in Vol per Shipment(New Rule)]]+Table7[[#This Row],[Comm. Due by Revenue(New rule)]]</f>
        <v>2588000</v>
      </c>
    </row>
    <row r="4" spans="1:6" x14ac:dyDescent="0.3">
      <c r="A4" s="1">
        <v>45352</v>
      </c>
      <c r="B4">
        <v>913</v>
      </c>
      <c r="C4" s="8">
        <v>105000000</v>
      </c>
      <c r="D4" s="8">
        <f>B4*Rules!E4</f>
        <v>913000</v>
      </c>
      <c r="E4" s="8">
        <f>C4*Rules!$E$11</f>
        <v>1050000</v>
      </c>
      <c r="F4" s="8">
        <f>Table7[[#This Row],[Comm. Due in Vol per Shipment(New Rule)]]+Table7[[#This Row],[Comm. Due by Revenue(New rule)]]</f>
        <v>1963000</v>
      </c>
    </row>
    <row r="5" spans="1:6" x14ac:dyDescent="0.3">
      <c r="A5" s="1">
        <v>45383</v>
      </c>
      <c r="B5">
        <v>1078</v>
      </c>
      <c r="C5" s="8">
        <v>120000000</v>
      </c>
      <c r="D5" s="8">
        <f>B5*Rules!E4</f>
        <v>1078000</v>
      </c>
      <c r="E5" s="8">
        <f>C5*Rules!$E$11</f>
        <v>1200000</v>
      </c>
      <c r="F5" s="8">
        <f>Table7[[#This Row],[Comm. Due in Vol per Shipment(New Rule)]]+Table7[[#This Row],[Comm. Due by Revenue(New rule)]]</f>
        <v>2278000</v>
      </c>
    </row>
    <row r="6" spans="1:6" x14ac:dyDescent="0.3">
      <c r="A6" s="1">
        <v>45413</v>
      </c>
      <c r="B6">
        <v>1159</v>
      </c>
      <c r="C6" s="8">
        <v>140000000</v>
      </c>
      <c r="D6" s="8">
        <f>B6*Rules!E4</f>
        <v>1159000</v>
      </c>
      <c r="E6" s="8">
        <f>C6*Rules!$E$11</f>
        <v>1400000</v>
      </c>
      <c r="F6" s="8">
        <f>Table7[[#This Row],[Comm. Due in Vol per Shipment(New Rule)]]+Table7[[#This Row],[Comm. Due by Revenue(New rule)]]</f>
        <v>2559000</v>
      </c>
    </row>
    <row r="7" spans="1:6" x14ac:dyDescent="0.3">
      <c r="A7" s="1">
        <v>45444</v>
      </c>
      <c r="B7">
        <v>778</v>
      </c>
      <c r="C7" s="8">
        <v>85000000</v>
      </c>
      <c r="D7" s="8">
        <f>B7*Rules!E4</f>
        <v>778000</v>
      </c>
      <c r="E7" s="8">
        <f>C7*Rules!$E$11</f>
        <v>850000</v>
      </c>
      <c r="F7" s="8">
        <f>Table7[[#This Row],[Comm. Due in Vol per Shipment(New Rule)]]+Table7[[#This Row],[Comm. Due by Revenue(New rule)]]</f>
        <v>1628000</v>
      </c>
    </row>
    <row r="8" spans="1:6" x14ac:dyDescent="0.3">
      <c r="D8" s="8">
        <f>SUM(D3:D7)</f>
        <v>5336000</v>
      </c>
      <c r="E8" s="8">
        <f>SUM(E3:E7)</f>
        <v>5680000</v>
      </c>
      <c r="F8" s="8">
        <f>SUM(F3:F7)</f>
        <v>11016000</v>
      </c>
    </row>
    <row r="10" spans="1:6" ht="18" x14ac:dyDescent="0.35">
      <c r="A10" s="131" t="s">
        <v>55</v>
      </c>
      <c r="B10" s="131"/>
      <c r="C10" s="131"/>
      <c r="D10" s="131"/>
      <c r="E10" s="131"/>
    </row>
    <row r="11" spans="1:6" x14ac:dyDescent="0.3">
      <c r="A11" s="2" t="s">
        <v>0</v>
      </c>
      <c r="B11" s="2" t="s">
        <v>1</v>
      </c>
      <c r="C11" s="2" t="s">
        <v>19</v>
      </c>
      <c r="D11" s="2" t="s">
        <v>22</v>
      </c>
      <c r="E11" s="2" t="s">
        <v>23</v>
      </c>
      <c r="F11" s="2" t="s">
        <v>57</v>
      </c>
    </row>
    <row r="12" spans="1:6" x14ac:dyDescent="0.3">
      <c r="A12" s="1">
        <v>45474</v>
      </c>
      <c r="B12" s="9">
        <v>1067.2</v>
      </c>
      <c r="C12" s="8">
        <v>109630254.40000001</v>
      </c>
      <c r="D12" s="8">
        <f>Table1024[[#This Row],[Number of Shipments]]*Rules!$E$4</f>
        <v>1067200</v>
      </c>
      <c r="E12" s="8">
        <f>Table1024[[#This Row],[Revenue Generated]]*Rules!$E$11</f>
        <v>1096302.544</v>
      </c>
      <c r="F12" s="8">
        <f>Table723[[#This Row],[Comm. Due in Vol per Shipment(New Rule)]]+Table723[[#This Row],[Comm. Due by Revenue(New rule)]]</f>
        <v>2163502.5439999998</v>
      </c>
    </row>
    <row r="13" spans="1:6" x14ac:dyDescent="0.3">
      <c r="A13" s="1">
        <v>45505</v>
      </c>
      <c r="B13" s="9">
        <v>1067.2</v>
      </c>
      <c r="C13" s="8">
        <v>109630254.40000001</v>
      </c>
      <c r="D13" s="8">
        <f>Table1024[[#This Row],[Number of Shipments]]*Rules!$E$4</f>
        <v>1067200</v>
      </c>
      <c r="E13" s="8">
        <f>Table1024[[#This Row],[Revenue Generated]]*Rules!$E$11</f>
        <v>1096302.544</v>
      </c>
      <c r="F13" s="8">
        <f>Table723[[#This Row],[Comm. Due in Vol per Shipment(New Rule)]]+Table723[[#This Row],[Comm. Due by Revenue(New rule)]]</f>
        <v>2163502.5439999998</v>
      </c>
    </row>
    <row r="14" spans="1:6" x14ac:dyDescent="0.3">
      <c r="A14" s="1">
        <v>45536</v>
      </c>
      <c r="B14" s="9">
        <v>1600.8</v>
      </c>
      <c r="C14" s="8">
        <v>164445381.59999999</v>
      </c>
      <c r="D14" s="8">
        <f>Table1024[[#This Row],[Number of Shipments]]*Rules!$E$4</f>
        <v>1600800</v>
      </c>
      <c r="E14" s="8">
        <f>Table1024[[#This Row],[Revenue Generated]]*Rules!$E$11</f>
        <v>1644453.8159999999</v>
      </c>
      <c r="F14" s="8">
        <f>Table723[[#This Row],[Comm. Due in Vol per Shipment(New Rule)]]+Table723[[#This Row],[Comm. Due by Revenue(New rule)]]</f>
        <v>3245253.8159999996</v>
      </c>
    </row>
    <row r="15" spans="1:6" x14ac:dyDescent="0.3">
      <c r="A15" s="1">
        <v>45566</v>
      </c>
      <c r="B15" s="9">
        <v>1600.8</v>
      </c>
      <c r="C15" s="8">
        <v>164445381.59999999</v>
      </c>
      <c r="D15" s="8">
        <f>Table1024[[#This Row],[Number of Shipments]]*Rules!$E$4</f>
        <v>1600800</v>
      </c>
      <c r="E15" s="8">
        <f>Table1024[[#This Row],[Revenue Generated]]*Rules!$E$11</f>
        <v>1644453.8159999999</v>
      </c>
      <c r="F15" s="8">
        <f>Table723[[#This Row],[Comm. Due in Vol per Shipment(New Rule)]]+Table723[[#This Row],[Comm. Due by Revenue(New rule)]]</f>
        <v>3245253.8159999996</v>
      </c>
    </row>
    <row r="16" spans="1:6" x14ac:dyDescent="0.3">
      <c r="A16" s="1">
        <v>45597</v>
      </c>
      <c r="B16" s="9">
        <v>1600.8</v>
      </c>
      <c r="C16" s="8">
        <v>164445381.59999999</v>
      </c>
      <c r="D16" s="8">
        <f>Table1024[[#This Row],[Number of Shipments]]*Rules!$E$4</f>
        <v>1600800</v>
      </c>
      <c r="E16" s="8">
        <f>Table1024[[#This Row],[Revenue Generated]]*Rules!$E$11</f>
        <v>1644453.8159999999</v>
      </c>
      <c r="F16" s="8">
        <f>Table723[[#This Row],[Comm. Due in Vol per Shipment(New Rule)]]+Table723[[#This Row],[Comm. Due by Revenue(New rule)]]</f>
        <v>3245253.8159999996</v>
      </c>
    </row>
    <row r="17" spans="1:6" x14ac:dyDescent="0.3">
      <c r="A17" s="1">
        <v>45627</v>
      </c>
      <c r="B17" s="9">
        <v>1600.8</v>
      </c>
      <c r="C17" s="8">
        <v>164445381.59999999</v>
      </c>
      <c r="D17" s="8">
        <f>Table1024[[#This Row],[Number of Shipments]]*Rules!$E$4</f>
        <v>1600800</v>
      </c>
      <c r="E17" s="8">
        <f>Table1024[[#This Row],[Revenue Generated]]*Rules!$E$11</f>
        <v>1644453.8159999999</v>
      </c>
      <c r="F17" s="8">
        <f>Table723[[#This Row],[Comm. Due in Vol per Shipment(New Rule)]]+Table723[[#This Row],[Comm. Due by Revenue(New rule)]]</f>
        <v>3245253.8159999996</v>
      </c>
    </row>
    <row r="18" spans="1:6" x14ac:dyDescent="0.3">
      <c r="D18" s="8">
        <f>SUM(D12:D17)</f>
        <v>8537600</v>
      </c>
      <c r="E18" s="8">
        <f>SUM(E12:E17)</f>
        <v>8770420.352</v>
      </c>
      <c r="F18" s="8">
        <f>SUM(F12:F17)</f>
        <v>17308020.351999998</v>
      </c>
    </row>
    <row r="22" spans="1:6" ht="18" x14ac:dyDescent="0.35">
      <c r="A22" s="132" t="s">
        <v>100</v>
      </c>
      <c r="B22" s="132"/>
      <c r="C22" s="132"/>
      <c r="D22" s="132"/>
      <c r="E22" s="132"/>
    </row>
    <row r="23" spans="1:6" x14ac:dyDescent="0.3">
      <c r="A23" s="2" t="s">
        <v>0</v>
      </c>
      <c r="B23" s="2" t="s">
        <v>1</v>
      </c>
      <c r="C23" s="2" t="s">
        <v>19</v>
      </c>
      <c r="D23" s="2" t="s">
        <v>22</v>
      </c>
      <c r="E23" s="2" t="s">
        <v>23</v>
      </c>
      <c r="F23" s="2" t="s">
        <v>57</v>
      </c>
    </row>
    <row r="24" spans="1:6" x14ac:dyDescent="0.3">
      <c r="A24" s="1">
        <v>45474</v>
      </c>
      <c r="B24" s="9">
        <v>1067.2</v>
      </c>
      <c r="C24" s="8">
        <v>109630254.40000001</v>
      </c>
      <c r="D24" s="8">
        <f>Table102414[[#This Row],[Number of Shipments]]*Rules!$G$4</f>
        <v>1173920</v>
      </c>
      <c r="E24" s="8">
        <f>Table102414[[#This Row],[Revenue Generated]]*Rules!$G$11</f>
        <v>1644453.8160000001</v>
      </c>
      <c r="F24" s="8">
        <f>Table7239[[#This Row],[Comm. Due in Vol per Shipment(New Rule)]]+Table7239[[#This Row],[Comm. Due by Revenue(New rule)]]</f>
        <v>2818373.8160000001</v>
      </c>
    </row>
    <row r="25" spans="1:6" x14ac:dyDescent="0.3">
      <c r="A25" s="1">
        <v>45505</v>
      </c>
      <c r="B25" s="9">
        <v>1067.2</v>
      </c>
      <c r="C25" s="8">
        <v>109630254.40000001</v>
      </c>
      <c r="D25" s="8">
        <f>Table102414[[#This Row],[Number of Shipments]]*Rules!$G$4</f>
        <v>1173920</v>
      </c>
      <c r="E25" s="8">
        <f>Table102414[[#This Row],[Revenue Generated]]*Rules!$G$11</f>
        <v>1644453.8160000001</v>
      </c>
      <c r="F25" s="8">
        <f>Table7239[[#This Row],[Comm. Due in Vol per Shipment(New Rule)]]+Table7239[[#This Row],[Comm. Due by Revenue(New rule)]]</f>
        <v>2818373.8160000001</v>
      </c>
    </row>
    <row r="26" spans="1:6" x14ac:dyDescent="0.3">
      <c r="A26" s="1">
        <v>45536</v>
      </c>
      <c r="B26" s="9">
        <v>1600.8</v>
      </c>
      <c r="C26" s="8">
        <v>164445381.59999999</v>
      </c>
      <c r="D26" s="8">
        <f>Table102414[[#This Row],[Number of Shipments]]*Rules!$G$4</f>
        <v>1760880</v>
      </c>
      <c r="E26" s="8">
        <f>Table102414[[#This Row],[Revenue Generated]]*Rules!$G$11</f>
        <v>2466680.7239999999</v>
      </c>
      <c r="F26" s="8">
        <f>Table7239[[#This Row],[Comm. Due in Vol per Shipment(New Rule)]]+Table7239[[#This Row],[Comm. Due by Revenue(New rule)]]</f>
        <v>4227560.7239999995</v>
      </c>
    </row>
    <row r="27" spans="1:6" x14ac:dyDescent="0.3">
      <c r="A27" s="1">
        <v>45566</v>
      </c>
      <c r="B27" s="9">
        <v>1600.8</v>
      </c>
      <c r="C27" s="8">
        <v>164445381.59999999</v>
      </c>
      <c r="D27" s="8">
        <f>Table102414[[#This Row],[Number of Shipments]]*Rules!$G$4</f>
        <v>1760880</v>
      </c>
      <c r="E27" s="8">
        <f>Table102414[[#This Row],[Revenue Generated]]*Rules!$G$11</f>
        <v>2466680.7239999999</v>
      </c>
      <c r="F27" s="8">
        <f>Table7239[[#This Row],[Comm. Due in Vol per Shipment(New Rule)]]+Table7239[[#This Row],[Comm. Due by Revenue(New rule)]]</f>
        <v>4227560.7239999995</v>
      </c>
    </row>
    <row r="28" spans="1:6" x14ac:dyDescent="0.3">
      <c r="A28" s="1">
        <v>45597</v>
      </c>
      <c r="B28" s="9">
        <v>1600.8</v>
      </c>
      <c r="C28" s="8">
        <v>164445381.59999999</v>
      </c>
      <c r="D28" s="8">
        <f>Table102414[[#This Row],[Number of Shipments]]*Rules!$G$4</f>
        <v>1760880</v>
      </c>
      <c r="E28" s="8">
        <f>Table102414[[#This Row],[Revenue Generated]]*Rules!$G$11</f>
        <v>2466680.7239999999</v>
      </c>
      <c r="F28" s="8">
        <f>Table7239[[#This Row],[Comm. Due in Vol per Shipment(New Rule)]]+Table7239[[#This Row],[Comm. Due by Revenue(New rule)]]</f>
        <v>4227560.7239999995</v>
      </c>
    </row>
    <row r="29" spans="1:6" x14ac:dyDescent="0.3">
      <c r="A29" s="1">
        <v>45627</v>
      </c>
      <c r="B29" s="9">
        <v>1600.8</v>
      </c>
      <c r="C29" s="8">
        <v>164445381.59999999</v>
      </c>
      <c r="D29" s="8">
        <f>Table102414[[#This Row],[Number of Shipments]]*Rules!$G$4</f>
        <v>1760880</v>
      </c>
      <c r="E29" s="8">
        <f>Table102414[[#This Row],[Revenue Generated]]*Rules!$G$11</f>
        <v>2466680.7239999999</v>
      </c>
      <c r="F29" s="8">
        <f>Table7239[[#This Row],[Comm. Due in Vol per Shipment(New Rule)]]+Table7239[[#This Row],[Comm. Due by Revenue(New rule)]]</f>
        <v>4227560.7239999995</v>
      </c>
    </row>
    <row r="30" spans="1:6" x14ac:dyDescent="0.3">
      <c r="D30" s="8">
        <f>SUM(D24:D29)</f>
        <v>9391360</v>
      </c>
      <c r="E30" s="8">
        <f>SUM(E24:E29)</f>
        <v>13155630.527999999</v>
      </c>
      <c r="F30" s="8">
        <f>SUM(F24:F29)</f>
        <v>22546990.527999997</v>
      </c>
    </row>
  </sheetData>
  <mergeCells count="3">
    <mergeCell ref="A1:E1"/>
    <mergeCell ref="A10:E10"/>
    <mergeCell ref="A22:E22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060A-3142-4CEC-8F6E-9D91A09393E2}">
  <dimension ref="A1:F45"/>
  <sheetViews>
    <sheetView topLeftCell="A27" workbookViewId="0">
      <selection activeCell="F46" sqref="F46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38.88671875" bestFit="1" customWidth="1"/>
    <col min="4" max="4" width="40.109375" bestFit="1" customWidth="1"/>
    <col min="5" max="5" width="31.109375" bestFit="1" customWidth="1"/>
    <col min="6" max="6" width="31.77734375" bestFit="1" customWidth="1"/>
  </cols>
  <sheetData>
    <row r="1" spans="1:6" ht="21" x14ac:dyDescent="0.4">
      <c r="A1" s="130" t="s">
        <v>49</v>
      </c>
      <c r="B1" s="130"/>
      <c r="C1" s="130"/>
      <c r="D1" s="130"/>
      <c r="E1" s="130"/>
      <c r="F1" s="130"/>
    </row>
    <row r="2" spans="1:6" x14ac:dyDescent="0.3">
      <c r="B2" s="40" t="s">
        <v>0</v>
      </c>
      <c r="C2" t="s">
        <v>20</v>
      </c>
      <c r="D2" t="s">
        <v>22</v>
      </c>
      <c r="E2" t="s">
        <v>30</v>
      </c>
      <c r="F2" t="s">
        <v>31</v>
      </c>
    </row>
    <row r="3" spans="1:6" x14ac:dyDescent="0.3">
      <c r="B3" s="49">
        <v>45323</v>
      </c>
      <c r="C3" s="4">
        <v>2816000</v>
      </c>
      <c r="D3" s="4">
        <v>1408000</v>
      </c>
      <c r="E3" s="46">
        <f>Table11[[#This Row],[Comm. Due in Vol per Shipment(New Rule)]]-Table11[[#This Row],[Comm. Due in Vol per Shipment(old Rule)]]</f>
        <v>-1408000</v>
      </c>
      <c r="F3" s="15">
        <f>(Table11[[#This Row],[Comm. Due in Vol per Shipment(New Rule)]]-Table11[[#This Row],[Comm. Due in Vol per Shipment(old Rule)]])/Table11[[#This Row],[Comm. Due in Vol per Shipment(New Rule)]]</f>
        <v>-1</v>
      </c>
    </row>
    <row r="4" spans="1:6" x14ac:dyDescent="0.3">
      <c r="A4" s="2" t="s">
        <v>32</v>
      </c>
      <c r="B4" s="50">
        <v>45352</v>
      </c>
      <c r="C4" s="4">
        <v>1369500</v>
      </c>
      <c r="D4" s="4">
        <v>913000</v>
      </c>
      <c r="E4" s="46">
        <f>Table11[[#This Row],[Comm. Due in Vol per Shipment(New Rule)]]-Table11[[#This Row],[Comm. Due in Vol per Shipment(old Rule)]]</f>
        <v>-456500</v>
      </c>
      <c r="F4" s="15">
        <f>(Table11[[#This Row],[Comm. Due in Vol per Shipment(New Rule)]]-Table11[[#This Row],[Comm. Due in Vol per Shipment(old Rule)]])/Table11[[#This Row],[Comm. Due in Vol per Shipment(New Rule)]]</f>
        <v>-0.5</v>
      </c>
    </row>
    <row r="5" spans="1:6" x14ac:dyDescent="0.3">
      <c r="B5" s="49">
        <v>45383</v>
      </c>
      <c r="C5" s="4">
        <v>2156000</v>
      </c>
      <c r="D5" s="4">
        <v>1078000</v>
      </c>
      <c r="E5" s="46">
        <f>Table11[[#This Row],[Comm. Due in Vol per Shipment(New Rule)]]-Table11[[#This Row],[Comm. Due in Vol per Shipment(old Rule)]]</f>
        <v>-1078000</v>
      </c>
      <c r="F5" s="15">
        <f>(Table11[[#This Row],[Comm. Due in Vol per Shipment(New Rule)]]-Table11[[#This Row],[Comm. Due in Vol per Shipment(old Rule)]])/Table11[[#This Row],[Comm. Due in Vol per Shipment(New Rule)]]</f>
        <v>-1</v>
      </c>
    </row>
    <row r="6" spans="1:6" x14ac:dyDescent="0.3">
      <c r="B6" s="50">
        <v>45413</v>
      </c>
      <c r="C6" s="4">
        <v>2318000</v>
      </c>
      <c r="D6" s="4">
        <v>1159000</v>
      </c>
      <c r="E6" s="46">
        <f>Table11[[#This Row],[Comm. Due in Vol per Shipment(New Rule)]]-Table11[[#This Row],[Comm. Due in Vol per Shipment(old Rule)]]</f>
        <v>-1159000</v>
      </c>
      <c r="F6" s="15">
        <f>(Table11[[#This Row],[Comm. Due in Vol per Shipment(New Rule)]]-Table11[[#This Row],[Comm. Due in Vol per Shipment(old Rule)]])/Table11[[#This Row],[Comm. Due in Vol per Shipment(New Rule)]]</f>
        <v>-1</v>
      </c>
    </row>
    <row r="7" spans="1:6" x14ac:dyDescent="0.3">
      <c r="B7" s="49">
        <v>45444</v>
      </c>
      <c r="C7" s="4">
        <v>1167000</v>
      </c>
      <c r="D7" s="4">
        <v>778000</v>
      </c>
      <c r="E7" s="46">
        <f>Table11[[#This Row],[Comm. Due in Vol per Shipment(New Rule)]]-Table11[[#This Row],[Comm. Due in Vol per Shipment(old Rule)]]</f>
        <v>-389000</v>
      </c>
      <c r="F7" s="15">
        <f>(Table11[[#This Row],[Comm. Due in Vol per Shipment(New Rule)]]-Table11[[#This Row],[Comm. Due in Vol per Shipment(old Rule)]])/Table11[[#This Row],[Comm. Due in Vol per Shipment(New Rule)]]</f>
        <v>-0.5</v>
      </c>
    </row>
    <row r="8" spans="1:6" ht="15.6" x14ac:dyDescent="0.3">
      <c r="C8" s="4"/>
      <c r="D8" s="4"/>
      <c r="E8" s="89" t="s">
        <v>36</v>
      </c>
      <c r="F8" s="87">
        <f>AVERAGE(F3:F7)</f>
        <v>-0.8</v>
      </c>
    </row>
    <row r="10" spans="1:6" ht="15" thickBot="1" x14ac:dyDescent="0.35">
      <c r="B10" s="41" t="s">
        <v>0</v>
      </c>
      <c r="C10" t="s">
        <v>21</v>
      </c>
      <c r="D10" t="s">
        <v>23</v>
      </c>
      <c r="E10" t="s">
        <v>30</v>
      </c>
      <c r="F10" t="s">
        <v>29</v>
      </c>
    </row>
    <row r="11" spans="1:6" ht="29.4" thickTop="1" x14ac:dyDescent="0.3">
      <c r="A11" s="44" t="s">
        <v>33</v>
      </c>
      <c r="B11" s="49">
        <v>45323</v>
      </c>
      <c r="C11" s="42">
        <v>3540000</v>
      </c>
      <c r="D11" s="42">
        <v>1408000</v>
      </c>
      <c r="E11" s="45">
        <f>Table12[[#This Row],[Comm. Due by Revenue(New rule)]]-Table12[[#This Row],[Comm. Due by Revenue(Old rule)]]</f>
        <v>-2132000</v>
      </c>
      <c r="F11" s="47">
        <f>(Table12[[#This Row],[Comm. Due by Revenue(New rule)]]-Table12[[#This Row],[Comm. Due by Revenue(Old rule)]])/Table12[[#This Row],[Comm. Due by Revenue(New rule)]]</f>
        <v>-1.5142045454545454</v>
      </c>
    </row>
    <row r="12" spans="1:6" x14ac:dyDescent="0.3">
      <c r="B12" s="50">
        <v>45352</v>
      </c>
      <c r="C12" s="4">
        <v>3150000</v>
      </c>
      <c r="D12" s="4">
        <v>913000</v>
      </c>
      <c r="E12" s="46">
        <f>Table12[[#This Row],[Comm. Due by Revenue(New rule)]]-Table12[[#This Row],[Comm. Due by Revenue(Old rule)]]</f>
        <v>-2237000</v>
      </c>
      <c r="F12" s="15">
        <f>(Table12[[#This Row],[Comm. Due by Revenue(New rule)]]-Table12[[#This Row],[Comm. Due by Revenue(Old rule)]])/Table12[[#This Row],[Comm. Due by Revenue(New rule)]]</f>
        <v>-2.4501642935377874</v>
      </c>
    </row>
    <row r="13" spans="1:6" x14ac:dyDescent="0.3">
      <c r="B13" s="49">
        <v>45383</v>
      </c>
      <c r="C13" s="4">
        <v>3600000</v>
      </c>
      <c r="D13" s="4">
        <v>1078000</v>
      </c>
      <c r="E13" s="46">
        <f>Table12[[#This Row],[Comm. Due by Revenue(New rule)]]-Table12[[#This Row],[Comm. Due by Revenue(Old rule)]]</f>
        <v>-2522000</v>
      </c>
      <c r="F13" s="15">
        <f>(Table12[[#This Row],[Comm. Due by Revenue(New rule)]]-Table12[[#This Row],[Comm. Due by Revenue(Old rule)]])/Table12[[#This Row],[Comm. Due by Revenue(New rule)]]</f>
        <v>-2.339517625231911</v>
      </c>
    </row>
    <row r="14" spans="1:6" x14ac:dyDescent="0.3">
      <c r="B14" s="50">
        <v>45413</v>
      </c>
      <c r="C14" s="4">
        <v>4200000</v>
      </c>
      <c r="D14" s="4">
        <v>1159000</v>
      </c>
      <c r="E14" s="46">
        <f>Table12[[#This Row],[Comm. Due by Revenue(New rule)]]-Table12[[#This Row],[Comm. Due by Revenue(Old rule)]]</f>
        <v>-3041000</v>
      </c>
      <c r="F14" s="15">
        <f>(Table12[[#This Row],[Comm. Due by Revenue(New rule)]]-Table12[[#This Row],[Comm. Due by Revenue(Old rule)]])/Table12[[#This Row],[Comm. Due by Revenue(New rule)]]</f>
        <v>-2.62381363244176</v>
      </c>
    </row>
    <row r="15" spans="1:6" ht="15" thickBot="1" x14ac:dyDescent="0.35">
      <c r="B15" s="49">
        <v>45444</v>
      </c>
      <c r="C15" s="4">
        <v>1700000</v>
      </c>
      <c r="D15" s="4">
        <v>778000</v>
      </c>
      <c r="E15" s="46">
        <f>Table12[[#This Row],[Comm. Due by Revenue(New rule)]]-Table12[[#This Row],[Comm. Due by Revenue(Old rule)]]</f>
        <v>-922000</v>
      </c>
      <c r="F15" s="15">
        <f>(Table12[[#This Row],[Comm. Due by Revenue(New rule)]]-Table12[[#This Row],[Comm. Due by Revenue(Old rule)]])/Table12[[#This Row],[Comm. Due by Revenue(New rule)]]</f>
        <v>-1.1850899742930592</v>
      </c>
    </row>
    <row r="16" spans="1:6" ht="16.2" thickTop="1" x14ac:dyDescent="0.3">
      <c r="B16" s="65"/>
      <c r="C16" s="4"/>
      <c r="D16" s="4"/>
      <c r="E16" s="89" t="s">
        <v>36</v>
      </c>
      <c r="F16" s="86">
        <f>SUBTOTAL(101,Table12[Percentage Difference])</f>
        <v>-2.0225580141918122</v>
      </c>
    </row>
    <row r="17" spans="1:6" ht="21" x14ac:dyDescent="0.4">
      <c r="E17" s="74" t="s">
        <v>78</v>
      </c>
      <c r="F17" s="88">
        <f>(Table11[[#Totals],[Percentage Reduction in Earnings]]+Table12[[#Totals],[Percentage Difference]])/2</f>
        <v>-1.411279007095906</v>
      </c>
    </row>
    <row r="19" spans="1:6" ht="21" x14ac:dyDescent="0.4">
      <c r="A19" s="130" t="s">
        <v>56</v>
      </c>
      <c r="B19" s="130"/>
      <c r="C19" s="130"/>
      <c r="D19" s="130"/>
      <c r="E19" s="130"/>
    </row>
    <row r="20" spans="1:6" x14ac:dyDescent="0.3">
      <c r="B20" t="s">
        <v>0</v>
      </c>
      <c r="C20" t="s">
        <v>20</v>
      </c>
      <c r="D20" t="s">
        <v>22</v>
      </c>
      <c r="E20" t="s">
        <v>30</v>
      </c>
      <c r="F20" t="s">
        <v>31</v>
      </c>
    </row>
    <row r="21" spans="1:6" x14ac:dyDescent="0.3">
      <c r="B21" s="49">
        <v>45474</v>
      </c>
      <c r="C21" s="4">
        <f>'Old Agreement'!D12</f>
        <v>2134400</v>
      </c>
      <c r="D21" s="4">
        <f>'Proposed New Agreement'!D12</f>
        <v>1067200</v>
      </c>
      <c r="E21" s="46">
        <f>Table1126[[#This Row],[Comm. Due in Vol per Shipment(New Rule)]]-Table1126[[#This Row],[Comm. Due in Vol per Shipment(old Rule)]]</f>
        <v>-1067200</v>
      </c>
      <c r="F21" s="15">
        <f>(Table1126[[#This Row],[Comm. Due in Vol per Shipment(New Rule)]]-Table1126[[#This Row],[Comm. Due in Vol per Shipment(old Rule)]])/Table1126[[#This Row],[Comm. Due in Vol per Shipment(New Rule)]]</f>
        <v>-1</v>
      </c>
    </row>
    <row r="22" spans="1:6" x14ac:dyDescent="0.3">
      <c r="A22" s="2" t="s">
        <v>32</v>
      </c>
      <c r="B22" s="50">
        <v>45505</v>
      </c>
      <c r="C22" s="4">
        <f>'Old Agreement'!D13</f>
        <v>2134400</v>
      </c>
      <c r="D22" s="4">
        <f>'Proposed New Agreement'!D13</f>
        <v>1067200</v>
      </c>
      <c r="E22" s="46">
        <f>Table1126[[#This Row],[Comm. Due in Vol per Shipment(New Rule)]]-Table1126[[#This Row],[Comm. Due in Vol per Shipment(old Rule)]]</f>
        <v>-1067200</v>
      </c>
      <c r="F22" s="15">
        <f>(Table1126[[#This Row],[Comm. Due in Vol per Shipment(New Rule)]]-Table1126[[#This Row],[Comm. Due in Vol per Shipment(old Rule)]])/Table1126[[#This Row],[Comm. Due in Vol per Shipment(New Rule)]]</f>
        <v>-1</v>
      </c>
    </row>
    <row r="23" spans="1:6" x14ac:dyDescent="0.3">
      <c r="B23" s="49">
        <v>45536</v>
      </c>
      <c r="C23" s="4">
        <f>'Old Agreement'!D14</f>
        <v>6003000</v>
      </c>
      <c r="D23" s="4">
        <f>'Proposed New Agreement'!D14</f>
        <v>1600800</v>
      </c>
      <c r="E23" s="46">
        <f>Table1126[[#This Row],[Comm. Due in Vol per Shipment(New Rule)]]-Table1126[[#This Row],[Comm. Due in Vol per Shipment(old Rule)]]</f>
        <v>-4402200</v>
      </c>
      <c r="F23" s="15">
        <f>(Table1126[[#This Row],[Comm. Due in Vol per Shipment(New Rule)]]-Table1126[[#This Row],[Comm. Due in Vol per Shipment(old Rule)]])/Table1126[[#This Row],[Comm. Due in Vol per Shipment(New Rule)]]</f>
        <v>-2.75</v>
      </c>
    </row>
    <row r="24" spans="1:6" x14ac:dyDescent="0.3">
      <c r="B24" s="50">
        <v>45566</v>
      </c>
      <c r="C24" s="4">
        <f>'Old Agreement'!D15</f>
        <v>6003000</v>
      </c>
      <c r="D24" s="4">
        <f>'Proposed New Agreement'!D15</f>
        <v>1600800</v>
      </c>
      <c r="E24" s="46">
        <f>Table1126[[#This Row],[Comm. Due in Vol per Shipment(New Rule)]]-Table1126[[#This Row],[Comm. Due in Vol per Shipment(old Rule)]]</f>
        <v>-4402200</v>
      </c>
      <c r="F24" s="15">
        <f>(Table1126[[#This Row],[Comm. Due in Vol per Shipment(New Rule)]]-Table1126[[#This Row],[Comm. Due in Vol per Shipment(old Rule)]])/Table1126[[#This Row],[Comm. Due in Vol per Shipment(New Rule)]]</f>
        <v>-2.75</v>
      </c>
    </row>
    <row r="25" spans="1:6" x14ac:dyDescent="0.3">
      <c r="B25" s="49">
        <v>45597</v>
      </c>
      <c r="C25" s="4">
        <f>'Old Agreement'!D16</f>
        <v>6003000</v>
      </c>
      <c r="D25" s="4">
        <f>'Proposed New Agreement'!D16</f>
        <v>1600800</v>
      </c>
      <c r="E25" s="46">
        <f>Table1126[[#This Row],[Comm. Due in Vol per Shipment(New Rule)]]-Table1126[[#This Row],[Comm. Due in Vol per Shipment(old Rule)]]</f>
        <v>-4402200</v>
      </c>
      <c r="F25" s="15">
        <f>(Table1126[[#This Row],[Comm. Due in Vol per Shipment(New Rule)]]-Table1126[[#This Row],[Comm. Due in Vol per Shipment(old Rule)]])/Table1126[[#This Row],[Comm. Due in Vol per Shipment(New Rule)]]</f>
        <v>-2.75</v>
      </c>
    </row>
    <row r="26" spans="1:6" x14ac:dyDescent="0.3">
      <c r="B26" s="66">
        <v>45627</v>
      </c>
      <c r="C26" s="4">
        <f>'Old Agreement'!D17</f>
        <v>6003000</v>
      </c>
      <c r="D26" s="4">
        <f>'Proposed New Agreement'!D17</f>
        <v>1600800</v>
      </c>
      <c r="E26" s="46">
        <f>Table1126[[#This Row],[Comm. Due in Vol per Shipment(New Rule)]]-Table1126[[#This Row],[Comm. Due in Vol per Shipment(old Rule)]]</f>
        <v>-4402200</v>
      </c>
      <c r="F26" s="3">
        <f>(Table1126[[#This Row],[Comm. Due in Vol per Shipment(New Rule)]]-Table1126[[#This Row],[Comm. Due in Vol per Shipment(old Rule)]])/Table1126[[#This Row],[Comm. Due in Vol per Shipment(New Rule)]]</f>
        <v>-2.75</v>
      </c>
    </row>
    <row r="27" spans="1:6" ht="15.6" x14ac:dyDescent="0.3">
      <c r="C27" s="4"/>
      <c r="D27" s="4"/>
      <c r="E27" s="89" t="s">
        <v>36</v>
      </c>
      <c r="F27" s="3">
        <f>AVERAGE(F21:F26)</f>
        <v>-2.1666666666666665</v>
      </c>
    </row>
    <row r="31" spans="1:6" ht="15" thickBot="1" x14ac:dyDescent="0.35">
      <c r="B31" s="67" t="s">
        <v>0</v>
      </c>
      <c r="C31" t="s">
        <v>21</v>
      </c>
      <c r="D31" t="s">
        <v>23</v>
      </c>
      <c r="E31" t="s">
        <v>30</v>
      </c>
      <c r="F31" t="s">
        <v>29</v>
      </c>
    </row>
    <row r="32" spans="1:6" ht="29.4" thickTop="1" x14ac:dyDescent="0.3">
      <c r="A32" s="44" t="s">
        <v>33</v>
      </c>
      <c r="B32" s="49">
        <v>45474</v>
      </c>
      <c r="C32" s="42">
        <f>'Old Agreement'!E12</f>
        <v>3288907.6320000002</v>
      </c>
      <c r="D32" s="42">
        <f>'Proposed New Agreement'!E12</f>
        <v>1096302.544</v>
      </c>
      <c r="E32" s="45">
        <f>Table1225[[#This Row],[Comm. Due by Revenue(New rule)]]-Table1225[[#This Row],[Comm. Due by Revenue(Old rule)]]</f>
        <v>-2192605.0880000005</v>
      </c>
      <c r="F32" s="47">
        <f>(Table1225[[#This Row],[Comm. Due by Revenue(New rule)]]-Table1225[[#This Row],[Comm. Due by Revenue(Old rule)]])/Table1225[[#This Row],[Comm. Due by Revenue(New rule)]]</f>
        <v>-2.0000000000000004</v>
      </c>
    </row>
    <row r="33" spans="2:6" x14ac:dyDescent="0.3">
      <c r="B33" s="68">
        <v>45505</v>
      </c>
      <c r="C33" s="42">
        <f>'Old Agreement'!E13</f>
        <v>3288907.6320000002</v>
      </c>
      <c r="D33" s="42">
        <f>'Proposed New Agreement'!E13</f>
        <v>1096302.544</v>
      </c>
      <c r="E33" s="46">
        <f>Table1225[[#This Row],[Comm. Due by Revenue(New rule)]]-Table1225[[#This Row],[Comm. Due by Revenue(Old rule)]]</f>
        <v>-2192605.0880000005</v>
      </c>
      <c r="F33" s="15">
        <f>(Table1225[[#This Row],[Comm. Due by Revenue(New rule)]]-Table1225[[#This Row],[Comm. Due by Revenue(Old rule)]])/Table1225[[#This Row],[Comm. Due by Revenue(New rule)]]</f>
        <v>-2.0000000000000004</v>
      </c>
    </row>
    <row r="34" spans="2:6" x14ac:dyDescent="0.3">
      <c r="B34" s="49">
        <v>45536</v>
      </c>
      <c r="C34" s="42">
        <f>'Old Agreement'!E14</f>
        <v>8222269.0800000001</v>
      </c>
      <c r="D34" s="42">
        <f>'Proposed New Agreement'!E14</f>
        <v>1644453.8159999999</v>
      </c>
      <c r="E34" s="46">
        <f>Table1225[[#This Row],[Comm. Due by Revenue(New rule)]]-Table1225[[#This Row],[Comm. Due by Revenue(Old rule)]]</f>
        <v>-6577815.2640000004</v>
      </c>
      <c r="F34" s="15">
        <f>(Table1225[[#This Row],[Comm. Due by Revenue(New rule)]]-Table1225[[#This Row],[Comm. Due by Revenue(Old rule)]])/Table1225[[#This Row],[Comm. Due by Revenue(New rule)]]</f>
        <v>-4.0000000000000009</v>
      </c>
    </row>
    <row r="35" spans="2:6" x14ac:dyDescent="0.3">
      <c r="B35" s="68">
        <v>45566</v>
      </c>
      <c r="C35" s="42">
        <f>'Old Agreement'!E15</f>
        <v>8222269.0800000001</v>
      </c>
      <c r="D35" s="42">
        <f>'Proposed New Agreement'!E15</f>
        <v>1644453.8159999999</v>
      </c>
      <c r="E35" s="46">
        <f>Table1225[[#This Row],[Comm. Due by Revenue(New rule)]]-Table1225[[#This Row],[Comm. Due by Revenue(Old rule)]]</f>
        <v>-6577815.2640000004</v>
      </c>
      <c r="F35" s="15">
        <f>(Table1225[[#This Row],[Comm. Due by Revenue(New rule)]]-Table1225[[#This Row],[Comm. Due by Revenue(Old rule)]])/Table1225[[#This Row],[Comm. Due by Revenue(New rule)]]</f>
        <v>-4.0000000000000009</v>
      </c>
    </row>
    <row r="36" spans="2:6" x14ac:dyDescent="0.3">
      <c r="B36" s="49">
        <v>45597</v>
      </c>
      <c r="C36" s="42">
        <f>'Old Agreement'!E16</f>
        <v>8222269.0800000001</v>
      </c>
      <c r="D36" s="42">
        <f>'Proposed New Agreement'!E16</f>
        <v>1644453.8159999999</v>
      </c>
      <c r="E36" s="46">
        <f>Table1225[[#This Row],[Comm. Due by Revenue(New rule)]]-Table1225[[#This Row],[Comm. Due by Revenue(Old rule)]]</f>
        <v>-6577815.2640000004</v>
      </c>
      <c r="F36" s="15">
        <f>(Table1225[[#This Row],[Comm. Due by Revenue(New rule)]]-Table1225[[#This Row],[Comm. Due by Revenue(Old rule)]])/Table1225[[#This Row],[Comm. Due by Revenue(New rule)]]</f>
        <v>-4.0000000000000009</v>
      </c>
    </row>
    <row r="37" spans="2:6" ht="15" thickBot="1" x14ac:dyDescent="0.35">
      <c r="B37" s="68">
        <v>45627</v>
      </c>
      <c r="C37" s="42">
        <f>'Old Agreement'!E17</f>
        <v>8222269.0800000001</v>
      </c>
      <c r="D37" s="42">
        <f>'Proposed New Agreement'!E17</f>
        <v>1644453.8159999999</v>
      </c>
      <c r="E37" s="46">
        <f>Table1225[[#This Row],[Comm. Due by Revenue(New rule)]]-Table1225[[#This Row],[Comm. Due by Revenue(Old rule)]]</f>
        <v>-6577815.2640000004</v>
      </c>
      <c r="F37" s="15">
        <f>(Table1225[[#This Row],[Comm. Due by Revenue(New rule)]]-Table1225[[#This Row],[Comm. Due by Revenue(Old rule)]])/Table1225[[#This Row],[Comm. Due by Revenue(New rule)]]</f>
        <v>-4.0000000000000009</v>
      </c>
    </row>
    <row r="38" spans="2:6" ht="16.2" thickTop="1" x14ac:dyDescent="0.3">
      <c r="B38" s="65"/>
      <c r="C38" s="65"/>
      <c r="D38" s="65"/>
      <c r="E38" s="91" t="s">
        <v>36</v>
      </c>
      <c r="F38" s="92">
        <f>SUBTOTAL(101,Table1225[Percentage Difference])</f>
        <v>-3.3333333333333339</v>
      </c>
    </row>
    <row r="39" spans="2:6" ht="21" x14ac:dyDescent="0.4">
      <c r="E39" s="74" t="s">
        <v>78</v>
      </c>
      <c r="F39" s="90">
        <f>(Table1126[[#Totals],[Percentage Reduction in Earnings]]+Table1225[[#Totals],[Percentage Difference]])/2</f>
        <v>-2.75</v>
      </c>
    </row>
    <row r="42" spans="2:6" ht="18" x14ac:dyDescent="0.35">
      <c r="B42" s="74" t="s">
        <v>111</v>
      </c>
      <c r="C42" s="74"/>
    </row>
    <row r="43" spans="2:6" x14ac:dyDescent="0.3">
      <c r="B43" s="6" t="s">
        <v>112</v>
      </c>
      <c r="C43" s="6" t="s">
        <v>113</v>
      </c>
      <c r="D43" s="6" t="s">
        <v>114</v>
      </c>
    </row>
    <row r="44" spans="2:6" x14ac:dyDescent="0.3">
      <c r="B44" s="5" t="s">
        <v>115</v>
      </c>
      <c r="C44" s="112">
        <f>Table11[[#Totals],[Percentage Reduction in Earnings]]</f>
        <v>-0.8</v>
      </c>
      <c r="D44" s="112">
        <f>Table1126[[#Totals],[Percentage Reduction in Earnings]]</f>
        <v>-2.1666666666666665</v>
      </c>
    </row>
    <row r="45" spans="2:6" x14ac:dyDescent="0.3">
      <c r="B45" s="5" t="s">
        <v>116</v>
      </c>
      <c r="C45" s="112">
        <f>Table12[[#Totals],[Percentage Difference]]</f>
        <v>-2.0225580141918122</v>
      </c>
      <c r="D45" s="112">
        <f>Table1225[[#Totals],[Percentage Difference]]</f>
        <v>-3.3333333333333339</v>
      </c>
    </row>
  </sheetData>
  <mergeCells count="2">
    <mergeCell ref="A1:F1"/>
    <mergeCell ref="A19:E1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5EAF-97C5-40D6-8DC0-F5791AC1A364}">
  <sheetPr>
    <tabColor theme="9" tint="-0.249977111117893"/>
  </sheetPr>
  <dimension ref="A1:I53"/>
  <sheetViews>
    <sheetView topLeftCell="B27" workbookViewId="0">
      <selection activeCell="A41" sqref="A41:A46"/>
    </sheetView>
  </sheetViews>
  <sheetFormatPr defaultRowHeight="14.4" x14ac:dyDescent="0.3"/>
  <cols>
    <col min="2" max="2" width="25.21875" bestFit="1" customWidth="1"/>
    <col min="3" max="3" width="19.5546875" customWidth="1"/>
    <col min="4" max="4" width="21" bestFit="1" customWidth="1"/>
    <col min="5" max="5" width="13.33203125" customWidth="1"/>
    <col min="6" max="6" width="23.44140625" bestFit="1" customWidth="1"/>
    <col min="7" max="7" width="21.77734375" bestFit="1" customWidth="1"/>
    <col min="8" max="8" width="14.88671875" bestFit="1" customWidth="1"/>
    <col min="9" max="9" width="14.109375" bestFit="1" customWidth="1"/>
  </cols>
  <sheetData>
    <row r="1" spans="1:9" ht="21" x14ac:dyDescent="0.4">
      <c r="A1" s="55" t="s">
        <v>80</v>
      </c>
    </row>
    <row r="2" spans="1:9" x14ac:dyDescent="0.3">
      <c r="A2" t="s">
        <v>0</v>
      </c>
      <c r="B2" t="s">
        <v>2</v>
      </c>
      <c r="C2" t="s">
        <v>38</v>
      </c>
      <c r="D2" t="s">
        <v>40</v>
      </c>
      <c r="E2" t="s">
        <v>37</v>
      </c>
      <c r="F2" t="s">
        <v>44</v>
      </c>
      <c r="G2" t="s">
        <v>39</v>
      </c>
      <c r="H2" t="s">
        <v>41</v>
      </c>
      <c r="I2" t="s">
        <v>42</v>
      </c>
    </row>
    <row r="3" spans="1:9" x14ac:dyDescent="0.3">
      <c r="A3" s="1">
        <v>45323</v>
      </c>
      <c r="B3" s="4">
        <v>8497683.2799999993</v>
      </c>
      <c r="C3" s="4">
        <v>200000</v>
      </c>
      <c r="D3" s="4">
        <f>B3+C3</f>
        <v>8697683.2799999993</v>
      </c>
      <c r="E3" s="4">
        <v>730000</v>
      </c>
      <c r="F3" s="4">
        <v>2080000</v>
      </c>
      <c r="G3" s="4">
        <v>518000</v>
      </c>
      <c r="H3" s="4">
        <f>Table14[[#This Row],[Salaries Paid]]+Table14[[#This Row],[Work Expense]]+Table14[[#This Row],[Logistic Expense]]</f>
        <v>3328000</v>
      </c>
      <c r="I3" s="48">
        <f>Table14[[#This Row],[Total Reciepts]]-Table14[[#This Row],[Total Expense]]</f>
        <v>5369683.2799999993</v>
      </c>
    </row>
    <row r="4" spans="1:9" x14ac:dyDescent="0.3">
      <c r="A4" s="1">
        <v>45352</v>
      </c>
      <c r="B4" s="4">
        <v>4943612.66</v>
      </c>
      <c r="C4" s="4">
        <v>200000</v>
      </c>
      <c r="D4" s="4">
        <f t="shared" ref="D4:D7" si="0">B4+C4</f>
        <v>5143612.66</v>
      </c>
      <c r="E4" s="4">
        <v>950000</v>
      </c>
      <c r="F4" s="4">
        <v>2080000</v>
      </c>
      <c r="G4" s="4">
        <v>518000</v>
      </c>
      <c r="H4" s="4">
        <f>Table14[[#This Row],[Salaries Paid]]+Table14[[#This Row],[Work Expense]]+Table14[[#This Row],[Logistic Expense]]</f>
        <v>3548000</v>
      </c>
      <c r="I4" s="48">
        <f>Table14[[#This Row],[Total Reciepts]]-Table14[[#This Row],[Total Expense]]</f>
        <v>1595612.6600000001</v>
      </c>
    </row>
    <row r="5" spans="1:9" x14ac:dyDescent="0.3">
      <c r="A5" s="1">
        <v>45383</v>
      </c>
      <c r="B5" s="4">
        <v>6248224.8799999999</v>
      </c>
      <c r="C5" s="4">
        <v>200000</v>
      </c>
      <c r="D5" s="4">
        <f t="shared" si="0"/>
        <v>6448224.8799999999</v>
      </c>
      <c r="E5" s="4">
        <v>950000</v>
      </c>
      <c r="F5" s="4">
        <v>2080000</v>
      </c>
      <c r="G5" s="4">
        <v>518000</v>
      </c>
      <c r="H5" s="4">
        <f>Table14[[#This Row],[Salaries Paid]]+Table14[[#This Row],[Work Expense]]+Table14[[#This Row],[Logistic Expense]]</f>
        <v>3548000</v>
      </c>
      <c r="I5" s="48">
        <f>Table14[[#This Row],[Total Reciepts]]-Table14[[#This Row],[Total Expense]]</f>
        <v>2900224.88</v>
      </c>
    </row>
    <row r="6" spans="1:9" x14ac:dyDescent="0.3">
      <c r="A6" s="1">
        <v>45413</v>
      </c>
      <c r="B6" s="4">
        <v>6519468.71</v>
      </c>
      <c r="C6" s="4">
        <v>200000</v>
      </c>
      <c r="D6" s="4">
        <f t="shared" si="0"/>
        <v>6719468.71</v>
      </c>
      <c r="E6" s="4">
        <v>950000</v>
      </c>
      <c r="F6" s="4">
        <v>2080000</v>
      </c>
      <c r="G6" s="4">
        <v>518000</v>
      </c>
      <c r="H6" s="4">
        <f>Table14[[#This Row],[Salaries Paid]]+Table14[[#This Row],[Work Expense]]+Table14[[#This Row],[Logistic Expense]]</f>
        <v>3548000</v>
      </c>
      <c r="I6" s="48">
        <f>Table14[[#This Row],[Total Reciepts]]-Table14[[#This Row],[Total Expense]]</f>
        <v>3171468.71</v>
      </c>
    </row>
    <row r="7" spans="1:9" x14ac:dyDescent="0.3">
      <c r="A7" s="1">
        <v>45444</v>
      </c>
      <c r="B7" s="102">
        <f>Table11[[#This Row],[Comm. Due in Vol per Shipment(old Rule)]]</f>
        <v>1167000</v>
      </c>
      <c r="C7" s="4">
        <v>200000</v>
      </c>
      <c r="D7" s="4">
        <f t="shared" si="0"/>
        <v>1367000</v>
      </c>
      <c r="E7" s="4">
        <v>950000</v>
      </c>
      <c r="F7" s="4">
        <v>2080000</v>
      </c>
      <c r="G7" s="4">
        <v>518000</v>
      </c>
      <c r="H7" s="4">
        <v>3548000</v>
      </c>
      <c r="I7" s="70">
        <f>Table14[[#This Row],[Total Reciepts]]-Table14[[#This Row],[Total Expense]]</f>
        <v>-2181000</v>
      </c>
    </row>
    <row r="8" spans="1:9" x14ac:dyDescent="0.3">
      <c r="A8" s="1"/>
      <c r="B8" s="4"/>
      <c r="C8" s="4"/>
      <c r="D8" s="4">
        <f>SUM(D3:D7)</f>
        <v>28375989.530000001</v>
      </c>
      <c r="E8" s="4"/>
      <c r="F8" s="4"/>
      <c r="G8" s="4"/>
      <c r="H8" s="4">
        <f>SUM(H3:H7)</f>
        <v>17520000</v>
      </c>
      <c r="I8" s="48">
        <f>SUM(I3:I7)</f>
        <v>10855989.530000001</v>
      </c>
    </row>
    <row r="9" spans="1:9" ht="21" x14ac:dyDescent="0.4">
      <c r="A9" s="55" t="s">
        <v>58</v>
      </c>
    </row>
    <row r="10" spans="1:9" x14ac:dyDescent="0.3">
      <c r="A10" s="10" t="s">
        <v>0</v>
      </c>
      <c r="B10" s="11" t="s">
        <v>59</v>
      </c>
      <c r="C10" s="11" t="s">
        <v>38</v>
      </c>
      <c r="D10" s="11" t="s">
        <v>60</v>
      </c>
      <c r="E10" s="72" t="s">
        <v>61</v>
      </c>
      <c r="F10" s="11" t="s">
        <v>62</v>
      </c>
      <c r="G10" s="11" t="s">
        <v>63</v>
      </c>
      <c r="H10" s="11" t="s">
        <v>41</v>
      </c>
      <c r="I10" s="12" t="s">
        <v>42</v>
      </c>
    </row>
    <row r="11" spans="1:9" x14ac:dyDescent="0.3">
      <c r="A11" s="49">
        <v>45474</v>
      </c>
      <c r="B11" s="53">
        <v>1067.2</v>
      </c>
      <c r="C11" s="4">
        <v>200000</v>
      </c>
      <c r="D11" s="4">
        <f>'Old Agreement'!F12</f>
        <v>5423307.6320000002</v>
      </c>
      <c r="E11" s="4">
        <v>950000</v>
      </c>
      <c r="F11" s="4">
        <v>2080000</v>
      </c>
      <c r="G11" s="4">
        <v>518000</v>
      </c>
      <c r="H11" s="4">
        <f>E11+F11+G11</f>
        <v>3548000</v>
      </c>
      <c r="I11" s="48">
        <f>D11-H11</f>
        <v>1875307.6320000002</v>
      </c>
    </row>
    <row r="12" spans="1:9" x14ac:dyDescent="0.3">
      <c r="A12" s="50">
        <v>45505</v>
      </c>
      <c r="B12" s="54">
        <v>1067.2</v>
      </c>
      <c r="C12" s="4">
        <v>200000</v>
      </c>
      <c r="D12" s="4">
        <f>'Old Agreement'!F13</f>
        <v>5423307.6320000002</v>
      </c>
      <c r="E12" s="4">
        <v>950000</v>
      </c>
      <c r="F12" s="4">
        <v>2080000</v>
      </c>
      <c r="G12" s="4">
        <v>518000</v>
      </c>
      <c r="H12" s="4">
        <f t="shared" ref="H12:H16" si="1">E12+F12+G12</f>
        <v>3548000</v>
      </c>
      <c r="I12" s="48">
        <f t="shared" ref="I12:I16" si="2">D12-H12</f>
        <v>1875307.6320000002</v>
      </c>
    </row>
    <row r="13" spans="1:9" x14ac:dyDescent="0.3">
      <c r="A13" s="49">
        <v>45536</v>
      </c>
      <c r="B13" s="53">
        <v>1600.8</v>
      </c>
      <c r="C13" s="4">
        <v>200000</v>
      </c>
      <c r="D13" s="4">
        <f>'Old Agreement'!F14</f>
        <v>14225269.08</v>
      </c>
      <c r="E13" s="4">
        <v>950000</v>
      </c>
      <c r="F13" s="4">
        <v>2080000</v>
      </c>
      <c r="G13" s="4">
        <v>518000</v>
      </c>
      <c r="H13" s="4">
        <f t="shared" si="1"/>
        <v>3548000</v>
      </c>
      <c r="I13" s="48">
        <f t="shared" si="2"/>
        <v>10677269.08</v>
      </c>
    </row>
    <row r="14" spans="1:9" x14ac:dyDescent="0.3">
      <c r="A14" s="50">
        <v>45566</v>
      </c>
      <c r="B14" s="54">
        <v>1600.8</v>
      </c>
      <c r="C14" s="4">
        <v>200000</v>
      </c>
      <c r="D14" s="4">
        <f>'Old Agreement'!F15</f>
        <v>14225269.08</v>
      </c>
      <c r="E14" s="4">
        <v>950000</v>
      </c>
      <c r="F14" s="4">
        <v>2080000</v>
      </c>
      <c r="G14" s="4">
        <v>518000</v>
      </c>
      <c r="H14" s="4">
        <f t="shared" si="1"/>
        <v>3548000</v>
      </c>
      <c r="I14" s="48">
        <f t="shared" si="2"/>
        <v>10677269.08</v>
      </c>
    </row>
    <row r="15" spans="1:9" x14ac:dyDescent="0.3">
      <c r="A15" s="49">
        <v>45597</v>
      </c>
      <c r="B15" s="53">
        <v>1600.8</v>
      </c>
      <c r="C15" s="4">
        <v>200000</v>
      </c>
      <c r="D15" s="4">
        <f>'Old Agreement'!F16</f>
        <v>14225269.08</v>
      </c>
      <c r="E15" s="4">
        <v>950000</v>
      </c>
      <c r="F15" s="4">
        <v>2080000</v>
      </c>
      <c r="G15" s="4">
        <v>518000</v>
      </c>
      <c r="H15" s="4">
        <f t="shared" si="1"/>
        <v>3548000</v>
      </c>
      <c r="I15" s="48">
        <f t="shared" si="2"/>
        <v>10677269.08</v>
      </c>
    </row>
    <row r="16" spans="1:9" ht="15" thickBot="1" x14ac:dyDescent="0.35">
      <c r="A16" s="93">
        <v>45627</v>
      </c>
      <c r="B16" s="94">
        <v>1600.8</v>
      </c>
      <c r="C16" s="95">
        <v>200000</v>
      </c>
      <c r="D16" s="95">
        <f>'Old Agreement'!F17</f>
        <v>14225269.08</v>
      </c>
      <c r="E16" s="95">
        <v>950000</v>
      </c>
      <c r="F16" s="95">
        <v>2080000</v>
      </c>
      <c r="G16" s="95">
        <v>518000</v>
      </c>
      <c r="H16" s="95">
        <f t="shared" si="1"/>
        <v>3548000</v>
      </c>
      <c r="I16" s="96">
        <f t="shared" si="2"/>
        <v>10677269.08</v>
      </c>
    </row>
    <row r="17" spans="1:9" ht="15" thickTop="1" x14ac:dyDescent="0.3">
      <c r="C17" s="4"/>
      <c r="D17" s="71">
        <f>SUM(D11:D16)</f>
        <v>67747691.584000006</v>
      </c>
      <c r="E17" s="4"/>
      <c r="F17" s="4"/>
      <c r="G17" s="4"/>
      <c r="H17" s="71">
        <f>SUM(H11:H16)</f>
        <v>21288000</v>
      </c>
      <c r="I17" s="48">
        <f>SUM(I11:I16)</f>
        <v>46459691.583999999</v>
      </c>
    </row>
    <row r="20" spans="1:9" ht="21" x14ac:dyDescent="0.4">
      <c r="A20" s="55" t="s">
        <v>79</v>
      </c>
    </row>
    <row r="21" spans="1:9" x14ac:dyDescent="0.3">
      <c r="A21" t="s">
        <v>0</v>
      </c>
      <c r="B21" t="s">
        <v>81</v>
      </c>
      <c r="C21" t="s">
        <v>38</v>
      </c>
      <c r="D21" t="s">
        <v>40</v>
      </c>
      <c r="E21" t="s">
        <v>37</v>
      </c>
      <c r="F21" t="s">
        <v>44</v>
      </c>
      <c r="G21" t="s">
        <v>39</v>
      </c>
      <c r="H21" t="s">
        <v>41</v>
      </c>
      <c r="I21" t="s">
        <v>42</v>
      </c>
    </row>
    <row r="22" spans="1:9" x14ac:dyDescent="0.3">
      <c r="A22" s="1">
        <v>45323</v>
      </c>
      <c r="B22" s="4">
        <v>2588000</v>
      </c>
      <c r="C22" s="4">
        <v>200000</v>
      </c>
      <c r="D22" s="4">
        <f>B22+C22</f>
        <v>2788000</v>
      </c>
      <c r="E22" s="4">
        <v>730000</v>
      </c>
      <c r="F22" s="4">
        <v>2080000</v>
      </c>
      <c r="G22" s="4">
        <v>518000</v>
      </c>
      <c r="H22" s="4">
        <f>Table1432[[#This Row],[Salaries Paid]]+Table1432[[#This Row],[Work Expense]]+Table1432[[#This Row],[Logistic Expense]]</f>
        <v>3328000</v>
      </c>
      <c r="I22" s="73">
        <f>Table1432[[#This Row],[Total Reciepts]]-Table1432[[#This Row],[Total Expense]]</f>
        <v>-540000</v>
      </c>
    </row>
    <row r="23" spans="1:9" x14ac:dyDescent="0.3">
      <c r="A23" s="1">
        <v>45352</v>
      </c>
      <c r="B23" s="4">
        <v>1963000</v>
      </c>
      <c r="C23" s="4">
        <v>200000</v>
      </c>
      <c r="D23" s="4">
        <f t="shared" ref="D23:D26" si="3">B23+C23</f>
        <v>2163000</v>
      </c>
      <c r="E23" s="4">
        <v>950000</v>
      </c>
      <c r="F23" s="4">
        <v>2080000</v>
      </c>
      <c r="G23" s="4">
        <v>518000</v>
      </c>
      <c r="H23" s="4">
        <f>Table1432[[#This Row],[Salaries Paid]]+Table1432[[#This Row],[Work Expense]]+Table1432[[#This Row],[Logistic Expense]]</f>
        <v>3548000</v>
      </c>
      <c r="I23" s="73">
        <f>Table1432[[#This Row],[Total Reciepts]]-Table1432[[#This Row],[Total Expense]]</f>
        <v>-1385000</v>
      </c>
    </row>
    <row r="24" spans="1:9" x14ac:dyDescent="0.3">
      <c r="A24" s="1">
        <v>45383</v>
      </c>
      <c r="B24" s="4">
        <v>2278000</v>
      </c>
      <c r="C24" s="4">
        <v>200000</v>
      </c>
      <c r="D24" s="4">
        <f t="shared" si="3"/>
        <v>2478000</v>
      </c>
      <c r="E24" s="4">
        <v>950000</v>
      </c>
      <c r="F24" s="4">
        <v>2080000</v>
      </c>
      <c r="G24" s="4">
        <v>518000</v>
      </c>
      <c r="H24" s="4">
        <f>Table1432[[#This Row],[Salaries Paid]]+Table1432[[#This Row],[Work Expense]]+Table1432[[#This Row],[Logistic Expense]]</f>
        <v>3548000</v>
      </c>
      <c r="I24" s="73">
        <f>Table1432[[#This Row],[Total Reciepts]]-Table1432[[#This Row],[Total Expense]]</f>
        <v>-1070000</v>
      </c>
    </row>
    <row r="25" spans="1:9" x14ac:dyDescent="0.3">
      <c r="A25" s="1">
        <v>45413</v>
      </c>
      <c r="B25" s="4">
        <v>2559000</v>
      </c>
      <c r="C25" s="4">
        <v>200000</v>
      </c>
      <c r="D25" s="4">
        <f t="shared" si="3"/>
        <v>2759000</v>
      </c>
      <c r="E25" s="4">
        <v>950000</v>
      </c>
      <c r="F25" s="4">
        <v>2080000</v>
      </c>
      <c r="G25" s="4">
        <v>518000</v>
      </c>
      <c r="H25" s="4">
        <f>Table1432[[#This Row],[Salaries Paid]]+Table1432[[#This Row],[Work Expense]]+Table1432[[#This Row],[Logistic Expense]]</f>
        <v>3548000</v>
      </c>
      <c r="I25" s="73">
        <f>Table1432[[#This Row],[Total Reciepts]]-Table1432[[#This Row],[Total Expense]]</f>
        <v>-789000</v>
      </c>
    </row>
    <row r="26" spans="1:9" x14ac:dyDescent="0.3">
      <c r="A26" s="1">
        <v>45444</v>
      </c>
      <c r="B26" s="4">
        <v>1628000</v>
      </c>
      <c r="C26" s="4">
        <v>200000</v>
      </c>
      <c r="D26" s="4">
        <f t="shared" si="3"/>
        <v>1828000</v>
      </c>
      <c r="E26" s="4">
        <v>950000</v>
      </c>
      <c r="F26" s="4">
        <v>2080000</v>
      </c>
      <c r="G26" s="4">
        <v>518000</v>
      </c>
      <c r="H26" s="4">
        <v>3548000</v>
      </c>
      <c r="I26" s="73">
        <f>Table1432[[#This Row],[Total Reciepts]]-Table1432[[#This Row],[Total Expense]]</f>
        <v>-1720000</v>
      </c>
    </row>
    <row r="27" spans="1:9" x14ac:dyDescent="0.3">
      <c r="A27" s="1"/>
      <c r="B27" s="4"/>
      <c r="C27" s="4"/>
      <c r="D27" s="4">
        <f>SUM(D22:D26)</f>
        <v>12016000</v>
      </c>
      <c r="E27" s="4"/>
      <c r="F27" s="4"/>
      <c r="G27" s="4"/>
      <c r="H27" s="4">
        <f>SUM(H22:H26)</f>
        <v>17520000</v>
      </c>
      <c r="I27" s="73">
        <f>SUM(I22:I26)</f>
        <v>-5504000</v>
      </c>
    </row>
    <row r="28" spans="1:9" ht="21" x14ac:dyDescent="0.4">
      <c r="A28" s="55" t="s">
        <v>64</v>
      </c>
    </row>
    <row r="29" spans="1:9" x14ac:dyDescent="0.3">
      <c r="A29" s="10" t="s">
        <v>0</v>
      </c>
      <c r="B29" s="11" t="s">
        <v>59</v>
      </c>
      <c r="C29" s="11" t="s">
        <v>38</v>
      </c>
      <c r="D29" s="11" t="s">
        <v>60</v>
      </c>
      <c r="E29" s="72" t="s">
        <v>61</v>
      </c>
      <c r="F29" s="11" t="s">
        <v>62</v>
      </c>
      <c r="G29" s="11" t="s">
        <v>63</v>
      </c>
      <c r="H29" s="11" t="s">
        <v>41</v>
      </c>
      <c r="I29" s="12" t="s">
        <v>42</v>
      </c>
    </row>
    <row r="30" spans="1:9" x14ac:dyDescent="0.3">
      <c r="A30" s="49">
        <v>45474</v>
      </c>
      <c r="B30" s="53">
        <v>1067.2</v>
      </c>
      <c r="C30" s="4">
        <v>200000</v>
      </c>
      <c r="D30" s="4">
        <f>'Proposed New Agreement'!F12+C30</f>
        <v>2363502.5439999998</v>
      </c>
      <c r="E30" s="4">
        <v>950000</v>
      </c>
      <c r="F30" s="4">
        <v>2080000</v>
      </c>
      <c r="G30" s="4">
        <v>518000</v>
      </c>
      <c r="H30" s="4">
        <f>E30+F30+G30</f>
        <v>3548000</v>
      </c>
      <c r="I30" s="73">
        <f>D30-H30</f>
        <v>-1184497.4560000002</v>
      </c>
    </row>
    <row r="31" spans="1:9" x14ac:dyDescent="0.3">
      <c r="A31" s="50">
        <v>45505</v>
      </c>
      <c r="B31" s="54">
        <v>1067.2</v>
      </c>
      <c r="C31" s="4">
        <v>200000</v>
      </c>
      <c r="D31" s="4">
        <f>'Proposed New Agreement'!F13+C31</f>
        <v>2363502.5439999998</v>
      </c>
      <c r="E31" s="4">
        <v>950000</v>
      </c>
      <c r="F31" s="4">
        <v>2080000</v>
      </c>
      <c r="G31" s="4">
        <v>518000</v>
      </c>
      <c r="H31" s="4">
        <f t="shared" ref="H31:H35" si="4">E31+F31+G31</f>
        <v>3548000</v>
      </c>
      <c r="I31" s="73">
        <f t="shared" ref="I31:I35" si="5">D31-H31</f>
        <v>-1184497.4560000002</v>
      </c>
    </row>
    <row r="32" spans="1:9" x14ac:dyDescent="0.3">
      <c r="A32" s="49">
        <v>45536</v>
      </c>
      <c r="B32" s="53">
        <v>1600.8</v>
      </c>
      <c r="C32" s="4">
        <v>200000</v>
      </c>
      <c r="D32" s="4">
        <f>'Proposed New Agreement'!F14+C32</f>
        <v>3445253.8159999996</v>
      </c>
      <c r="E32" s="4">
        <v>950000</v>
      </c>
      <c r="F32" s="4">
        <v>2080000</v>
      </c>
      <c r="G32" s="4">
        <v>518000</v>
      </c>
      <c r="H32" s="4">
        <f t="shared" si="4"/>
        <v>3548000</v>
      </c>
      <c r="I32" s="73">
        <f t="shared" si="5"/>
        <v>-102746.18400000036</v>
      </c>
    </row>
    <row r="33" spans="1:9" x14ac:dyDescent="0.3">
      <c r="A33" s="50">
        <v>45566</v>
      </c>
      <c r="B33" s="54">
        <v>1600.8</v>
      </c>
      <c r="C33" s="4">
        <v>200000</v>
      </c>
      <c r="D33" s="4">
        <f>'Proposed New Agreement'!F15+C33</f>
        <v>3445253.8159999996</v>
      </c>
      <c r="E33" s="4">
        <v>950000</v>
      </c>
      <c r="F33" s="4">
        <v>2080000</v>
      </c>
      <c r="G33" s="4">
        <v>518000</v>
      </c>
      <c r="H33" s="4">
        <f t="shared" si="4"/>
        <v>3548000</v>
      </c>
      <c r="I33" s="73">
        <f t="shared" si="5"/>
        <v>-102746.18400000036</v>
      </c>
    </row>
    <row r="34" spans="1:9" x14ac:dyDescent="0.3">
      <c r="A34" s="49">
        <v>45597</v>
      </c>
      <c r="B34" s="53">
        <v>1600.8</v>
      </c>
      <c r="C34" s="4">
        <v>200000</v>
      </c>
      <c r="D34" s="4">
        <f>'Proposed New Agreement'!F16+C34</f>
        <v>3445253.8159999996</v>
      </c>
      <c r="E34" s="4">
        <v>950000</v>
      </c>
      <c r="F34" s="4">
        <v>2080000</v>
      </c>
      <c r="G34" s="4">
        <v>518000</v>
      </c>
      <c r="H34" s="4">
        <f t="shared" si="4"/>
        <v>3548000</v>
      </c>
      <c r="I34" s="73">
        <f t="shared" si="5"/>
        <v>-102746.18400000036</v>
      </c>
    </row>
    <row r="35" spans="1:9" x14ac:dyDescent="0.3">
      <c r="A35" s="50">
        <v>45627</v>
      </c>
      <c r="B35" s="54">
        <v>1600.8</v>
      </c>
      <c r="C35" s="106">
        <v>200000</v>
      </c>
      <c r="D35" s="107">
        <f>'Proposed New Agreement'!F17+C35</f>
        <v>3445253.8159999996</v>
      </c>
      <c r="E35" s="107">
        <v>950000</v>
      </c>
      <c r="F35" s="107">
        <v>2080000</v>
      </c>
      <c r="G35" s="107">
        <v>518000</v>
      </c>
      <c r="H35" s="107">
        <f t="shared" si="4"/>
        <v>3548000</v>
      </c>
      <c r="I35" s="108">
        <f t="shared" si="5"/>
        <v>-102746.18400000036</v>
      </c>
    </row>
    <row r="36" spans="1:9" ht="15" thickBot="1" x14ac:dyDescent="0.35">
      <c r="A36" s="97"/>
      <c r="B36" s="97"/>
      <c r="C36" s="95"/>
      <c r="D36" s="95">
        <f>SUM(D30:D35)</f>
        <v>18508020.351999998</v>
      </c>
      <c r="E36" s="95"/>
      <c r="F36" s="95"/>
      <c r="G36" s="95"/>
      <c r="H36" s="100">
        <f>SUM(H30:H35)</f>
        <v>21288000</v>
      </c>
      <c r="I36" s="105">
        <f>SUM(I30:I35)</f>
        <v>-2779979.6480000019</v>
      </c>
    </row>
    <row r="37" spans="1:9" ht="15" thickTop="1" x14ac:dyDescent="0.3"/>
    <row r="39" spans="1:9" ht="21" x14ac:dyDescent="0.4">
      <c r="A39" s="55" t="s">
        <v>101</v>
      </c>
    </row>
    <row r="40" spans="1:9" x14ac:dyDescent="0.3">
      <c r="A40" s="10" t="s">
        <v>0</v>
      </c>
      <c r="B40" s="11" t="s">
        <v>59</v>
      </c>
      <c r="C40" s="11" t="s">
        <v>38</v>
      </c>
      <c r="D40" s="11" t="s">
        <v>60</v>
      </c>
      <c r="E40" s="72" t="s">
        <v>61</v>
      </c>
      <c r="F40" s="11" t="s">
        <v>62</v>
      </c>
      <c r="G40" s="11" t="s">
        <v>63</v>
      </c>
      <c r="H40" s="11" t="s">
        <v>41</v>
      </c>
      <c r="I40" s="12" t="s">
        <v>42</v>
      </c>
    </row>
    <row r="41" spans="1:9" x14ac:dyDescent="0.3">
      <c r="A41" s="49">
        <v>45474</v>
      </c>
      <c r="B41" s="53">
        <v>1067.2</v>
      </c>
      <c r="C41" s="4">
        <v>200000</v>
      </c>
      <c r="D41" s="4">
        <f>'Proposed New Agreement'!F24+'P&amp;L'!C41</f>
        <v>3018373.8160000001</v>
      </c>
      <c r="E41" s="4">
        <v>950000</v>
      </c>
      <c r="F41" s="4">
        <v>2080000</v>
      </c>
      <c r="G41" s="4">
        <v>518000</v>
      </c>
      <c r="H41" s="4">
        <f>E41+F41+G41</f>
        <v>3548000</v>
      </c>
      <c r="I41" s="73">
        <f>D41-H41</f>
        <v>-529626.18399999989</v>
      </c>
    </row>
    <row r="42" spans="1:9" x14ac:dyDescent="0.3">
      <c r="A42" s="50">
        <v>45505</v>
      </c>
      <c r="B42" s="54">
        <v>1067.2</v>
      </c>
      <c r="C42" s="4">
        <v>200000</v>
      </c>
      <c r="D42" s="4">
        <f>'Proposed New Agreement'!F25+'P&amp;L'!C42</f>
        <v>3018373.8160000001</v>
      </c>
      <c r="E42" s="4">
        <v>950000</v>
      </c>
      <c r="F42" s="4">
        <v>2080000</v>
      </c>
      <c r="G42" s="4">
        <v>518000</v>
      </c>
      <c r="H42" s="4">
        <f t="shared" ref="H42:H46" si="6">E42+F42+G42</f>
        <v>3548000</v>
      </c>
      <c r="I42" s="73">
        <f t="shared" ref="I42:I46" si="7">D42-H42</f>
        <v>-529626.18399999989</v>
      </c>
    </row>
    <row r="43" spans="1:9" x14ac:dyDescent="0.3">
      <c r="A43" s="49">
        <v>45536</v>
      </c>
      <c r="B43" s="53">
        <v>1600.8</v>
      </c>
      <c r="C43" s="4">
        <v>200000</v>
      </c>
      <c r="D43" s="4">
        <f>'Proposed New Agreement'!F26+'P&amp;L'!C43</f>
        <v>4427560.7239999995</v>
      </c>
      <c r="E43" s="4">
        <v>950000</v>
      </c>
      <c r="F43" s="4">
        <v>2080000</v>
      </c>
      <c r="G43" s="4">
        <v>518000</v>
      </c>
      <c r="H43" s="4">
        <f t="shared" si="6"/>
        <v>3548000</v>
      </c>
      <c r="I43" s="48">
        <f t="shared" si="7"/>
        <v>879560.72399999946</v>
      </c>
    </row>
    <row r="44" spans="1:9" x14ac:dyDescent="0.3">
      <c r="A44" s="50">
        <v>45566</v>
      </c>
      <c r="B44" s="54">
        <v>1600.8</v>
      </c>
      <c r="C44" s="4">
        <v>200000</v>
      </c>
      <c r="D44" s="4">
        <f>'Proposed New Agreement'!F27+'P&amp;L'!C44</f>
        <v>4427560.7239999995</v>
      </c>
      <c r="E44" s="4">
        <v>950000</v>
      </c>
      <c r="F44" s="4">
        <v>2080000</v>
      </c>
      <c r="G44" s="4">
        <v>518000</v>
      </c>
      <c r="H44" s="4">
        <f t="shared" si="6"/>
        <v>3548000</v>
      </c>
      <c r="I44" s="48">
        <f t="shared" si="7"/>
        <v>879560.72399999946</v>
      </c>
    </row>
    <row r="45" spans="1:9" x14ac:dyDescent="0.3">
      <c r="A45" s="49">
        <v>45597</v>
      </c>
      <c r="B45" s="53">
        <v>1600.8</v>
      </c>
      <c r="C45" s="4">
        <v>200000</v>
      </c>
      <c r="D45" s="4">
        <f>'Proposed New Agreement'!F28+'P&amp;L'!C45</f>
        <v>4427560.7239999995</v>
      </c>
      <c r="E45" s="4">
        <v>950000</v>
      </c>
      <c r="F45" s="4">
        <v>2080000</v>
      </c>
      <c r="G45" s="4">
        <v>518000</v>
      </c>
      <c r="H45" s="4">
        <f t="shared" si="6"/>
        <v>3548000</v>
      </c>
      <c r="I45" s="48">
        <f t="shared" si="7"/>
        <v>879560.72399999946</v>
      </c>
    </row>
    <row r="46" spans="1:9" x14ac:dyDescent="0.3">
      <c r="A46" s="50">
        <v>45627</v>
      </c>
      <c r="B46" s="54">
        <v>1600.8</v>
      </c>
      <c r="C46" s="106">
        <v>200000</v>
      </c>
      <c r="D46" s="107">
        <f>'Proposed New Agreement'!F29+'P&amp;L'!C46</f>
        <v>4427560.7239999995</v>
      </c>
      <c r="E46" s="107">
        <v>950000</v>
      </c>
      <c r="F46" s="107">
        <v>2080000</v>
      </c>
      <c r="G46" s="107">
        <v>518000</v>
      </c>
      <c r="H46" s="107">
        <f t="shared" si="6"/>
        <v>3548000</v>
      </c>
      <c r="I46" s="110">
        <f t="shared" si="7"/>
        <v>879560.72399999946</v>
      </c>
    </row>
    <row r="47" spans="1:9" ht="15" thickBot="1" x14ac:dyDescent="0.35">
      <c r="A47" s="97"/>
      <c r="B47" s="97"/>
      <c r="C47" s="95"/>
      <c r="D47" s="95">
        <f>SUM(D41:D46)</f>
        <v>23746990.527999997</v>
      </c>
      <c r="E47" s="95"/>
      <c r="F47" s="95"/>
      <c r="G47" s="95"/>
      <c r="H47" s="100">
        <f>SUM(H41:H46)</f>
        <v>21288000</v>
      </c>
      <c r="I47" s="96">
        <f>SUM(I41:I46)</f>
        <v>2458990.5279999981</v>
      </c>
    </row>
    <row r="48" spans="1:9" ht="15" thickTop="1" x14ac:dyDescent="0.3"/>
    <row r="50" spans="2:6" x14ac:dyDescent="0.3">
      <c r="B50" t="s">
        <v>117</v>
      </c>
    </row>
    <row r="51" spans="2:6" x14ac:dyDescent="0.3">
      <c r="B51" s="6" t="s">
        <v>0</v>
      </c>
      <c r="C51" s="6" t="s">
        <v>118</v>
      </c>
      <c r="D51" s="6" t="s">
        <v>119</v>
      </c>
      <c r="F51" s="2" t="s">
        <v>119</v>
      </c>
    </row>
    <row r="52" spans="2:6" x14ac:dyDescent="0.3">
      <c r="B52" s="5" t="s">
        <v>115</v>
      </c>
      <c r="C52" s="83">
        <f>Table14[[#Totals],[P&amp;L]]</f>
        <v>10855989.530000001</v>
      </c>
      <c r="D52" s="83">
        <f>Table1432[[#Totals],[P&amp;L]]</f>
        <v>-5504000</v>
      </c>
      <c r="E52" t="s">
        <v>120</v>
      </c>
      <c r="F52" s="8">
        <f>I36</f>
        <v>-2779979.6480000019</v>
      </c>
    </row>
    <row r="53" spans="2:6" x14ac:dyDescent="0.3">
      <c r="B53" s="5" t="s">
        <v>116</v>
      </c>
      <c r="C53" s="83">
        <f>I17</f>
        <v>46459691.583999999</v>
      </c>
      <c r="D53" s="83">
        <f>I36</f>
        <v>-2779979.6480000019</v>
      </c>
      <c r="E53" t="s">
        <v>121</v>
      </c>
      <c r="F53" s="8">
        <f>I47</f>
        <v>2458990.5279999981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88B6-0593-42BD-BC27-F812D5B5A711}">
  <dimension ref="A1:D16"/>
  <sheetViews>
    <sheetView workbookViewId="0">
      <selection activeCell="G17" sqref="G17"/>
    </sheetView>
  </sheetViews>
  <sheetFormatPr defaultRowHeight="14.4" x14ac:dyDescent="0.3"/>
  <cols>
    <col min="1" max="1" width="12.5546875" bestFit="1" customWidth="1"/>
    <col min="2" max="2" width="24.33203125" bestFit="1" customWidth="1"/>
    <col min="3" max="3" width="23.5546875" bestFit="1" customWidth="1"/>
    <col min="4" max="4" width="23.5546875" customWidth="1"/>
  </cols>
  <sheetData>
    <row r="1" spans="1:4" x14ac:dyDescent="0.3">
      <c r="A1" t="s">
        <v>0</v>
      </c>
      <c r="B1" t="s">
        <v>98</v>
      </c>
      <c r="C1" t="s">
        <v>99</v>
      </c>
    </row>
    <row r="2" spans="1:4" x14ac:dyDescent="0.3">
      <c r="A2" s="113">
        <v>45323</v>
      </c>
      <c r="B2" s="115">
        <v>8497683.2799999993</v>
      </c>
      <c r="C2" s="4">
        <v>2588000</v>
      </c>
    </row>
    <row r="3" spans="1:4" x14ac:dyDescent="0.3">
      <c r="A3" s="114">
        <v>45352</v>
      </c>
      <c r="B3" s="116">
        <v>4943612.66</v>
      </c>
      <c r="C3" s="4">
        <v>1963000</v>
      </c>
    </row>
    <row r="4" spans="1:4" x14ac:dyDescent="0.3">
      <c r="A4" s="113">
        <v>45383</v>
      </c>
      <c r="B4" s="115">
        <v>6248224.8799999999</v>
      </c>
      <c r="C4" s="4">
        <v>2278000</v>
      </c>
    </row>
    <row r="5" spans="1:4" x14ac:dyDescent="0.3">
      <c r="A5" s="114">
        <v>45413</v>
      </c>
      <c r="B5" s="116">
        <v>6519468.71</v>
      </c>
      <c r="C5" s="4">
        <v>2559000</v>
      </c>
    </row>
    <row r="6" spans="1:4" x14ac:dyDescent="0.3">
      <c r="A6" s="113">
        <v>45444</v>
      </c>
      <c r="B6" s="115">
        <v>2867000</v>
      </c>
      <c r="C6" s="4">
        <v>1628000</v>
      </c>
    </row>
    <row r="7" spans="1:4" x14ac:dyDescent="0.3">
      <c r="B7" s="4"/>
      <c r="C7" s="4"/>
    </row>
    <row r="8" spans="1:4" x14ac:dyDescent="0.3">
      <c r="A8" s="2" t="s">
        <v>125</v>
      </c>
      <c r="B8" s="4"/>
      <c r="C8" s="4"/>
    </row>
    <row r="9" spans="1:4" x14ac:dyDescent="0.3">
      <c r="A9" t="s">
        <v>0</v>
      </c>
      <c r="B9" s="4" t="s">
        <v>98</v>
      </c>
      <c r="C9" s="4" t="s">
        <v>99</v>
      </c>
      <c r="D9" t="s">
        <v>41</v>
      </c>
    </row>
    <row r="10" spans="1:4" x14ac:dyDescent="0.3">
      <c r="A10" s="113">
        <v>45474</v>
      </c>
      <c r="B10" s="8">
        <v>5423307.6320000002</v>
      </c>
      <c r="C10" s="8">
        <v>2163502.5439999998</v>
      </c>
      <c r="D10" s="8">
        <v>3548000</v>
      </c>
    </row>
    <row r="11" spans="1:4" x14ac:dyDescent="0.3">
      <c r="A11" s="114">
        <v>45505</v>
      </c>
      <c r="B11" s="8">
        <v>5423307.6320000002</v>
      </c>
      <c r="C11" s="8">
        <v>2163502.5439999998</v>
      </c>
      <c r="D11" s="8">
        <v>3548000</v>
      </c>
    </row>
    <row r="12" spans="1:4" x14ac:dyDescent="0.3">
      <c r="A12" s="113">
        <v>45536</v>
      </c>
      <c r="B12" s="8">
        <v>14225269.08</v>
      </c>
      <c r="C12" s="8">
        <v>3245253.8159999996</v>
      </c>
      <c r="D12" s="8">
        <v>3548000</v>
      </c>
    </row>
    <row r="13" spans="1:4" x14ac:dyDescent="0.3">
      <c r="A13" s="114">
        <v>45566</v>
      </c>
      <c r="B13" s="8">
        <v>14225269.08</v>
      </c>
      <c r="C13" s="8">
        <v>3245253.8159999996</v>
      </c>
      <c r="D13" s="8">
        <v>3548000</v>
      </c>
    </row>
    <row r="14" spans="1:4" x14ac:dyDescent="0.3">
      <c r="A14" s="113">
        <v>45597</v>
      </c>
      <c r="B14" s="8">
        <v>14225269.08</v>
      </c>
      <c r="C14" s="8">
        <v>3245253.8159999996</v>
      </c>
      <c r="D14" s="8">
        <v>3548000</v>
      </c>
    </row>
    <row r="15" spans="1:4" x14ac:dyDescent="0.3">
      <c r="A15" s="114">
        <v>45627</v>
      </c>
      <c r="B15" s="8">
        <v>14225269.08</v>
      </c>
      <c r="C15" s="8">
        <v>3245253.8159999996</v>
      </c>
      <c r="D15" s="8">
        <v>3548000</v>
      </c>
    </row>
    <row r="16" spans="1:4" s="2" customFormat="1" x14ac:dyDescent="0.3">
      <c r="A16" s="2" t="s">
        <v>82</v>
      </c>
      <c r="B16" s="117">
        <f>SUM(B10:B15)</f>
        <v>67747691.584000006</v>
      </c>
      <c r="C16" s="117">
        <f>SUM(C10:C15)</f>
        <v>17308020.351999998</v>
      </c>
      <c r="D16" s="117">
        <f>SUM(D10:D15)</f>
        <v>21288000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Rules</vt:lpstr>
      <vt:lpstr>OverView</vt:lpstr>
      <vt:lpstr>Dashboard</vt:lpstr>
      <vt:lpstr>Forecast</vt:lpstr>
      <vt:lpstr>Old Agreement</vt:lpstr>
      <vt:lpstr>Proposed New Agreement</vt:lpstr>
      <vt:lpstr>Income Analysis</vt:lpstr>
      <vt:lpstr>P&amp;L</vt:lpstr>
      <vt:lpstr>Consolidated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Callistus Akalika</dc:creator>
  <cp:lastModifiedBy>Callistus Akalika</cp:lastModifiedBy>
  <cp:lastPrinted>2024-06-30T05:15:26Z</cp:lastPrinted>
  <dcterms:created xsi:type="dcterms:W3CDTF">2024-06-30T03:04:22Z</dcterms:created>
  <dcterms:modified xsi:type="dcterms:W3CDTF">2024-07-29T18:02:50Z</dcterms:modified>
</cp:coreProperties>
</file>