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tvault-my.sharepoint.com/personal/smohanty49_gatech_edu/Documents/One Drive Gatech/Derivative Securities-/Week 4/"/>
    </mc:Choice>
  </mc:AlternateContent>
  <xr:revisionPtr revIDLastSave="401" documentId="8_{7D9CE385-67C5-4640-9A6F-9D44DF1A65FC}" xr6:coauthVersionLast="46" xr6:coauthVersionMax="46" xr10:uidLastSave="{EF84D425-6C39-1248-A8AF-C207BF789512}"/>
  <bookViews>
    <workbookView xWindow="0" yWindow="0" windowWidth="28800" windowHeight="18000" xr2:uid="{00000000-000D-0000-FFFF-FFFF00000000}"/>
  </bookViews>
  <sheets>
    <sheet name="Q8" sheetId="6" r:id="rId1"/>
    <sheet name="Prob 1" sheetId="17" r:id="rId2"/>
    <sheet name="Q3" sheetId="25" r:id="rId3"/>
    <sheet name="Problem 4" sheetId="18" r:id="rId4"/>
    <sheet name="Problem 5" sheetId="19" r:id="rId5"/>
    <sheet name="Problem 6 Futures" sheetId="20" r:id="rId6"/>
    <sheet name="Problem 7 Forex" sheetId="21" r:id="rId7"/>
    <sheet name="Problem 8 Log normal Momentum" sheetId="22" r:id="rId8"/>
    <sheet name="Problem 9 Non Std Payoff" sheetId="24" r:id="rId9"/>
  </sheets>
  <definedNames>
    <definedName name="bond_compute_handler">[0]!bond_compute_handler</definedName>
    <definedName name="Bond_Display_Tree">[0]!Bond_Display_Tree</definedName>
    <definedName name="bond_graph_handler">[0]!bond_graph_handler</definedName>
    <definedName name="bond_graph_input_formatter">[0]!bond_graph_input_formatter</definedName>
    <definedName name="Bond_Option_Select">[0]!Bond_Option_Select</definedName>
    <definedName name="Cap_or_Swap_Option_Select">[0]!Cap_or_Swap_Option_Select</definedName>
    <definedName name="Cap_or_Swap_Select">[0]!Cap_or_Swap_Select</definedName>
    <definedName name="Equity_compute_handler">[0]!Equity_compute_handler</definedName>
    <definedName name="Equity_Display_Tree">[0]!Equity_Display_Tree</definedName>
    <definedName name="Equity_graph_handler">[0]!Equity_graph_handler</definedName>
    <definedName name="Equity_graph_input_formatter">[0]!Equity_graph_input_formatter</definedName>
    <definedName name="Equity_Option_Select">[0]!Equity_Option_Select</definedName>
    <definedName name="Equity_Underlying_Select">[0]!Equity_Underlying_Select</definedName>
    <definedName name="swap_compute_handler">[0]!swap_compute_handler</definedName>
    <definedName name="swap_graph_handler">[0]!swap_graph_handler</definedName>
    <definedName name="swap_graph_input_formatter">[0]!swap_graph_input_formatter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6" l="1"/>
  <c r="G15" i="6"/>
  <c r="G13" i="6"/>
  <c r="K17" i="6"/>
  <c r="K15" i="6"/>
  <c r="K13" i="6"/>
  <c r="N35" i="25"/>
  <c r="J33" i="25"/>
  <c r="J31" i="25"/>
  <c r="J29" i="25"/>
  <c r="J27" i="25"/>
  <c r="K26" i="25"/>
  <c r="K28" i="25"/>
  <c r="K30" i="25"/>
  <c r="K32" i="25"/>
  <c r="K34" i="25"/>
  <c r="D4" i="25"/>
  <c r="A30" i="25"/>
  <c r="A17" i="25"/>
  <c r="B6" i="25"/>
  <c r="E20" i="25" s="1"/>
  <c r="N5" i="25"/>
  <c r="I32" i="25" l="1"/>
  <c r="I30" i="25"/>
  <c r="I28" i="25"/>
  <c r="E33" i="25"/>
  <c r="E31" i="25"/>
  <c r="E27" i="25"/>
  <c r="E29" i="25"/>
  <c r="B16" i="25"/>
  <c r="C15" i="25" s="1"/>
  <c r="D14" i="25" s="1"/>
  <c r="E16" i="25"/>
  <c r="E14" i="25"/>
  <c r="E18" i="25"/>
  <c r="B29" i="25"/>
  <c r="C28" i="25" s="1"/>
  <c r="D27" i="25" s="1"/>
  <c r="B7" i="25"/>
  <c r="B8" i="25" s="1"/>
  <c r="E26" i="25" l="1"/>
  <c r="Q26" i="25" s="1"/>
  <c r="E13" i="25"/>
  <c r="Q13" i="25" s="1"/>
  <c r="B31" i="25"/>
  <c r="C30" i="25"/>
  <c r="B9" i="25"/>
  <c r="C17" i="25"/>
  <c r="B18" i="25"/>
  <c r="D29" i="25" l="1"/>
  <c r="D16" i="25"/>
  <c r="I17" i="25"/>
  <c r="I15" i="25"/>
  <c r="C32" i="25"/>
  <c r="C19" i="25"/>
  <c r="E28" i="25" l="1"/>
  <c r="Q28" i="25" s="1"/>
  <c r="P27" i="25" s="1"/>
  <c r="D33" i="25"/>
  <c r="D31" i="25"/>
  <c r="H16" i="25"/>
  <c r="E15" i="25"/>
  <c r="Q15" i="25" s="1"/>
  <c r="P14" i="25" s="1"/>
  <c r="D18" i="25"/>
  <c r="D20" i="25"/>
  <c r="O19" i="25"/>
  <c r="I19" i="25"/>
  <c r="H18" i="25" s="1"/>
  <c r="H29" i="25"/>
  <c r="H31" i="25"/>
  <c r="G17" i="25" l="1"/>
  <c r="E34" i="25"/>
  <c r="Q34" i="25" s="1"/>
  <c r="E32" i="25"/>
  <c r="Q32" i="25" s="1"/>
  <c r="E30" i="25"/>
  <c r="Q30" i="25" s="1"/>
  <c r="P29" i="25" s="1"/>
  <c r="P31" i="25"/>
  <c r="O28" i="25"/>
  <c r="E21" i="25"/>
  <c r="Q21" i="25" s="1"/>
  <c r="E19" i="25"/>
  <c r="Q19" i="25" s="1"/>
  <c r="P20" i="25" s="1"/>
  <c r="E17" i="25"/>
  <c r="Q17" i="25" s="1"/>
  <c r="P16" i="25" s="1"/>
  <c r="G30" i="25"/>
  <c r="P33" i="25" l="1"/>
  <c r="O30" i="25"/>
  <c r="N29" i="25"/>
  <c r="O32" i="25"/>
  <c r="O15" i="25"/>
  <c r="P18" i="25"/>
  <c r="O17" i="25" s="1"/>
  <c r="N18" i="25" s="1"/>
  <c r="N31" i="25" l="1"/>
  <c r="M30" i="25" s="1"/>
  <c r="N16" i="25"/>
  <c r="M17" i="25" s="1"/>
  <c r="J5" i="6" l="1"/>
  <c r="E4" i="24"/>
  <c r="F5" i="24"/>
  <c r="F3" i="24"/>
  <c r="I1" i="24"/>
  <c r="G6" i="24"/>
  <c r="G2" i="24"/>
  <c r="B5" i="24"/>
  <c r="C4" i="24"/>
  <c r="C2" i="24"/>
  <c r="B3" i="24"/>
  <c r="B7" i="22"/>
  <c r="B6" i="22"/>
  <c r="T5" i="22"/>
  <c r="U4" i="22"/>
  <c r="V3" i="22"/>
  <c r="Q2" i="22"/>
  <c r="V7" i="22"/>
  <c r="V5" i="22"/>
  <c r="R7" i="22"/>
  <c r="O2" i="22"/>
  <c r="G7" i="24" l="1"/>
  <c r="F7" i="24"/>
  <c r="C7" i="24"/>
  <c r="B7" i="24"/>
  <c r="D9" i="24"/>
  <c r="G4" i="24"/>
  <c r="C6" i="24"/>
  <c r="A26" i="22"/>
  <c r="A15" i="22"/>
  <c r="I10" i="21"/>
  <c r="B6" i="21"/>
  <c r="B7" i="21" s="1"/>
  <c r="B8" i="21" s="1"/>
  <c r="Q27" i="19"/>
  <c r="Q25" i="19"/>
  <c r="P26" i="19"/>
  <c r="N27" i="19"/>
  <c r="N25" i="19"/>
  <c r="M26" i="19"/>
  <c r="Q16" i="19"/>
  <c r="Q14" i="19"/>
  <c r="P15" i="19"/>
  <c r="N16" i="19"/>
  <c r="N14" i="19"/>
  <c r="M15" i="19"/>
  <c r="A26" i="21"/>
  <c r="A15" i="21"/>
  <c r="A26" i="20"/>
  <c r="A15" i="20"/>
  <c r="B6" i="20"/>
  <c r="A26" i="19"/>
  <c r="A15" i="19"/>
  <c r="B14" i="19" s="1"/>
  <c r="B6" i="19"/>
  <c r="B25" i="19" s="1"/>
  <c r="A26" i="18"/>
  <c r="A15" i="18"/>
  <c r="B14" i="18" s="1"/>
  <c r="B6" i="18"/>
  <c r="B7" i="18" s="1"/>
  <c r="B25" i="22" l="1"/>
  <c r="C26" i="22" s="1"/>
  <c r="C24" i="22"/>
  <c r="B27" i="22"/>
  <c r="B8" i="22"/>
  <c r="B14" i="22"/>
  <c r="B16" i="22"/>
  <c r="B14" i="21"/>
  <c r="C13" i="21" s="1"/>
  <c r="B9" i="21"/>
  <c r="B27" i="21"/>
  <c r="B16" i="21"/>
  <c r="B25" i="21"/>
  <c r="B25" i="20"/>
  <c r="B14" i="20"/>
  <c r="B7" i="20"/>
  <c r="B27" i="20" s="1"/>
  <c r="C13" i="19"/>
  <c r="C24" i="19"/>
  <c r="B7" i="19"/>
  <c r="B8" i="19" s="1"/>
  <c r="B16" i="18"/>
  <c r="B8" i="18"/>
  <c r="C13" i="18"/>
  <c r="C15" i="18"/>
  <c r="B27" i="18"/>
  <c r="B25" i="18"/>
  <c r="C17" i="22" l="1"/>
  <c r="C28" i="22"/>
  <c r="C13" i="22"/>
  <c r="C15" i="22"/>
  <c r="K26" i="22"/>
  <c r="G26" i="22"/>
  <c r="B9" i="22"/>
  <c r="K24" i="22"/>
  <c r="G24" i="22"/>
  <c r="C26" i="20"/>
  <c r="G26" i="20" s="1"/>
  <c r="C15" i="21"/>
  <c r="G15" i="21" s="1"/>
  <c r="C24" i="21"/>
  <c r="C26" i="21"/>
  <c r="C28" i="21"/>
  <c r="K13" i="21"/>
  <c r="G13" i="21"/>
  <c r="C17" i="21"/>
  <c r="C24" i="20"/>
  <c r="G24" i="20" s="1"/>
  <c r="B16" i="20"/>
  <c r="B8" i="20"/>
  <c r="C13" i="20"/>
  <c r="C15" i="20"/>
  <c r="C28" i="20"/>
  <c r="C15" i="19"/>
  <c r="B16" i="19"/>
  <c r="B9" i="19"/>
  <c r="G24" i="19"/>
  <c r="K24" i="19"/>
  <c r="B27" i="19"/>
  <c r="K13" i="19"/>
  <c r="G13" i="19"/>
  <c r="C26" i="19"/>
  <c r="C24" i="18"/>
  <c r="C26" i="18"/>
  <c r="B9" i="18"/>
  <c r="C28" i="18"/>
  <c r="K15" i="18"/>
  <c r="G15" i="18"/>
  <c r="K13" i="18"/>
  <c r="J14" i="18" s="1"/>
  <c r="G13" i="18"/>
  <c r="F14" i="18" s="1"/>
  <c r="C17" i="18"/>
  <c r="H22" i="17"/>
  <c r="H15" i="17"/>
  <c r="I16" i="17"/>
  <c r="I14" i="17"/>
  <c r="F25" i="17"/>
  <c r="F23" i="17"/>
  <c r="E15" i="17"/>
  <c r="F16" i="17"/>
  <c r="F14" i="17"/>
  <c r="B9" i="17"/>
  <c r="B8" i="17"/>
  <c r="B6" i="17"/>
  <c r="J25" i="22" l="1"/>
  <c r="F25" i="22"/>
  <c r="G15" i="22"/>
  <c r="K15" i="22"/>
  <c r="K28" i="22"/>
  <c r="J27" i="22" s="1"/>
  <c r="I26" i="22" s="1"/>
  <c r="G28" i="22"/>
  <c r="F27" i="22" s="1"/>
  <c r="K13" i="22"/>
  <c r="G13" i="22"/>
  <c r="K17" i="22"/>
  <c r="G17" i="22"/>
  <c r="K15" i="21"/>
  <c r="J14" i="21" s="1"/>
  <c r="K26" i="20"/>
  <c r="G17" i="21"/>
  <c r="F16" i="21" s="1"/>
  <c r="K17" i="21"/>
  <c r="K28" i="21"/>
  <c r="G28" i="21"/>
  <c r="F14" i="21"/>
  <c r="G26" i="21"/>
  <c r="K26" i="21"/>
  <c r="G24" i="21"/>
  <c r="K24" i="21"/>
  <c r="K24" i="20"/>
  <c r="B9" i="20"/>
  <c r="C17" i="20"/>
  <c r="K28" i="20"/>
  <c r="G28" i="20"/>
  <c r="G15" i="20"/>
  <c r="K15" i="20"/>
  <c r="G13" i="20"/>
  <c r="K13" i="20"/>
  <c r="F14" i="19"/>
  <c r="J14" i="19"/>
  <c r="G26" i="19"/>
  <c r="K26" i="19"/>
  <c r="J25" i="19" s="1"/>
  <c r="K15" i="19"/>
  <c r="G15" i="19"/>
  <c r="C28" i="19"/>
  <c r="C17" i="19"/>
  <c r="K28" i="18"/>
  <c r="G28" i="18"/>
  <c r="K17" i="18"/>
  <c r="J16" i="18" s="1"/>
  <c r="I15" i="18" s="1"/>
  <c r="G17" i="18"/>
  <c r="F16" i="18" s="1"/>
  <c r="E15" i="18" s="1"/>
  <c r="G26" i="18"/>
  <c r="K26" i="18"/>
  <c r="G24" i="18"/>
  <c r="F25" i="18" s="1"/>
  <c r="K24" i="18"/>
  <c r="J25" i="18" s="1"/>
  <c r="L8" i="17"/>
  <c r="E26" i="22" l="1"/>
  <c r="F14" i="22"/>
  <c r="J16" i="22"/>
  <c r="J14" i="22"/>
  <c r="F16" i="22"/>
  <c r="J16" i="21"/>
  <c r="I15" i="21" s="1"/>
  <c r="J27" i="21"/>
  <c r="F27" i="21"/>
  <c r="E15" i="21"/>
  <c r="J25" i="21"/>
  <c r="F25" i="21"/>
  <c r="J25" i="20"/>
  <c r="J14" i="20"/>
  <c r="F14" i="20"/>
  <c r="F25" i="20"/>
  <c r="F27" i="20"/>
  <c r="K17" i="20"/>
  <c r="J16" i="20" s="1"/>
  <c r="G17" i="20"/>
  <c r="F16" i="20" s="1"/>
  <c r="J27" i="20"/>
  <c r="J16" i="19"/>
  <c r="I15" i="19" s="1"/>
  <c r="G17" i="19"/>
  <c r="F16" i="19" s="1"/>
  <c r="E15" i="19" s="1"/>
  <c r="K17" i="19"/>
  <c r="K28" i="19"/>
  <c r="J27" i="19" s="1"/>
  <c r="I26" i="19" s="1"/>
  <c r="G28" i="19"/>
  <c r="F27" i="19" s="1"/>
  <c r="F25" i="19"/>
  <c r="J27" i="18"/>
  <c r="I26" i="18" s="1"/>
  <c r="F27" i="18"/>
  <c r="E26" i="18" s="1"/>
  <c r="A15" i="17"/>
  <c r="A24" i="17" s="1"/>
  <c r="E15" i="22" l="1"/>
  <c r="I15" i="22"/>
  <c r="E15" i="20"/>
  <c r="I26" i="21"/>
  <c r="I15" i="20"/>
  <c r="I26" i="20"/>
  <c r="E26" i="21"/>
  <c r="E26" i="20"/>
  <c r="E26" i="19"/>
  <c r="B23" i="17"/>
  <c r="B14" i="17"/>
  <c r="B7" i="17"/>
  <c r="A26" i="6"/>
  <c r="A15" i="6"/>
  <c r="B14" i="6" s="1"/>
  <c r="B25" i="17" l="1"/>
  <c r="B16" i="17"/>
  <c r="E24" i="17" l="1"/>
  <c r="B25" i="6"/>
  <c r="C24" i="6" l="1"/>
  <c r="K24" i="6" s="1"/>
  <c r="B8" i="6"/>
  <c r="B27" i="6" l="1"/>
  <c r="B16" i="6"/>
  <c r="C15" i="6"/>
  <c r="C13" i="6"/>
  <c r="G24" i="6"/>
  <c r="C26" i="6"/>
  <c r="K26" i="6" s="1"/>
  <c r="B9" i="6" l="1"/>
  <c r="G26" i="6"/>
  <c r="C17" i="6"/>
  <c r="C28" i="6"/>
  <c r="K28" i="6" s="1"/>
  <c r="J27" i="6" l="1"/>
  <c r="J25" i="6"/>
  <c r="J14" i="6"/>
  <c r="F14" i="6"/>
  <c r="J16" i="6"/>
  <c r="F25" i="6"/>
  <c r="F16" i="6"/>
  <c r="G28" i="6"/>
  <c r="F27" i="6" s="1"/>
  <c r="I15" i="6" l="1"/>
  <c r="I26" i="6"/>
  <c r="E15" i="6"/>
  <c r="E26" i="6"/>
</calcChain>
</file>

<file path=xl/sharedStrings.xml><?xml version="1.0" encoding="utf-8"?>
<sst xmlns="http://schemas.openxmlformats.org/spreadsheetml/2006/main" count="165" uniqueCount="30">
  <si>
    <t>r</t>
  </si>
  <si>
    <t>u</t>
  </si>
  <si>
    <t>d</t>
  </si>
  <si>
    <t>up prob</t>
  </si>
  <si>
    <t>down prob</t>
  </si>
  <si>
    <t>Stock</t>
  </si>
  <si>
    <t>s</t>
  </si>
  <si>
    <t>T</t>
  </si>
  <si>
    <t>sigma</t>
  </si>
  <si>
    <t>time step</t>
  </si>
  <si>
    <t>K</t>
  </si>
  <si>
    <t>dividend</t>
  </si>
  <si>
    <t>European Call</t>
  </si>
  <si>
    <t>American Call</t>
  </si>
  <si>
    <t>European Put</t>
  </si>
  <si>
    <t>American Put</t>
  </si>
  <si>
    <t>Put</t>
  </si>
  <si>
    <t>Forward</t>
  </si>
  <si>
    <t>put call parity</t>
  </si>
  <si>
    <t>Exercised!</t>
  </si>
  <si>
    <t>E call delta</t>
  </si>
  <si>
    <t>American call</t>
  </si>
  <si>
    <t>E Put</t>
  </si>
  <si>
    <t>Delete</t>
  </si>
  <si>
    <t>Cost</t>
  </si>
  <si>
    <t>Futures</t>
  </si>
  <si>
    <t>derivative</t>
  </si>
  <si>
    <t>p</t>
  </si>
  <si>
    <t>Time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</si>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</sst>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">
    <xf numFmtId="0" fontId="0" fillId="0" borderId="0" xfId="0"/>
    <xf numFmtId="0" fontId="2" fillId="0" borderId="0" xfId="1" applyFont="1"/>
    <xf numFmtId="0" fontId="1" fillId="0" borderId="0" xfId="1"/>
    <xf numFmtId="0" fontId="3" fillId="2" borderId="0" xfId="1" applyFont="1" applyFill="1"/>
    <xf numFmtId="0" fontId="3" fillId="0" borderId="0" xfId="1" applyFont="1"/>
    <xf numFmtId="0" fontId="0" fillId="0" borderId="0" xfId="1" applyFont="1"/>
    <xf numFmtId="0" fontId="2" fillId="0" borderId="0" xfId="0" applyFont="1"/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tabSelected="1" zoomScale="130" zoomScaleNormal="130" workbookViewId="0">
      <selection activeCell="F17" sqref="F17"/>
    </sheetView>
  </sheetViews>
  <sheetFormatPr baseColWidth="10" defaultColWidth="9.1640625" defaultRowHeight="15" x14ac:dyDescent="0.2"/>
  <cols>
    <col min="1" max="1" width="12" style="2" customWidth="1"/>
    <col min="2" max="15" width="9.1640625" style="2"/>
    <col min="16" max="16" width="11.83203125" style="2" bestFit="1" customWidth="1"/>
    <col min="17" max="16384" width="9.1640625" style="2"/>
  </cols>
  <sheetData>
    <row r="1" spans="1:11" x14ac:dyDescent="0.2">
      <c r="A1" s="5"/>
    </row>
    <row r="2" spans="1:11" x14ac:dyDescent="0.2">
      <c r="A2" s="1" t="s">
        <v>6</v>
      </c>
      <c r="B2" s="1">
        <v>50</v>
      </c>
      <c r="C2" s="1" t="s">
        <v>7</v>
      </c>
      <c r="D2" s="1">
        <v>0.5</v>
      </c>
      <c r="E2" s="1"/>
      <c r="F2" s="1"/>
      <c r="G2" s="1"/>
      <c r="H2" s="1"/>
      <c r="I2" s="1"/>
      <c r="J2" s="1"/>
      <c r="K2" s="1"/>
    </row>
    <row r="3" spans="1:11" x14ac:dyDescent="0.2">
      <c r="A3" s="1" t="s">
        <v>8</v>
      </c>
      <c r="B3" s="1">
        <v>0.4</v>
      </c>
      <c r="C3" s="1" t="s">
        <v>9</v>
      </c>
      <c r="D3" s="1">
        <v>0.25</v>
      </c>
      <c r="E3" s="1"/>
      <c r="F3" s="1"/>
      <c r="G3" s="1"/>
      <c r="H3" s="1"/>
      <c r="I3" s="1"/>
      <c r="J3" s="1"/>
      <c r="K3" s="1"/>
    </row>
    <row r="4" spans="1:11" x14ac:dyDescent="0.2">
      <c r="A4" s="1" t="s">
        <v>0</v>
      </c>
      <c r="B4" s="1">
        <v>0.02</v>
      </c>
      <c r="C4" s="1" t="s">
        <v>10</v>
      </c>
      <c r="D4" s="1">
        <v>100</v>
      </c>
      <c r="E4" s="1"/>
      <c r="F4" s="1"/>
      <c r="G4" s="1"/>
      <c r="H4" s="1"/>
      <c r="I4" s="1"/>
      <c r="J4" s="1"/>
      <c r="K4" s="1"/>
    </row>
    <row r="5" spans="1:11" x14ac:dyDescent="0.2">
      <c r="A5" s="1" t="s">
        <v>11</v>
      </c>
      <c r="B5" s="1">
        <v>0</v>
      </c>
      <c r="C5" s="1"/>
      <c r="D5" s="1"/>
      <c r="E5" s="1"/>
      <c r="F5" s="1"/>
      <c r="G5" s="1"/>
      <c r="H5" s="1"/>
      <c r="I5" s="1"/>
      <c r="J5" s="1">
        <f>100*(1-EXP(-0.01))</f>
        <v>0.99501662508318933</v>
      </c>
      <c r="K5" s="1"/>
    </row>
    <row r="6" spans="1:11" x14ac:dyDescent="0.2">
      <c r="A6" s="1" t="s">
        <v>1</v>
      </c>
      <c r="B6" s="1">
        <v>1.08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">
      <c r="A7" s="1" t="s">
        <v>2</v>
      </c>
      <c r="B7" s="1">
        <v>0.9</v>
      </c>
      <c r="C7" s="1"/>
      <c r="D7" s="1"/>
      <c r="E7" s="1"/>
      <c r="F7" s="1"/>
      <c r="G7" s="1"/>
      <c r="H7" s="1"/>
      <c r="I7" s="1"/>
      <c r="J7" s="1"/>
      <c r="K7" s="1"/>
    </row>
    <row r="8" spans="1:11" x14ac:dyDescent="0.2">
      <c r="A8" s="1" t="s">
        <v>3</v>
      </c>
      <c r="B8" s="1">
        <f>(EXP((B4-B5)*D3)-B7)/(B6-B7)</f>
        <v>0.58340289366333842</v>
      </c>
      <c r="C8" s="1"/>
      <c r="D8" s="1"/>
      <c r="E8" s="1"/>
      <c r="F8" s="1"/>
      <c r="G8" s="1"/>
      <c r="H8" s="1"/>
      <c r="I8" s="1"/>
      <c r="J8" s="1"/>
      <c r="K8" s="1"/>
    </row>
    <row r="9" spans="1:11" x14ac:dyDescent="0.2">
      <c r="A9" s="1" t="s">
        <v>4</v>
      </c>
      <c r="B9" s="1">
        <f>1-B8</f>
        <v>0.41659710633666158</v>
      </c>
      <c r="C9" s="1"/>
      <c r="D9" s="1"/>
      <c r="E9" s="1"/>
      <c r="F9" s="1"/>
      <c r="G9" s="1"/>
      <c r="H9" s="1"/>
      <c r="I9" s="1"/>
      <c r="J9" s="1"/>
      <c r="K9" s="1"/>
    </row>
    <row r="10" spans="1:1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3" t="s">
        <v>5</v>
      </c>
      <c r="B12" s="3"/>
      <c r="C12" s="3"/>
      <c r="D12" s="3"/>
      <c r="E12" s="3" t="s">
        <v>12</v>
      </c>
      <c r="F12" s="3"/>
      <c r="G12" s="3"/>
      <c r="H12" s="3"/>
      <c r="I12" s="3" t="s">
        <v>13</v>
      </c>
      <c r="J12" s="3"/>
      <c r="K12" s="4"/>
    </row>
    <row r="13" spans="1:11" x14ac:dyDescent="0.2">
      <c r="A13" s="1"/>
      <c r="B13" s="1"/>
      <c r="C13" s="1">
        <f>B14*$B$6</f>
        <v>58.320000000000007</v>
      </c>
      <c r="D13" s="1"/>
      <c r="E13" s="1"/>
      <c r="F13" s="1"/>
      <c r="G13" s="1">
        <f>LN(C13)</f>
        <v>4.0659450877004026</v>
      </c>
      <c r="H13" s="1"/>
      <c r="I13" s="1"/>
      <c r="J13" s="1"/>
      <c r="K13" s="1">
        <f>LN(C13)</f>
        <v>4.0659450877004026</v>
      </c>
    </row>
    <row r="14" spans="1:11" x14ac:dyDescent="0.2">
      <c r="A14" s="1"/>
      <c r="B14" s="1">
        <f>A15*$B$6</f>
        <v>54</v>
      </c>
      <c r="C14" s="1"/>
      <c r="D14" s="1"/>
      <c r="E14" s="1"/>
      <c r="F14" s="1">
        <f>($B$8*G13+$B$9*G15)*EXP(-$B$4*$D$3)</f>
        <v>3.9700902943033447</v>
      </c>
      <c r="G14" s="1"/>
      <c r="H14" s="1"/>
      <c r="I14" s="1"/>
      <c r="J14" s="1">
        <f>MAX(B14-$D$4,($B$8*K13+$B$9*K15)*EXP(-$B$4*$D$3))</f>
        <v>3.9700902943033447</v>
      </c>
      <c r="K14" s="1"/>
    </row>
    <row r="15" spans="1:11" x14ac:dyDescent="0.2">
      <c r="A15" s="1">
        <f>B2</f>
        <v>50</v>
      </c>
      <c r="B15" s="1"/>
      <c r="C15" s="1">
        <f>B14*$B$7</f>
        <v>48.6</v>
      </c>
      <c r="D15" s="1"/>
      <c r="E15" s="1">
        <f>($B$8*F14+$B$9*F16)*EXP(-$B$4*$D$3)</f>
        <v>3.8750905145961232</v>
      </c>
      <c r="F15" s="1"/>
      <c r="G15" s="1">
        <f>LN(C15)</f>
        <v>3.8836235309064482</v>
      </c>
      <c r="H15" s="1"/>
      <c r="I15" s="1">
        <f>MAX(A15-$D$4,($B$8*J14+$B$9*J16)*EXP(-$B$4*$D$3))</f>
        <v>3.8750905145961232</v>
      </c>
      <c r="J15" s="1"/>
      <c r="K15" s="1">
        <f>LN(C15)</f>
        <v>3.8836235309064482</v>
      </c>
    </row>
    <row r="16" spans="1:11" x14ac:dyDescent="0.2">
      <c r="A16" s="1"/>
      <c r="B16" s="1">
        <f>A15*$B$7</f>
        <v>45</v>
      </c>
      <c r="C16" s="1"/>
      <c r="D16" s="1"/>
      <c r="E16" s="1"/>
      <c r="F16" s="1">
        <f>($B$8*G15+$B$9*G17)*EXP(-$B$4*$D$3)</f>
        <v>3.7886780700675224</v>
      </c>
      <c r="G16" s="1"/>
      <c r="H16" s="1"/>
      <c r="I16" s="1"/>
      <c r="J16" s="1">
        <f>MAX(B16-$D$4,($B$8*K15+$B$9*K17)*EXP(-$B$4*$D$3))</f>
        <v>3.7886780700675224</v>
      </c>
      <c r="K16" s="1"/>
    </row>
    <row r="17" spans="1:11" x14ac:dyDescent="0.2">
      <c r="A17" s="1"/>
      <c r="B17" s="1"/>
      <c r="C17" s="1">
        <f>B16*$B$7</f>
        <v>40.5</v>
      </c>
      <c r="D17" s="1"/>
      <c r="E17" s="1"/>
      <c r="F17" s="1"/>
      <c r="G17" s="1">
        <f>LN(C17)</f>
        <v>3.7013019741124933</v>
      </c>
      <c r="H17" s="1"/>
      <c r="I17" s="1"/>
      <c r="J17" s="1"/>
      <c r="K17" s="1">
        <f>LN(C17)</f>
        <v>3.7013019741124933</v>
      </c>
    </row>
    <row r="18" spans="1:1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1">
        <v>0</v>
      </c>
      <c r="B19" s="1">
        <v>0.5</v>
      </c>
      <c r="C19" s="1">
        <v>1</v>
      </c>
      <c r="D19" s="1"/>
      <c r="E19" s="1">
        <v>0</v>
      </c>
      <c r="F19" s="1">
        <v>0.5</v>
      </c>
      <c r="G19" s="1">
        <v>1</v>
      </c>
      <c r="H19" s="1"/>
      <c r="I19" s="1">
        <v>0</v>
      </c>
      <c r="J19" s="1">
        <v>0.5</v>
      </c>
      <c r="K19" s="1">
        <v>1</v>
      </c>
    </row>
    <row r="20" spans="1:1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3" t="s">
        <v>5</v>
      </c>
      <c r="B23" s="3"/>
      <c r="C23" s="3"/>
      <c r="D23" s="3"/>
      <c r="E23" s="3" t="s">
        <v>14</v>
      </c>
      <c r="F23" s="3"/>
      <c r="G23" s="3"/>
      <c r="H23" s="3"/>
      <c r="I23" s="3" t="s">
        <v>15</v>
      </c>
      <c r="J23" s="3"/>
      <c r="K23" s="4"/>
    </row>
    <row r="24" spans="1:11" x14ac:dyDescent="0.2">
      <c r="A24" s="1"/>
      <c r="B24" s="1"/>
      <c r="C24" s="1">
        <f>B25*$B$6</f>
        <v>58.320000000000007</v>
      </c>
      <c r="D24" s="1"/>
      <c r="E24" s="1"/>
      <c r="F24" s="1"/>
      <c r="G24" s="1">
        <f>MAX($D$4-C24,0)</f>
        <v>41.679999999999993</v>
      </c>
      <c r="H24" s="1"/>
      <c r="I24" s="1"/>
      <c r="J24" s="1"/>
      <c r="K24" s="1">
        <f>MAX($D$4-C24,0)</f>
        <v>41.679999999999993</v>
      </c>
    </row>
    <row r="25" spans="1:11" x14ac:dyDescent="0.2">
      <c r="A25" s="1"/>
      <c r="B25" s="1">
        <f>A26*$B$6</f>
        <v>54</v>
      </c>
      <c r="C25" s="1"/>
      <c r="D25" s="1"/>
      <c r="E25" s="1"/>
      <c r="F25" s="1">
        <f>($B$8*G24+$B$9*G26)*EXP(-$B$4*$D$3)</f>
        <v>45.501247919268238</v>
      </c>
      <c r="G25" s="1"/>
      <c r="H25" s="1"/>
      <c r="I25" s="1"/>
      <c r="J25" s="1">
        <f>MAX(-B25+$D$4,($B$8*K24+$B$9*K26)*EXP(-$B$4*$D$3))</f>
        <v>46</v>
      </c>
      <c r="K25" s="1"/>
    </row>
    <row r="26" spans="1:11" x14ac:dyDescent="0.2">
      <c r="A26" s="1">
        <f>B2</f>
        <v>50</v>
      </c>
      <c r="B26" s="1"/>
      <c r="C26" s="1">
        <f>B25*$B$7</f>
        <v>48.6</v>
      </c>
      <c r="D26" s="1"/>
      <c r="E26" s="1">
        <f>($B$8*F25+$B$9*F27)*EXP(-$B$4*$D$3)</f>
        <v>49.004983374916826</v>
      </c>
      <c r="F26" s="1"/>
      <c r="G26" s="1">
        <f>MAX($D$4-C26,0)</f>
        <v>51.4</v>
      </c>
      <c r="H26" s="1"/>
      <c r="I26" s="1">
        <f>MAX(-A26+$D$4,($B$8*J25+$B$9*J27)*EXP(-$B$4*$D$3))</f>
        <v>50</v>
      </c>
      <c r="J26" s="1"/>
      <c r="K26" s="1">
        <f>MAX($D$4-C26,0)</f>
        <v>51.4</v>
      </c>
    </row>
    <row r="27" spans="1:11" x14ac:dyDescent="0.2">
      <c r="A27" s="1"/>
      <c r="B27" s="1">
        <f>A26*$B$7</f>
        <v>45</v>
      </c>
      <c r="C27" s="1"/>
      <c r="D27" s="1"/>
      <c r="E27" s="1"/>
      <c r="F27" s="1">
        <f>($B$8*G26+$B$9*G28)*EXP(-$B$4*$D$3)</f>
        <v>54.501247919268238</v>
      </c>
      <c r="G27" s="1"/>
      <c r="H27" s="1"/>
      <c r="I27" s="1"/>
      <c r="J27" s="1">
        <f>MAX(-B27+$D$4,($B$8*K26+$B$9*K28)*EXP(-$B$4*$D$3))</f>
        <v>55</v>
      </c>
      <c r="K27" s="1"/>
    </row>
    <row r="28" spans="1:11" x14ac:dyDescent="0.2">
      <c r="A28" s="1"/>
      <c r="B28" s="1"/>
      <c r="C28" s="1">
        <f>B27*$B$7</f>
        <v>40.5</v>
      </c>
      <c r="D28" s="1"/>
      <c r="E28" s="1"/>
      <c r="F28" s="1"/>
      <c r="G28" s="1">
        <f>MAX($D$4-C28,0)</f>
        <v>59.5</v>
      </c>
      <c r="H28" s="1"/>
      <c r="I28" s="1"/>
      <c r="J28" s="1" t="s">
        <v>19</v>
      </c>
      <c r="K28" s="1">
        <f>MAX($D$4-C28,0)</f>
        <v>59.5</v>
      </c>
    </row>
    <row r="29" spans="1:1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s="1">
        <v>0</v>
      </c>
      <c r="B30" s="1">
        <v>0.5</v>
      </c>
      <c r="C30" s="1">
        <v>1</v>
      </c>
      <c r="D30" s="1"/>
      <c r="E30" s="1"/>
      <c r="F30" s="1"/>
      <c r="G30" s="1"/>
      <c r="H30" s="1"/>
      <c r="I30" s="1">
        <v>0</v>
      </c>
      <c r="J30" s="1">
        <v>0.5</v>
      </c>
      <c r="K30" s="1">
        <v>1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28"/>
  <sheetViews>
    <sheetView zoomScale="130" zoomScaleNormal="130" workbookViewId="0">
      <selection activeCell="B6" sqref="B6"/>
    </sheetView>
  </sheetViews>
  <sheetFormatPr baseColWidth="10" defaultColWidth="8.83203125" defaultRowHeight="15" x14ac:dyDescent="0.2"/>
  <sheetData>
    <row r="2" spans="1:12" x14ac:dyDescent="0.2">
      <c r="A2" s="1" t="s">
        <v>5</v>
      </c>
      <c r="B2" s="1">
        <v>100</v>
      </c>
      <c r="C2" s="1" t="s">
        <v>7</v>
      </c>
      <c r="D2" s="1">
        <v>1</v>
      </c>
      <c r="E2" s="1"/>
      <c r="F2" s="1"/>
      <c r="G2" s="1"/>
    </row>
    <row r="3" spans="1:12" x14ac:dyDescent="0.2">
      <c r="A3" s="1" t="s">
        <v>8</v>
      </c>
      <c r="B3" s="1">
        <v>0.4</v>
      </c>
      <c r="C3" s="1" t="s">
        <v>9</v>
      </c>
      <c r="D3" s="1">
        <v>1</v>
      </c>
      <c r="E3" s="1"/>
      <c r="F3" s="1"/>
      <c r="G3" s="1"/>
    </row>
    <row r="4" spans="1:12" x14ac:dyDescent="0.2">
      <c r="A4" s="1" t="s">
        <v>0</v>
      </c>
      <c r="B4" s="1">
        <v>0.05</v>
      </c>
      <c r="C4" s="1" t="s">
        <v>10</v>
      </c>
      <c r="D4" s="1">
        <v>100</v>
      </c>
      <c r="E4" s="1"/>
      <c r="F4" s="1"/>
      <c r="G4" s="1"/>
    </row>
    <row r="5" spans="1:12" x14ac:dyDescent="0.2">
      <c r="A5" s="1" t="s">
        <v>11</v>
      </c>
      <c r="B5" s="1">
        <v>0</v>
      </c>
      <c r="C5" s="1"/>
      <c r="D5" s="1"/>
      <c r="E5" s="1"/>
      <c r="F5" s="1"/>
      <c r="G5" s="1"/>
    </row>
    <row r="6" spans="1:12" x14ac:dyDescent="0.2">
      <c r="A6" s="1" t="s">
        <v>1</v>
      </c>
      <c r="B6" s="1">
        <f>EXP(B3*SQRT(D3))</f>
        <v>1.4918246976412703</v>
      </c>
      <c r="C6" s="1"/>
      <c r="D6" s="1"/>
      <c r="E6" s="1"/>
      <c r="F6" s="1"/>
      <c r="G6" s="1"/>
    </row>
    <row r="7" spans="1:12" x14ac:dyDescent="0.2">
      <c r="A7" s="1" t="s">
        <v>2</v>
      </c>
      <c r="B7" s="1">
        <f>1/B6</f>
        <v>0.67032004603563933</v>
      </c>
      <c r="C7" s="1"/>
      <c r="D7" s="1"/>
      <c r="E7" s="1"/>
      <c r="F7" s="1"/>
      <c r="G7" s="1"/>
    </row>
    <row r="8" spans="1:12" x14ac:dyDescent="0.2">
      <c r="A8" s="1" t="s">
        <v>3</v>
      </c>
      <c r="B8" s="1">
        <f>(EXP((B4-B5)*D3)-B7)/(B6-B7)</f>
        <v>0.46372354629497942</v>
      </c>
      <c r="C8" s="1"/>
      <c r="D8" s="1"/>
      <c r="E8" s="1"/>
      <c r="F8" s="1"/>
      <c r="G8" s="1"/>
      <c r="L8">
        <f>2/12</f>
        <v>0.16666666666666666</v>
      </c>
    </row>
    <row r="9" spans="1:12" x14ac:dyDescent="0.2">
      <c r="A9" s="1" t="s">
        <v>4</v>
      </c>
      <c r="B9" s="1">
        <f>1-B8</f>
        <v>0.53627645370502064</v>
      </c>
      <c r="C9" s="1"/>
      <c r="D9" s="1"/>
      <c r="E9" s="1"/>
      <c r="F9" s="1"/>
      <c r="G9" s="1"/>
    </row>
    <row r="10" spans="1:12" x14ac:dyDescent="0.2">
      <c r="A10" s="1"/>
      <c r="B10" s="1"/>
      <c r="C10" s="1"/>
      <c r="D10" s="1"/>
      <c r="E10" s="1"/>
      <c r="F10" s="1"/>
      <c r="G10" s="1"/>
    </row>
    <row r="11" spans="1:12" x14ac:dyDescent="0.2">
      <c r="A11" s="1"/>
      <c r="B11" s="1"/>
      <c r="C11" s="1"/>
      <c r="D11" s="1"/>
      <c r="E11" s="1"/>
      <c r="F11" s="1"/>
      <c r="G11" s="1"/>
    </row>
    <row r="12" spans="1:12" x14ac:dyDescent="0.2">
      <c r="A12" s="3" t="s">
        <v>5</v>
      </c>
      <c r="B12" s="3"/>
      <c r="C12" s="3"/>
      <c r="D12" s="3"/>
      <c r="E12" s="3" t="s">
        <v>12</v>
      </c>
      <c r="F12" s="3"/>
      <c r="G12" s="3"/>
      <c r="I12" t="s">
        <v>17</v>
      </c>
    </row>
    <row r="13" spans="1:12" x14ac:dyDescent="0.2">
      <c r="A13" s="1"/>
      <c r="B13" s="1"/>
      <c r="C13" s="1"/>
      <c r="D13" s="1"/>
      <c r="E13" s="1"/>
      <c r="F13" s="1"/>
      <c r="G13" s="1"/>
    </row>
    <row r="14" spans="1:12" x14ac:dyDescent="0.2">
      <c r="A14" s="1"/>
      <c r="B14" s="1">
        <f>A15*$B$6</f>
        <v>149.18246976412703</v>
      </c>
      <c r="C14" s="1"/>
      <c r="D14" s="1"/>
      <c r="E14" s="1"/>
      <c r="F14" s="1">
        <f>MAX(B14-$D$4,0)</f>
        <v>49.182469764127035</v>
      </c>
      <c r="G14" s="1"/>
      <c r="I14">
        <f>B14-$D$4</f>
        <v>49.182469764127035</v>
      </c>
    </row>
    <row r="15" spans="1:12" x14ac:dyDescent="0.2">
      <c r="A15" s="1">
        <f>B2</f>
        <v>100</v>
      </c>
      <c r="B15" s="1"/>
      <c r="C15" s="1"/>
      <c r="D15" s="1"/>
      <c r="E15" s="1">
        <f>($B$8*F14+$B$9*F16)*EXP(-$B$4*$D$3)</f>
        <v>21.694755399618483</v>
      </c>
      <c r="F15" s="1"/>
      <c r="G15" s="1"/>
      <c r="H15" s="1">
        <f>($B$8*I14+$B$9*I16)*EXP(-$B$4*$D$3)</f>
        <v>4.8770575499286037</v>
      </c>
    </row>
    <row r="16" spans="1:12" x14ac:dyDescent="0.2">
      <c r="A16" s="1"/>
      <c r="B16" s="1">
        <f>A15*$B$7</f>
        <v>67.032004603563934</v>
      </c>
      <c r="C16" s="1"/>
      <c r="D16" s="1"/>
      <c r="E16" s="1"/>
      <c r="F16" s="1">
        <f>MAX(B16-$D$4,0)</f>
        <v>0</v>
      </c>
      <c r="G16" s="1"/>
      <c r="I16">
        <f>B16-$D$4</f>
        <v>-32.967995396436066</v>
      </c>
    </row>
    <row r="17" spans="1:8" x14ac:dyDescent="0.2">
      <c r="A17" s="1"/>
      <c r="B17" s="1"/>
      <c r="C17" s="1"/>
      <c r="D17" s="1"/>
      <c r="E17" s="1"/>
      <c r="F17" s="1"/>
      <c r="G17" s="1"/>
    </row>
    <row r="18" spans="1:8" x14ac:dyDescent="0.2">
      <c r="A18" s="1"/>
      <c r="B18" s="1"/>
      <c r="C18" s="1"/>
      <c r="D18" s="1"/>
      <c r="E18" s="1"/>
      <c r="F18" s="1"/>
      <c r="G18" s="1"/>
    </row>
    <row r="19" spans="1:8" x14ac:dyDescent="0.2">
      <c r="A19" s="1">
        <v>0</v>
      </c>
      <c r="B19" s="1">
        <v>1</v>
      </c>
      <c r="C19" s="1"/>
      <c r="D19" s="1"/>
      <c r="E19" s="1"/>
      <c r="F19" s="1"/>
      <c r="G19" s="1"/>
    </row>
    <row r="21" spans="1:8" x14ac:dyDescent="0.2">
      <c r="A21" s="3" t="s">
        <v>5</v>
      </c>
      <c r="B21" s="3"/>
      <c r="C21" s="3"/>
      <c r="D21" s="3"/>
      <c r="E21" s="3" t="s">
        <v>12</v>
      </c>
      <c r="F21" s="3" t="s">
        <v>16</v>
      </c>
      <c r="H21" t="s">
        <v>18</v>
      </c>
    </row>
    <row r="22" spans="1:8" x14ac:dyDescent="0.2">
      <c r="A22" s="1"/>
      <c r="B22" s="1"/>
      <c r="C22" s="1"/>
      <c r="D22" s="1"/>
      <c r="E22" s="1"/>
      <c r="F22" s="1"/>
      <c r="H22">
        <f>E15-E24</f>
        <v>4.8770575499286046</v>
      </c>
    </row>
    <row r="23" spans="1:8" x14ac:dyDescent="0.2">
      <c r="A23" s="1"/>
      <c r="B23" s="1">
        <f>A24*$B$6</f>
        <v>149.18246976412703</v>
      </c>
      <c r="C23" s="1"/>
      <c r="D23" s="1"/>
      <c r="E23" s="1"/>
      <c r="F23" s="1">
        <f>MAX($D$4-B23,0)</f>
        <v>0</v>
      </c>
    </row>
    <row r="24" spans="1:8" x14ac:dyDescent="0.2">
      <c r="A24" s="1">
        <f>A15</f>
        <v>100</v>
      </c>
      <c r="B24" s="1"/>
      <c r="C24" s="1"/>
      <c r="D24" s="1"/>
      <c r="E24" s="1">
        <f>($B$8*F23+$B$9*F25)*EXP(-$B$4*$D$3)</f>
        <v>16.817697849689878</v>
      </c>
      <c r="F24" s="1"/>
    </row>
    <row r="25" spans="1:8" x14ac:dyDescent="0.2">
      <c r="A25" s="1"/>
      <c r="B25" s="1">
        <f>A24*$B$7</f>
        <v>67.032004603563934</v>
      </c>
      <c r="C25" s="1"/>
      <c r="D25" s="1"/>
      <c r="E25" s="1"/>
      <c r="F25" s="1">
        <f>MAX($D$4-B25,0)</f>
        <v>32.967995396436066</v>
      </c>
    </row>
    <row r="26" spans="1:8" x14ac:dyDescent="0.2">
      <c r="A26" s="1"/>
      <c r="B26" s="1"/>
      <c r="C26" s="1"/>
      <c r="D26" s="1"/>
      <c r="E26" s="1"/>
      <c r="F26" s="1"/>
    </row>
    <row r="27" spans="1:8" x14ac:dyDescent="0.2">
      <c r="A27" s="1"/>
      <c r="B27" s="1"/>
      <c r="C27" s="1"/>
      <c r="D27" s="1"/>
      <c r="E27" s="1"/>
      <c r="F27" s="1"/>
    </row>
    <row r="28" spans="1:8" x14ac:dyDescent="0.2">
      <c r="A28" s="1">
        <v>0</v>
      </c>
      <c r="B28" s="1">
        <v>1</v>
      </c>
      <c r="C28" s="1"/>
      <c r="D28" s="1"/>
      <c r="E28" s="1"/>
      <c r="F2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1AB1C-384E-1946-80CA-8C75EAA397E0}">
  <dimension ref="A1:Q35"/>
  <sheetViews>
    <sheetView topLeftCell="A8" zoomScale="130" zoomScaleNormal="130" workbookViewId="0">
      <selection activeCell="N35" sqref="N35"/>
    </sheetView>
  </sheetViews>
  <sheetFormatPr baseColWidth="10" defaultColWidth="9.1640625" defaultRowHeight="15" x14ac:dyDescent="0.2"/>
  <cols>
    <col min="1" max="1" width="12" style="2" customWidth="1"/>
    <col min="2" max="14" width="9.1640625" style="2"/>
    <col min="15" max="15" width="11.83203125" style="2" bestFit="1" customWidth="1"/>
    <col min="16" max="19" width="9.1640625" style="2"/>
    <col min="20" max="20" width="11.83203125" style="2" bestFit="1" customWidth="1"/>
    <col min="21" max="16384" width="9.1640625" style="2"/>
  </cols>
  <sheetData>
    <row r="1" spans="1:17" x14ac:dyDescent="0.2">
      <c r="A1" s="5"/>
    </row>
    <row r="2" spans="1:17" x14ac:dyDescent="0.2">
      <c r="A2" s="1" t="s">
        <v>6</v>
      </c>
      <c r="B2" s="1">
        <v>200</v>
      </c>
      <c r="C2" s="1" t="s">
        <v>7</v>
      </c>
      <c r="D2" s="1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7" x14ac:dyDescent="0.2">
      <c r="A3" s="1" t="s">
        <v>8</v>
      </c>
      <c r="B3" s="1">
        <v>0.5</v>
      </c>
      <c r="C3" s="1" t="s">
        <v>9</v>
      </c>
      <c r="D3" s="1">
        <v>0.5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7" x14ac:dyDescent="0.2">
      <c r="A4" s="1" t="s">
        <v>0</v>
      </c>
      <c r="B4" s="1">
        <v>0.02</v>
      </c>
      <c r="C4" s="1" t="s">
        <v>10</v>
      </c>
      <c r="D4" s="1">
        <f>B2</f>
        <v>200</v>
      </c>
      <c r="E4" s="1"/>
      <c r="F4" s="1"/>
      <c r="G4" s="1"/>
      <c r="H4" s="1" t="s">
        <v>7</v>
      </c>
      <c r="I4" s="1">
        <v>2</v>
      </c>
      <c r="J4" s="1"/>
      <c r="K4" s="1"/>
      <c r="L4" s="1"/>
      <c r="M4" s="1"/>
      <c r="N4" s="1"/>
      <c r="O4" s="1"/>
    </row>
    <row r="5" spans="1:17" x14ac:dyDescent="0.2">
      <c r="A5" s="1" t="s">
        <v>11</v>
      </c>
      <c r="B5" s="1">
        <v>0</v>
      </c>
      <c r="C5" s="1"/>
      <c r="D5" s="1"/>
      <c r="E5" s="1"/>
      <c r="F5" s="1"/>
      <c r="G5" s="1"/>
      <c r="H5" s="1"/>
      <c r="I5" s="1">
        <v>4</v>
      </c>
      <c r="J5" s="1"/>
      <c r="K5" s="1"/>
      <c r="L5" s="1"/>
      <c r="M5" s="1"/>
      <c r="N5" s="1">
        <f>100*(1-EXP(-0.01))</f>
        <v>0.99501662508318933</v>
      </c>
      <c r="O5" s="1"/>
    </row>
    <row r="6" spans="1:17" x14ac:dyDescent="0.2">
      <c r="A6" s="1" t="s">
        <v>1</v>
      </c>
      <c r="B6" s="1">
        <f>EXP(B3*SQRT(D3))</f>
        <v>1.4241190194809816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7" x14ac:dyDescent="0.2">
      <c r="A7" s="1" t="s">
        <v>2</v>
      </c>
      <c r="B7" s="1">
        <f>1/B6</f>
        <v>0.70218850132655963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7" x14ac:dyDescent="0.2">
      <c r="A8" s="1" t="s">
        <v>3</v>
      </c>
      <c r="B8" s="1">
        <f>(EXP((B4-B5)*D3)-B7)/(B6-B7)</f>
        <v>0.42644223788272689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7" x14ac:dyDescent="0.2">
      <c r="A9" s="1" t="s">
        <v>4</v>
      </c>
      <c r="B9" s="1">
        <f>1-B8</f>
        <v>0.57355776211727316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7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7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7" x14ac:dyDescent="0.2">
      <c r="A12" s="3" t="s">
        <v>5</v>
      </c>
      <c r="B12" s="3"/>
      <c r="C12" s="3"/>
      <c r="D12" s="3"/>
      <c r="E12" s="3"/>
      <c r="F12" s="3"/>
      <c r="G12" s="3" t="s">
        <v>12</v>
      </c>
      <c r="H12" s="3"/>
      <c r="I12" s="3"/>
      <c r="J12" s="3"/>
      <c r="K12" s="3"/>
      <c r="L12" s="3"/>
      <c r="M12" s="3" t="s">
        <v>13</v>
      </c>
      <c r="N12" s="3"/>
      <c r="O12" s="4"/>
    </row>
    <row r="13" spans="1:17" x14ac:dyDescent="0.2">
      <c r="A13" s="3"/>
      <c r="B13" s="3"/>
      <c r="C13" s="3"/>
      <c r="D13" s="3"/>
      <c r="E13" s="3">
        <f>D14*$B$6</f>
        <v>822.65007575658569</v>
      </c>
      <c r="F13" s="3"/>
      <c r="G13" s="3"/>
      <c r="H13" s="3"/>
      <c r="I13" s="3"/>
      <c r="J13" s="3"/>
      <c r="K13" s="3"/>
      <c r="L13" s="3"/>
      <c r="M13" s="3"/>
      <c r="N13" s="3"/>
      <c r="O13" s="4"/>
      <c r="Q13" s="1">
        <f>MAX(E13-$D$4,0)</f>
        <v>622.65007575658569</v>
      </c>
    </row>
    <row r="14" spans="1:17" x14ac:dyDescent="0.2">
      <c r="A14" s="3"/>
      <c r="B14" s="3"/>
      <c r="C14" s="3"/>
      <c r="D14" s="3">
        <f>C15*$B$6</f>
        <v>577.65542381169757</v>
      </c>
      <c r="E14" s="3">
        <f t="shared" ref="E14:E20" si="0">D15*$B$6</f>
        <v>0</v>
      </c>
      <c r="F14" s="3"/>
      <c r="G14" s="3"/>
      <c r="H14" s="3"/>
      <c r="I14" s="3"/>
      <c r="J14" s="3"/>
      <c r="K14" s="3"/>
      <c r="L14" s="3"/>
      <c r="M14" s="3"/>
      <c r="N14" s="3"/>
      <c r="O14" s="4"/>
      <c r="P14" s="1">
        <f>MAX(D14-$D$4,($B$8*Q13+$B$9*Q15)*EXP(-$B$4*$D$3))</f>
        <v>379.64545706186397</v>
      </c>
    </row>
    <row r="15" spans="1:17" x14ac:dyDescent="0.2">
      <c r="A15" s="1"/>
      <c r="B15" s="1"/>
      <c r="C15" s="1">
        <f>B16*$B$6</f>
        <v>405.62299632949453</v>
      </c>
      <c r="D15" s="1"/>
      <c r="E15" s="3">
        <f t="shared" si="0"/>
        <v>405.62299632949453</v>
      </c>
      <c r="F15" s="1"/>
      <c r="G15" s="1"/>
      <c r="H15" s="1"/>
      <c r="I15" s="1">
        <f>MAX(C15-$D$4,0)</f>
        <v>205.62299632949453</v>
      </c>
      <c r="J15" s="1"/>
      <c r="K15" s="1"/>
      <c r="L15" s="1"/>
      <c r="M15" s="1"/>
      <c r="N15" s="1"/>
      <c r="O15" s="1">
        <f>MAX(C15-$D$4,($B$8*P14+$B$9*P16)*EXP(-$B$4*$D$3))</f>
        <v>209.58326166814339</v>
      </c>
      <c r="Q15" s="1">
        <f>MAX(E15-$D$4,0)</f>
        <v>205.62299632949453</v>
      </c>
    </row>
    <row r="16" spans="1:17" x14ac:dyDescent="0.2">
      <c r="A16" s="1"/>
      <c r="B16" s="1">
        <f>A17*$B$6</f>
        <v>284.82380389619635</v>
      </c>
      <c r="C16" s="1"/>
      <c r="D16" s="3">
        <f>C17*$B$6</f>
        <v>284.82380389619635</v>
      </c>
      <c r="E16" s="3">
        <f t="shared" si="0"/>
        <v>0</v>
      </c>
      <c r="F16" s="1"/>
      <c r="G16" s="1"/>
      <c r="H16" s="1">
        <f>($B$8*I15+$B$9*I17)*EXP(-$B$4*$D$3)</f>
        <v>86.813837146362701</v>
      </c>
      <c r="I16" s="1"/>
      <c r="J16" s="1"/>
      <c r="K16" s="1"/>
      <c r="L16" s="1"/>
      <c r="M16" s="1"/>
      <c r="N16" s="1">
        <f>MAX(B16-$D$4,($B$8*O15+$B$9*O17)*EXP(-$B$4*$D$3))</f>
        <v>109.2991332221024</v>
      </c>
      <c r="O16" s="1"/>
      <c r="P16" s="1">
        <f>MAX(D16-$D$4,($B$8*Q15+$B$9*Q17)*EXP(-$B$4*$D$3))</f>
        <v>86.813837146362701</v>
      </c>
    </row>
    <row r="17" spans="1:17" x14ac:dyDescent="0.2">
      <c r="A17" s="1">
        <f>B2</f>
        <v>200</v>
      </c>
      <c r="B17" s="1"/>
      <c r="C17" s="1">
        <f>B16*$B$7</f>
        <v>200.00000000000003</v>
      </c>
      <c r="D17" s="1"/>
      <c r="E17" s="3">
        <f t="shared" si="0"/>
        <v>200.00000000000003</v>
      </c>
      <c r="F17" s="1"/>
      <c r="G17" s="1">
        <f>($B$8*H16+$B$9*H18)*EXP(-$B$4*$D$3)</f>
        <v>36.652721021525792</v>
      </c>
      <c r="H17" s="1"/>
      <c r="I17" s="1">
        <f>MAX(C17-$D$4,0)</f>
        <v>2.8421709430404007E-14</v>
      </c>
      <c r="J17" s="1"/>
      <c r="K17" s="1"/>
      <c r="L17" s="1"/>
      <c r="M17" s="1">
        <f>MAX(A17-$D$4,($B$8*N16+$B$9*N18)*EXP(-$B$4*$D$3))</f>
        <v>54.933337634863875</v>
      </c>
      <c r="N17" s="1"/>
      <c r="O17" s="1">
        <f>MAX(C17-$D$4,($B$8*P16+$B$9*P18)*EXP(-$B$4*$D$3))</f>
        <v>36.652721021525792</v>
      </c>
      <c r="Q17" s="1">
        <f>MAX(E17-$D$4,0)</f>
        <v>2.8421709430404007E-14</v>
      </c>
    </row>
    <row r="18" spans="1:17" x14ac:dyDescent="0.2">
      <c r="A18" s="1"/>
      <c r="B18" s="1">
        <f>A17*$B$7</f>
        <v>140.43770026531192</v>
      </c>
      <c r="C18" s="1"/>
      <c r="D18" s="3">
        <f>C19*$B$6</f>
        <v>140.43770026531195</v>
      </c>
      <c r="E18" s="3">
        <f t="shared" si="0"/>
        <v>0</v>
      </c>
      <c r="F18" s="1"/>
      <c r="G18" s="1"/>
      <c r="H18" s="1">
        <f>($B$8*I17+$B$9*I19)*EXP(-$B$4*$D$3)</f>
        <v>1.1999619196087024E-14</v>
      </c>
      <c r="I18" s="1"/>
      <c r="J18" s="1"/>
      <c r="K18" s="1"/>
      <c r="L18" s="1"/>
      <c r="M18" s="1"/>
      <c r="N18" s="1">
        <f>MAX(B18-$D$4,($B$8*O17+$B$9*O19)*EXP(-$B$4*$D$3))</f>
        <v>15.474744608015344</v>
      </c>
      <c r="O18" s="1"/>
      <c r="P18" s="1">
        <f>MAX(D18-$D$4,($B$8*Q17+$B$9*Q19)*EXP(-$B$4*$D$3))</f>
        <v>1.1999619196087024E-14</v>
      </c>
    </row>
    <row r="19" spans="1:17" x14ac:dyDescent="0.2">
      <c r="A19" s="1"/>
      <c r="B19" s="1"/>
      <c r="C19" s="1">
        <f>B18*$B$7</f>
        <v>98.613738279047965</v>
      </c>
      <c r="D19" s="1"/>
      <c r="E19" s="3">
        <f t="shared" si="0"/>
        <v>98.613738279047965</v>
      </c>
      <c r="F19" s="1"/>
      <c r="G19" s="1"/>
      <c r="H19" s="1"/>
      <c r="I19" s="1">
        <f>MAX(C19-$D$4,0)</f>
        <v>0</v>
      </c>
      <c r="J19" s="1"/>
      <c r="K19" s="1"/>
      <c r="L19" s="1"/>
      <c r="M19" s="1"/>
      <c r="N19" s="1"/>
      <c r="O19" s="1">
        <f>MAX(C19-$D$4,0)</f>
        <v>0</v>
      </c>
      <c r="Q19" s="1">
        <f>MAX(E19-$D$4,0)</f>
        <v>0</v>
      </c>
    </row>
    <row r="20" spans="1:17" x14ac:dyDescent="0.2">
      <c r="A20" s="1"/>
      <c r="B20" s="1"/>
      <c r="C20" s="1"/>
      <c r="D20" s="3">
        <f>C19*B7</f>
        <v>69.24543309237427</v>
      </c>
      <c r="E20" s="3">
        <f t="shared" si="0"/>
        <v>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>
        <f>MAX(D20-$D$4,($B$8*Q19+$B$9*Q21)*EXP(-$B$4*$D$3))</f>
        <v>0</v>
      </c>
    </row>
    <row r="21" spans="1:17" x14ac:dyDescent="0.2">
      <c r="A21" s="1"/>
      <c r="B21" s="1"/>
      <c r="C21" s="1"/>
      <c r="D21" s="1"/>
      <c r="E21" s="1">
        <f>D20*B7</f>
        <v>48.623346886842846</v>
      </c>
      <c r="F21" s="1"/>
      <c r="G21" s="1">
        <v>0</v>
      </c>
      <c r="H21" s="1">
        <v>0.5</v>
      </c>
      <c r="I21" s="1">
        <v>1</v>
      </c>
      <c r="J21" s="1"/>
      <c r="K21" s="1"/>
      <c r="L21" s="1"/>
      <c r="M21" s="1"/>
      <c r="N21" s="1"/>
      <c r="O21" s="1"/>
      <c r="Q21" s="1">
        <f>MAX(E21-$D$4,0)</f>
        <v>0</v>
      </c>
    </row>
    <row r="22" spans="1:1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7" x14ac:dyDescent="0.2">
      <c r="A25" s="3" t="s">
        <v>5</v>
      </c>
      <c r="B25" s="3"/>
      <c r="C25" s="3"/>
      <c r="D25" s="3"/>
      <c r="E25" s="3"/>
      <c r="F25" s="3"/>
      <c r="G25" s="3" t="s">
        <v>14</v>
      </c>
      <c r="H25" s="3"/>
      <c r="I25" s="3"/>
      <c r="J25" s="3"/>
      <c r="K25" s="3"/>
      <c r="L25" s="3"/>
      <c r="M25" s="3" t="s">
        <v>15</v>
      </c>
      <c r="N25" s="3"/>
      <c r="O25" s="4"/>
    </row>
    <row r="26" spans="1:17" x14ac:dyDescent="0.2">
      <c r="A26" s="3"/>
      <c r="B26" s="3"/>
      <c r="C26" s="3"/>
      <c r="D26" s="3"/>
      <c r="E26" s="3">
        <f>D27*$B$6</f>
        <v>822.65007575658569</v>
      </c>
      <c r="F26" s="3"/>
      <c r="G26" s="3"/>
      <c r="H26" s="3"/>
      <c r="I26" s="3"/>
      <c r="J26" s="3"/>
      <c r="K26" s="1">
        <f>MAX($D$4-E26,0)</f>
        <v>0</v>
      </c>
      <c r="L26" s="3"/>
      <c r="M26" s="3"/>
      <c r="N26" s="3"/>
      <c r="O26" s="4"/>
      <c r="Q26" s="1">
        <f>MAX($D$4-E26,0)</f>
        <v>0</v>
      </c>
    </row>
    <row r="27" spans="1:17" x14ac:dyDescent="0.2">
      <c r="A27" s="3"/>
      <c r="B27" s="3"/>
      <c r="C27" s="3"/>
      <c r="D27" s="3">
        <f>C28*$B$6</f>
        <v>577.65542381169757</v>
      </c>
      <c r="E27" s="3">
        <f t="shared" ref="E27:E33" si="1">D28*$B$6</f>
        <v>0</v>
      </c>
      <c r="F27" s="3"/>
      <c r="G27" s="3"/>
      <c r="H27" s="3"/>
      <c r="I27" s="3"/>
      <c r="J27" s="1">
        <f>($B$8*K26+$B$9*K28)*EXP(-$B$4*$D$3)</f>
        <v>0</v>
      </c>
      <c r="K27" s="3"/>
      <c r="L27" s="3"/>
      <c r="M27" s="3"/>
      <c r="N27" s="3"/>
      <c r="O27" s="4"/>
      <c r="P27" s="1">
        <f>MAX(-D27+$D$4,($B$8*Q26+$B$9*Q28)*EXP(-$B$4*$D$3))</f>
        <v>0</v>
      </c>
    </row>
    <row r="28" spans="1:17" x14ac:dyDescent="0.2">
      <c r="A28" s="1"/>
      <c r="B28" s="1"/>
      <c r="C28" s="1">
        <f>B29*$B$6</f>
        <v>405.62299632949453</v>
      </c>
      <c r="D28" s="1"/>
      <c r="E28" s="3">
        <f t="shared" si="1"/>
        <v>405.62299632949453</v>
      </c>
      <c r="F28" s="1"/>
      <c r="G28" s="1"/>
      <c r="H28" s="1"/>
      <c r="I28" s="1">
        <f>($B$8*J27+$B$9*J29)*EXP(-$B$4*$D$3)</f>
        <v>0</v>
      </c>
      <c r="J28" s="1"/>
      <c r="K28" s="1">
        <f>MAX($D$4-E28,0)</f>
        <v>0</v>
      </c>
      <c r="L28" s="1"/>
      <c r="M28" s="1"/>
      <c r="N28" s="1"/>
      <c r="O28" s="1">
        <f>MAX(-C28+$D$4,($B$8*P27+$B$9*P29)*EXP(-$B$4*$D$3))</f>
        <v>0</v>
      </c>
      <c r="Q28" s="1">
        <f>MAX($D$4-E28,0)</f>
        <v>0</v>
      </c>
    </row>
    <row r="29" spans="1:17" x14ac:dyDescent="0.2">
      <c r="A29" s="1"/>
      <c r="B29" s="1">
        <f>A30*$B$6</f>
        <v>284.82380389619635</v>
      </c>
      <c r="C29" s="1"/>
      <c r="D29" s="3">
        <f>C30*$B$6</f>
        <v>284.82380389619635</v>
      </c>
      <c r="E29" s="3">
        <f t="shared" si="1"/>
        <v>0</v>
      </c>
      <c r="F29" s="1"/>
      <c r="G29" s="1"/>
      <c r="H29" s="1">
        <f>($B$8*I28+$B$9*I30)*EXP(-$B$4*$D$3)</f>
        <v>18.564436035607795</v>
      </c>
      <c r="I29" s="1"/>
      <c r="J29" s="1">
        <f>($B$8*K28+$B$9*K30)*EXP(-$B$4*$D$3)</f>
        <v>0</v>
      </c>
      <c r="K29" s="1"/>
      <c r="L29" s="1"/>
      <c r="M29" s="1"/>
      <c r="N29" s="1">
        <f>MAX(-B29+$D$4,($B$8*O28+$B$9*O30)*EXP(-$B$4*$D$3))</f>
        <v>19.206131199569732</v>
      </c>
      <c r="O29" s="1"/>
      <c r="P29" s="1">
        <f>MAX(-D29+$D$4,($B$8*Q28+$B$9*Q30)*EXP(-$B$4*$D$3))</f>
        <v>0</v>
      </c>
    </row>
    <row r="30" spans="1:17" x14ac:dyDescent="0.2">
      <c r="A30" s="1">
        <f>B2</f>
        <v>200</v>
      </c>
      <c r="B30" s="1"/>
      <c r="C30" s="1">
        <f>B29*$B$7</f>
        <v>200.00000000000003</v>
      </c>
      <c r="D30" s="1"/>
      <c r="E30" s="3">
        <f t="shared" si="1"/>
        <v>200.00000000000003</v>
      </c>
      <c r="F30" s="1"/>
      <c r="G30" s="1">
        <f>($B$8*H29+$B$9*H31)*EXP(-$B$4*$D$3)</f>
        <v>47.091225465328627</v>
      </c>
      <c r="H30" s="1"/>
      <c r="I30" s="1">
        <f>($B$8*J29+$B$9*J31)*EXP(-$B$4*$D$3)</f>
        <v>32.692455682876897</v>
      </c>
      <c r="J30" s="1"/>
      <c r="K30" s="1">
        <f>MAX($D$4-E30,0)</f>
        <v>0</v>
      </c>
      <c r="L30" s="1"/>
      <c r="M30" s="1">
        <f>MAX(-A30+$D$4,($B$8*N29+$B$9*N31)*EXP(-$B$4*$D$3))</f>
        <v>48.910077018374928</v>
      </c>
      <c r="N30" s="1"/>
      <c r="O30" s="1">
        <f>MAX(-C30+$D$4,($B$8*P29+$B$9*P31)*EXP(-$B$4*$D$3))</f>
        <v>33.822497590398555</v>
      </c>
      <c r="Q30" s="1">
        <f>MAX($D$4-E30,0)</f>
        <v>0</v>
      </c>
    </row>
    <row r="31" spans="1:17" x14ac:dyDescent="0.2">
      <c r="A31" s="1"/>
      <c r="B31" s="1">
        <f>A30*$B$7</f>
        <v>140.43770026531192</v>
      </c>
      <c r="C31" s="1"/>
      <c r="D31" s="3">
        <f>C32*$B$6</f>
        <v>140.43770026531195</v>
      </c>
      <c r="E31" s="3">
        <f t="shared" si="1"/>
        <v>0</v>
      </c>
      <c r="F31" s="1"/>
      <c r="G31" s="1"/>
      <c r="H31" s="1">
        <f>($B$8*I30+$B$9*I32)*EXP(-$B$4*$D$3)</f>
        <v>69.126151052405135</v>
      </c>
      <c r="I31" s="1"/>
      <c r="J31" s="1">
        <f>($B$8*K30+$B$9*K32)*EXP(-$B$4*$D$3)</f>
        <v>57.57226648452172</v>
      </c>
      <c r="K31" s="1"/>
      <c r="L31" s="1"/>
      <c r="M31" s="1"/>
      <c r="N31" s="1">
        <f>MAX(-B31+$D$4,($B$8*O30+$B$9*O32)*EXP(-$B$4*$D$3))</f>
        <v>71.852093401307712</v>
      </c>
      <c r="O31" s="1"/>
      <c r="P31" s="1">
        <f>MAX(-D31+$D$4,($B$8*Q30+$B$9*Q32)*EXP(-$B$4*$D$3))</f>
        <v>59.562299734688054</v>
      </c>
    </row>
    <row r="32" spans="1:17" x14ac:dyDescent="0.2">
      <c r="A32" s="1"/>
      <c r="B32" s="1"/>
      <c r="C32" s="1">
        <f>B31*$B$7</f>
        <v>98.613738279047965</v>
      </c>
      <c r="D32" s="1"/>
      <c r="E32" s="3">
        <f t="shared" si="1"/>
        <v>98.613738279047965</v>
      </c>
      <c r="F32" s="1"/>
      <c r="G32" s="1"/>
      <c r="H32" s="1"/>
      <c r="I32" s="1">
        <f>($B$8*J31+$B$9*J33)*EXP(-$B$4*$D$3)</f>
        <v>97.425996382303154</v>
      </c>
      <c r="J32" s="1"/>
      <c r="K32" s="1">
        <f>MAX($D$4-E32,0)</f>
        <v>101.38626172095204</v>
      </c>
      <c r="L32" s="1"/>
      <c r="M32" s="1"/>
      <c r="N32" s="1" t="s">
        <v>19</v>
      </c>
      <c r="O32" s="1">
        <f>MAX(-C32+$D$4,($B$8*P31+$B$9*P33)*EXP(-$B$4*$D$3))</f>
        <v>101.38626172095204</v>
      </c>
      <c r="Q32" s="1">
        <f>MAX($D$4-E32,0)</f>
        <v>101.38626172095204</v>
      </c>
    </row>
    <row r="33" spans="1:17" x14ac:dyDescent="0.2">
      <c r="A33" s="1"/>
      <c r="B33" s="1"/>
      <c r="C33" s="1"/>
      <c r="D33" s="3">
        <f>C32*B7</f>
        <v>69.24543309237427</v>
      </c>
      <c r="E33" s="3">
        <f t="shared" si="1"/>
        <v>0</v>
      </c>
      <c r="F33" s="1"/>
      <c r="G33" s="1"/>
      <c r="H33" s="1"/>
      <c r="I33" s="1"/>
      <c r="J33" s="1">
        <f>($B$8*K32+$B$9*K34)*EXP(-$B$4*$D$3)</f>
        <v>128.76453365745937</v>
      </c>
      <c r="K33" s="1"/>
      <c r="L33" s="1"/>
      <c r="M33" s="1"/>
      <c r="N33" s="1"/>
      <c r="O33" s="1"/>
      <c r="P33" s="1">
        <f>MAX(-D33+$D$4,($B$8*Q32+$B$9*Q34)*EXP(-$B$4*$D$3))</f>
        <v>130.75456690762573</v>
      </c>
    </row>
    <row r="34" spans="1:17" x14ac:dyDescent="0.2">
      <c r="A34" s="1"/>
      <c r="B34" s="1"/>
      <c r="C34" s="1"/>
      <c r="D34" s="1"/>
      <c r="E34" s="1">
        <f>D33*B7</f>
        <v>48.623346886842846</v>
      </c>
      <c r="F34" s="1"/>
      <c r="G34" s="1"/>
      <c r="H34" s="1"/>
      <c r="I34" s="1"/>
      <c r="J34" s="1"/>
      <c r="K34" s="1">
        <f>MAX($D$4-E34,0)</f>
        <v>151.37665311315715</v>
      </c>
      <c r="L34" s="1"/>
      <c r="M34" s="1"/>
      <c r="N34" s="1"/>
      <c r="O34" s="1"/>
      <c r="Q34" s="1">
        <f>MAX($D$4-E34,0)</f>
        <v>151.37665311315715</v>
      </c>
    </row>
    <row r="35" spans="1:17" x14ac:dyDescent="0.2">
      <c r="N35" s="2">
        <f>(N29-N31)/(B16-B18)</f>
        <v>-0.36461931500225703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FDEC5-D5D0-49D1-854F-4C1B2A9E3541}">
  <dimension ref="A1:K30"/>
  <sheetViews>
    <sheetView zoomScale="130" zoomScaleNormal="130" workbookViewId="0">
      <selection activeCell="I26" sqref="I26"/>
    </sheetView>
  </sheetViews>
  <sheetFormatPr baseColWidth="10" defaultColWidth="9.1640625" defaultRowHeight="15" x14ac:dyDescent="0.2"/>
  <cols>
    <col min="1" max="1" width="12" style="2" customWidth="1"/>
    <col min="2" max="15" width="9.1640625" style="2"/>
    <col min="16" max="16" width="11.83203125" style="2" bestFit="1" customWidth="1"/>
    <col min="17" max="16384" width="9.1640625" style="2"/>
  </cols>
  <sheetData>
    <row r="1" spans="1:11" x14ac:dyDescent="0.2">
      <c r="A1" s="5"/>
    </row>
    <row r="2" spans="1:11" x14ac:dyDescent="0.2">
      <c r="A2" s="1" t="s">
        <v>6</v>
      </c>
      <c r="B2" s="1">
        <v>100</v>
      </c>
      <c r="C2" s="1" t="s">
        <v>7</v>
      </c>
      <c r="D2" s="1">
        <v>1</v>
      </c>
      <c r="E2" s="1"/>
      <c r="F2" s="1"/>
      <c r="G2" s="1"/>
      <c r="H2" s="1"/>
      <c r="I2" s="1"/>
      <c r="J2" s="1"/>
      <c r="K2" s="1"/>
    </row>
    <row r="3" spans="1:11" x14ac:dyDescent="0.2">
      <c r="A3" s="1" t="s">
        <v>8</v>
      </c>
      <c r="B3" s="1">
        <v>0.4</v>
      </c>
      <c r="C3" s="1" t="s">
        <v>9</v>
      </c>
      <c r="D3" s="1">
        <v>0.5</v>
      </c>
      <c r="E3" s="1"/>
      <c r="F3" s="1"/>
      <c r="G3" s="1"/>
      <c r="H3" s="1"/>
      <c r="I3" s="1"/>
      <c r="J3" s="1"/>
      <c r="K3" s="1"/>
    </row>
    <row r="4" spans="1:11" x14ac:dyDescent="0.2">
      <c r="A4" s="1" t="s">
        <v>0</v>
      </c>
      <c r="B4" s="1">
        <v>0.05</v>
      </c>
      <c r="C4" s="1" t="s">
        <v>10</v>
      </c>
      <c r="D4" s="1">
        <v>100</v>
      </c>
      <c r="E4" s="1"/>
      <c r="F4" s="1"/>
      <c r="G4" s="1"/>
      <c r="H4" s="1"/>
      <c r="I4" s="1"/>
      <c r="J4" s="1"/>
      <c r="K4" s="1"/>
    </row>
    <row r="5" spans="1:11" x14ac:dyDescent="0.2">
      <c r="A5" s="1" t="s">
        <v>11</v>
      </c>
      <c r="B5" s="1">
        <v>0.04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">
      <c r="A6" s="1" t="s">
        <v>1</v>
      </c>
      <c r="B6" s="1">
        <f>EXP(B3*SQRT(D3))</f>
        <v>1.3268964411453439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">
      <c r="A7" s="1" t="s">
        <v>2</v>
      </c>
      <c r="B7" s="1">
        <f>1/B6</f>
        <v>0.75363831644376478</v>
      </c>
      <c r="C7" s="1"/>
      <c r="D7" s="1"/>
      <c r="E7" s="1"/>
      <c r="F7" s="1"/>
      <c r="G7" s="1"/>
      <c r="H7" s="1"/>
      <c r="I7" s="1"/>
      <c r="J7" s="1"/>
      <c r="K7" s="1"/>
    </row>
    <row r="8" spans="1:11" x14ac:dyDescent="0.2">
      <c r="A8" s="1" t="s">
        <v>3</v>
      </c>
      <c r="B8" s="1">
        <f>(EXP((B4-B5)*D3)-B7)/(B6-B7)</f>
        <v>0.43850090139846515</v>
      </c>
      <c r="C8" s="1"/>
      <c r="D8" s="1"/>
      <c r="E8" s="1"/>
      <c r="F8" s="1"/>
      <c r="G8" s="1"/>
      <c r="H8" s="1"/>
      <c r="I8" s="1"/>
      <c r="J8" s="1"/>
      <c r="K8" s="1"/>
    </row>
    <row r="9" spans="1:11" x14ac:dyDescent="0.2">
      <c r="A9" s="1" t="s">
        <v>4</v>
      </c>
      <c r="B9" s="1">
        <f>1-B8</f>
        <v>0.56149909860153491</v>
      </c>
      <c r="C9" s="1"/>
      <c r="D9" s="1"/>
      <c r="E9" s="1"/>
      <c r="F9" s="1"/>
      <c r="G9" s="1"/>
      <c r="H9" s="1"/>
      <c r="I9" s="1"/>
      <c r="J9" s="1"/>
      <c r="K9" s="1"/>
    </row>
    <row r="10" spans="1:1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3" t="s">
        <v>5</v>
      </c>
      <c r="B12" s="3"/>
      <c r="C12" s="3"/>
      <c r="D12" s="3"/>
      <c r="E12" s="3" t="s">
        <v>12</v>
      </c>
      <c r="F12" s="3"/>
      <c r="G12" s="3"/>
      <c r="H12" s="3"/>
      <c r="I12" s="3" t="s">
        <v>13</v>
      </c>
      <c r="J12" s="3"/>
      <c r="K12" s="4"/>
    </row>
    <row r="13" spans="1:11" x14ac:dyDescent="0.2">
      <c r="A13" s="1"/>
      <c r="B13" s="1"/>
      <c r="C13" s="1">
        <f>B14*$B$6</f>
        <v>176.0654165524179</v>
      </c>
      <c r="D13" s="1"/>
      <c r="E13" s="1"/>
      <c r="F13" s="1"/>
      <c r="G13" s="1">
        <f>MAX(C13-$D$4,0)</f>
        <v>76.065416552417901</v>
      </c>
      <c r="H13" s="1"/>
      <c r="I13" s="1"/>
      <c r="J13" s="1"/>
      <c r="K13" s="1">
        <f>MAX(C13-$D$4,0)</f>
        <v>76.065416552417901</v>
      </c>
    </row>
    <row r="14" spans="1:11" x14ac:dyDescent="0.2">
      <c r="A14" s="1"/>
      <c r="B14" s="1">
        <f>A15*$B$6</f>
        <v>132.68964411453439</v>
      </c>
      <c r="C14" s="1"/>
      <c r="D14" s="1"/>
      <c r="E14" s="1"/>
      <c r="F14" s="1">
        <f>($B$8*G13+$B$9*G15)*EXP(-$B$4*$D$3)</f>
        <v>32.531221919778837</v>
      </c>
      <c r="G14" s="1"/>
      <c r="H14" s="1"/>
      <c r="I14" s="1"/>
      <c r="J14" s="1">
        <f>MAX(B14-$D$4,($B$8*K13+$B$9*K15)*EXP(-$B$4*$D$3))</f>
        <v>32.689644114534389</v>
      </c>
      <c r="K14" s="1"/>
    </row>
    <row r="15" spans="1:11" x14ac:dyDescent="0.2">
      <c r="A15" s="1">
        <f>B2</f>
        <v>100</v>
      </c>
      <c r="B15" s="1"/>
      <c r="C15" s="1">
        <f>B14*$B$7</f>
        <v>100</v>
      </c>
      <c r="D15" s="1"/>
      <c r="E15" s="1">
        <f>($B$8*F14+$B$9*F16)*EXP(-$B$4*$D$3)</f>
        <v>13.912766767859885</v>
      </c>
      <c r="F15" s="1"/>
      <c r="G15" s="1">
        <f>MAX(C15-$D$4,0)</f>
        <v>0</v>
      </c>
      <c r="H15" s="1"/>
      <c r="I15" s="1">
        <f>MAX(A15-$D$4,($B$8*J14+$B$9*J16)*EXP(-$B$4*$D$3))</f>
        <v>13.980519865235745</v>
      </c>
      <c r="J15" s="1"/>
      <c r="K15" s="1">
        <f>MAX(C15-$D$4,0)</f>
        <v>0</v>
      </c>
    </row>
    <row r="16" spans="1:11" x14ac:dyDescent="0.2">
      <c r="A16" s="1"/>
      <c r="B16" s="1">
        <f>A15*$B$7</f>
        <v>75.363831644376475</v>
      </c>
      <c r="C16" s="1"/>
      <c r="D16" s="1"/>
      <c r="E16" s="1"/>
      <c r="F16" s="1">
        <f>($B$8*G15+$B$9*G17)*EXP(-$B$4*$D$3)</f>
        <v>0</v>
      </c>
      <c r="G16" s="1"/>
      <c r="H16" s="1"/>
      <c r="I16" s="1"/>
      <c r="J16" s="1">
        <f>MAX(B16-$D$4,($B$8*K15+$B$9*K17)*EXP(-$B$4*$D$3))</f>
        <v>0</v>
      </c>
      <c r="K16" s="1"/>
    </row>
    <row r="17" spans="1:11" x14ac:dyDescent="0.2">
      <c r="A17" s="1"/>
      <c r="B17" s="1"/>
      <c r="C17" s="1">
        <f>B16*$B$7</f>
        <v>56.797071201219211</v>
      </c>
      <c r="D17" s="1"/>
      <c r="E17" s="1"/>
      <c r="F17" s="1"/>
      <c r="G17" s="1">
        <f>MAX(C17-$D$4,0)</f>
        <v>0</v>
      </c>
      <c r="H17" s="1"/>
      <c r="I17" s="1"/>
      <c r="J17" s="1"/>
      <c r="K17" s="1">
        <f>MAX(C17-$D$4,0)</f>
        <v>0</v>
      </c>
    </row>
    <row r="18" spans="1:1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1">
        <v>0</v>
      </c>
      <c r="B19" s="1">
        <v>0.5</v>
      </c>
      <c r="C19" s="1">
        <v>1</v>
      </c>
      <c r="D19" s="1"/>
      <c r="E19" s="1">
        <v>0</v>
      </c>
      <c r="F19" s="1">
        <v>0.5</v>
      </c>
      <c r="G19" s="1">
        <v>1</v>
      </c>
      <c r="H19" s="1"/>
      <c r="I19" s="1">
        <v>0</v>
      </c>
      <c r="J19" s="1">
        <v>0.5</v>
      </c>
      <c r="K19" s="1">
        <v>1</v>
      </c>
    </row>
    <row r="20" spans="1:1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3" t="s">
        <v>5</v>
      </c>
      <c r="B23" s="3"/>
      <c r="C23" s="3"/>
      <c r="D23" s="3"/>
      <c r="E23" s="3" t="s">
        <v>14</v>
      </c>
      <c r="F23" s="3"/>
      <c r="G23" s="3"/>
      <c r="H23" s="3"/>
      <c r="I23" s="3" t="s">
        <v>15</v>
      </c>
      <c r="J23" s="3"/>
      <c r="K23" s="4"/>
    </row>
    <row r="24" spans="1:11" x14ac:dyDescent="0.2">
      <c r="A24" s="1"/>
      <c r="B24" s="1"/>
      <c r="C24" s="1">
        <f>B25*$B$6</f>
        <v>176.0654165524179</v>
      </c>
      <c r="D24" s="1"/>
      <c r="E24" s="1"/>
      <c r="F24" s="1"/>
      <c r="G24" s="1">
        <f>MAX($D$4-C24,0)</f>
        <v>0</v>
      </c>
      <c r="H24" s="1"/>
      <c r="I24" s="1"/>
      <c r="J24" s="1"/>
      <c r="K24" s="1">
        <f>MAX($D$4-C24,0)</f>
        <v>0</v>
      </c>
    </row>
    <row r="25" spans="1:11" x14ac:dyDescent="0.2">
      <c r="A25" s="1"/>
      <c r="B25" s="1">
        <f>A26*$B$6</f>
        <v>132.68964411453439</v>
      </c>
      <c r="C25" s="1"/>
      <c r="D25" s="1"/>
      <c r="E25" s="1"/>
      <c r="F25" s="1">
        <f>($B$8*G24+$B$9*G26)*EXP(-$B$4*$D$3)</f>
        <v>0</v>
      </c>
      <c r="G25" s="1"/>
      <c r="H25" s="1"/>
      <c r="I25" s="1"/>
      <c r="J25" s="1">
        <f>MAX(-B25+$D$4,($B$8*K24+$B$9*K26)*EXP(-$B$4*$D$3))</f>
        <v>0</v>
      </c>
      <c r="K25" s="1"/>
    </row>
    <row r="26" spans="1:11" x14ac:dyDescent="0.2">
      <c r="A26" s="1">
        <f>B2</f>
        <v>100</v>
      </c>
      <c r="B26" s="1"/>
      <c r="C26" s="1">
        <f>B25*$B$7</f>
        <v>100</v>
      </c>
      <c r="D26" s="1"/>
      <c r="E26" s="1">
        <f>($B$8*F25+$B$9*F27)*EXP(-$B$4*$D$3)</f>
        <v>12.956765302698988</v>
      </c>
      <c r="F26" s="1"/>
      <c r="G26" s="1">
        <f>MAX($D$4-C26,0)</f>
        <v>0</v>
      </c>
      <c r="H26" s="1"/>
      <c r="I26" s="1">
        <f>MAX(-A26+$D$4,($B$8*J25+$B$9*J27)*EXP(-$B$4*$D$3))</f>
        <v>13.491643737393495</v>
      </c>
      <c r="J26" s="1"/>
      <c r="K26" s="1">
        <f>MAX($D$4-C26,0)</f>
        <v>0</v>
      </c>
    </row>
    <row r="27" spans="1:11" x14ac:dyDescent="0.2">
      <c r="A27" s="1"/>
      <c r="B27" s="1">
        <f>A26*$B$7</f>
        <v>75.363831644376475</v>
      </c>
      <c r="C27" s="1"/>
      <c r="D27" s="1"/>
      <c r="E27" s="1"/>
      <c r="F27" s="1">
        <f>($B$8*G26+$B$9*G28)*EXP(-$B$4*$D$3)</f>
        <v>23.65946340970179</v>
      </c>
      <c r="G27" s="1"/>
      <c r="H27" s="1"/>
      <c r="I27" s="1"/>
      <c r="J27" s="1">
        <f>MAX(-B27+$D$4,($B$8*K26+$B$9*K28)*EXP(-$B$4*$D$3))</f>
        <v>24.636168355623525</v>
      </c>
      <c r="K27" s="1"/>
    </row>
    <row r="28" spans="1:11" x14ac:dyDescent="0.2">
      <c r="A28" s="1"/>
      <c r="B28" s="1"/>
      <c r="C28" s="1">
        <f>B27*$B$7</f>
        <v>56.797071201219211</v>
      </c>
      <c r="D28" s="1"/>
      <c r="E28" s="1"/>
      <c r="F28" s="1"/>
      <c r="G28" s="1">
        <f>MAX($D$4-C28,0)</f>
        <v>43.202928798780789</v>
      </c>
      <c r="H28" s="1"/>
      <c r="I28" s="1"/>
      <c r="J28" s="1" t="s">
        <v>19</v>
      </c>
      <c r="K28" s="1">
        <f>MAX($D$4-C28,0)</f>
        <v>43.202928798780789</v>
      </c>
    </row>
    <row r="29" spans="1:1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s="1">
        <v>0</v>
      </c>
      <c r="B30" s="1">
        <v>0.5</v>
      </c>
      <c r="C30" s="1">
        <v>1</v>
      </c>
      <c r="D30" s="1"/>
      <c r="E30" s="1"/>
      <c r="F30" s="1"/>
      <c r="G30" s="1"/>
      <c r="H30" s="1"/>
      <c r="I30" s="1">
        <v>0</v>
      </c>
      <c r="J30" s="1">
        <v>0.5</v>
      </c>
      <c r="K30" s="1">
        <v>1</v>
      </c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7FE58-0E68-44CE-8125-1BA7C72FA469}">
  <dimension ref="A1:R30"/>
  <sheetViews>
    <sheetView zoomScale="130" zoomScaleNormal="130" workbookViewId="0">
      <selection activeCell="I27" sqref="I27"/>
    </sheetView>
  </sheetViews>
  <sheetFormatPr baseColWidth="10" defaultColWidth="9.1640625" defaultRowHeight="15" x14ac:dyDescent="0.2"/>
  <cols>
    <col min="1" max="1" width="12" style="2" customWidth="1"/>
    <col min="2" max="15" width="9.1640625" style="2"/>
    <col min="16" max="16" width="11.83203125" style="2" bestFit="1" customWidth="1"/>
    <col min="17" max="16384" width="9.1640625" style="2"/>
  </cols>
  <sheetData>
    <row r="1" spans="1:17" x14ac:dyDescent="0.2">
      <c r="A1" s="5"/>
    </row>
    <row r="2" spans="1:17" x14ac:dyDescent="0.2">
      <c r="A2" s="1" t="s">
        <v>6</v>
      </c>
      <c r="B2" s="1">
        <v>100</v>
      </c>
      <c r="C2" s="1" t="s">
        <v>7</v>
      </c>
      <c r="D2" s="1">
        <v>1</v>
      </c>
      <c r="E2" s="1"/>
      <c r="F2" s="1"/>
      <c r="G2" s="1"/>
      <c r="H2" s="1"/>
      <c r="I2" s="1"/>
      <c r="J2" s="1"/>
      <c r="K2" s="1"/>
    </row>
    <row r="3" spans="1:17" x14ac:dyDescent="0.2">
      <c r="A3" s="1" t="s">
        <v>8</v>
      </c>
      <c r="B3" s="1">
        <v>0.4</v>
      </c>
      <c r="C3" s="1" t="s">
        <v>9</v>
      </c>
      <c r="D3" s="1">
        <v>0.5</v>
      </c>
      <c r="E3" s="1"/>
      <c r="F3" s="1"/>
      <c r="G3" s="1"/>
      <c r="H3" s="1"/>
      <c r="I3" s="1"/>
      <c r="J3" s="1"/>
      <c r="K3" s="1"/>
    </row>
    <row r="4" spans="1:17" x14ac:dyDescent="0.2">
      <c r="A4" s="1" t="s">
        <v>0</v>
      </c>
      <c r="B4" s="1">
        <v>0.05</v>
      </c>
      <c r="C4" s="1" t="s">
        <v>10</v>
      </c>
      <c r="D4" s="1">
        <v>100</v>
      </c>
      <c r="E4" s="1"/>
      <c r="F4" s="1"/>
      <c r="G4" s="1"/>
      <c r="H4" s="1"/>
      <c r="I4" s="1"/>
      <c r="J4" s="1"/>
      <c r="K4" s="1"/>
    </row>
    <row r="5" spans="1:17" x14ac:dyDescent="0.2">
      <c r="A5" s="1" t="s">
        <v>11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7" x14ac:dyDescent="0.2">
      <c r="A6" s="1" t="s">
        <v>1</v>
      </c>
      <c r="B6" s="1">
        <f>EXP(B3*SQRT(D3))</f>
        <v>1.3268964411453439</v>
      </c>
      <c r="C6" s="1"/>
      <c r="D6" s="1"/>
      <c r="E6" s="1"/>
      <c r="F6" s="1"/>
      <c r="G6" s="1"/>
      <c r="H6" s="1"/>
      <c r="I6" s="1"/>
      <c r="J6" s="1"/>
      <c r="K6" s="1"/>
    </row>
    <row r="7" spans="1:17" x14ac:dyDescent="0.2">
      <c r="A7" s="1" t="s">
        <v>2</v>
      </c>
      <c r="B7" s="1">
        <f>1/B6</f>
        <v>0.75363831644376478</v>
      </c>
      <c r="C7" s="1"/>
      <c r="D7" s="1"/>
      <c r="E7" s="1"/>
      <c r="F7" s="1"/>
      <c r="G7" s="1"/>
      <c r="H7" s="1"/>
      <c r="I7" s="1"/>
      <c r="J7" s="1"/>
      <c r="K7" s="1"/>
    </row>
    <row r="8" spans="1:17" x14ac:dyDescent="0.2">
      <c r="A8" s="1" t="s">
        <v>3</v>
      </c>
      <c r="B8" s="1">
        <f>(EXP((B4-B5)*D3)-B7)/(B6-B7)</f>
        <v>0.47391705825729175</v>
      </c>
      <c r="C8" s="1"/>
      <c r="D8" s="1"/>
      <c r="E8" s="1"/>
      <c r="F8" s="1"/>
      <c r="G8" s="1"/>
      <c r="H8" s="1"/>
      <c r="I8" s="1"/>
      <c r="J8" s="1"/>
      <c r="K8" s="1"/>
    </row>
    <row r="9" spans="1:17" x14ac:dyDescent="0.2">
      <c r="A9" s="1" t="s">
        <v>4</v>
      </c>
      <c r="B9" s="1">
        <f>1-B8</f>
        <v>0.5260829417427082</v>
      </c>
      <c r="C9" s="1"/>
      <c r="D9" s="1"/>
      <c r="E9" s="1"/>
      <c r="F9" s="1"/>
      <c r="G9" s="1"/>
      <c r="H9" s="1"/>
      <c r="I9" s="1"/>
      <c r="J9" s="1"/>
      <c r="K9" s="1"/>
    </row>
    <row r="10" spans="1:17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7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7" x14ac:dyDescent="0.2">
      <c r="A12" s="3" t="s">
        <v>5</v>
      </c>
      <c r="B12" s="3"/>
      <c r="C12" s="3"/>
      <c r="D12" s="3"/>
      <c r="E12" s="3" t="s">
        <v>12</v>
      </c>
      <c r="F12" s="3"/>
      <c r="G12" s="3"/>
      <c r="H12" s="3"/>
      <c r="I12" s="3" t="s">
        <v>13</v>
      </c>
      <c r="J12" s="3"/>
      <c r="K12" s="4"/>
      <c r="M12" s="2" t="s">
        <v>20</v>
      </c>
      <c r="P12" s="2" t="s">
        <v>21</v>
      </c>
    </row>
    <row r="13" spans="1:17" x14ac:dyDescent="0.2">
      <c r="A13" s="1"/>
      <c r="B13" s="1"/>
      <c r="C13" s="1">
        <f>B14*$B$6</f>
        <v>176.0654165524179</v>
      </c>
      <c r="D13" s="1"/>
      <c r="E13" s="1"/>
      <c r="F13" s="1"/>
      <c r="G13" s="1">
        <f>MAX(C13-$D$4,0)</f>
        <v>76.065416552417901</v>
      </c>
      <c r="H13" s="1"/>
      <c r="I13" s="1"/>
      <c r="J13" s="1"/>
      <c r="K13" s="1">
        <f>MAX(C13-$D$4,0)</f>
        <v>76.065416552417901</v>
      </c>
    </row>
    <row r="14" spans="1:17" x14ac:dyDescent="0.2">
      <c r="A14" s="1"/>
      <c r="B14" s="1">
        <f>A15*$B$6</f>
        <v>132.68964411453439</v>
      </c>
      <c r="C14" s="1"/>
      <c r="D14" s="1"/>
      <c r="E14" s="1"/>
      <c r="F14" s="1">
        <f>($B$8*G13+$B$9*G15)*EXP(-$B$4*$D$3)</f>
        <v>35.158652911701125</v>
      </c>
      <c r="G14" s="1"/>
      <c r="H14" s="1"/>
      <c r="I14" s="1"/>
      <c r="J14" s="1">
        <f>MAX(B14-$D$4,($B$8*K13+$B$9*K15)*EXP(-$B$4*$D$3))</f>
        <v>35.158652911701125</v>
      </c>
      <c r="K14" s="1"/>
      <c r="N14" s="2">
        <f>(G13-G15)/(C13-C15)</f>
        <v>1</v>
      </c>
      <c r="Q14" s="2">
        <f>(K13-K15)/(C13-C15)</f>
        <v>1</v>
      </c>
    </row>
    <row r="15" spans="1:17" x14ac:dyDescent="0.2">
      <c r="A15" s="1">
        <f>B2</f>
        <v>100</v>
      </c>
      <c r="B15" s="1"/>
      <c r="C15" s="1">
        <f>B14*$B$7</f>
        <v>100</v>
      </c>
      <c r="D15" s="1"/>
      <c r="E15" s="1">
        <f>($B$8*F14+$B$9*F16)*EXP(-$B$4*$D$3)</f>
        <v>16.250892068850138</v>
      </c>
      <c r="F15" s="1"/>
      <c r="G15" s="1">
        <f>MAX(C15-$D$4,0)</f>
        <v>0</v>
      </c>
      <c r="H15" s="1"/>
      <c r="I15" s="1">
        <f>MAX(A15-$D$4,($B$8*J14+$B$9*J16)*EXP(-$B$4*$D$3))</f>
        <v>16.250892068850138</v>
      </c>
      <c r="J15" s="1"/>
      <c r="K15" s="1">
        <f>MAX(C15-$D$4,0)</f>
        <v>0</v>
      </c>
      <c r="M15" s="2">
        <f>(F14-F16)/(B14-B16)</f>
        <v>0.61331277127565631</v>
      </c>
      <c r="P15" s="2">
        <f>(J14-J16)/(B14-B16)</f>
        <v>0.61331277127565631</v>
      </c>
    </row>
    <row r="16" spans="1:17" x14ac:dyDescent="0.2">
      <c r="A16" s="1"/>
      <c r="B16" s="1">
        <f>A15*$B$7</f>
        <v>75.363831644376475</v>
      </c>
      <c r="C16" s="1"/>
      <c r="D16" s="1"/>
      <c r="E16" s="1"/>
      <c r="F16" s="1">
        <f>($B$8*G15+$B$9*G17)*EXP(-$B$4*$D$3)</f>
        <v>0</v>
      </c>
      <c r="G16" s="1"/>
      <c r="H16" s="1"/>
      <c r="I16" s="1"/>
      <c r="J16" s="1">
        <f>MAX(B16-$D$4,($B$8*K15+$B$9*K17)*EXP(-$B$4*$D$3))</f>
        <v>0</v>
      </c>
      <c r="K16" s="1"/>
      <c r="N16" s="2">
        <f>(G15-G17)/(C15-C17)</f>
        <v>0</v>
      </c>
      <c r="Q16" s="2">
        <f>(K15-K17)/(C15-C17)</f>
        <v>0</v>
      </c>
    </row>
    <row r="17" spans="1:18" x14ac:dyDescent="0.2">
      <c r="A17" s="1"/>
      <c r="B17" s="1"/>
      <c r="C17" s="1">
        <f>B16*$B$7</f>
        <v>56.797071201219211</v>
      </c>
      <c r="D17" s="1"/>
      <c r="E17" s="1"/>
      <c r="F17" s="1"/>
      <c r="G17" s="1">
        <f>MAX(C17-$D$4,0)</f>
        <v>0</v>
      </c>
      <c r="H17" s="1"/>
      <c r="I17" s="1"/>
      <c r="J17" s="1"/>
      <c r="K17" s="1">
        <f>MAX(C17-$D$4,0)</f>
        <v>0</v>
      </c>
    </row>
    <row r="18" spans="1:18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8" x14ac:dyDescent="0.2">
      <c r="A19" s="1">
        <v>0</v>
      </c>
      <c r="B19" s="1">
        <v>0.5</v>
      </c>
      <c r="C19" s="1">
        <v>1</v>
      </c>
      <c r="D19" s="1"/>
      <c r="E19" s="1">
        <v>0</v>
      </c>
      <c r="F19" s="1">
        <v>0.5</v>
      </c>
      <c r="G19" s="1">
        <v>1</v>
      </c>
      <c r="H19" s="1"/>
      <c r="I19" s="1">
        <v>0</v>
      </c>
      <c r="J19" s="1">
        <v>0.5</v>
      </c>
      <c r="K19" s="1">
        <v>1</v>
      </c>
    </row>
    <row r="20" spans="1:18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8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8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8" x14ac:dyDescent="0.2">
      <c r="A23" s="3" t="s">
        <v>5</v>
      </c>
      <c r="B23" s="3"/>
      <c r="C23" s="3"/>
      <c r="D23" s="3"/>
      <c r="E23" s="3" t="s">
        <v>14</v>
      </c>
      <c r="F23" s="3"/>
      <c r="G23" s="3"/>
      <c r="H23" s="3"/>
      <c r="I23" s="3" t="s">
        <v>15</v>
      </c>
      <c r="J23" s="3"/>
      <c r="K23" s="4"/>
      <c r="M23" s="2" t="s">
        <v>22</v>
      </c>
      <c r="P23" s="2" t="s">
        <v>15</v>
      </c>
    </row>
    <row r="24" spans="1:18" x14ac:dyDescent="0.2">
      <c r="A24" s="1"/>
      <c r="B24" s="1"/>
      <c r="C24" s="1">
        <f>B25*$B$6</f>
        <v>176.0654165524179</v>
      </c>
      <c r="D24" s="1"/>
      <c r="E24" s="1"/>
      <c r="F24" s="1"/>
      <c r="G24" s="1">
        <f>MAX($D$4-C24,0)</f>
        <v>0</v>
      </c>
      <c r="H24" s="1"/>
      <c r="I24" s="1"/>
      <c r="J24" s="1"/>
      <c r="K24" s="1">
        <f>MAX($D$4-C24,0)</f>
        <v>0</v>
      </c>
    </row>
    <row r="25" spans="1:18" x14ac:dyDescent="0.2">
      <c r="A25" s="1"/>
      <c r="B25" s="1">
        <f>A26*$B$6</f>
        <v>132.68964411453439</v>
      </c>
      <c r="C25" s="1"/>
      <c r="D25" s="1"/>
      <c r="E25" s="1"/>
      <c r="F25" s="1">
        <f>($B$8*G24+$B$9*G26)*EXP(-$B$4*$D$3)</f>
        <v>0</v>
      </c>
      <c r="G25" s="1"/>
      <c r="H25" s="1"/>
      <c r="I25" s="1"/>
      <c r="J25" s="1">
        <f>MAX(-B25+$D$4,($B$8*K24+$B$9*K26)*EXP(-$B$4*$D$3))</f>
        <v>0</v>
      </c>
      <c r="K25" s="1"/>
      <c r="N25" s="2">
        <f>(G24-G26)/(C24-C26)</f>
        <v>0</v>
      </c>
      <c r="Q25" s="2">
        <f>(K24-K26)/(C24-C26)</f>
        <v>0</v>
      </c>
    </row>
    <row r="26" spans="1:18" x14ac:dyDescent="0.2">
      <c r="A26" s="1">
        <f>B2</f>
        <v>100</v>
      </c>
      <c r="B26" s="1"/>
      <c r="C26" s="1">
        <f>B25*$B$7</f>
        <v>100</v>
      </c>
      <c r="D26" s="1"/>
      <c r="E26" s="1">
        <f>($B$8*F25+$B$9*F27)*EXP(-$B$4*$D$3)</f>
        <v>11.37383451892153</v>
      </c>
      <c r="F26" s="1"/>
      <c r="G26" s="1">
        <f>MAX($D$4-C26,0)</f>
        <v>0</v>
      </c>
      <c r="H26" s="1"/>
      <c r="I26" s="1">
        <f>MAX(-A26+$D$4,($B$8*J25+$B$9*J27)*EXP(-$B$4*$D$3))</f>
        <v>12.640667890634356</v>
      </c>
      <c r="J26" s="1"/>
      <c r="K26" s="1">
        <f>MAX($D$4-C26,0)</f>
        <v>0</v>
      </c>
      <c r="M26" s="2">
        <f>(F25-F27)/(B25-B27)</f>
        <v>-0.38668722872434363</v>
      </c>
      <c r="P26" s="2">
        <f>(J25-J27)/(B25-B27)</f>
        <v>-0.42975698544958907</v>
      </c>
    </row>
    <row r="27" spans="1:18" x14ac:dyDescent="0.2">
      <c r="A27" s="1"/>
      <c r="B27" s="1">
        <f>A26*$B$7</f>
        <v>75.363831644376475</v>
      </c>
      <c r="C27" s="1"/>
      <c r="D27" s="1"/>
      <c r="E27" s="1"/>
      <c r="F27" s="1">
        <f>($B$8*G26+$B$9*G28)*EXP(-$B$4*$D$3)</f>
        <v>22.167159558456785</v>
      </c>
      <c r="G27" s="1"/>
      <c r="H27" s="1"/>
      <c r="I27" s="1"/>
      <c r="J27" s="1">
        <f>MAX(-B27+$D$4,($B$8*K26+$B$9*K28)*EXP(-$B$4*$D$3))</f>
        <v>24.636168355623525</v>
      </c>
      <c r="K27" s="1"/>
      <c r="N27" s="2">
        <f>(G26-G28)/(C26-C28)</f>
        <v>-1</v>
      </c>
      <c r="Q27" s="2">
        <f>(K26-K28)/(C26-C28)</f>
        <v>-1</v>
      </c>
      <c r="R27" s="2" t="s">
        <v>23</v>
      </c>
    </row>
    <row r="28" spans="1:18" x14ac:dyDescent="0.2">
      <c r="A28" s="1"/>
      <c r="B28" s="1"/>
      <c r="C28" s="1">
        <f>B27*$B$7</f>
        <v>56.797071201219211</v>
      </c>
      <c r="D28" s="1"/>
      <c r="E28" s="1"/>
      <c r="F28" s="1"/>
      <c r="G28" s="1">
        <f>MAX($D$4-C28,0)</f>
        <v>43.202928798780789</v>
      </c>
      <c r="H28" s="1"/>
      <c r="I28" s="1"/>
      <c r="J28" s="1" t="s">
        <v>19</v>
      </c>
      <c r="K28" s="1">
        <f>MAX($D$4-C28,0)</f>
        <v>43.202928798780789</v>
      </c>
    </row>
    <row r="29" spans="1:18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8" x14ac:dyDescent="0.2">
      <c r="A30" s="1">
        <v>0</v>
      </c>
      <c r="B30" s="1">
        <v>0.5</v>
      </c>
      <c r="C30" s="1">
        <v>1</v>
      </c>
      <c r="D30" s="1"/>
      <c r="E30" s="1"/>
      <c r="F30" s="1"/>
      <c r="G30" s="1"/>
      <c r="H30" s="1"/>
      <c r="I30" s="1">
        <v>0</v>
      </c>
      <c r="J30" s="1">
        <v>0.5</v>
      </c>
      <c r="K30" s="1">
        <v>1</v>
      </c>
    </row>
  </sheetData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E86C-4F2D-451B-A2E4-21C935E606D6}">
  <dimension ref="A1:K30"/>
  <sheetViews>
    <sheetView topLeftCell="A2" zoomScale="130" zoomScaleNormal="130" workbookViewId="0">
      <selection activeCell="B8" sqref="B8"/>
    </sheetView>
  </sheetViews>
  <sheetFormatPr baseColWidth="10" defaultColWidth="9.1640625" defaultRowHeight="15" x14ac:dyDescent="0.2"/>
  <cols>
    <col min="1" max="1" width="12" style="2" customWidth="1"/>
    <col min="2" max="15" width="9.1640625" style="2"/>
    <col min="16" max="16" width="11.83203125" style="2" bestFit="1" customWidth="1"/>
    <col min="17" max="16384" width="9.1640625" style="2"/>
  </cols>
  <sheetData>
    <row r="1" spans="1:11" x14ac:dyDescent="0.2">
      <c r="A1" s="5"/>
    </row>
    <row r="2" spans="1:11" x14ac:dyDescent="0.2">
      <c r="A2" s="1" t="s">
        <v>25</v>
      </c>
      <c r="B2" s="1">
        <v>50</v>
      </c>
      <c r="C2" s="1" t="s">
        <v>7</v>
      </c>
      <c r="D2" s="1">
        <v>0.5</v>
      </c>
      <c r="E2" s="1"/>
      <c r="F2" s="1"/>
      <c r="G2" s="1"/>
      <c r="H2" s="1"/>
      <c r="I2" s="1"/>
      <c r="J2" s="1"/>
      <c r="K2" s="1"/>
    </row>
    <row r="3" spans="1:11" x14ac:dyDescent="0.2">
      <c r="A3" s="1" t="s">
        <v>8</v>
      </c>
      <c r="B3" s="1">
        <v>0.4</v>
      </c>
      <c r="C3" s="1" t="s">
        <v>9</v>
      </c>
      <c r="D3" s="1">
        <v>0.25</v>
      </c>
      <c r="E3" s="1"/>
      <c r="F3" s="1"/>
      <c r="G3" s="1"/>
      <c r="H3" s="1"/>
      <c r="I3" s="1"/>
      <c r="J3" s="1"/>
      <c r="K3" s="1"/>
    </row>
    <row r="4" spans="1:11" x14ac:dyDescent="0.2">
      <c r="A4" s="1" t="s">
        <v>0</v>
      </c>
      <c r="B4" s="1">
        <v>0.1</v>
      </c>
      <c r="C4" s="1" t="s">
        <v>10</v>
      </c>
      <c r="D4" s="1">
        <v>50</v>
      </c>
      <c r="E4" s="1"/>
      <c r="F4" s="1"/>
      <c r="G4" s="1"/>
      <c r="H4" s="1"/>
      <c r="I4" s="1"/>
      <c r="J4" s="1"/>
      <c r="K4" s="1"/>
    </row>
    <row r="5" spans="1:11" x14ac:dyDescent="0.2">
      <c r="A5" s="1" t="s">
        <v>11</v>
      </c>
      <c r="B5" s="1">
        <v>0.1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">
      <c r="A6" s="1" t="s">
        <v>1</v>
      </c>
      <c r="B6" s="1">
        <f>EXP(B3*SQRT(D3))</f>
        <v>1.2214027581601699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">
      <c r="A7" s="1" t="s">
        <v>2</v>
      </c>
      <c r="B7" s="1">
        <f>1/B6</f>
        <v>0.81873075307798182</v>
      </c>
      <c r="C7" s="1"/>
      <c r="D7" s="1"/>
      <c r="E7" s="1"/>
      <c r="F7" s="1"/>
      <c r="G7" s="1"/>
      <c r="H7" s="1"/>
      <c r="I7" s="1"/>
      <c r="J7" s="1"/>
      <c r="K7" s="1"/>
    </row>
    <row r="8" spans="1:11" x14ac:dyDescent="0.2">
      <c r="A8" s="1" t="s">
        <v>3</v>
      </c>
      <c r="B8" s="1">
        <f>(EXP((B4-B5)*D3)-B7)/(B6-B7)</f>
        <v>0.4501660026875221</v>
      </c>
      <c r="C8" s="1"/>
      <c r="D8" s="1"/>
      <c r="E8" s="1"/>
      <c r="F8" s="1"/>
      <c r="G8" s="1"/>
      <c r="H8" s="1"/>
      <c r="I8" s="1"/>
      <c r="J8" s="1"/>
      <c r="K8" s="1"/>
    </row>
    <row r="9" spans="1:11" x14ac:dyDescent="0.2">
      <c r="A9" s="1" t="s">
        <v>4</v>
      </c>
      <c r="B9" s="1">
        <f>1-B8</f>
        <v>0.54983399731247795</v>
      </c>
      <c r="C9" s="1"/>
      <c r="D9" s="1"/>
      <c r="E9" s="1"/>
      <c r="F9" s="1"/>
      <c r="G9" s="1"/>
      <c r="H9" s="1"/>
      <c r="I9" s="1"/>
      <c r="J9" s="1"/>
      <c r="K9" s="1"/>
    </row>
    <row r="10" spans="1:1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3" t="s">
        <v>5</v>
      </c>
      <c r="B12" s="3"/>
      <c r="C12" s="3"/>
      <c r="D12" s="3"/>
      <c r="E12" s="3" t="s">
        <v>12</v>
      </c>
      <c r="F12" s="3"/>
      <c r="G12" s="3"/>
      <c r="H12" s="3"/>
      <c r="I12" s="3" t="s">
        <v>13</v>
      </c>
      <c r="J12" s="3"/>
      <c r="K12" s="4"/>
    </row>
    <row r="13" spans="1:11" x14ac:dyDescent="0.2">
      <c r="A13" s="1"/>
      <c r="B13" s="1"/>
      <c r="C13" s="1">
        <f>B14*$B$6</f>
        <v>74.591234882063517</v>
      </c>
      <c r="D13" s="1"/>
      <c r="E13" s="1"/>
      <c r="F13" s="1"/>
      <c r="G13" s="1">
        <f>MAX(C13-$D$4,0)</f>
        <v>24.591234882063517</v>
      </c>
      <c r="H13" s="1"/>
      <c r="I13" s="1"/>
      <c r="J13" s="1"/>
      <c r="K13" s="1">
        <f>MAX(C13-$D$4,0)</f>
        <v>24.591234882063517</v>
      </c>
    </row>
    <row r="14" spans="1:11" x14ac:dyDescent="0.2">
      <c r="A14" s="1"/>
      <c r="B14" s="1">
        <f>A15*$B$6</f>
        <v>61.070137908008491</v>
      </c>
      <c r="C14" s="1"/>
      <c r="D14" s="1"/>
      <c r="E14" s="1"/>
      <c r="F14" s="1">
        <f>($B$8*G13+$B$9*G15)*EXP(-$B$4*$D$3)</f>
        <v>10.796815229201272</v>
      </c>
      <c r="G14" s="1"/>
      <c r="H14" s="1"/>
      <c r="I14" s="1"/>
      <c r="J14" s="1">
        <f>MAX(B14-$D$4,($B$8*K13+$B$9*K15)*EXP(-$B$4*$D$3))</f>
        <v>11.070137908008491</v>
      </c>
      <c r="K14" s="1"/>
    </row>
    <row r="15" spans="1:11" x14ac:dyDescent="0.2">
      <c r="A15" s="1">
        <f>B2</f>
        <v>50</v>
      </c>
      <c r="B15" s="1"/>
      <c r="C15" s="1">
        <f>B14*$B$7</f>
        <v>50</v>
      </c>
      <c r="D15" s="1"/>
      <c r="E15" s="1">
        <f>($B$8*F14+$B$9*F16)*EXP(-$B$4*$D$3)</f>
        <v>4.7403564584118483</v>
      </c>
      <c r="F15" s="1"/>
      <c r="G15" s="1">
        <f>MAX(C15-$D$4,0)</f>
        <v>0</v>
      </c>
      <c r="H15" s="1"/>
      <c r="I15" s="1">
        <f>MAX(A15-$D$4,($B$8*J14+$B$9*J16)*EXP(-$B$4*$D$3))</f>
        <v>4.860359153485299</v>
      </c>
      <c r="J15" s="1"/>
      <c r="K15" s="1">
        <f>MAX(C15-$D$4,0)</f>
        <v>0</v>
      </c>
    </row>
    <row r="16" spans="1:11" x14ac:dyDescent="0.2">
      <c r="A16" s="1"/>
      <c r="B16" s="1">
        <f>A15*$B$7</f>
        <v>40.936537653899094</v>
      </c>
      <c r="C16" s="1"/>
      <c r="D16" s="1"/>
      <c r="E16" s="1"/>
      <c r="F16" s="1">
        <f>($B$8*G15+$B$9*G17)*EXP(-$B$4*$D$3)</f>
        <v>0</v>
      </c>
      <c r="G16" s="1"/>
      <c r="H16" s="1"/>
      <c r="I16" s="1"/>
      <c r="J16" s="1">
        <f>MAX(B16-$D$4,($B$8*K15+$B$9*K17)*EXP(-$B$4*$D$3))</f>
        <v>0</v>
      </c>
      <c r="K16" s="1"/>
    </row>
    <row r="17" spans="1:11" x14ac:dyDescent="0.2">
      <c r="A17" s="1"/>
      <c r="B17" s="1"/>
      <c r="C17" s="1">
        <f>B16*$B$7</f>
        <v>33.516002301781967</v>
      </c>
      <c r="D17" s="1"/>
      <c r="E17" s="1"/>
      <c r="F17" s="1"/>
      <c r="G17" s="1">
        <f>MAX(C17-$D$4,0)</f>
        <v>0</v>
      </c>
      <c r="H17" s="1"/>
      <c r="I17" s="1"/>
      <c r="J17" s="1"/>
      <c r="K17" s="1">
        <f>MAX(C17-$D$4,0)</f>
        <v>0</v>
      </c>
    </row>
    <row r="18" spans="1:1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1">
        <v>0</v>
      </c>
      <c r="B19" s="1">
        <v>0.5</v>
      </c>
      <c r="C19" s="1">
        <v>1</v>
      </c>
      <c r="D19" s="1"/>
      <c r="E19" s="1">
        <v>0</v>
      </c>
      <c r="F19" s="1">
        <v>0.5</v>
      </c>
      <c r="G19" s="1">
        <v>1</v>
      </c>
      <c r="H19" s="1"/>
      <c r="I19" s="1">
        <v>0</v>
      </c>
      <c r="J19" s="1">
        <v>0.5</v>
      </c>
      <c r="K19" s="1">
        <v>1</v>
      </c>
    </row>
    <row r="20" spans="1:1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3" t="s">
        <v>5</v>
      </c>
      <c r="B23" s="3"/>
      <c r="C23" s="3"/>
      <c r="D23" s="3"/>
      <c r="E23" s="3" t="s">
        <v>14</v>
      </c>
      <c r="F23" s="3"/>
      <c r="G23" s="3"/>
      <c r="H23" s="3"/>
      <c r="I23" s="3" t="s">
        <v>15</v>
      </c>
      <c r="J23" s="3"/>
      <c r="K23" s="4"/>
    </row>
    <row r="24" spans="1:11" x14ac:dyDescent="0.2">
      <c r="A24" s="1"/>
      <c r="B24" s="1"/>
      <c r="C24" s="1">
        <f>B25*$B$6</f>
        <v>74.591234882063517</v>
      </c>
      <c r="D24" s="1"/>
      <c r="E24" s="1"/>
      <c r="F24" s="1"/>
      <c r="G24" s="1">
        <f>MAX($D$4-C24,0)</f>
        <v>0</v>
      </c>
      <c r="H24" s="1"/>
      <c r="I24" s="1"/>
      <c r="J24" s="1"/>
      <c r="K24" s="1">
        <f>MAX($D$4-C24,0)</f>
        <v>0</v>
      </c>
    </row>
    <row r="25" spans="1:11" x14ac:dyDescent="0.2">
      <c r="A25" s="1"/>
      <c r="B25" s="1">
        <f>A26*$B$6</f>
        <v>61.070137908008491</v>
      </c>
      <c r="C25" s="1"/>
      <c r="D25" s="1"/>
      <c r="E25" s="1"/>
      <c r="F25" s="1">
        <f>($B$8*G24+$B$9*G26)*EXP(-$B$4*$D$3)</f>
        <v>0</v>
      </c>
      <c r="G25" s="1"/>
      <c r="H25" s="1"/>
      <c r="I25" s="1"/>
      <c r="J25" s="1">
        <f>MAX(-B25+$D$4,($B$8*K24+$B$9*K26)*EXP(-$B$4*$D$3))</f>
        <v>0</v>
      </c>
      <c r="K25" s="1"/>
    </row>
    <row r="26" spans="1:11" x14ac:dyDescent="0.2">
      <c r="A26" s="1">
        <f>B2</f>
        <v>50</v>
      </c>
      <c r="B26" s="1"/>
      <c r="C26" s="1">
        <f>B25*$B$7</f>
        <v>50</v>
      </c>
      <c r="D26" s="1"/>
      <c r="E26" s="1">
        <f>($B$8*F25+$B$9*F27)*EXP(-$B$4*$D$3)</f>
        <v>4.7403564584118483</v>
      </c>
      <c r="F26" s="1"/>
      <c r="G26" s="1">
        <f>MAX($D$4-C26,0)</f>
        <v>0</v>
      </c>
      <c r="H26" s="1"/>
      <c r="I26" s="1">
        <f>MAX(-A26+$D$4,($B$8*J25+$B$9*J27)*EXP(-$B$4*$D$3))</f>
        <v>4.860359153485299</v>
      </c>
      <c r="J26" s="1"/>
      <c r="K26" s="1">
        <f>MAX($D$4-C26,0)</f>
        <v>0</v>
      </c>
    </row>
    <row r="27" spans="1:11" x14ac:dyDescent="0.2">
      <c r="A27" s="1"/>
      <c r="B27" s="1">
        <f>A26*$B$7</f>
        <v>40.936537653899094</v>
      </c>
      <c r="C27" s="1"/>
      <c r="D27" s="1"/>
      <c r="E27" s="1"/>
      <c r="F27" s="1">
        <f>($B$8*G26+$B$9*G28)*EXP(-$B$4*$D$3)</f>
        <v>8.8396846634477804</v>
      </c>
      <c r="G27" s="1"/>
      <c r="H27" s="1"/>
      <c r="I27" s="1"/>
      <c r="J27" s="1">
        <f>MAX(-B27+$D$4,($B$8*K26+$B$9*K28)*EXP(-$B$4*$D$3))</f>
        <v>9.0634623461009056</v>
      </c>
      <c r="K27" s="1"/>
    </row>
    <row r="28" spans="1:11" x14ac:dyDescent="0.2">
      <c r="A28" s="1"/>
      <c r="B28" s="1"/>
      <c r="C28" s="1">
        <f>B27*$B$7</f>
        <v>33.516002301781967</v>
      </c>
      <c r="D28" s="1"/>
      <c r="E28" s="1"/>
      <c r="F28" s="1"/>
      <c r="G28" s="1">
        <f>MAX($D$4-C28,0)</f>
        <v>16.483997698218033</v>
      </c>
      <c r="H28" s="1"/>
      <c r="I28" s="1"/>
      <c r="J28" s="1" t="s">
        <v>19</v>
      </c>
      <c r="K28" s="1">
        <f>MAX($D$4-C28,0)</f>
        <v>16.483997698218033</v>
      </c>
    </row>
    <row r="29" spans="1:1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s="1">
        <v>0</v>
      </c>
      <c r="B30" s="1">
        <v>0.5</v>
      </c>
      <c r="C30" s="1">
        <v>1</v>
      </c>
      <c r="D30" s="1"/>
      <c r="E30" s="1"/>
      <c r="F30" s="1"/>
      <c r="G30" s="1"/>
      <c r="H30" s="1"/>
      <c r="I30" s="1">
        <v>0</v>
      </c>
      <c r="J30" s="1">
        <v>0.5</v>
      </c>
      <c r="K30" s="1">
        <v>1</v>
      </c>
    </row>
  </sheetData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9415-C98D-4754-90D8-06C5DA4D5B39}">
  <dimension ref="A1:K30"/>
  <sheetViews>
    <sheetView topLeftCell="A7" zoomScale="130" zoomScaleNormal="130" workbookViewId="0">
      <selection activeCell="I10" sqref="I10"/>
    </sheetView>
  </sheetViews>
  <sheetFormatPr baseColWidth="10" defaultColWidth="9.1640625" defaultRowHeight="15" x14ac:dyDescent="0.2"/>
  <cols>
    <col min="1" max="1" width="12" style="2" customWidth="1"/>
    <col min="2" max="15" width="9.1640625" style="2"/>
    <col min="16" max="16" width="11.83203125" style="2" bestFit="1" customWidth="1"/>
    <col min="17" max="16384" width="9.1640625" style="2"/>
  </cols>
  <sheetData>
    <row r="1" spans="1:11" x14ac:dyDescent="0.2">
      <c r="A1" s="5"/>
    </row>
    <row r="2" spans="1:11" x14ac:dyDescent="0.2">
      <c r="A2" s="1" t="s">
        <v>6</v>
      </c>
      <c r="B2" s="1">
        <v>0.79</v>
      </c>
      <c r="C2" s="1" t="s">
        <v>7</v>
      </c>
      <c r="D2" s="1">
        <v>1</v>
      </c>
      <c r="E2" s="1"/>
      <c r="F2" s="1"/>
      <c r="G2" s="1"/>
      <c r="H2" s="1"/>
      <c r="I2" s="1"/>
      <c r="J2" s="1"/>
      <c r="K2" s="1"/>
    </row>
    <row r="3" spans="1:11" x14ac:dyDescent="0.2">
      <c r="A3" s="1" t="s">
        <v>8</v>
      </c>
      <c r="B3" s="1">
        <v>0.12</v>
      </c>
      <c r="C3" s="1" t="s">
        <v>9</v>
      </c>
      <c r="D3" s="1">
        <v>0.5</v>
      </c>
      <c r="E3" s="1"/>
      <c r="F3" s="1"/>
      <c r="G3" s="1"/>
      <c r="H3" s="1"/>
      <c r="I3" s="1"/>
      <c r="J3" s="1"/>
      <c r="K3" s="1"/>
    </row>
    <row r="4" spans="1:11" x14ac:dyDescent="0.2">
      <c r="A4" s="1" t="s">
        <v>0</v>
      </c>
      <c r="B4" s="1">
        <v>0.02</v>
      </c>
      <c r="C4" s="1" t="s">
        <v>10</v>
      </c>
      <c r="D4" s="1">
        <v>0.8</v>
      </c>
      <c r="E4" s="1"/>
      <c r="F4" s="1"/>
      <c r="G4" s="1"/>
      <c r="H4" s="1"/>
      <c r="I4" s="1"/>
      <c r="J4" s="1"/>
      <c r="K4" s="1"/>
    </row>
    <row r="5" spans="1:11" x14ac:dyDescent="0.2">
      <c r="A5" s="1" t="s">
        <v>11</v>
      </c>
      <c r="B5" s="1">
        <v>0.05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">
      <c r="A6" s="1" t="s">
        <v>1</v>
      </c>
      <c r="B6" s="1">
        <f>EXP(B3*SQRT(D3))</f>
        <v>1.0885568343000434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">
      <c r="A7" s="1" t="s">
        <v>2</v>
      </c>
      <c r="B7" s="1">
        <f>1/B6</f>
        <v>0.91864748673689001</v>
      </c>
      <c r="C7" s="1"/>
      <c r="D7" s="1"/>
      <c r="E7" s="1"/>
      <c r="F7" s="1"/>
      <c r="G7" s="1"/>
      <c r="H7" s="1"/>
      <c r="I7" s="1"/>
      <c r="J7" s="1"/>
      <c r="K7" s="1"/>
    </row>
    <row r="8" spans="1:11" x14ac:dyDescent="0.2">
      <c r="A8" s="1" t="s">
        <v>3</v>
      </c>
      <c r="B8" s="1">
        <f>(EXP((B4-B5)*D3)-B7)/(B6-B7)</f>
        <v>0.39117596423862772</v>
      </c>
      <c r="C8" s="1"/>
      <c r="D8" s="1"/>
      <c r="E8" s="1"/>
      <c r="F8" s="1"/>
      <c r="G8" s="1"/>
      <c r="H8" s="1"/>
      <c r="I8" s="1"/>
      <c r="J8" s="1"/>
      <c r="K8" s="1"/>
    </row>
    <row r="9" spans="1:11" x14ac:dyDescent="0.2">
      <c r="A9" s="1" t="s">
        <v>4</v>
      </c>
      <c r="B9" s="1">
        <f>1-B8</f>
        <v>0.60882403576137234</v>
      </c>
      <c r="C9" s="1"/>
      <c r="D9" s="1"/>
      <c r="E9" s="1"/>
      <c r="F9" s="1"/>
      <c r="G9" s="1"/>
      <c r="H9" s="1"/>
      <c r="I9" s="1" t="s">
        <v>24</v>
      </c>
      <c r="J9" s="1"/>
      <c r="K9" s="1"/>
    </row>
    <row r="10" spans="1:11" x14ac:dyDescent="0.2">
      <c r="A10" s="1"/>
      <c r="B10" s="1"/>
      <c r="C10" s="1"/>
      <c r="D10" s="1"/>
      <c r="E10" s="1"/>
      <c r="F10" s="1"/>
      <c r="G10" s="1"/>
      <c r="H10" s="1"/>
      <c r="I10" s="1">
        <f>100000*I15</f>
        <v>2322.1491475659241</v>
      </c>
      <c r="J10" s="1"/>
      <c r="K10" s="1"/>
    </row>
    <row r="11" spans="1:1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3" t="s">
        <v>5</v>
      </c>
      <c r="B12" s="3"/>
      <c r="C12" s="3"/>
      <c r="D12" s="3"/>
      <c r="E12" s="3" t="s">
        <v>12</v>
      </c>
      <c r="F12" s="3"/>
      <c r="G12" s="3"/>
      <c r="H12" s="3"/>
      <c r="I12" s="3" t="s">
        <v>13</v>
      </c>
      <c r="J12" s="3"/>
      <c r="K12" s="4"/>
    </row>
    <row r="13" spans="1:11" x14ac:dyDescent="0.2">
      <c r="A13" s="1"/>
      <c r="B13" s="1"/>
      <c r="C13" s="1">
        <f>B14*$B$6</f>
        <v>0.93611522538605241</v>
      </c>
      <c r="D13" s="1"/>
      <c r="E13" s="1"/>
      <c r="F13" s="1"/>
      <c r="G13" s="1">
        <f>MAX(C13-$D$4,0)</f>
        <v>0.13611522538605236</v>
      </c>
      <c r="H13" s="1"/>
      <c r="I13" s="1"/>
      <c r="J13" s="1"/>
      <c r="K13" s="1">
        <f>MAX(C13-$D$4,0)</f>
        <v>0.13611522538605236</v>
      </c>
    </row>
    <row r="14" spans="1:11" x14ac:dyDescent="0.2">
      <c r="A14" s="1"/>
      <c r="B14" s="1">
        <f>A15*$B$6</f>
        <v>0.8599598990970343</v>
      </c>
      <c r="C14" s="1"/>
      <c r="D14" s="1"/>
      <c r="E14" s="1"/>
      <c r="F14" s="1">
        <f>($B$8*G13+$B$9*G15)*EXP(-$B$4*$D$3)</f>
        <v>5.2715207890768299E-2</v>
      </c>
      <c r="G14" s="1"/>
      <c r="H14" s="1"/>
      <c r="I14" s="1"/>
      <c r="J14" s="1">
        <f>MAX(B14-$D$4,($B$8*K13+$B$9*K15)*EXP(-$B$4*$D$3))</f>
        <v>5.9959899097034253E-2</v>
      </c>
      <c r="K14" s="1"/>
    </row>
    <row r="15" spans="1:11" x14ac:dyDescent="0.2">
      <c r="A15" s="1">
        <f>B2</f>
        <v>0.79</v>
      </c>
      <c r="B15" s="1"/>
      <c r="C15" s="1">
        <f>B14*$B$7</f>
        <v>0.79</v>
      </c>
      <c r="D15" s="1"/>
      <c r="E15" s="1">
        <f>($B$8*F14+$B$9*F16)*EXP(-$B$4*$D$3)</f>
        <v>2.0415740671812246E-2</v>
      </c>
      <c r="F15" s="1"/>
      <c r="G15" s="1">
        <f>MAX(C15-$D$4,0)</f>
        <v>0</v>
      </c>
      <c r="H15" s="1"/>
      <c r="I15" s="1">
        <f>MAX(A15-$D$4,($B$8*J14+$B$9*J16)*EXP(-$B$4*$D$3))</f>
        <v>2.3221491475659242E-2</v>
      </c>
      <c r="J15" s="1"/>
      <c r="K15" s="1">
        <f>MAX(C15-$D$4,0)</f>
        <v>0</v>
      </c>
    </row>
    <row r="16" spans="1:11" x14ac:dyDescent="0.2">
      <c r="A16" s="1"/>
      <c r="B16" s="1">
        <f>A15*$B$7</f>
        <v>0.72573151452214313</v>
      </c>
      <c r="C16" s="1"/>
      <c r="D16" s="1"/>
      <c r="E16" s="1"/>
      <c r="F16" s="1">
        <f>($B$8*G15+$B$9*G17)*EXP(-$B$4*$D$3)</f>
        <v>0</v>
      </c>
      <c r="G16" s="1"/>
      <c r="H16" s="1"/>
      <c r="I16" s="1"/>
      <c r="J16" s="1">
        <f>MAX(B16-$D$4,($B$8*K15+$B$9*K17)*EXP(-$B$4*$D$3))</f>
        <v>0</v>
      </c>
      <c r="K16" s="1"/>
    </row>
    <row r="17" spans="1:11" x14ac:dyDescent="0.2">
      <c r="A17" s="1"/>
      <c r="B17" s="1"/>
      <c r="C17" s="1">
        <f>B16*$B$7</f>
        <v>0.66669143186152358</v>
      </c>
      <c r="D17" s="1"/>
      <c r="E17" s="1"/>
      <c r="F17" s="1"/>
      <c r="G17" s="1">
        <f>MAX(C17-$D$4,0)</f>
        <v>0</v>
      </c>
      <c r="H17" s="1"/>
      <c r="I17" s="1"/>
      <c r="J17" s="1"/>
      <c r="K17" s="1">
        <f>MAX(C17-$D$4,0)</f>
        <v>0</v>
      </c>
    </row>
    <row r="18" spans="1:1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1">
        <v>0</v>
      </c>
      <c r="B19" s="1">
        <v>0.5</v>
      </c>
      <c r="C19" s="1">
        <v>1</v>
      </c>
      <c r="D19" s="1"/>
      <c r="E19" s="1">
        <v>0</v>
      </c>
      <c r="F19" s="1">
        <v>0.5</v>
      </c>
      <c r="G19" s="1">
        <v>1</v>
      </c>
      <c r="H19" s="1"/>
      <c r="I19" s="1">
        <v>0</v>
      </c>
      <c r="J19" s="1">
        <v>0.5</v>
      </c>
      <c r="K19" s="1">
        <v>1</v>
      </c>
    </row>
    <row r="20" spans="1:1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3" t="s">
        <v>5</v>
      </c>
      <c r="B23" s="3"/>
      <c r="C23" s="3"/>
      <c r="D23" s="3"/>
      <c r="E23" s="3" t="s">
        <v>14</v>
      </c>
      <c r="F23" s="3"/>
      <c r="G23" s="3"/>
      <c r="H23" s="3"/>
      <c r="I23" s="3" t="s">
        <v>15</v>
      </c>
      <c r="J23" s="3"/>
      <c r="K23" s="4"/>
    </row>
    <row r="24" spans="1:11" x14ac:dyDescent="0.2">
      <c r="A24" s="1"/>
      <c r="B24" s="1"/>
      <c r="C24" s="1">
        <f>B25*$B$6</f>
        <v>0.93611522538605241</v>
      </c>
      <c r="D24" s="1"/>
      <c r="E24" s="1"/>
      <c r="F24" s="1"/>
      <c r="G24" s="1">
        <f>MAX($D$4-C24,0)</f>
        <v>0</v>
      </c>
      <c r="H24" s="1"/>
      <c r="I24" s="1"/>
      <c r="J24" s="1"/>
      <c r="K24" s="1">
        <f>MAX($D$4-C24,0)</f>
        <v>0</v>
      </c>
    </row>
    <row r="25" spans="1:11" x14ac:dyDescent="0.2">
      <c r="A25" s="1"/>
      <c r="B25" s="1">
        <f>A26*$B$6</f>
        <v>0.8599598990970343</v>
      </c>
      <c r="C25" s="1"/>
      <c r="D25" s="1"/>
      <c r="E25" s="1"/>
      <c r="F25" s="1">
        <f>($B$8*G24+$B$9*G26)*EXP(-$B$4*$D$3)</f>
        <v>6.0276613538804476E-3</v>
      </c>
      <c r="G25" s="1"/>
      <c r="H25" s="1"/>
      <c r="I25" s="1"/>
      <c r="J25" s="1">
        <f>MAX(-B25+$D$4,($B$8*K24+$B$9*K26)*EXP(-$B$4*$D$3))</f>
        <v>6.0276613538804476E-3</v>
      </c>
      <c r="K25" s="1"/>
    </row>
    <row r="26" spans="1:11" x14ac:dyDescent="0.2">
      <c r="A26" s="1">
        <f>B2</f>
        <v>0.79</v>
      </c>
      <c r="B26" s="1"/>
      <c r="C26" s="1">
        <f>B25*$B$7</f>
        <v>0.79</v>
      </c>
      <c r="D26" s="1"/>
      <c r="E26" s="1">
        <f>($B$8*F25+$B$9*F27)*EXP(-$B$4*$D$3)</f>
        <v>5.3103433961652485E-2</v>
      </c>
      <c r="F26" s="1"/>
      <c r="G26" s="1">
        <f>MAX($D$4-C26,0)</f>
        <v>1.0000000000000009E-2</v>
      </c>
      <c r="H26" s="1"/>
      <c r="I26" s="1">
        <f>MAX(-A26+$D$4,($B$8*J25+$B$9*J27)*EXP(-$B$4*$D$3))</f>
        <v>5.3103433961652485E-2</v>
      </c>
      <c r="J26" s="1"/>
      <c r="K26" s="1">
        <f>MAX($D$4-C26,0)</f>
        <v>1.0000000000000009E-2</v>
      </c>
    </row>
    <row r="27" spans="1:11" x14ac:dyDescent="0.2">
      <c r="A27" s="1"/>
      <c r="B27" s="1">
        <f>A26*$B$7</f>
        <v>0.72573151452214313</v>
      </c>
      <c r="C27" s="1"/>
      <c r="D27" s="1"/>
      <c r="E27" s="1"/>
      <c r="F27" s="1">
        <f>($B$8*G26+$B$9*G28)*EXP(-$B$4*$D$3)</f>
        <v>8.4226727414554475E-2</v>
      </c>
      <c r="G27" s="1"/>
      <c r="H27" s="1"/>
      <c r="I27" s="1"/>
      <c r="J27" s="1">
        <f>MAX(-B27+$D$4,($B$8*K26+$B$9*K28)*EXP(-$B$4*$D$3))</f>
        <v>8.4226727414554475E-2</v>
      </c>
      <c r="K27" s="1"/>
    </row>
    <row r="28" spans="1:11" x14ac:dyDescent="0.2">
      <c r="A28" s="1"/>
      <c r="B28" s="1"/>
      <c r="C28" s="1">
        <f>B27*$B$7</f>
        <v>0.66669143186152358</v>
      </c>
      <c r="D28" s="1"/>
      <c r="E28" s="1"/>
      <c r="F28" s="1"/>
      <c r="G28" s="1">
        <f>MAX($D$4-C28,0)</f>
        <v>0.13330856813847647</v>
      </c>
      <c r="H28" s="1"/>
      <c r="I28" s="1"/>
      <c r="J28" s="1" t="s">
        <v>19</v>
      </c>
      <c r="K28" s="1">
        <f>MAX($D$4-C28,0)</f>
        <v>0.13330856813847647</v>
      </c>
    </row>
    <row r="29" spans="1:1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s="1">
        <v>0</v>
      </c>
      <c r="B30" s="1">
        <v>0.5</v>
      </c>
      <c r="C30" s="1">
        <v>1</v>
      </c>
      <c r="D30" s="1"/>
      <c r="E30" s="1"/>
      <c r="F30" s="1"/>
      <c r="G30" s="1"/>
      <c r="H30" s="1"/>
      <c r="I30" s="1">
        <v>0</v>
      </c>
      <c r="J30" s="1">
        <v>0.5</v>
      </c>
      <c r="K30" s="1">
        <v>1</v>
      </c>
    </row>
  </sheetData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CA62-FBCA-4563-A06E-F286112EC406}">
  <dimension ref="A1:V30"/>
  <sheetViews>
    <sheetView zoomScale="115" zoomScaleNormal="115" workbookViewId="0">
      <selection activeCell="O24" sqref="O24"/>
    </sheetView>
  </sheetViews>
  <sheetFormatPr baseColWidth="10" defaultColWidth="9.1640625" defaultRowHeight="15" x14ac:dyDescent="0.2"/>
  <cols>
    <col min="1" max="1" width="12" style="2" customWidth="1"/>
    <col min="2" max="15" width="9.1640625" style="2"/>
    <col min="16" max="16" width="11.83203125" style="2" bestFit="1" customWidth="1"/>
    <col min="17" max="16384" width="9.1640625" style="2"/>
  </cols>
  <sheetData>
    <row r="1" spans="1:22" x14ac:dyDescent="0.2">
      <c r="A1" s="5"/>
      <c r="L1" s="5" t="s">
        <v>0</v>
      </c>
      <c r="M1" s="2">
        <v>0.05</v>
      </c>
    </row>
    <row r="2" spans="1:22" x14ac:dyDescent="0.2">
      <c r="A2" s="1" t="s">
        <v>6</v>
      </c>
      <c r="B2" s="1">
        <v>100</v>
      </c>
      <c r="C2" s="1" t="s">
        <v>7</v>
      </c>
      <c r="D2" s="1">
        <v>1</v>
      </c>
      <c r="E2" s="1"/>
      <c r="F2" s="1"/>
      <c r="G2" s="1"/>
      <c r="H2" s="1"/>
      <c r="I2" s="1"/>
      <c r="J2" s="1"/>
      <c r="K2" s="1"/>
      <c r="N2" s="5" t="s">
        <v>27</v>
      </c>
      <c r="O2" s="2">
        <f>(EXP($M$1*O9) - O6/N5)/(O4/N5 - O6/N5)</f>
        <v>0.56328780131107214</v>
      </c>
      <c r="P2" s="5" t="s">
        <v>29</v>
      </c>
      <c r="Q2" s="2">
        <f>(EXP($M$1*O9)-P5/O4)/(P3/O4 -P5/O4)</f>
        <v>0.32911163518473507</v>
      </c>
    </row>
    <row r="3" spans="1:22" x14ac:dyDescent="0.2">
      <c r="A3" s="1" t="s">
        <v>8</v>
      </c>
      <c r="B3" s="1">
        <v>0.4</v>
      </c>
      <c r="C3" s="1" t="s">
        <v>9</v>
      </c>
      <c r="D3" s="1">
        <v>0.5</v>
      </c>
      <c r="E3" s="1"/>
      <c r="F3" s="1"/>
      <c r="G3" s="1"/>
      <c r="H3" s="1"/>
      <c r="I3" s="1"/>
      <c r="J3" s="1"/>
      <c r="K3" s="1"/>
      <c r="N3" s="1"/>
      <c r="O3" s="1"/>
      <c r="P3" s="1">
        <v>170</v>
      </c>
      <c r="V3" s="2">
        <f>MAX(P3-100,0)</f>
        <v>70</v>
      </c>
    </row>
    <row r="4" spans="1:22" x14ac:dyDescent="0.2">
      <c r="A4" s="1" t="s">
        <v>0</v>
      </c>
      <c r="B4" s="1">
        <v>0.02</v>
      </c>
      <c r="C4" s="1" t="s">
        <v>10</v>
      </c>
      <c r="D4" s="1">
        <v>100</v>
      </c>
      <c r="E4" s="1"/>
      <c r="F4" s="1"/>
      <c r="G4" s="1"/>
      <c r="H4" s="1"/>
      <c r="I4" s="1"/>
      <c r="J4" s="1"/>
      <c r="K4" s="1"/>
      <c r="N4" s="1"/>
      <c r="O4" s="1">
        <v>120</v>
      </c>
      <c r="P4" s="1"/>
      <c r="U4" s="2">
        <f>(Q2*V3+(1-Q2)*V5)*EXP(-M1*O9)</f>
        <v>22.469008797166726</v>
      </c>
    </row>
    <row r="5" spans="1:22" x14ac:dyDescent="0.2">
      <c r="A5" s="1" t="s">
        <v>11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  <c r="N5" s="1">
        <v>100</v>
      </c>
      <c r="O5" s="1"/>
      <c r="P5" s="1">
        <v>100</v>
      </c>
      <c r="T5" s="2">
        <f>(O2*U4+(1-O2)*U6)*EXP(-M1*O9)</f>
        <v>12.344028006259791</v>
      </c>
      <c r="V5" s="2">
        <f>MAX(P5-100,0)</f>
        <v>0</v>
      </c>
    </row>
    <row r="6" spans="1:22" x14ac:dyDescent="0.2">
      <c r="A6" s="1" t="s">
        <v>1</v>
      </c>
      <c r="B6" s="1">
        <f>EXP((B4-B5-0.5*B3^2)*D3+B3*SQRT(D3))</f>
        <v>1.2876807247909099</v>
      </c>
      <c r="C6" s="1"/>
      <c r="D6" s="1"/>
      <c r="E6" s="1"/>
      <c r="F6" s="1"/>
      <c r="G6" s="1"/>
      <c r="H6" s="1"/>
      <c r="I6" s="1"/>
      <c r="J6" s="1"/>
      <c r="K6" s="1"/>
      <c r="N6" s="1"/>
      <c r="O6" s="1">
        <v>80</v>
      </c>
      <c r="P6" s="1"/>
      <c r="U6" s="2">
        <v>0</v>
      </c>
    </row>
    <row r="7" spans="1:22" x14ac:dyDescent="0.2">
      <c r="A7" s="1" t="s">
        <v>2</v>
      </c>
      <c r="B7" s="1">
        <f>EXP((B4-B5-0.5*B3^2)*D3 - B3*SQRT(D3))</f>
        <v>0.73136493810386871</v>
      </c>
      <c r="C7" s="1"/>
      <c r="D7" s="1"/>
      <c r="E7" s="1"/>
      <c r="F7" s="1"/>
      <c r="G7" s="1"/>
      <c r="H7" s="1"/>
      <c r="I7" s="1"/>
      <c r="J7" s="1"/>
      <c r="K7" s="1"/>
      <c r="N7" s="1"/>
      <c r="O7" s="1"/>
      <c r="P7" s="1">
        <v>70</v>
      </c>
      <c r="Q7" s="5" t="s">
        <v>6</v>
      </c>
      <c r="R7" s="2">
        <f>(EXP(M1*O9)-P7/O6)/(P5/O6 - P7/O6)</f>
        <v>0.40084032139847697</v>
      </c>
      <c r="V7" s="2">
        <f>MAX(P7-100,0)</f>
        <v>0</v>
      </c>
    </row>
    <row r="8" spans="1:22" x14ac:dyDescent="0.2">
      <c r="A8" s="1" t="s">
        <v>3</v>
      </c>
      <c r="B8" s="1">
        <f>(EXP((B4-B5)*D3)-B7)/(B6-B7)</f>
        <v>0.50094790701504088</v>
      </c>
      <c r="C8" s="1"/>
      <c r="D8" s="1"/>
      <c r="E8" s="1"/>
      <c r="F8" s="1"/>
      <c r="G8" s="1"/>
      <c r="H8" s="1"/>
      <c r="I8" s="1"/>
      <c r="J8" s="1"/>
      <c r="K8" s="1"/>
      <c r="N8" s="5" t="s">
        <v>28</v>
      </c>
    </row>
    <row r="9" spans="1:22" x14ac:dyDescent="0.2">
      <c r="A9" s="1" t="s">
        <v>4</v>
      </c>
      <c r="B9" s="1">
        <f>1-B8</f>
        <v>0.49905209298495912</v>
      </c>
      <c r="C9" s="1"/>
      <c r="D9" s="1"/>
      <c r="E9" s="1"/>
      <c r="F9" s="1"/>
      <c r="G9" s="1"/>
      <c r="H9" s="1"/>
      <c r="I9" s="1"/>
      <c r="J9" s="1"/>
      <c r="K9" s="1"/>
      <c r="N9" s="1">
        <v>0</v>
      </c>
      <c r="O9" s="1">
        <v>0.5</v>
      </c>
      <c r="P9" s="1">
        <v>1</v>
      </c>
    </row>
    <row r="10" spans="1:22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2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22" x14ac:dyDescent="0.2">
      <c r="A12" s="3" t="s">
        <v>5</v>
      </c>
      <c r="B12" s="3"/>
      <c r="C12" s="3"/>
      <c r="D12" s="3"/>
      <c r="E12" s="3" t="s">
        <v>12</v>
      </c>
      <c r="F12" s="3"/>
      <c r="G12" s="3"/>
      <c r="H12" s="3"/>
      <c r="I12" s="3" t="s">
        <v>13</v>
      </c>
      <c r="J12" s="3"/>
      <c r="K12" s="4"/>
    </row>
    <row r="13" spans="1:22" x14ac:dyDescent="0.2">
      <c r="A13" s="1"/>
      <c r="B13" s="1"/>
      <c r="C13" s="1">
        <f>B14*$B$6</f>
        <v>165.81216489980432</v>
      </c>
      <c r="D13" s="1"/>
      <c r="E13" s="1"/>
      <c r="F13" s="1"/>
      <c r="G13" s="1">
        <f>MAX(C13-$D$4,0)</f>
        <v>65.812164899804316</v>
      </c>
      <c r="H13" s="1"/>
      <c r="I13" s="1"/>
      <c r="J13" s="1"/>
      <c r="K13" s="1">
        <f>MAX(C13-$D$4,0)</f>
        <v>65.812164899804316</v>
      </c>
    </row>
    <row r="14" spans="1:22" x14ac:dyDescent="0.2">
      <c r="A14" s="1"/>
      <c r="B14" s="1">
        <f>A15*$B$6</f>
        <v>128.76807247909099</v>
      </c>
      <c r="C14" s="1"/>
      <c r="D14" s="1"/>
      <c r="E14" s="1"/>
      <c r="F14" s="1">
        <f>($B$8*G13+$B$9*G15)*EXP(-$B$4*$D$3)</f>
        <v>32.640424542337044</v>
      </c>
      <c r="G14" s="1"/>
      <c r="H14" s="1"/>
      <c r="I14" s="1"/>
      <c r="J14" s="1">
        <f>MAX(B14-$D$4,($B$8*K13+$B$9*K15)*EXP(-$B$4*$D$3))</f>
        <v>32.640424542337044</v>
      </c>
      <c r="K14" s="1"/>
    </row>
    <row r="15" spans="1:22" x14ac:dyDescent="0.2">
      <c r="A15" s="1">
        <f>B2</f>
        <v>100</v>
      </c>
      <c r="B15" s="1"/>
      <c r="C15" s="1">
        <f>B14*$B$7</f>
        <v>94.176453358424865</v>
      </c>
      <c r="D15" s="1"/>
      <c r="E15" s="1">
        <f>($B$8*F14+$B$9*F16)*EXP(-$B$4*$D$3)</f>
        <v>16.188455674205699</v>
      </c>
      <c r="F15" s="1"/>
      <c r="G15" s="1">
        <f>MAX(C15-$D$4,0)</f>
        <v>0</v>
      </c>
      <c r="H15" s="1"/>
      <c r="I15" s="1">
        <f>MAX(A15-$D$4,($B$8*J14+$B$9*J16)*EXP(-$B$4*$D$3))</f>
        <v>16.188455674205699</v>
      </c>
      <c r="J15" s="1"/>
      <c r="K15" s="1">
        <f>MAX(C15-$D$4,0)</f>
        <v>0</v>
      </c>
    </row>
    <row r="16" spans="1:22" x14ac:dyDescent="0.2">
      <c r="A16" s="1"/>
      <c r="B16" s="1">
        <f>A15*$B$7</f>
        <v>73.136493810386867</v>
      </c>
      <c r="C16" s="1"/>
      <c r="D16" s="1"/>
      <c r="E16" s="1"/>
      <c r="F16" s="1">
        <f>($B$8*G15+$B$9*G17)*EXP(-$B$4*$D$3)</f>
        <v>0</v>
      </c>
      <c r="G16" s="1"/>
      <c r="H16" s="1"/>
      <c r="I16" s="1"/>
      <c r="J16" s="1">
        <f>MAX(B16-$D$4,($B$8*K15+$B$9*K17)*EXP(-$B$4*$D$3))</f>
        <v>0</v>
      </c>
      <c r="K16" s="1"/>
    </row>
    <row r="17" spans="1:11" x14ac:dyDescent="0.2">
      <c r="A17" s="1"/>
      <c r="B17" s="1"/>
      <c r="C17" s="1">
        <f>B16*$B$7</f>
        <v>53.489467268767569</v>
      </c>
      <c r="D17" s="1"/>
      <c r="E17" s="1"/>
      <c r="F17" s="1"/>
      <c r="G17" s="1">
        <f>MAX(C17-$D$4,0)</f>
        <v>0</v>
      </c>
      <c r="H17" s="1"/>
      <c r="I17" s="1"/>
      <c r="J17" s="1"/>
      <c r="K17" s="1">
        <f>MAX(C17-$D$4,0)</f>
        <v>0</v>
      </c>
    </row>
    <row r="18" spans="1:1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1">
        <v>0</v>
      </c>
      <c r="B19" s="1">
        <v>0.5</v>
      </c>
      <c r="C19" s="1">
        <v>1</v>
      </c>
      <c r="D19" s="1"/>
      <c r="E19" s="1">
        <v>0</v>
      </c>
      <c r="F19" s="1">
        <v>0.5</v>
      </c>
      <c r="G19" s="1">
        <v>1</v>
      </c>
      <c r="H19" s="1"/>
      <c r="I19" s="1">
        <v>0</v>
      </c>
      <c r="J19" s="1">
        <v>0.5</v>
      </c>
      <c r="K19" s="1">
        <v>1</v>
      </c>
    </row>
    <row r="20" spans="1:1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3" t="s">
        <v>5</v>
      </c>
      <c r="B23" s="3"/>
      <c r="C23" s="3"/>
      <c r="D23" s="3"/>
      <c r="E23" s="3" t="s">
        <v>14</v>
      </c>
      <c r="F23" s="3"/>
      <c r="G23" s="3"/>
      <c r="H23" s="3"/>
      <c r="I23" s="3" t="s">
        <v>15</v>
      </c>
      <c r="J23" s="3"/>
      <c r="K23" s="4"/>
    </row>
    <row r="24" spans="1:11" x14ac:dyDescent="0.2">
      <c r="A24" s="1"/>
      <c r="B24" s="1"/>
      <c r="C24" s="1">
        <f>B25*$B$6</f>
        <v>165.81216489980432</v>
      </c>
      <c r="D24" s="1"/>
      <c r="E24" s="1"/>
      <c r="F24" s="1"/>
      <c r="G24" s="1">
        <f>MAX($D$4-C24,0)</f>
        <v>0</v>
      </c>
      <c r="H24" s="1"/>
      <c r="I24" s="1"/>
      <c r="J24" s="1"/>
      <c r="K24" s="1">
        <f>MAX($D$4-C24,0)</f>
        <v>0</v>
      </c>
    </row>
    <row r="25" spans="1:11" x14ac:dyDescent="0.2">
      <c r="A25" s="1"/>
      <c r="B25" s="1">
        <f>A26*$B$6</f>
        <v>128.76807247909099</v>
      </c>
      <c r="C25" s="1"/>
      <c r="D25" s="1"/>
      <c r="E25" s="1"/>
      <c r="F25" s="1">
        <f>($B$8*G24+$B$9*G26)*EXP(-$B$4*$D$3)</f>
        <v>2.877335438162866</v>
      </c>
      <c r="G25" s="1"/>
      <c r="H25" s="1"/>
      <c r="I25" s="1"/>
      <c r="J25" s="1">
        <f>MAX(-B25+$D$4,($B$8*K24+$B$9*K26)*EXP(-$B$4*$D$3))</f>
        <v>2.877335438162866</v>
      </c>
      <c r="K25" s="1"/>
    </row>
    <row r="26" spans="1:11" x14ac:dyDescent="0.2">
      <c r="A26" s="1">
        <f>B2</f>
        <v>100</v>
      </c>
      <c r="B26" s="1"/>
      <c r="C26" s="1">
        <f>B25*$B$7</f>
        <v>94.176453358424865</v>
      </c>
      <c r="D26" s="1"/>
      <c r="E26" s="1">
        <f>($B$8*F25+$B$9*F27)*EXP(-$B$4*$D$3)</f>
        <v>14.208323004881251</v>
      </c>
      <c r="F26" s="1"/>
      <c r="G26" s="1">
        <f>MAX($D$4-C26,0)</f>
        <v>5.8235466415751347</v>
      </c>
      <c r="H26" s="1"/>
      <c r="I26" s="1">
        <f>MAX(-A26+$D$4,($B$8*J25+$B$9*J27)*EXP(-$B$4*$D$3))</f>
        <v>14.69994722859292</v>
      </c>
      <c r="J26" s="1"/>
      <c r="K26" s="1">
        <f>MAX($D$4-C26,0)</f>
        <v>5.8235466415751347</v>
      </c>
    </row>
    <row r="27" spans="1:11" x14ac:dyDescent="0.2">
      <c r="A27" s="1"/>
      <c r="B27" s="1">
        <f>A26*$B$7</f>
        <v>73.136493810386867</v>
      </c>
      <c r="C27" s="1"/>
      <c r="D27" s="1"/>
      <c r="E27" s="1"/>
      <c r="F27" s="1">
        <f>($B$8*G26+$B$9*G28)*EXP(-$B$4*$D$3)</f>
        <v>25.868489564529941</v>
      </c>
      <c r="G27" s="1"/>
      <c r="H27" s="1"/>
      <c r="I27" s="1"/>
      <c r="J27" s="1">
        <f>MAX(-B27+$D$4,($B$8*K26+$B$9*K28)*EXP(-$B$4*$D$3))</f>
        <v>26.863506189613133</v>
      </c>
      <c r="K27" s="1"/>
    </row>
    <row r="28" spans="1:11" x14ac:dyDescent="0.2">
      <c r="A28" s="1"/>
      <c r="B28" s="1"/>
      <c r="C28" s="1">
        <f>B27*$B$7</f>
        <v>53.489467268767569</v>
      </c>
      <c r="D28" s="1"/>
      <c r="E28" s="1"/>
      <c r="F28" s="1"/>
      <c r="G28" s="1">
        <f>MAX($D$4-C28,0)</f>
        <v>46.510532731232431</v>
      </c>
      <c r="H28" s="1"/>
      <c r="I28" s="1"/>
      <c r="J28" s="1" t="s">
        <v>19</v>
      </c>
      <c r="K28" s="1">
        <f>MAX($D$4-C28,0)</f>
        <v>46.510532731232431</v>
      </c>
    </row>
    <row r="29" spans="1:1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s="1">
        <v>0</v>
      </c>
      <c r="B30" s="1">
        <v>0.5</v>
      </c>
      <c r="C30" s="1">
        <v>1</v>
      </c>
      <c r="D30" s="1"/>
      <c r="E30" s="1"/>
      <c r="F30" s="1"/>
      <c r="G30" s="1"/>
      <c r="H30" s="1"/>
      <c r="I30" s="1">
        <v>0</v>
      </c>
      <c r="J30" s="1">
        <v>0.5</v>
      </c>
      <c r="K30" s="1">
        <v>1</v>
      </c>
    </row>
  </sheetData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53E4B-958A-4137-AEFB-16E914C0D573}">
  <dimension ref="A1:I11"/>
  <sheetViews>
    <sheetView zoomScaleNormal="100" workbookViewId="0">
      <selection activeCell="G6" sqref="G6"/>
    </sheetView>
  </sheetViews>
  <sheetFormatPr baseColWidth="10" defaultColWidth="8.83203125" defaultRowHeight="15" x14ac:dyDescent="0.2"/>
  <sheetData>
    <row r="1" spans="1:9" x14ac:dyDescent="0.2">
      <c r="A1" s="6" t="s">
        <v>5</v>
      </c>
      <c r="B1" s="6"/>
      <c r="C1" s="6"/>
      <c r="D1" s="6"/>
      <c r="E1" s="6" t="s">
        <v>26</v>
      </c>
      <c r="H1" s="6" t="s">
        <v>27</v>
      </c>
      <c r="I1" s="6">
        <f>(EXP($B$9*$D$9)-B11)/(B10-B11)</f>
        <v>0.60204529004137208</v>
      </c>
    </row>
    <row r="2" spans="1:9" x14ac:dyDescent="0.2">
      <c r="C2">
        <f>B3*1.08</f>
        <v>34.992000000000012</v>
      </c>
      <c r="G2">
        <f>(MAX((30-C2),0))^2</f>
        <v>0</v>
      </c>
    </row>
    <row r="3" spans="1:9" x14ac:dyDescent="0.2">
      <c r="B3">
        <f>A4*1.08</f>
        <v>32.400000000000006</v>
      </c>
      <c r="F3">
        <f>($I$1*G2+(1-$I$1)*G4)*EXP(-$B$9*F7)</f>
        <v>0.27846659251594047</v>
      </c>
    </row>
    <row r="4" spans="1:9" x14ac:dyDescent="0.2">
      <c r="A4">
        <v>30</v>
      </c>
      <c r="C4">
        <f>B3*0.9</f>
        <v>29.160000000000007</v>
      </c>
      <c r="E4">
        <f>($I$1*F3+(1-$I$1)*F5)*EXP(-$B$9*F7)</f>
        <v>5.3928456225182382</v>
      </c>
      <c r="G4">
        <f>(MAX((30-C4),0))^2</f>
        <v>0.70559999999998779</v>
      </c>
    </row>
    <row r="5" spans="1:9" x14ac:dyDescent="0.2">
      <c r="B5">
        <f>A4*0.9</f>
        <v>27</v>
      </c>
      <c r="F5">
        <f>($I$1*G4+(1-$I$1)*G6)*EXP(-$B$9*F7)</f>
        <v>13.243527826592517</v>
      </c>
    </row>
    <row r="6" spans="1:9" x14ac:dyDescent="0.2">
      <c r="A6" t="s">
        <v>28</v>
      </c>
      <c r="C6">
        <f>B5*0.9</f>
        <v>24.3</v>
      </c>
      <c r="E6" t="s">
        <v>28</v>
      </c>
      <c r="G6">
        <f>(MAX((30-C6),0))^2</f>
        <v>32.489999999999995</v>
      </c>
    </row>
    <row r="7" spans="1:9" x14ac:dyDescent="0.2">
      <c r="A7">
        <v>0</v>
      </c>
      <c r="B7">
        <f>2/12</f>
        <v>0.16666666666666666</v>
      </c>
      <c r="C7">
        <f>4/12</f>
        <v>0.33333333333333331</v>
      </c>
      <c r="E7">
        <v>0</v>
      </c>
      <c r="F7">
        <f>2/12</f>
        <v>0.16666666666666666</v>
      </c>
      <c r="G7">
        <f>4/12</f>
        <v>0.33333333333333331</v>
      </c>
    </row>
    <row r="9" spans="1:9" x14ac:dyDescent="0.2">
      <c r="A9" t="s">
        <v>0</v>
      </c>
      <c r="B9">
        <v>0.05</v>
      </c>
      <c r="C9" t="s">
        <v>9</v>
      </c>
      <c r="D9">
        <f>2/12</f>
        <v>0.16666666666666666</v>
      </c>
    </row>
    <row r="10" spans="1:9" x14ac:dyDescent="0.2">
      <c r="A10" t="s">
        <v>1</v>
      </c>
      <c r="B10">
        <v>1.08</v>
      </c>
    </row>
    <row r="11" spans="1:9" x14ac:dyDescent="0.2">
      <c r="A11" t="s">
        <v>2</v>
      </c>
      <c r="B11">
        <v>0.9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Q8</vt:lpstr>
      <vt:lpstr>Prob 1</vt:lpstr>
      <vt:lpstr>Q3</vt:lpstr>
      <vt:lpstr>Problem 4</vt:lpstr>
      <vt:lpstr>Problem 5</vt:lpstr>
      <vt:lpstr>Problem 6 Futures</vt:lpstr>
      <vt:lpstr>Problem 7 Forex</vt:lpstr>
      <vt:lpstr>Problem 8 Log normal Momentum</vt:lpstr>
      <vt:lpstr>Problem 9 Non Std Payoff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skarnik</dc:creator>
  <cp:lastModifiedBy>Mohanty, Suvrasoumya</cp:lastModifiedBy>
  <cp:lastPrinted>2021-02-09T15:28:10Z</cp:lastPrinted>
  <dcterms:created xsi:type="dcterms:W3CDTF">2010-03-18T03:10:57Z</dcterms:created>
  <dcterms:modified xsi:type="dcterms:W3CDTF">2021-02-19T19:43:32Z</dcterms:modified>
</cp:coreProperties>
</file>