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10" windowWidth="14810" windowHeight="8010" firstSheet="17" activeTab="23"/>
  </bookViews>
  <sheets>
    <sheet name="Question1" sheetId="1" r:id="rId1"/>
    <sheet name="Question2" sheetId="2" r:id="rId2"/>
    <sheet name="Question3" sheetId="3" r:id="rId3"/>
    <sheet name="Question4" sheetId="4" r:id="rId4"/>
    <sheet name="Question5" sheetId="5" r:id="rId5"/>
    <sheet name="Question6" sheetId="6" r:id="rId6"/>
    <sheet name="Question7" sheetId="7" r:id="rId7"/>
    <sheet name="Question8" sheetId="8" r:id="rId8"/>
    <sheet name="Question9" sheetId="12" r:id="rId9"/>
    <sheet name="Question10" sheetId="13" r:id="rId10"/>
    <sheet name="Question11" sheetId="19" r:id="rId11"/>
    <sheet name="Question12" sheetId="20" r:id="rId12"/>
    <sheet name="Question13" sheetId="21" r:id="rId13"/>
    <sheet name="Question14" sheetId="22" r:id="rId14"/>
    <sheet name="Question15" sheetId="23" r:id="rId15"/>
    <sheet name="Question16" sheetId="24" r:id="rId16"/>
    <sheet name="Question17" sheetId="9" r:id="rId17"/>
    <sheet name="Question18" sheetId="10" r:id="rId18"/>
    <sheet name="Question19" sheetId="11" r:id="rId19"/>
    <sheet name="Question20" sheetId="14" r:id="rId20"/>
    <sheet name="Question21" sheetId="15" r:id="rId21"/>
    <sheet name="Question22" sheetId="16" r:id="rId22"/>
    <sheet name="Question23" sheetId="17" r:id="rId23"/>
    <sheet name="Question24" sheetId="18" r:id="rId24"/>
  </sheets>
  <calcPr calcId="152511"/>
</workbook>
</file>

<file path=xl/calcChain.xml><?xml version="1.0" encoding="utf-8"?>
<calcChain xmlns="http://schemas.openxmlformats.org/spreadsheetml/2006/main">
  <c r="F65" i="24" l="1"/>
  <c r="F64" i="24"/>
  <c r="F63" i="24"/>
  <c r="F62" i="24"/>
  <c r="F66" i="24"/>
  <c r="L19" i="24"/>
  <c r="L20" i="24"/>
  <c r="L21" i="24"/>
  <c r="L22" i="24"/>
  <c r="L23" i="24"/>
  <c r="M23" i="24" s="1"/>
  <c r="L18" i="24"/>
  <c r="M18" i="24" s="1"/>
  <c r="M19" i="24"/>
  <c r="M20" i="24"/>
  <c r="M21" i="24"/>
  <c r="M22" i="24"/>
  <c r="I13" i="24"/>
  <c r="J23" i="24"/>
  <c r="J22" i="24"/>
  <c r="J21" i="24"/>
  <c r="J20" i="24"/>
  <c r="J19" i="24"/>
  <c r="I12" i="24"/>
  <c r="J18" i="24"/>
  <c r="I18" i="24"/>
  <c r="I11" i="24"/>
  <c r="F10" i="23"/>
  <c r="E61" i="23"/>
  <c r="E60" i="23"/>
  <c r="E59" i="23"/>
  <c r="E58" i="23"/>
  <c r="E57" i="23"/>
  <c r="J16" i="23"/>
  <c r="J17" i="23"/>
  <c r="J18" i="23"/>
  <c r="J19" i="23"/>
  <c r="J20" i="23"/>
  <c r="J15" i="23"/>
  <c r="G20" i="23"/>
  <c r="G19" i="23"/>
  <c r="G18" i="23"/>
  <c r="G17" i="23"/>
  <c r="G16" i="23"/>
  <c r="G15" i="23"/>
  <c r="F11" i="23"/>
  <c r="D27" i="22"/>
  <c r="D26" i="22"/>
  <c r="D25" i="22"/>
  <c r="D24" i="22"/>
  <c r="D23" i="22"/>
  <c r="F13" i="22"/>
  <c r="F14" i="22"/>
  <c r="F15" i="22"/>
  <c r="F12" i="22"/>
  <c r="E15" i="22"/>
  <c r="E14" i="22"/>
  <c r="E13" i="22"/>
  <c r="E12" i="22"/>
  <c r="D16" i="22"/>
  <c r="D20" i="21"/>
  <c r="D19" i="21"/>
  <c r="D21" i="21" s="1"/>
  <c r="D18" i="21"/>
  <c r="D24" i="20"/>
  <c r="D23" i="20"/>
  <c r="D22" i="20"/>
  <c r="D21" i="20"/>
  <c r="D20" i="20"/>
  <c r="D16" i="20"/>
  <c r="D27" i="19"/>
  <c r="D26" i="19"/>
  <c r="D25" i="19"/>
  <c r="D24" i="19"/>
  <c r="D23" i="19"/>
  <c r="D22" i="19"/>
  <c r="H20" i="17" l="1"/>
  <c r="H19" i="17"/>
  <c r="H18" i="17"/>
  <c r="H17" i="17"/>
  <c r="H16" i="17"/>
  <c r="D8" i="17"/>
  <c r="H10" i="17" s="1"/>
  <c r="D9" i="17"/>
  <c r="D10" i="17"/>
  <c r="D11" i="17"/>
  <c r="D12" i="17"/>
  <c r="D13" i="17"/>
  <c r="D14" i="17"/>
  <c r="D15" i="17"/>
  <c r="D16" i="17"/>
  <c r="D17" i="17"/>
  <c r="D18" i="17"/>
  <c r="D19" i="17"/>
  <c r="D20" i="17"/>
  <c r="D21" i="17"/>
  <c r="D22" i="17"/>
  <c r="D23" i="17"/>
  <c r="D24" i="17"/>
  <c r="D25" i="17"/>
  <c r="D26" i="17"/>
  <c r="D27" i="17"/>
  <c r="D28" i="17"/>
  <c r="D29" i="17"/>
  <c r="D30" i="17"/>
  <c r="D31" i="17"/>
  <c r="D32" i="17"/>
  <c r="D33" i="17"/>
  <c r="D34" i="17"/>
  <c r="D35" i="17"/>
  <c r="D36" i="17"/>
  <c r="D37" i="17"/>
  <c r="D38" i="17"/>
  <c r="D39" i="17"/>
  <c r="D40" i="17"/>
  <c r="D41" i="17"/>
  <c r="D42" i="17"/>
  <c r="D43" i="17"/>
  <c r="D44" i="17"/>
  <c r="D45" i="17"/>
  <c r="D46" i="17"/>
  <c r="D47" i="17"/>
  <c r="D48" i="17"/>
  <c r="D49" i="17"/>
  <c r="D50" i="17"/>
  <c r="D51" i="17"/>
  <c r="D52" i="17"/>
  <c r="D53" i="17"/>
  <c r="D54" i="17"/>
  <c r="D55" i="17"/>
  <c r="D56" i="17"/>
  <c r="D7" i="17"/>
  <c r="H9" i="17"/>
  <c r="E25" i="16"/>
  <c r="E26" i="16"/>
  <c r="E27" i="16"/>
  <c r="E24" i="16"/>
  <c r="E23" i="16"/>
  <c r="E22" i="16"/>
  <c r="E17" i="15"/>
  <c r="D17" i="14"/>
  <c r="D18" i="14" s="1"/>
  <c r="G19" i="11"/>
  <c r="E18" i="9"/>
  <c r="E25" i="12"/>
  <c r="H13" i="15"/>
  <c r="E15" i="15"/>
  <c r="E14" i="15"/>
  <c r="D14" i="14"/>
  <c r="E9" i="15"/>
  <c r="C16" i="4"/>
  <c r="D16" i="14"/>
  <c r="D15" i="14"/>
  <c r="D9" i="14"/>
  <c r="E27" i="13"/>
  <c r="E26" i="13"/>
  <c r="E25" i="13"/>
  <c r="E24" i="13"/>
  <c r="E23" i="13"/>
  <c r="E22" i="13"/>
  <c r="E26" i="12"/>
  <c r="E24" i="12"/>
  <c r="E23" i="12"/>
  <c r="E22" i="12"/>
  <c r="G20" i="11"/>
  <c r="G18" i="11"/>
  <c r="G17" i="11"/>
  <c r="G16" i="11"/>
  <c r="G12" i="11"/>
  <c r="G10" i="11"/>
  <c r="G9" i="11"/>
  <c r="E18" i="10"/>
  <c r="E17" i="10"/>
  <c r="E16" i="10"/>
  <c r="E15" i="10"/>
  <c r="E14" i="10"/>
  <c r="E19" i="9"/>
  <c r="F19" i="2"/>
  <c r="E17" i="9"/>
  <c r="E15" i="9"/>
  <c r="E16" i="9"/>
  <c r="D15" i="8"/>
  <c r="G17" i="7"/>
  <c r="G15" i="7"/>
  <c r="D15" i="6"/>
  <c r="D13" i="6"/>
  <c r="F17" i="5"/>
  <c r="F16" i="5"/>
  <c r="F15" i="5"/>
  <c r="D14" i="6"/>
  <c r="C14" i="4"/>
  <c r="C13" i="4"/>
  <c r="C12" i="4"/>
  <c r="D19" i="3"/>
  <c r="D18" i="3"/>
  <c r="D17" i="3"/>
  <c r="F18" i="2"/>
  <c r="C15" i="1"/>
  <c r="C14" i="1"/>
  <c r="D17" i="8"/>
  <c r="D16" i="8"/>
  <c r="D14" i="8"/>
  <c r="D13" i="8"/>
  <c r="G19" i="7"/>
  <c r="G18" i="7"/>
  <c r="G16" i="7"/>
  <c r="G10" i="7"/>
  <c r="G9" i="7"/>
  <c r="G8" i="7"/>
  <c r="D7" i="7"/>
  <c r="D8" i="7"/>
  <c r="D9" i="7"/>
  <c r="D10" i="7"/>
  <c r="D11" i="7"/>
  <c r="D12" i="7"/>
  <c r="D13" i="7"/>
  <c r="D14" i="7"/>
  <c r="D15" i="7"/>
  <c r="D16" i="7"/>
  <c r="D17" i="7"/>
  <c r="D18" i="7"/>
  <c r="D19" i="7"/>
  <c r="D20" i="7"/>
  <c r="D21" i="7"/>
  <c r="D22" i="7"/>
  <c r="D23" i="7"/>
  <c r="D24" i="7"/>
  <c r="D25" i="7"/>
  <c r="D6" i="7"/>
  <c r="D17" i="6"/>
  <c r="D16" i="6"/>
  <c r="F16" i="2"/>
  <c r="F17" i="2"/>
  <c r="C13" i="1"/>
  <c r="F18" i="5"/>
  <c r="F19" i="5" s="1"/>
  <c r="F11" i="5"/>
  <c r="F10" i="5"/>
  <c r="F8" i="5"/>
  <c r="H11" i="17" l="1"/>
  <c r="H14" i="15"/>
  <c r="H15" i="15"/>
  <c r="F12" i="4"/>
  <c r="F11" i="4"/>
  <c r="C15" i="4"/>
  <c r="C7" i="4"/>
  <c r="H21" i="3"/>
  <c r="H20" i="3"/>
  <c r="H19" i="3"/>
  <c r="H18" i="3"/>
  <c r="H17" i="3"/>
  <c r="D20" i="3"/>
  <c r="F13" i="2"/>
  <c r="C17" i="1"/>
  <c r="C16" i="1"/>
  <c r="E18" i="15" l="1"/>
  <c r="E16" i="15"/>
  <c r="F13" i="4"/>
  <c r="F20" i="2"/>
  <c r="D21" i="3"/>
</calcChain>
</file>

<file path=xl/sharedStrings.xml><?xml version="1.0" encoding="utf-8"?>
<sst xmlns="http://schemas.openxmlformats.org/spreadsheetml/2006/main" count="583" uniqueCount="262">
  <si>
    <t>An agency based out of Bangalore claimed that the average monthly disposable income of families living in the city is greater than Rs 4200, with a</t>
  </si>
  <si>
    <t>standard deviation of Rs 3200.From a random sample of 40000 families, the average disposable income was estimated as Rs 4250.Assume that the</t>
  </si>
  <si>
    <t>population standard deviation is known to be Rs 3200.Conduct an appropriate hypothesis test at 95% confidence interval to check the validity of</t>
  </si>
  <si>
    <t>the claim by the agency.</t>
  </si>
  <si>
    <t>n</t>
  </si>
  <si>
    <t>Sample Mean(X)</t>
  </si>
  <si>
    <r>
      <t>Population Standard Deviation(</t>
    </r>
    <r>
      <rPr>
        <sz val="11"/>
        <color theme="1"/>
        <rFont val="Calibri"/>
        <family val="2"/>
      </rPr>
      <t>σ)</t>
    </r>
  </si>
  <si>
    <r>
      <t>Mean Population(</t>
    </r>
    <r>
      <rPr>
        <sz val="11"/>
        <color theme="1"/>
        <rFont val="Calibri"/>
        <family val="2"/>
      </rPr>
      <t>µ)</t>
    </r>
  </si>
  <si>
    <t>µ &lt;= 4200</t>
  </si>
  <si>
    <t>µ &gt; 4200</t>
  </si>
  <si>
    <r>
      <t>Level Of Siginificance(</t>
    </r>
    <r>
      <rPr>
        <sz val="11"/>
        <color theme="1"/>
        <rFont val="Calibri"/>
        <family val="2"/>
      </rPr>
      <t>α)</t>
    </r>
  </si>
  <si>
    <t>p-value</t>
  </si>
  <si>
    <t>Zcalculated</t>
  </si>
  <si>
    <t>Ztabulated</t>
  </si>
  <si>
    <t>Result</t>
  </si>
  <si>
    <t xml:space="preserve">A passport office claims that passport applications are processed within 30 days of submitting the application form along with all </t>
  </si>
  <si>
    <t>necessary documents.Table shows the processing times of 40 passport applicants.The population  standard deviation of the processing</t>
  </si>
  <si>
    <t>time is 12.5 days.Conduct a hypothesis test at siginifiacnce level 95% to verify the claim made by the passport office.</t>
  </si>
  <si>
    <r>
      <t>Level of Siginificance(</t>
    </r>
    <r>
      <rPr>
        <sz val="11"/>
        <color theme="1"/>
        <rFont val="Calibri"/>
        <family val="2"/>
      </rPr>
      <t>α)</t>
    </r>
  </si>
  <si>
    <r>
      <t>Population Mean(</t>
    </r>
    <r>
      <rPr>
        <sz val="11"/>
        <color theme="1"/>
        <rFont val="Calibri"/>
        <family val="2"/>
      </rPr>
      <t>µ)</t>
    </r>
  </si>
  <si>
    <t>µ &lt; 30</t>
  </si>
  <si>
    <t>µ &gt;= 30</t>
  </si>
  <si>
    <t>(X-µ)/(σ/n^0.5)</t>
  </si>
  <si>
    <t>According to the company IQ Research ,the average Intelligence Quotient(IQ) of Indians is 82,derived based on a research carried out by</t>
  </si>
  <si>
    <t>Professor Richard Lynn,a British Professor of Psychology,using data collected from 2002 to 2006.The population standard deviation of IQ</t>
  </si>
  <si>
    <t>estimated as 11.03.Based on sample of 100 people from India the sample IQ was estimated as 83.</t>
  </si>
  <si>
    <t>b) Ministry of education believes that the average IQ of Indians is more than 82.Conduct an appropriate hypothesis test to check the validity</t>
  </si>
  <si>
    <t>of Ministry's claim.If the actual IQ(population mean) of Indians is 86,calculate the Type II error and power of hypothesis test.</t>
  </si>
  <si>
    <t>µ = 82</t>
  </si>
  <si>
    <r>
      <t xml:space="preserve">µ </t>
    </r>
    <r>
      <rPr>
        <sz val="11"/>
        <color theme="1"/>
        <rFont val="Calibri"/>
        <family val="2"/>
      </rPr>
      <t>≠</t>
    </r>
    <r>
      <rPr>
        <sz val="11"/>
        <color theme="1"/>
        <rFont val="Calibri"/>
        <family val="2"/>
        <scheme val="minor"/>
      </rPr>
      <t xml:space="preserve"> 82</t>
    </r>
  </si>
  <si>
    <t>µ &gt; 82</t>
  </si>
  <si>
    <t>µ &lt;= 82</t>
  </si>
  <si>
    <t>Xcritical</t>
  </si>
  <si>
    <t>P(X&lt;=83.81427355)</t>
  </si>
  <si>
    <r>
      <t>Type II Error(</t>
    </r>
    <r>
      <rPr>
        <sz val="11"/>
        <color theme="1"/>
        <rFont val="Calibri"/>
        <family val="2"/>
      </rPr>
      <t>β)</t>
    </r>
  </si>
  <si>
    <t>Power of Test(1-β)</t>
  </si>
  <si>
    <t>According to a study exactlty 12% of gift cards purchased from e-commerce portals are never used.The manager of one-commerce company wanted to test</t>
  </si>
  <si>
    <t>whether this claim was true.She collected data of 250 gift card purchases and found that 22 gift cards were not used before the expiry date.</t>
  </si>
  <si>
    <r>
      <t xml:space="preserve">a) Conduct an appropriate hypothesis test at </t>
    </r>
    <r>
      <rPr>
        <sz val="11"/>
        <color theme="0"/>
        <rFont val="Calibri"/>
        <family val="2"/>
      </rPr>
      <t>α=0.05 to validate the claim of IQ Research(that the average IQ of Indians is equal to 82).</t>
    </r>
  </si>
  <si>
    <r>
      <t>Level Of Siginifiacance(</t>
    </r>
    <r>
      <rPr>
        <sz val="11"/>
        <color theme="1"/>
        <rFont val="Calibri"/>
        <family val="2"/>
      </rPr>
      <t>α)</t>
    </r>
  </si>
  <si>
    <t>a) Conduct an appropriate hypothesis test at 5% siginificance to check the claim that exactly 12% gift cards are never used is true.</t>
  </si>
  <si>
    <t>b) Calculate the 95% confidence interval for the proportion of gift cards that are not used.</t>
  </si>
  <si>
    <t>Alternative Hypothesis(H1)</t>
  </si>
  <si>
    <t>Null Hypotheis(Ho)</t>
  </si>
  <si>
    <t>Null Hypothesis(Ho)</t>
  </si>
  <si>
    <t>Null Hypotheses(Ho)</t>
  </si>
  <si>
    <t>Alternative Hypotheses(H1)</t>
  </si>
  <si>
    <t>Sample Mean(p)</t>
  </si>
  <si>
    <t>Population Mean(p1)</t>
  </si>
  <si>
    <t>p1 = 0.12</t>
  </si>
  <si>
    <r>
      <t xml:space="preserve">p1 </t>
    </r>
    <r>
      <rPr>
        <sz val="11"/>
        <color theme="1"/>
        <rFont val="Calibri"/>
        <family val="2"/>
      </rPr>
      <t>≠ 0.12</t>
    </r>
  </si>
  <si>
    <t>Lower Limit</t>
  </si>
  <si>
    <t>Upper Limit</t>
  </si>
  <si>
    <t>Confidence Interval</t>
  </si>
  <si>
    <t>Aravind Production is a newly formed movie production house based out of Mumbai,India.AP was interested in understanding the production cost of</t>
  </si>
  <si>
    <t xml:space="preserve">producing a Bollywood movie.The industry believes the production house will require atleast Rs 500 million (50 crore) on average.It is assumed that </t>
  </si>
  <si>
    <t>Bollywood movie production costs follow normal distribution.The production costs of 40 Bollywood movies in millions of rupees are shown in table.</t>
  </si>
  <si>
    <t>Conduct an appropriate hypothesis test at alpha = 0.05 to check whether the belief about average production cost is correct.</t>
  </si>
  <si>
    <t>Level Of Siginificance</t>
  </si>
  <si>
    <r>
      <t>µ &gt;</t>
    </r>
    <r>
      <rPr>
        <sz val="11"/>
        <color theme="1"/>
        <rFont val="Calibri"/>
        <family val="2"/>
      </rPr>
      <t xml:space="preserve"> 550</t>
    </r>
  </si>
  <si>
    <t>µ &lt;= 500</t>
  </si>
  <si>
    <t>p_value</t>
  </si>
  <si>
    <t>Population Mean(µ)</t>
  </si>
  <si>
    <t>(p-p1)/(p1(1-p1)/n)^0.5</t>
  </si>
  <si>
    <t>dof</t>
  </si>
  <si>
    <t>n-1</t>
  </si>
  <si>
    <t xml:space="preserve">According to statistics released by the Department of Civil Aviation,the average delay of flights is 16.8 minutes; flights delay are assumed to follow  </t>
  </si>
  <si>
    <t xml:space="preserve">a normal distribution.However from a sample of 50 flights,the average delay was estimated to be 19.5 minutes and the sample standard deviation </t>
  </si>
  <si>
    <r>
      <t>Sample Standard Deviation(S</t>
    </r>
    <r>
      <rPr>
        <sz val="11"/>
        <color theme="1"/>
        <rFont val="Calibri"/>
        <family val="2"/>
      </rPr>
      <t>)</t>
    </r>
  </si>
  <si>
    <t>(X-µ)/(S/n^0.5)</t>
  </si>
  <si>
    <t>Sample Standard Deviation(S)</t>
  </si>
  <si>
    <t>µ = 16.8</t>
  </si>
  <si>
    <r>
      <t xml:space="preserve">µ  </t>
    </r>
    <r>
      <rPr>
        <sz val="11"/>
        <color theme="1"/>
        <rFont val="Calibri"/>
        <family val="2"/>
      </rPr>
      <t>≠ 16.8</t>
    </r>
  </si>
  <si>
    <r>
      <t xml:space="preserve">was 6.6 minutes.Conduct a hypothesis test to disprove the claim that the average delay is equal to 16.8 minutes at </t>
    </r>
    <r>
      <rPr>
        <sz val="11"/>
        <color theme="0"/>
        <rFont val="Calibri"/>
        <family val="2"/>
      </rPr>
      <t>α=0.01.</t>
    </r>
  </si>
  <si>
    <t>Table shows data on alcohol consumption before and after a break-up.Conduct a paired t-test to check whether the alcohol consumption</t>
  </si>
  <si>
    <t>Before Break-up(X1)</t>
  </si>
  <si>
    <t>After Break-up(X2)</t>
  </si>
  <si>
    <t>d=X2-X1</t>
  </si>
  <si>
    <t>Sample Mean(D)</t>
  </si>
  <si>
    <r>
      <t>Population Mean(</t>
    </r>
    <r>
      <rPr>
        <sz val="11"/>
        <color theme="1"/>
        <rFont val="Calibri"/>
        <family val="2"/>
      </rPr>
      <t>µd)</t>
    </r>
  </si>
  <si>
    <t>µd &gt; 0</t>
  </si>
  <si>
    <t>µd &lt;= 0</t>
  </si>
  <si>
    <t>(D-µd)/(S/n^0.5)</t>
  </si>
  <si>
    <r>
      <t xml:space="preserve">is more after the break-up (that is </t>
    </r>
    <r>
      <rPr>
        <sz val="11"/>
        <color theme="0"/>
        <rFont val="Calibri"/>
        <family val="2"/>
      </rPr>
      <t>µd &gt; 0) at 95% confidence(α=0.05).</t>
    </r>
  </si>
  <si>
    <t xml:space="preserve">A researcher believes that people drink more coffee on Mondays than other days of the week.Data was collected from 50 people on the quantity </t>
  </si>
  <si>
    <t>of coffee drank on Mondays and Tuesdays.Based on a sample,the mean difference was estimated as 14ml and the corresponding standard deviation</t>
  </si>
  <si>
    <t>to Tuesdays.</t>
  </si>
  <si>
    <t>Sample(D)</t>
  </si>
  <si>
    <t>Null Hypotheis(H0)</t>
  </si>
  <si>
    <t>µd &gt; 10</t>
  </si>
  <si>
    <t>µd &lt;= 10</t>
  </si>
  <si>
    <r>
      <t xml:space="preserve">was 8.5ml.Conduct an appropriate hypothesis test at </t>
    </r>
    <r>
      <rPr>
        <sz val="11"/>
        <color theme="0"/>
        <rFont val="Calibri"/>
        <family val="2"/>
      </rPr>
      <t xml:space="preserve">α=0.1 to check the claim that people drink on average 10ml more coffee on Mondays compared </t>
    </r>
  </si>
  <si>
    <t>Dr Who,the CEO of Wales Wellbeing based out of Cardiff,Wales collected data from a sample of 100 people infected by coronavirus and estimated</t>
  </si>
  <si>
    <t>the average time to recover from the infection as 12 days.David Tennaut,a friend of Dr Who,however believed that the average time to recover is at</t>
  </si>
  <si>
    <t xml:space="preserve">least 14 days.Assume that the population standard deviation is 1.5 days.Use an appropriate hypothesis test at 5% siginificance to check whether the </t>
  </si>
  <si>
    <t>claim made by David Tennant is true.</t>
  </si>
  <si>
    <t>Alternative Hypotheis(H1)</t>
  </si>
  <si>
    <t>Null Hypothesis(H0)</t>
  </si>
  <si>
    <t>µ &lt;= 14</t>
  </si>
  <si>
    <t>µ &gt; 14</t>
  </si>
  <si>
    <t>David Daruvala is a manager at Madhuveloka,a chain of pubs located in Bengaluru.David believes the average weekly consumption of beer among his customers</t>
  </si>
  <si>
    <t>is atleast 1200ml.From a sample of 45 customers,he estimated the weekly average consumption as 1220ml and the standard deviation estimated from the</t>
  </si>
  <si>
    <t>and confidence interval for the average consumption of beer.</t>
  </si>
  <si>
    <t>µ &gt; 1200</t>
  </si>
  <si>
    <t>µ &lt;= 1200</t>
  </si>
  <si>
    <t>According to Flight Watcher, a company that monitors the performance of airlines in India,on average atleast 60 domestic flights are cancelled daily.</t>
  </si>
  <si>
    <t xml:space="preserve">Table provides the number of flights cancelled on 40 days that were randomly selected.Use an appropriate hypothesis test to verify the claim made by </t>
  </si>
  <si>
    <t>Flight Watcher at 10% siginificance level.</t>
  </si>
  <si>
    <t>µ &gt; 60</t>
  </si>
  <si>
    <t>µ &lt;= 60</t>
  </si>
  <si>
    <r>
      <t xml:space="preserve">sample is 120ml.Use an appropriate hypothesis test at </t>
    </r>
    <r>
      <rPr>
        <sz val="11"/>
        <color theme="0"/>
        <rFont val="Calibri"/>
        <family val="2"/>
      </rPr>
      <t>α=0.01 to check whether the average weekly consumption of beer is atleast 1200ml.Calculate the p-value</t>
    </r>
  </si>
  <si>
    <t>The Dean of St Peter School of Management Education believes graduating students with a specialization in Analytics earn atleast Rs 5000 more per month</t>
  </si>
  <si>
    <t>than students with specialization in Operations Management.To verify his belief,the Dean collected sample data from his graduating students given in Table.</t>
  </si>
  <si>
    <t>as compared to operation specialization.Assume that the salaries of students with analytics specialization and operations specialization follow normal distribution.</t>
  </si>
  <si>
    <t>Specialization</t>
  </si>
  <si>
    <t>Analytics</t>
  </si>
  <si>
    <t>Operations</t>
  </si>
  <si>
    <t>Sample Size</t>
  </si>
  <si>
    <t>Estimated Mean Salary</t>
  </si>
  <si>
    <t>Population Standard Deviation</t>
  </si>
  <si>
    <t>n1</t>
  </si>
  <si>
    <t>n2</t>
  </si>
  <si>
    <t>Sample Mean(X1)</t>
  </si>
  <si>
    <t>Sample Mean(X2)</t>
  </si>
  <si>
    <r>
      <t>Population Standard Deviation(</t>
    </r>
    <r>
      <rPr>
        <sz val="11"/>
        <color theme="1"/>
        <rFont val="Calibri"/>
        <family val="2"/>
      </rPr>
      <t>σ1)</t>
    </r>
  </si>
  <si>
    <t>Population Standard Deviation(σ2)</t>
  </si>
  <si>
    <t>µ1 - µ2</t>
  </si>
  <si>
    <t>µ1 - µ2 &gt; 5000</t>
  </si>
  <si>
    <t>µ1 - µ2 &lt;= 5000</t>
  </si>
  <si>
    <t>Tcalculated</t>
  </si>
  <si>
    <t>Ttabulated</t>
  </si>
  <si>
    <t>Ttabulaed</t>
  </si>
  <si>
    <r>
      <t xml:space="preserve">Conduct an appropriate hypothesis test at </t>
    </r>
    <r>
      <rPr>
        <sz val="11"/>
        <color theme="0"/>
        <rFont val="Calibri"/>
        <family val="2"/>
      </rPr>
      <t>α=0.05 to check whether the difference in monthly salary is atleast Rs 5000 more for students with analytics specialization</t>
    </r>
  </si>
  <si>
    <t>A company makes the claim that children(in the age group 7 to 12) who consume health drink Gold Sport will grow taller than children who do not drink it.Table</t>
  </si>
  <si>
    <t>increase in height for the children who drink the health drink is atleast 1.2cm more than that of those who do not drink it.</t>
  </si>
  <si>
    <t>Group</t>
  </si>
  <si>
    <t>Drink health drink</t>
  </si>
  <si>
    <t>Do not drink health drink</t>
  </si>
  <si>
    <t>Increase in Height During Test Period</t>
  </si>
  <si>
    <t>Standard Deviation Estimated From Sample</t>
  </si>
  <si>
    <t>Sample Standard Deviation(S1)</t>
  </si>
  <si>
    <t>Sample Standard Deviation(S2)</t>
  </si>
  <si>
    <t>µ1 - µ2 &gt; 1.2</t>
  </si>
  <si>
    <t>µ1 - µ2 &lt;= 1.2</t>
  </si>
  <si>
    <t>Pooled Sample Variance(Sp)</t>
  </si>
  <si>
    <r>
      <t xml:space="preserve">shows average increase in height over a one-year period from two groups:one drinking the health drink and the other not drinking it.At </t>
    </r>
    <r>
      <rPr>
        <sz val="11"/>
        <color theme="0"/>
        <rFont val="Calibri"/>
        <family val="2"/>
      </rPr>
      <t xml:space="preserve">α=0.05,test whether the </t>
    </r>
  </si>
  <si>
    <t>n1+n2-2</t>
  </si>
  <si>
    <t>((X1-X2)-(µ1 - µ2))/(Sp(1/n1+1/n2))^0.5</t>
  </si>
  <si>
    <t xml:space="preserve">Peter Poulouse is the Vice President of an e-commerce company called "We Sell Everything on Earth".Peter believes atleast 12% of customers return </t>
  </si>
  <si>
    <t>the products purchased by them.To validate his belief he took a sample of 620 customers and found that 80 customers had returned the products.Carry</t>
  </si>
  <si>
    <t>out an appropriate hypothesis test at siginificance level of 0.1% to check whether the return is atleast 12%.</t>
  </si>
  <si>
    <r>
      <t xml:space="preserve">p1 &gt; </t>
    </r>
    <r>
      <rPr>
        <sz val="11"/>
        <color theme="1"/>
        <rFont val="Calibri"/>
        <family val="2"/>
      </rPr>
      <t>0.12</t>
    </r>
  </si>
  <si>
    <t>p1 &lt;= 0.12</t>
  </si>
  <si>
    <t xml:space="preserve">Ammajon.com is an e-commerce company headquarted in Bangalore which sells millions of merchandise across India.One of the problems they encounter </t>
  </si>
  <si>
    <t>is fraud it is believed that e-commerce fraud in India is atleast 6%.Ammajon analytics team collected a random sample of 1200 cases and found 66 fraudlent</t>
  </si>
  <si>
    <t>and confidence interval for the proportion of fraud.</t>
  </si>
  <si>
    <r>
      <t xml:space="preserve">p1 &gt; </t>
    </r>
    <r>
      <rPr>
        <sz val="11"/>
        <color theme="1"/>
        <rFont val="Calibri"/>
        <family val="2"/>
      </rPr>
      <t>0.06</t>
    </r>
  </si>
  <si>
    <t>p1 &lt;= 0.06</t>
  </si>
  <si>
    <t xml:space="preserve">Tcalculated </t>
  </si>
  <si>
    <r>
      <t xml:space="preserve">transactions.Conduct a hypthesis and check whether the fraud proportion at Ammajon is atleast 6% at </t>
    </r>
    <r>
      <rPr>
        <sz val="11"/>
        <color theme="0"/>
        <rFont val="Calibri"/>
        <family val="2"/>
      </rPr>
      <t>α=0.01 and calculate the corresponding p-value</t>
    </r>
  </si>
  <si>
    <t xml:space="preserve">At Die Another Day hospital, the average daily food wastage is 22kg,with standard  deviation of four kg based on data collected over 30 days. </t>
  </si>
  <si>
    <t xml:space="preserve">Dr Who,the operation manager at DAD hospital,implements a few Lean Six Sigma projects to reduce food wastage.After the implementation the </t>
  </si>
  <si>
    <t xml:space="preserve">average food wastage was 21kg and standard deviation was 2.5kg based on a sample of 30 days.Do an appropriate hypothesis test at 90% confidence </t>
  </si>
  <si>
    <r>
      <t>µ1 - µ2 &lt;</t>
    </r>
    <r>
      <rPr>
        <sz val="11"/>
        <color theme="1"/>
        <rFont val="Calibri"/>
        <family val="2"/>
      </rPr>
      <t xml:space="preserve"> 0</t>
    </r>
  </si>
  <si>
    <t>µ1 - µ2 &gt;= 0</t>
  </si>
  <si>
    <r>
      <t xml:space="preserve">level </t>
    </r>
    <r>
      <rPr>
        <sz val="11"/>
        <color theme="0"/>
        <rFont val="Calibri"/>
        <family val="2"/>
      </rPr>
      <t>α=0.10 to check whether the Lean Six Sigma projects have reduced food wastage.</t>
    </r>
  </si>
  <si>
    <t>Hedge funds are alternatives investment options that claim to provide better returns compared to investments such  as mutual funds and stocks.Hedge funds use many</t>
  </si>
  <si>
    <t>strategies such as Convertible,Currency,Derivative,Emerging Market etc.Siddharth Sinha an investment advisor at Platinum Investments strongly believes the average</t>
  </si>
  <si>
    <t xml:space="preserve">returns of the hedge fund strategy "Emerging Market" are higher than those of "Derivative".A sample of hedge funds that use these two strategies and their returns </t>
  </si>
  <si>
    <t>are shown in table.Conduct a hypothesis test to check whether the strategy "Emerging Market" gives more average returns than the strategy "Derivative".</t>
  </si>
  <si>
    <t>Emerging Markets(X1)</t>
  </si>
  <si>
    <t>Derivative(X2)</t>
  </si>
  <si>
    <t>D = X1 - X2</t>
  </si>
  <si>
    <t xml:space="preserve">Table shows the summary statistics on the number of people infected and deceased due to coranavirus during the year 2020 for male and female patients </t>
  </si>
  <si>
    <t>gender wise from a particular region.Many media companies have claimed that the mortality rate is higher for male patients compared to female patients.</t>
  </si>
  <si>
    <t>Use a two-sample Z-test for proportion to check whether the mortality rate is higher for males compared to females at 5% siginificance.</t>
  </si>
  <si>
    <t>Gender</t>
  </si>
  <si>
    <t>Male</t>
  </si>
  <si>
    <t>Female</t>
  </si>
  <si>
    <t>Total</t>
  </si>
  <si>
    <t>Infected</t>
  </si>
  <si>
    <t>Deceased</t>
  </si>
  <si>
    <t xml:space="preserve">A researcher is interested in finding the average duration of marriage (before termination of marriage) based on the educational qualifications of couples.Two groups </t>
  </si>
  <si>
    <t>were considered for the study:Group 1 consists of couple in which neither partner has a bachelor's degree and Group 2 consists of couples in which both have a bachelor's</t>
  </si>
  <si>
    <t>bachelor's degree compared to couples with bachelor's degree.</t>
  </si>
  <si>
    <t>Couples with no degree</t>
  </si>
  <si>
    <t>Couples with degree</t>
  </si>
  <si>
    <t>Duration of Marriage</t>
  </si>
  <si>
    <t>Standard Deviation Estimated from Sample</t>
  </si>
  <si>
    <t>Sample Size(X1)</t>
  </si>
  <si>
    <t>Sample Size(X2)</t>
  </si>
  <si>
    <r>
      <t>µ1 - µ2 &gt;</t>
    </r>
    <r>
      <rPr>
        <sz val="11"/>
        <color theme="1"/>
        <rFont val="Calibri"/>
        <family val="2"/>
      </rPr>
      <t xml:space="preserve"> 0</t>
    </r>
  </si>
  <si>
    <t>µ1 - µ2 &lt;= 0</t>
  </si>
  <si>
    <r>
      <t xml:space="preserve">degree or higher.Data in table shows the average duration of marriage in years.At </t>
    </r>
    <r>
      <rPr>
        <sz val="11"/>
        <color theme="0"/>
        <rFont val="Calibri"/>
        <family val="2"/>
      </rPr>
      <t>α=0.05,test whether the average duration of marriage is more for couples with no</t>
    </r>
  </si>
  <si>
    <t>((X1-X2)-(µ1 - µ2))/(S1^2/n1+S2^2/n2))^0.5</t>
  </si>
  <si>
    <t>Su</t>
  </si>
  <si>
    <t>(S1^2/n1+S2^2/n2)^0.5</t>
  </si>
  <si>
    <t>Su^4/((S1^2/n1)^2)/(n1-1)+((S2^2/n2)^2)/(n2-1)</t>
  </si>
  <si>
    <t>A marketing manager believes everyone like discounts,irrespective of whether they belong to the non-affluent community.To validate this hypothesis,discount</t>
  </si>
  <si>
    <t>coupons were sent to non-affluent and affluent customers.Coupon usage data is provided in table.Use an  appropriate hypothesis test to validate that there is</t>
  </si>
  <si>
    <t>Non-Affluent</t>
  </si>
  <si>
    <t>Affluent</t>
  </si>
  <si>
    <t>Number of Customers using Discount Coupons</t>
  </si>
  <si>
    <t>Estimated Population</t>
  </si>
  <si>
    <t>p1</t>
  </si>
  <si>
    <t>p2</t>
  </si>
  <si>
    <t>p</t>
  </si>
  <si>
    <t>(n1*p1 + n2 * p2)/(n1 + n2)</t>
  </si>
  <si>
    <t>p1 = p2</t>
  </si>
  <si>
    <r>
      <t xml:space="preserve">p1 </t>
    </r>
    <r>
      <rPr>
        <sz val="11"/>
        <color theme="1"/>
        <rFont val="Calibri"/>
        <family val="2"/>
      </rPr>
      <t>≠ p2</t>
    </r>
  </si>
  <si>
    <t>(p1-p2)/(p*(1-p)*(1/n1+1/n2))^0.5</t>
  </si>
  <si>
    <t>Preetha Dallal is an investment advisor who believes that the variances of stock prices of manufacturing companies and information technology companies</t>
  </si>
  <si>
    <t>check whether the variances of stock prices in two industry sectors are equal or not.</t>
  </si>
  <si>
    <r>
      <t xml:space="preserve">no difference in proportion of customers who use discount coupons among affluent and non-affluent customers at </t>
    </r>
    <r>
      <rPr>
        <sz val="11"/>
        <color theme="0"/>
        <rFont val="Calibri"/>
        <family val="2"/>
      </rPr>
      <t>α=0.05.</t>
    </r>
  </si>
  <si>
    <t>Manufacturing</t>
  </si>
  <si>
    <t>Information Technology</t>
  </si>
  <si>
    <t>Variances Estimated from Sample</t>
  </si>
  <si>
    <t>σ1^2 = σ2^2</t>
  </si>
  <si>
    <r>
      <t xml:space="preserve">σ1^2 </t>
    </r>
    <r>
      <rPr>
        <sz val="11"/>
        <color theme="1"/>
        <rFont val="Calibri"/>
        <family val="2"/>
      </rPr>
      <t xml:space="preserve">≠ </t>
    </r>
    <r>
      <rPr>
        <sz val="11"/>
        <color theme="1"/>
        <rFont val="Calibri"/>
        <family val="2"/>
        <scheme val="minor"/>
      </rPr>
      <t>σ2^2</t>
    </r>
  </si>
  <si>
    <t>Fcalculated</t>
  </si>
  <si>
    <t>Ftabulated(Left)</t>
  </si>
  <si>
    <t>Ftabulated(Right)</t>
  </si>
  <si>
    <t xml:space="preserve">Result </t>
  </si>
  <si>
    <t>F</t>
  </si>
  <si>
    <t>S1^2/S2^2</t>
  </si>
  <si>
    <r>
      <t xml:space="preserve">are the same.To verify the claim,variances of stock prices from these two sectors are collected and shown in table.Conduct an appropriate test at </t>
    </r>
    <r>
      <rPr>
        <sz val="11"/>
        <color theme="0"/>
        <rFont val="Calibri"/>
        <family val="2"/>
      </rPr>
      <t>α=0.1 to</t>
    </r>
  </si>
  <si>
    <t>Hanuman Airlines operates daily flights to several Indian cities.One of the problems HA faces is food preferences for passengers.Captain Cook,the operation manager</t>
  </si>
  <si>
    <t>of HA,believes 35% of passengers prefer vegetarian food,40% prefer non-vegetarian food,20% low calorie food and 5% request for diabetic food.A sample of 500</t>
  </si>
  <si>
    <t>passengers was chosen to analyse the food preferences,and the data is shown in table.Conduct a chi-square goodness of fit test to check whether Captain Cook's</t>
  </si>
  <si>
    <t>Food Type</t>
  </si>
  <si>
    <t>No. of Passengers</t>
  </si>
  <si>
    <t>Vegetarian</t>
  </si>
  <si>
    <t>Non-Vegetarian</t>
  </si>
  <si>
    <t>Low-Caloric</t>
  </si>
  <si>
    <t>Diabetic</t>
  </si>
  <si>
    <t>Expected Frequency</t>
  </si>
  <si>
    <t>Observed Frequency(Oi)</t>
  </si>
  <si>
    <t>Expected Frequency(Ei)</t>
  </si>
  <si>
    <t>(Oi-Ei)^2/Ei</t>
  </si>
  <si>
    <t>There is no statistically siginificance between observed and expected frequency.</t>
  </si>
  <si>
    <t>There is statistically siginificance between observed and expected frequency.</t>
  </si>
  <si>
    <t>Chi(calculated)</t>
  </si>
  <si>
    <t>Chi(Tabulated)</t>
  </si>
  <si>
    <t>Kachara Seth is the general manager of "Clean City &amp; Co',a company that manages solid waste produced in different cities across India.He believes that the quantity</t>
  </si>
  <si>
    <t>of solid waste produced in Bangalore is 5000 tons per day with a standard deviation of 300 tons.Kachara Seth collected data on solid waste produced on randomly</t>
  </si>
  <si>
    <t>No. of Groups</t>
  </si>
  <si>
    <t>Range</t>
  </si>
  <si>
    <t>Chi(Calculated)</t>
  </si>
  <si>
    <r>
      <t xml:space="preserve">selected days.The data for 50 days is shown in table.Check whether the data folllows a normal distribution at </t>
    </r>
    <r>
      <rPr>
        <sz val="11"/>
        <color theme="0"/>
        <rFont val="Calibri"/>
        <family val="2"/>
      </rPr>
      <t>α=0.01.</t>
    </r>
  </si>
  <si>
    <t>Peter Phonewala is the chief operating officer atAirmobile,a mobile phone service provider based out of Coimbatore,India.Peter was interested in finding the probability</t>
  </si>
  <si>
    <t>distribution of call durations.His friend Erlang Phonewala suggested that call duration is most likely to be an exponential distribution.To check whether call duration actually</t>
  </si>
  <si>
    <t xml:space="preserve">follows an exponential distribution,Peter collected a sample of 50 calls,and the duration of calls in minutes is shown in table.Using goodness of fit test,check whether data </t>
  </si>
  <si>
    <t>follows an exponential distribution.</t>
  </si>
  <si>
    <t>No of Group(N)</t>
  </si>
  <si>
    <t>FLOOR.MATH(1+3.3*LOG10(50))</t>
  </si>
  <si>
    <t>(MAX-MIN)/N</t>
  </si>
  <si>
    <t>λ</t>
  </si>
  <si>
    <t>1/Mean()</t>
  </si>
  <si>
    <t>n*(exp(-λ * Li) - exp(-λ * Ui))</t>
  </si>
  <si>
    <t>N - 1 - 1</t>
  </si>
  <si>
    <t xml:space="preserve">N - 1 </t>
  </si>
  <si>
    <r>
      <t xml:space="preserve">belief is true at </t>
    </r>
    <r>
      <rPr>
        <sz val="11"/>
        <color theme="0"/>
        <rFont val="Calibri"/>
        <family val="2"/>
      </rPr>
      <t>α=0.05.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</si>
</sst>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/>
      <name val="Calibri"/>
      <family val="2"/>
    </font>
    <font>
      <sz val="11"/>
      <color theme="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0" xfId="0" applyFont="1" applyFill="1"/>
    <xf numFmtId="0" fontId="2" fillId="0" borderId="0" xfId="0" applyFont="1"/>
    <xf numFmtId="0" fontId="0" fillId="0" borderId="0" xfId="0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calcChain" Target="calcChain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4</xdr:col>
      <xdr:colOff>441325</xdr:colOff>
      <xdr:row>10</xdr:row>
      <xdr:rowOff>165100</xdr:rowOff>
    </xdr:from>
    <xdr:ext cx="65" cy="172227"/>
    <xdr:sp macro="" textlink="">
      <xdr:nvSpPr>
        <xdr:cNvPr id="2" name="TextBox 1"/>
        <xdr:cNvSpPr txBox="1"/>
      </xdr:nvSpPr>
      <xdr:spPr>
        <a:xfrm>
          <a:off x="5540375" y="2006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7</xdr:col>
      <xdr:colOff>15875</xdr:colOff>
      <xdr:row>10</xdr:row>
      <xdr:rowOff>50800</xdr:rowOff>
    </xdr:from>
    <xdr:ext cx="65" cy="172227"/>
    <xdr:sp macro="" textlink="">
      <xdr:nvSpPr>
        <xdr:cNvPr id="3" name="TextBox 2"/>
        <xdr:cNvSpPr txBox="1"/>
      </xdr:nvSpPr>
      <xdr:spPr>
        <a:xfrm>
          <a:off x="8950325" y="18923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4</xdr:col>
      <xdr:colOff>441325</xdr:colOff>
      <xdr:row>10</xdr:row>
      <xdr:rowOff>165100</xdr:rowOff>
    </xdr:from>
    <xdr:ext cx="65" cy="172227"/>
    <xdr:sp macro="" textlink="">
      <xdr:nvSpPr>
        <xdr:cNvPr id="4" name="TextBox 3"/>
        <xdr:cNvSpPr txBox="1"/>
      </xdr:nvSpPr>
      <xdr:spPr>
        <a:xfrm>
          <a:off x="5540375" y="2006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7</xdr:col>
      <xdr:colOff>161924</xdr:colOff>
      <xdr:row>9</xdr:row>
      <xdr:rowOff>50800</xdr:rowOff>
    </xdr:from>
    <xdr:ext cx="2568576" cy="188385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5" name="TextBox 4"/>
            <xdr:cNvSpPr txBox="1"/>
          </xdr:nvSpPr>
          <xdr:spPr>
            <a:xfrm>
              <a:off x="9096374" y="1708150"/>
              <a:ext cx="2568576" cy="18838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14:m>
                <m:oMath xmlns:m="http://schemas.openxmlformats.org/officeDocument/2006/math">
                  <m:sSubSup>
                    <m:sSubSupPr>
                      <m:ctrlPr>
                        <a:rPr lang="en-IN" sz="1100" i="1">
                          <a:latin typeface="Cambria Math" panose="02040503050406030204" pitchFamily="18" charset="0"/>
                        </a:rPr>
                      </m:ctrlPr>
                    </m:sSubSupPr>
                    <m:e>
                      <m:r>
                        <a:rPr lang="en-US" sz="1100" b="0" i="1">
                          <a:latin typeface="Cambria Math" panose="02040503050406030204" pitchFamily="18" charset="0"/>
                        </a:rPr>
                        <m:t>𝑆</m:t>
                      </m:r>
                    </m:e>
                    <m:sub>
                      <m:r>
                        <a:rPr lang="en-US" sz="1100" b="0" i="1">
                          <a:latin typeface="Cambria Math" panose="02040503050406030204" pitchFamily="18" charset="0"/>
                        </a:rPr>
                        <m:t>𝑝</m:t>
                      </m:r>
                    </m:sub>
                    <m:sup>
                      <m:r>
                        <a:rPr lang="en-US" sz="1100" b="0" i="1">
                          <a:latin typeface="Cambria Math" panose="02040503050406030204" pitchFamily="18" charset="0"/>
                        </a:rPr>
                        <m:t>2</m:t>
                      </m:r>
                    </m:sup>
                  </m:sSubSup>
                </m:oMath>
              </a14:m>
              <a:r>
                <a:rPr lang="en-IN" sz="1100"/>
                <a:t> = (</a:t>
              </a:r>
              <a14:m>
                <m:oMath xmlns:m="http://schemas.openxmlformats.org/officeDocument/2006/math">
                  <m:d>
                    <m:dPr>
                      <m:ctrlPr>
                        <a:rPr lang="en-US" sz="1100" b="0" i="1">
                          <a:latin typeface="Cambria Math" panose="02040503050406030204" pitchFamily="18" charset="0"/>
                        </a:rPr>
                      </m:ctrlPr>
                    </m:dPr>
                    <m:e>
                      <m:r>
                        <a:rPr lang="en-US" sz="1100" b="0" i="1">
                          <a:latin typeface="Cambria Math" panose="02040503050406030204" pitchFamily="18" charset="0"/>
                        </a:rPr>
                        <m:t>𝑛</m:t>
                      </m:r>
                      <m:r>
                        <a:rPr lang="en-US" sz="1100" b="0" i="1">
                          <a:latin typeface="Cambria Math" panose="02040503050406030204" pitchFamily="18" charset="0"/>
                        </a:rPr>
                        <m:t>−1</m:t>
                      </m:r>
                    </m:e>
                  </m:d>
                  <m:r>
                    <a:rPr lang="en-US" sz="1100" b="0" i="1">
                      <a:latin typeface="Cambria Math" panose="02040503050406030204" pitchFamily="18" charset="0"/>
                    </a:rPr>
                    <m:t>∗</m:t>
                  </m:r>
                  <m:sSubSup>
                    <m:sSubSupPr>
                      <m:ctrlPr>
                        <a:rPr lang="en-US" sz="1100" b="0" i="1">
                          <a:latin typeface="Cambria Math" panose="02040503050406030204" pitchFamily="18" charset="0"/>
                        </a:rPr>
                      </m:ctrlPr>
                    </m:sSubSupPr>
                    <m:e>
                      <m:r>
                        <a:rPr lang="en-US" sz="1100" b="0" i="1">
                          <a:latin typeface="Cambria Math" panose="02040503050406030204" pitchFamily="18" charset="0"/>
                        </a:rPr>
                        <m:t>𝑆</m:t>
                      </m:r>
                    </m:e>
                    <m:sub>
                      <m:r>
                        <a:rPr lang="en-US" sz="1100" b="0" i="1">
                          <a:latin typeface="Cambria Math" panose="02040503050406030204" pitchFamily="18" charset="0"/>
                        </a:rPr>
                        <m:t>1</m:t>
                      </m:r>
                    </m:sub>
                    <m:sup>
                      <m:r>
                        <a:rPr lang="en-US" sz="1100" b="0" i="1">
                          <a:latin typeface="Cambria Math" panose="02040503050406030204" pitchFamily="18" charset="0"/>
                        </a:rPr>
                        <m:t>2</m:t>
                      </m:r>
                    </m:sup>
                  </m:sSubSup>
                </m:oMath>
              </a14:m>
              <a:r>
                <a:rPr lang="en-IN" sz="1100"/>
                <a:t> + (n2</a:t>
              </a:r>
              <a:r>
                <a:rPr lang="en-IN" sz="1100" baseline="0"/>
                <a:t> - 1)* </a:t>
              </a:r>
              <a14:m>
                <m:oMath xmlns:m="http://schemas.openxmlformats.org/officeDocument/2006/math">
                  <m:sSubSup>
                    <m:sSubSupPr>
                      <m:ctrlPr>
                        <a:rPr lang="en-IN" sz="1100" i="1" baseline="0">
                          <a:latin typeface="Cambria Math" panose="02040503050406030204" pitchFamily="18" charset="0"/>
                        </a:rPr>
                      </m:ctrlPr>
                    </m:sSubSupPr>
                    <m:e>
                      <m:r>
                        <a:rPr lang="en-US" sz="1100" b="0" i="1" baseline="0">
                          <a:latin typeface="Cambria Math" panose="02040503050406030204" pitchFamily="18" charset="0"/>
                        </a:rPr>
                        <m:t>𝑆</m:t>
                      </m:r>
                    </m:e>
                    <m:sub>
                      <m:r>
                        <a:rPr lang="en-US" sz="1100" b="0" i="1" baseline="0">
                          <a:latin typeface="Cambria Math" panose="02040503050406030204" pitchFamily="18" charset="0"/>
                        </a:rPr>
                        <m:t>2</m:t>
                      </m:r>
                    </m:sub>
                    <m:sup>
                      <m:r>
                        <a:rPr lang="en-US" sz="1100" b="0" i="1" baseline="0">
                          <a:latin typeface="Cambria Math" panose="02040503050406030204" pitchFamily="18" charset="0"/>
                        </a:rPr>
                        <m:t>2</m:t>
                      </m:r>
                    </m:sup>
                  </m:sSubSup>
                </m:oMath>
              </a14:m>
              <a:r>
                <a:rPr lang="en-IN" sz="1100"/>
                <a:t>)/(n1+n2-2_</a:t>
              </a:r>
            </a:p>
          </xdr:txBody>
        </xdr:sp>
      </mc:Choice>
      <mc:Fallback xmlns="">
        <xdr:sp macro="" textlink="">
          <xdr:nvSpPr>
            <xdr:cNvPr id="5" name="TextBox 4"/>
            <xdr:cNvSpPr txBox="1"/>
          </xdr:nvSpPr>
          <xdr:spPr>
            <a:xfrm>
              <a:off x="9096374" y="1708150"/>
              <a:ext cx="2568576" cy="18838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r>
                <a:rPr lang="en-US" sz="1100" b="0" i="0">
                  <a:latin typeface="Cambria Math" panose="02040503050406030204" pitchFamily="18" charset="0"/>
                </a:rPr>
                <a:t>𝑆</a:t>
              </a:r>
              <a:r>
                <a:rPr lang="en-IN" sz="1100" b="0" i="0">
                  <a:latin typeface="Cambria Math" panose="02040503050406030204" pitchFamily="18" charset="0"/>
                </a:rPr>
                <a:t>_</a:t>
              </a:r>
              <a:r>
                <a:rPr lang="en-US" sz="1100" b="0" i="0">
                  <a:latin typeface="Cambria Math" panose="02040503050406030204" pitchFamily="18" charset="0"/>
                </a:rPr>
                <a:t>𝑝</a:t>
              </a:r>
              <a:r>
                <a:rPr lang="en-IN" sz="1100" b="0" i="0">
                  <a:latin typeface="Cambria Math" panose="02040503050406030204" pitchFamily="18" charset="0"/>
                </a:rPr>
                <a:t>^</a:t>
              </a:r>
              <a:r>
                <a:rPr lang="en-US" sz="1100" b="0" i="0">
                  <a:latin typeface="Cambria Math" panose="02040503050406030204" pitchFamily="18" charset="0"/>
                </a:rPr>
                <a:t>2</a:t>
              </a:r>
              <a:r>
                <a:rPr lang="en-IN" sz="1100"/>
                <a:t> = (</a:t>
              </a:r>
              <a:r>
                <a:rPr lang="en-US" sz="1100" b="0" i="0">
                  <a:latin typeface="Cambria Math" panose="02040503050406030204" pitchFamily="18" charset="0"/>
                </a:rPr>
                <a:t>(𝑛−1)∗𝑆_1^2</a:t>
              </a:r>
              <a:r>
                <a:rPr lang="en-IN" sz="1100"/>
                <a:t> + (n2</a:t>
              </a:r>
              <a:r>
                <a:rPr lang="en-IN" sz="1100" baseline="0"/>
                <a:t> - 1)* </a:t>
              </a:r>
              <a:r>
                <a:rPr lang="en-US" sz="1100" b="0" i="0" baseline="0">
                  <a:latin typeface="Cambria Math" panose="02040503050406030204" pitchFamily="18" charset="0"/>
                </a:rPr>
                <a:t>𝑆</a:t>
              </a:r>
              <a:r>
                <a:rPr lang="en-IN" sz="1100" b="0" i="0" baseline="0">
                  <a:latin typeface="Cambria Math" panose="02040503050406030204" pitchFamily="18" charset="0"/>
                </a:rPr>
                <a:t>_</a:t>
              </a:r>
              <a:r>
                <a:rPr lang="en-US" sz="1100" b="0" i="0" baseline="0">
                  <a:latin typeface="Cambria Math" panose="02040503050406030204" pitchFamily="18" charset="0"/>
                </a:rPr>
                <a:t>2</a:t>
              </a:r>
              <a:r>
                <a:rPr lang="en-IN" sz="1100" b="0" i="0" baseline="0">
                  <a:latin typeface="Cambria Math" panose="02040503050406030204" pitchFamily="18" charset="0"/>
                </a:rPr>
                <a:t>^</a:t>
              </a:r>
              <a:r>
                <a:rPr lang="en-US" sz="1100" b="0" i="0" baseline="0">
                  <a:latin typeface="Cambria Math" panose="02040503050406030204" pitchFamily="18" charset="0"/>
                </a:rPr>
                <a:t>2</a:t>
              </a:r>
              <a:r>
                <a:rPr lang="en-IN" sz="1100"/>
                <a:t>)/(n1+n2-2_</a:t>
              </a:r>
            </a:p>
          </xdr:txBody>
        </xdr:sp>
      </mc:Fallback>
    </mc:AlternateContent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5</xdr:col>
      <xdr:colOff>15875</xdr:colOff>
      <xdr:row>13</xdr:row>
      <xdr:rowOff>50800</xdr:rowOff>
    </xdr:from>
    <xdr:ext cx="65" cy="172227"/>
    <xdr:sp macro="" textlink="">
      <xdr:nvSpPr>
        <xdr:cNvPr id="2" name="TextBox 1"/>
        <xdr:cNvSpPr txBox="1"/>
      </xdr:nvSpPr>
      <xdr:spPr>
        <a:xfrm>
          <a:off x="8950325" y="18923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>
  <xdr:oneCellAnchor>
    <xdr:from>
      <xdr:col>2</xdr:col>
      <xdr:colOff>1266825</xdr:colOff>
      <xdr:row>10</xdr:row>
      <xdr:rowOff>177800</xdr:rowOff>
    </xdr:from>
    <xdr:ext cx="65" cy="172227"/>
    <xdr:sp macro="" textlink="">
      <xdr:nvSpPr>
        <xdr:cNvPr id="2" name="TextBox 1"/>
        <xdr:cNvSpPr txBox="1"/>
      </xdr:nvSpPr>
      <xdr:spPr>
        <a:xfrm>
          <a:off x="2486025" y="20193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2</xdr:col>
      <xdr:colOff>3175</xdr:colOff>
      <xdr:row>10</xdr:row>
      <xdr:rowOff>19050</xdr:rowOff>
    </xdr:from>
    <xdr:ext cx="179152" cy="177806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3" name="TextBox 2"/>
            <xdr:cNvSpPr txBox="1"/>
          </xdr:nvSpPr>
          <xdr:spPr>
            <a:xfrm>
              <a:off x="1222375" y="1860550"/>
              <a:ext cx="179152" cy="177806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Sup>
                      <m:sSubSupPr>
                        <m:ctrlPr>
                          <a:rPr lang="en-IN" sz="1100" i="1">
                            <a:latin typeface="Cambria Math" panose="02040503050406030204" pitchFamily="18" charset="0"/>
                          </a:rPr>
                        </m:ctrlPr>
                      </m:sSubSupPr>
                      <m:e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𝑆</m:t>
                        </m:r>
                      </m:e>
                      <m:sub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1</m:t>
                        </m:r>
                      </m:sub>
                      <m:sup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2</m:t>
                        </m:r>
                      </m:sup>
                    </m:sSubSup>
                  </m:oMath>
                </m:oMathPara>
              </a14:m>
              <a:endParaRPr lang="en-IN" sz="1100"/>
            </a:p>
          </xdr:txBody>
        </xdr:sp>
      </mc:Choice>
      <mc:Fallback>
        <xdr:sp macro="" textlink="">
          <xdr:nvSpPr>
            <xdr:cNvPr id="3" name="TextBox 2"/>
            <xdr:cNvSpPr txBox="1"/>
          </xdr:nvSpPr>
          <xdr:spPr>
            <a:xfrm>
              <a:off x="1222375" y="1860550"/>
              <a:ext cx="179152" cy="177806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US" sz="1100" b="0" i="0">
                  <a:latin typeface="Cambria Math" panose="02040503050406030204" pitchFamily="18" charset="0"/>
                </a:rPr>
                <a:t>𝑆</a:t>
              </a:r>
              <a:r>
                <a:rPr lang="en-IN" sz="1100" b="0" i="0">
                  <a:latin typeface="Cambria Math" panose="02040503050406030204" pitchFamily="18" charset="0"/>
                </a:rPr>
                <a:t>_</a:t>
              </a:r>
              <a:r>
                <a:rPr lang="en-US" sz="1100" b="0" i="0">
                  <a:latin typeface="Cambria Math" panose="02040503050406030204" pitchFamily="18" charset="0"/>
                </a:rPr>
                <a:t>1</a:t>
              </a:r>
              <a:r>
                <a:rPr lang="en-IN" sz="1100" b="0" i="0">
                  <a:latin typeface="Cambria Math" panose="02040503050406030204" pitchFamily="18" charset="0"/>
                </a:rPr>
                <a:t>^</a:t>
              </a:r>
              <a:r>
                <a:rPr lang="en-US" sz="1100" b="0" i="0">
                  <a:latin typeface="Cambria Math" panose="02040503050406030204" pitchFamily="18" charset="0"/>
                </a:rPr>
                <a:t>2</a:t>
              </a:r>
              <a:endParaRPr lang="en-IN" sz="1100"/>
            </a:p>
          </xdr:txBody>
        </xdr:sp>
      </mc:Fallback>
    </mc:AlternateContent>
    <xdr:clientData/>
  </xdr:oneCellAnchor>
  <xdr:oneCellAnchor>
    <xdr:from>
      <xdr:col>2</xdr:col>
      <xdr:colOff>9525</xdr:colOff>
      <xdr:row>11</xdr:row>
      <xdr:rowOff>0</xdr:rowOff>
    </xdr:from>
    <xdr:ext cx="179152" cy="177997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4" name="TextBox 3"/>
            <xdr:cNvSpPr txBox="1"/>
          </xdr:nvSpPr>
          <xdr:spPr>
            <a:xfrm>
              <a:off x="1228725" y="2025650"/>
              <a:ext cx="179152" cy="17799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Sup>
                      <m:sSubSupPr>
                        <m:ctrlPr>
                          <a:rPr lang="en-IN" sz="1100" i="1">
                            <a:latin typeface="Cambria Math" panose="02040503050406030204" pitchFamily="18" charset="0"/>
                          </a:rPr>
                        </m:ctrlPr>
                      </m:sSubSupPr>
                      <m:e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𝑆</m:t>
                        </m:r>
                      </m:e>
                      <m:sub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2</m:t>
                        </m:r>
                      </m:sub>
                      <m:sup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2</m:t>
                        </m:r>
                      </m:sup>
                    </m:sSubSup>
                  </m:oMath>
                </m:oMathPara>
              </a14:m>
              <a:endParaRPr lang="en-IN" sz="1100"/>
            </a:p>
          </xdr:txBody>
        </xdr:sp>
      </mc:Choice>
      <mc:Fallback>
        <xdr:sp macro="" textlink="">
          <xdr:nvSpPr>
            <xdr:cNvPr id="4" name="TextBox 3"/>
            <xdr:cNvSpPr txBox="1"/>
          </xdr:nvSpPr>
          <xdr:spPr>
            <a:xfrm>
              <a:off x="1228725" y="2025650"/>
              <a:ext cx="179152" cy="17799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US" sz="1100" b="0" i="0">
                  <a:latin typeface="Cambria Math" panose="02040503050406030204" pitchFamily="18" charset="0"/>
                </a:rPr>
                <a:t>𝑆</a:t>
              </a:r>
              <a:r>
                <a:rPr lang="en-IN" sz="1100" b="0" i="0">
                  <a:latin typeface="Cambria Math" panose="02040503050406030204" pitchFamily="18" charset="0"/>
                </a:rPr>
                <a:t>_</a:t>
              </a:r>
              <a:r>
                <a:rPr lang="en-US" sz="1100" b="0" i="0">
                  <a:latin typeface="Cambria Math" panose="02040503050406030204" pitchFamily="18" charset="0"/>
                </a:rPr>
                <a:t>2</a:t>
              </a:r>
              <a:r>
                <a:rPr lang="en-IN" sz="1100" b="0" i="0">
                  <a:latin typeface="Cambria Math" panose="02040503050406030204" pitchFamily="18" charset="0"/>
                </a:rPr>
                <a:t>^</a:t>
              </a:r>
              <a:r>
                <a:rPr lang="en-US" sz="1100" b="0" i="0">
                  <a:latin typeface="Cambria Math" panose="02040503050406030204" pitchFamily="18" charset="0"/>
                </a:rPr>
                <a:t>2</a:t>
              </a:r>
              <a:endParaRPr lang="en-IN" sz="1100"/>
            </a:p>
          </xdr:txBody>
        </xdr:sp>
      </mc:Fallback>
    </mc:AlternateContent>
    <xdr:clientData/>
  </xdr:oneCellAnchor>
</xdr:wsDr>
</file>

<file path=xl/drawings/drawing4.xml><?xml version="1.0" encoding="utf-8"?>
<xdr:wsDr xmlns:xdr="http://schemas.openxmlformats.org/drawingml/2006/spreadsheetDrawing" xmlns:a="http://schemas.openxmlformats.org/drawingml/2006/main">
  <xdr:oneCellAnchor>
    <xdr:from>
      <xdr:col>4</xdr:col>
      <xdr:colOff>441325</xdr:colOff>
      <xdr:row>10</xdr:row>
      <xdr:rowOff>165100</xdr:rowOff>
    </xdr:from>
    <xdr:ext cx="65" cy="172227"/>
    <xdr:sp macro="" textlink="">
      <xdr:nvSpPr>
        <xdr:cNvPr id="2" name="TextBox 1"/>
        <xdr:cNvSpPr txBox="1"/>
      </xdr:nvSpPr>
      <xdr:spPr>
        <a:xfrm>
          <a:off x="5540375" y="2006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7</xdr:col>
      <xdr:colOff>15875</xdr:colOff>
      <xdr:row>10</xdr:row>
      <xdr:rowOff>50800</xdr:rowOff>
    </xdr:from>
    <xdr:ext cx="65" cy="172227"/>
    <xdr:sp macro="" textlink="">
      <xdr:nvSpPr>
        <xdr:cNvPr id="3" name="TextBox 2"/>
        <xdr:cNvSpPr txBox="1"/>
      </xdr:nvSpPr>
      <xdr:spPr>
        <a:xfrm>
          <a:off x="8950325" y="18923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4</xdr:col>
      <xdr:colOff>441325</xdr:colOff>
      <xdr:row>10</xdr:row>
      <xdr:rowOff>165100</xdr:rowOff>
    </xdr:from>
    <xdr:ext cx="65" cy="172227"/>
    <xdr:sp macro="" textlink="">
      <xdr:nvSpPr>
        <xdr:cNvPr id="4" name="TextBox 3"/>
        <xdr:cNvSpPr txBox="1"/>
      </xdr:nvSpPr>
      <xdr:spPr>
        <a:xfrm>
          <a:off x="5540375" y="2006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7</xdr:col>
      <xdr:colOff>161924</xdr:colOff>
      <xdr:row>9</xdr:row>
      <xdr:rowOff>50800</xdr:rowOff>
    </xdr:from>
    <xdr:ext cx="2568576" cy="188385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5" name="TextBox 4"/>
            <xdr:cNvSpPr txBox="1"/>
          </xdr:nvSpPr>
          <xdr:spPr>
            <a:xfrm>
              <a:off x="9096374" y="1708150"/>
              <a:ext cx="2568576" cy="18838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14:m>
                <m:oMath xmlns:m="http://schemas.openxmlformats.org/officeDocument/2006/math">
                  <m:sSubSup>
                    <m:sSubSupPr>
                      <m:ctrlPr>
                        <a:rPr lang="en-IN" sz="1100" i="1">
                          <a:latin typeface="Cambria Math" panose="02040503050406030204" pitchFamily="18" charset="0"/>
                        </a:rPr>
                      </m:ctrlPr>
                    </m:sSubSupPr>
                    <m:e>
                      <m:r>
                        <a:rPr lang="en-US" sz="1100" b="0" i="1">
                          <a:latin typeface="Cambria Math" panose="02040503050406030204" pitchFamily="18" charset="0"/>
                        </a:rPr>
                        <m:t>𝑆</m:t>
                      </m:r>
                    </m:e>
                    <m:sub>
                      <m:r>
                        <a:rPr lang="en-US" sz="1100" b="0" i="1">
                          <a:latin typeface="Cambria Math" panose="02040503050406030204" pitchFamily="18" charset="0"/>
                        </a:rPr>
                        <m:t>𝑝</m:t>
                      </m:r>
                    </m:sub>
                    <m:sup>
                      <m:r>
                        <a:rPr lang="en-US" sz="1100" b="0" i="1">
                          <a:latin typeface="Cambria Math" panose="02040503050406030204" pitchFamily="18" charset="0"/>
                        </a:rPr>
                        <m:t>2</m:t>
                      </m:r>
                    </m:sup>
                  </m:sSubSup>
                </m:oMath>
              </a14:m>
              <a:r>
                <a:rPr lang="en-IN" sz="1100"/>
                <a:t> = (</a:t>
              </a:r>
              <a14:m>
                <m:oMath xmlns:m="http://schemas.openxmlformats.org/officeDocument/2006/math">
                  <m:d>
                    <m:dPr>
                      <m:ctrlPr>
                        <a:rPr lang="en-US" sz="1100" b="0" i="1">
                          <a:latin typeface="Cambria Math" panose="02040503050406030204" pitchFamily="18" charset="0"/>
                        </a:rPr>
                      </m:ctrlPr>
                    </m:dPr>
                    <m:e>
                      <m:r>
                        <a:rPr lang="en-US" sz="1100" b="0" i="1">
                          <a:latin typeface="Cambria Math" panose="02040503050406030204" pitchFamily="18" charset="0"/>
                        </a:rPr>
                        <m:t>𝑛</m:t>
                      </m:r>
                      <m:r>
                        <a:rPr lang="en-US" sz="1100" b="0" i="1">
                          <a:latin typeface="Cambria Math" panose="02040503050406030204" pitchFamily="18" charset="0"/>
                        </a:rPr>
                        <m:t>−1</m:t>
                      </m:r>
                    </m:e>
                  </m:d>
                  <m:r>
                    <a:rPr lang="en-US" sz="1100" b="0" i="1">
                      <a:latin typeface="Cambria Math" panose="02040503050406030204" pitchFamily="18" charset="0"/>
                    </a:rPr>
                    <m:t>∗</m:t>
                  </m:r>
                  <m:sSubSup>
                    <m:sSubSupPr>
                      <m:ctrlPr>
                        <a:rPr lang="en-US" sz="1100" b="0" i="1">
                          <a:latin typeface="Cambria Math" panose="02040503050406030204" pitchFamily="18" charset="0"/>
                        </a:rPr>
                      </m:ctrlPr>
                    </m:sSubSupPr>
                    <m:e>
                      <m:r>
                        <a:rPr lang="en-US" sz="1100" b="0" i="1">
                          <a:latin typeface="Cambria Math" panose="02040503050406030204" pitchFamily="18" charset="0"/>
                        </a:rPr>
                        <m:t>𝑆</m:t>
                      </m:r>
                    </m:e>
                    <m:sub>
                      <m:r>
                        <a:rPr lang="en-US" sz="1100" b="0" i="1">
                          <a:latin typeface="Cambria Math" panose="02040503050406030204" pitchFamily="18" charset="0"/>
                        </a:rPr>
                        <m:t>1</m:t>
                      </m:r>
                    </m:sub>
                    <m:sup>
                      <m:r>
                        <a:rPr lang="en-US" sz="1100" b="0" i="1">
                          <a:latin typeface="Cambria Math" panose="02040503050406030204" pitchFamily="18" charset="0"/>
                        </a:rPr>
                        <m:t>2</m:t>
                      </m:r>
                    </m:sup>
                  </m:sSubSup>
                </m:oMath>
              </a14:m>
              <a:r>
                <a:rPr lang="en-IN" sz="1100"/>
                <a:t> + (n2</a:t>
              </a:r>
              <a:r>
                <a:rPr lang="en-IN" sz="1100" baseline="0"/>
                <a:t> - 1)* </a:t>
              </a:r>
              <a14:m>
                <m:oMath xmlns:m="http://schemas.openxmlformats.org/officeDocument/2006/math">
                  <m:sSubSup>
                    <m:sSubSupPr>
                      <m:ctrlPr>
                        <a:rPr lang="en-IN" sz="1100" i="1" baseline="0">
                          <a:latin typeface="Cambria Math" panose="02040503050406030204" pitchFamily="18" charset="0"/>
                        </a:rPr>
                      </m:ctrlPr>
                    </m:sSubSupPr>
                    <m:e>
                      <m:r>
                        <a:rPr lang="en-US" sz="1100" b="0" i="1" baseline="0">
                          <a:latin typeface="Cambria Math" panose="02040503050406030204" pitchFamily="18" charset="0"/>
                        </a:rPr>
                        <m:t>𝑆</m:t>
                      </m:r>
                    </m:e>
                    <m:sub>
                      <m:r>
                        <a:rPr lang="en-US" sz="1100" b="0" i="1" baseline="0">
                          <a:latin typeface="Cambria Math" panose="02040503050406030204" pitchFamily="18" charset="0"/>
                        </a:rPr>
                        <m:t>2</m:t>
                      </m:r>
                    </m:sub>
                    <m:sup>
                      <m:r>
                        <a:rPr lang="en-US" sz="1100" b="0" i="1" baseline="0">
                          <a:latin typeface="Cambria Math" panose="02040503050406030204" pitchFamily="18" charset="0"/>
                        </a:rPr>
                        <m:t>2</m:t>
                      </m:r>
                    </m:sup>
                  </m:sSubSup>
                </m:oMath>
              </a14:m>
              <a:r>
                <a:rPr lang="en-IN" sz="1100"/>
                <a:t>)/(n1+n2-2_</a:t>
              </a:r>
            </a:p>
          </xdr:txBody>
        </xdr:sp>
      </mc:Choice>
      <mc:Fallback xmlns="">
        <xdr:sp macro="" textlink="">
          <xdr:nvSpPr>
            <xdr:cNvPr id="5" name="TextBox 4"/>
            <xdr:cNvSpPr txBox="1"/>
          </xdr:nvSpPr>
          <xdr:spPr>
            <a:xfrm>
              <a:off x="9096374" y="1708150"/>
              <a:ext cx="2568576" cy="18838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r>
                <a:rPr lang="en-US" sz="1100" b="0" i="0">
                  <a:latin typeface="Cambria Math" panose="02040503050406030204" pitchFamily="18" charset="0"/>
                </a:rPr>
                <a:t>𝑆</a:t>
              </a:r>
              <a:r>
                <a:rPr lang="en-IN" sz="1100" b="0" i="0">
                  <a:latin typeface="Cambria Math" panose="02040503050406030204" pitchFamily="18" charset="0"/>
                </a:rPr>
                <a:t>_</a:t>
              </a:r>
              <a:r>
                <a:rPr lang="en-US" sz="1100" b="0" i="0">
                  <a:latin typeface="Cambria Math" panose="02040503050406030204" pitchFamily="18" charset="0"/>
                </a:rPr>
                <a:t>𝑝</a:t>
              </a:r>
              <a:r>
                <a:rPr lang="en-IN" sz="1100" b="0" i="0">
                  <a:latin typeface="Cambria Math" panose="02040503050406030204" pitchFamily="18" charset="0"/>
                </a:rPr>
                <a:t>^</a:t>
              </a:r>
              <a:r>
                <a:rPr lang="en-US" sz="1100" b="0" i="0">
                  <a:latin typeface="Cambria Math" panose="02040503050406030204" pitchFamily="18" charset="0"/>
                </a:rPr>
                <a:t>2</a:t>
              </a:r>
              <a:r>
                <a:rPr lang="en-IN" sz="1100"/>
                <a:t> = (</a:t>
              </a:r>
              <a:r>
                <a:rPr lang="en-US" sz="1100" b="0" i="0">
                  <a:latin typeface="Cambria Math" panose="02040503050406030204" pitchFamily="18" charset="0"/>
                </a:rPr>
                <a:t>(𝑛−1)∗𝑆_1^2</a:t>
              </a:r>
              <a:r>
                <a:rPr lang="en-IN" sz="1100"/>
                <a:t> + (n2</a:t>
              </a:r>
              <a:r>
                <a:rPr lang="en-IN" sz="1100" baseline="0"/>
                <a:t> - 1)* </a:t>
              </a:r>
              <a:r>
                <a:rPr lang="en-US" sz="1100" b="0" i="0" baseline="0">
                  <a:latin typeface="Cambria Math" panose="02040503050406030204" pitchFamily="18" charset="0"/>
                </a:rPr>
                <a:t>𝑆</a:t>
              </a:r>
              <a:r>
                <a:rPr lang="en-IN" sz="1100" b="0" i="0" baseline="0">
                  <a:latin typeface="Cambria Math" panose="02040503050406030204" pitchFamily="18" charset="0"/>
                </a:rPr>
                <a:t>_</a:t>
              </a:r>
              <a:r>
                <a:rPr lang="en-US" sz="1100" b="0" i="0" baseline="0">
                  <a:latin typeface="Cambria Math" panose="02040503050406030204" pitchFamily="18" charset="0"/>
                </a:rPr>
                <a:t>2</a:t>
              </a:r>
              <a:r>
                <a:rPr lang="en-IN" sz="1100" b="0" i="0" baseline="0">
                  <a:latin typeface="Cambria Math" panose="02040503050406030204" pitchFamily="18" charset="0"/>
                </a:rPr>
                <a:t>^</a:t>
              </a:r>
              <a:r>
                <a:rPr lang="en-US" sz="1100" b="0" i="0" baseline="0">
                  <a:latin typeface="Cambria Math" panose="02040503050406030204" pitchFamily="18" charset="0"/>
                </a:rPr>
                <a:t>2</a:t>
              </a:r>
              <a:r>
                <a:rPr lang="en-IN" sz="1100"/>
                <a:t>)/(n1+n2-2_</a:t>
              </a:r>
            </a:p>
          </xdr:txBody>
        </xdr:sp>
      </mc:Fallback>
    </mc:AlternateContent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7"/>
  <sheetViews>
    <sheetView workbookViewId="0">
      <selection activeCell="C16" sqref="C16"/>
    </sheetView>
  </sheetViews>
  <sheetFormatPr defaultRowHeight="14.5" x14ac:dyDescent="0.35"/>
  <cols>
    <col min="2" max="2" width="28.90625" customWidth="1"/>
    <col min="3" max="3" width="19.36328125" bestFit="1" customWidth="1"/>
    <col min="9" max="9" width="10.08984375" bestFit="1" customWidth="1"/>
    <col min="10" max="10" width="15.6328125" customWidth="1"/>
  </cols>
  <sheetData>
    <row r="1" spans="1:10" x14ac:dyDescent="0.3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</row>
    <row r="2" spans="1:10" x14ac:dyDescent="0.35">
      <c r="A2" s="1" t="s">
        <v>1</v>
      </c>
      <c r="B2" s="1"/>
      <c r="C2" s="1"/>
      <c r="D2" s="1"/>
      <c r="E2" s="1"/>
      <c r="F2" s="1"/>
      <c r="G2" s="1"/>
      <c r="H2" s="1"/>
      <c r="I2" s="1"/>
      <c r="J2" s="1"/>
    </row>
    <row r="3" spans="1:10" x14ac:dyDescent="0.35">
      <c r="A3" s="1" t="s">
        <v>2</v>
      </c>
      <c r="B3" s="1"/>
      <c r="C3" s="1"/>
      <c r="D3" s="1"/>
      <c r="E3" s="1"/>
      <c r="F3" s="1"/>
      <c r="G3" s="1"/>
      <c r="H3" s="1"/>
      <c r="I3" s="1"/>
      <c r="J3" s="1"/>
    </row>
    <row r="4" spans="1:10" x14ac:dyDescent="0.35">
      <c r="A4" s="1" t="s">
        <v>3</v>
      </c>
      <c r="B4" s="1"/>
      <c r="C4" s="1"/>
      <c r="D4" s="1"/>
      <c r="E4" s="1"/>
      <c r="F4" s="1"/>
      <c r="G4" s="1"/>
      <c r="H4" s="1"/>
      <c r="I4" s="1"/>
      <c r="J4" s="1"/>
    </row>
    <row r="6" spans="1:10" x14ac:dyDescent="0.35">
      <c r="B6" t="s">
        <v>4</v>
      </c>
      <c r="C6">
        <v>40000</v>
      </c>
    </row>
    <row r="7" spans="1:10" x14ac:dyDescent="0.35">
      <c r="B7" t="s">
        <v>7</v>
      </c>
      <c r="C7">
        <v>4200</v>
      </c>
    </row>
    <row r="8" spans="1:10" x14ac:dyDescent="0.35">
      <c r="B8" t="s">
        <v>6</v>
      </c>
      <c r="C8">
        <v>3200</v>
      </c>
    </row>
    <row r="9" spans="1:10" x14ac:dyDescent="0.35">
      <c r="B9" t="s">
        <v>5</v>
      </c>
      <c r="C9">
        <v>4250</v>
      </c>
      <c r="I9" t="s">
        <v>12</v>
      </c>
      <c r="J9" t="s">
        <v>22</v>
      </c>
    </row>
    <row r="10" spans="1:10" x14ac:dyDescent="0.35">
      <c r="B10" t="s">
        <v>44</v>
      </c>
      <c r="C10" t="s">
        <v>8</v>
      </c>
    </row>
    <row r="11" spans="1:10" x14ac:dyDescent="0.35">
      <c r="B11" t="s">
        <v>42</v>
      </c>
      <c r="C11" t="s">
        <v>9</v>
      </c>
    </row>
    <row r="12" spans="1:10" x14ac:dyDescent="0.35">
      <c r="B12" t="s">
        <v>10</v>
      </c>
      <c r="C12">
        <v>0.05</v>
      </c>
    </row>
    <row r="13" spans="1:10" x14ac:dyDescent="0.35">
      <c r="B13" t="s">
        <v>12</v>
      </c>
      <c r="C13">
        <f>(C9-C7)/C8*SQRT(C6)</f>
        <v>3.125</v>
      </c>
    </row>
    <row r="14" spans="1:10" x14ac:dyDescent="0.35">
      <c r="B14" t="s">
        <v>13</v>
      </c>
      <c r="C14">
        <f>ABS(_xlfn.NORM.S.INV(0.05))</f>
        <v>1.6448536269514726</v>
      </c>
    </row>
    <row r="15" spans="1:10" x14ac:dyDescent="0.35">
      <c r="B15" t="s">
        <v>14</v>
      </c>
      <c r="C15" t="str">
        <f>IF(C13&gt;C14,"Reject Null Hypothesis","Retain Null Hypothesis")</f>
        <v>Reject Null Hypothesis</v>
      </c>
    </row>
    <row r="16" spans="1:10" x14ac:dyDescent="0.35">
      <c r="B16" t="s">
        <v>11</v>
      </c>
      <c r="C16">
        <f>1 - _xlfn.NORM.S.DIST(C13,TRUE)</f>
        <v>8.8902529910839245E-4</v>
      </c>
    </row>
    <row r="17" spans="2:3" x14ac:dyDescent="0.35">
      <c r="B17" t="s">
        <v>14</v>
      </c>
      <c r="C17" t="str">
        <f>IF(C16&lt;C12,"Reject Null Hypothesis","Retain Null Hypotheis")</f>
        <v>Reject Null Hypothesis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4"/>
  <sheetViews>
    <sheetView workbookViewId="0">
      <selection activeCell="F19" sqref="F19"/>
    </sheetView>
  </sheetViews>
  <sheetFormatPr defaultRowHeight="14.5" x14ac:dyDescent="0.35"/>
  <cols>
    <col min="5" max="5" width="28.90625" bestFit="1" customWidth="1"/>
    <col min="6" max="6" width="19.90625" bestFit="1" customWidth="1"/>
    <col min="9" max="9" width="11.7265625" customWidth="1"/>
    <col min="10" max="10" width="10.08984375" bestFit="1" customWidth="1"/>
    <col min="11" max="11" width="13.54296875" bestFit="1" customWidth="1"/>
  </cols>
  <sheetData>
    <row r="1" spans="1:11" x14ac:dyDescent="0.35">
      <c r="A1" s="1" t="s">
        <v>15</v>
      </c>
      <c r="B1" s="1"/>
      <c r="C1" s="1"/>
      <c r="D1" s="1"/>
      <c r="E1" s="1"/>
      <c r="F1" s="1"/>
      <c r="G1" s="1"/>
      <c r="H1" s="1"/>
      <c r="I1" s="1"/>
    </row>
    <row r="2" spans="1:11" x14ac:dyDescent="0.35">
      <c r="A2" s="1" t="s">
        <v>16</v>
      </c>
      <c r="B2" s="1"/>
      <c r="C2" s="1"/>
      <c r="D2" s="1"/>
      <c r="E2" s="1"/>
      <c r="F2" s="1"/>
      <c r="G2" s="1"/>
      <c r="H2" s="1"/>
      <c r="I2" s="1"/>
    </row>
    <row r="3" spans="1:11" x14ac:dyDescent="0.35">
      <c r="A3" s="1" t="s">
        <v>17</v>
      </c>
      <c r="B3" s="1"/>
      <c r="C3" s="1"/>
      <c r="D3" s="1"/>
      <c r="E3" s="1"/>
      <c r="F3" s="1"/>
      <c r="G3" s="1"/>
      <c r="H3" s="1"/>
      <c r="I3" s="1"/>
    </row>
    <row r="5" spans="1:11" x14ac:dyDescent="0.35">
      <c r="B5">
        <v>16</v>
      </c>
    </row>
    <row r="6" spans="1:11" x14ac:dyDescent="0.35">
      <c r="B6">
        <v>16</v>
      </c>
    </row>
    <row r="7" spans="1:11" x14ac:dyDescent="0.35">
      <c r="B7">
        <v>30</v>
      </c>
    </row>
    <row r="8" spans="1:11" x14ac:dyDescent="0.35">
      <c r="B8">
        <v>37</v>
      </c>
    </row>
    <row r="9" spans="1:11" x14ac:dyDescent="0.35">
      <c r="B9">
        <v>25</v>
      </c>
      <c r="E9" t="s">
        <v>4</v>
      </c>
      <c r="F9">
        <v>40</v>
      </c>
      <c r="J9" t="s">
        <v>12</v>
      </c>
      <c r="K9" t="s">
        <v>22</v>
      </c>
    </row>
    <row r="10" spans="1:11" x14ac:dyDescent="0.35">
      <c r="B10">
        <v>22</v>
      </c>
      <c r="E10" t="s">
        <v>19</v>
      </c>
      <c r="F10">
        <v>30</v>
      </c>
    </row>
    <row r="11" spans="1:11" x14ac:dyDescent="0.35">
      <c r="B11">
        <v>19</v>
      </c>
      <c r="E11" t="s">
        <v>6</v>
      </c>
      <c r="F11">
        <v>12.5</v>
      </c>
    </row>
    <row r="12" spans="1:11" x14ac:dyDescent="0.35">
      <c r="B12">
        <v>35</v>
      </c>
      <c r="E12" t="s">
        <v>18</v>
      </c>
      <c r="F12">
        <v>0.05</v>
      </c>
    </row>
    <row r="13" spans="1:11" x14ac:dyDescent="0.35">
      <c r="B13">
        <v>27</v>
      </c>
      <c r="E13" t="s">
        <v>5</v>
      </c>
      <c r="F13">
        <f>AVERAGE(B5:B44)</f>
        <v>27.05</v>
      </c>
    </row>
    <row r="14" spans="1:11" x14ac:dyDescent="0.35">
      <c r="B14">
        <v>32</v>
      </c>
      <c r="E14" t="s">
        <v>43</v>
      </c>
      <c r="F14" t="s">
        <v>21</v>
      </c>
    </row>
    <row r="15" spans="1:11" x14ac:dyDescent="0.35">
      <c r="B15">
        <v>34</v>
      </c>
      <c r="E15" t="s">
        <v>42</v>
      </c>
      <c r="F15" t="s">
        <v>20</v>
      </c>
    </row>
    <row r="16" spans="1:11" x14ac:dyDescent="0.35">
      <c r="B16">
        <v>28</v>
      </c>
      <c r="E16" t="s">
        <v>12</v>
      </c>
      <c r="F16">
        <f>(F13-F10)/F11*SQRT(F9)</f>
        <v>-1.4925950555994747</v>
      </c>
    </row>
    <row r="17" spans="2:6" x14ac:dyDescent="0.35">
      <c r="B17">
        <v>24</v>
      </c>
      <c r="E17" t="s">
        <v>13</v>
      </c>
      <c r="F17">
        <f>_xlfn.NORM.S.INV(F12)</f>
        <v>-1.6448536269514726</v>
      </c>
    </row>
    <row r="18" spans="2:6" x14ac:dyDescent="0.35">
      <c r="B18">
        <v>35</v>
      </c>
      <c r="E18" t="s">
        <v>14</v>
      </c>
      <c r="F18" t="str">
        <f>IF(F16&lt;F17,"RejectNull Hypothesis","Accept Null Hypotheis")</f>
        <v>Accept Null Hypotheis</v>
      </c>
    </row>
    <row r="19" spans="2:6" x14ac:dyDescent="0.35">
      <c r="B19">
        <v>24</v>
      </c>
      <c r="E19" t="s">
        <v>11</v>
      </c>
      <c r="F19">
        <f>_xlfn.NORM.S.DIST(F16,TRUE)</f>
        <v>6.7771609199615099E-2</v>
      </c>
    </row>
    <row r="20" spans="2:6" x14ac:dyDescent="0.35">
      <c r="B20">
        <v>21</v>
      </c>
      <c r="E20" t="s">
        <v>14</v>
      </c>
      <c r="F20" t="str">
        <f>IF(F19&lt;F12,"Reject Null Hypothesis","Accept Null Hypothesis")</f>
        <v>Accept Null Hypothesis</v>
      </c>
    </row>
    <row r="21" spans="2:6" x14ac:dyDescent="0.35">
      <c r="B21">
        <v>32</v>
      </c>
    </row>
    <row r="22" spans="2:6" x14ac:dyDescent="0.35">
      <c r="B22">
        <v>29</v>
      </c>
    </row>
    <row r="23" spans="2:6" x14ac:dyDescent="0.35">
      <c r="B23">
        <v>24</v>
      </c>
    </row>
    <row r="24" spans="2:6" x14ac:dyDescent="0.35">
      <c r="B24">
        <v>35</v>
      </c>
    </row>
    <row r="25" spans="2:6" x14ac:dyDescent="0.35">
      <c r="B25">
        <v>28</v>
      </c>
    </row>
    <row r="26" spans="2:6" x14ac:dyDescent="0.35">
      <c r="B26">
        <v>29</v>
      </c>
    </row>
    <row r="27" spans="2:6" x14ac:dyDescent="0.35">
      <c r="B27">
        <v>18</v>
      </c>
    </row>
    <row r="28" spans="2:6" x14ac:dyDescent="0.35">
      <c r="B28">
        <v>31</v>
      </c>
    </row>
    <row r="29" spans="2:6" x14ac:dyDescent="0.35">
      <c r="B29">
        <v>28</v>
      </c>
    </row>
    <row r="30" spans="2:6" x14ac:dyDescent="0.35">
      <c r="B30">
        <v>33</v>
      </c>
    </row>
    <row r="31" spans="2:6" x14ac:dyDescent="0.35">
      <c r="B31">
        <v>32</v>
      </c>
    </row>
    <row r="32" spans="2:6" x14ac:dyDescent="0.35">
      <c r="B32">
        <v>24</v>
      </c>
    </row>
    <row r="33" spans="2:2" x14ac:dyDescent="0.35">
      <c r="B33">
        <v>25</v>
      </c>
    </row>
    <row r="34" spans="2:2" x14ac:dyDescent="0.35">
      <c r="B34">
        <v>22</v>
      </c>
    </row>
    <row r="35" spans="2:2" x14ac:dyDescent="0.35">
      <c r="B35">
        <v>21</v>
      </c>
    </row>
    <row r="36" spans="2:2" x14ac:dyDescent="0.35">
      <c r="B36">
        <v>27</v>
      </c>
    </row>
    <row r="37" spans="2:2" x14ac:dyDescent="0.35">
      <c r="B37">
        <v>41</v>
      </c>
    </row>
    <row r="38" spans="2:2" x14ac:dyDescent="0.35">
      <c r="B38">
        <v>23</v>
      </c>
    </row>
    <row r="39" spans="2:2" x14ac:dyDescent="0.35">
      <c r="B39">
        <v>23</v>
      </c>
    </row>
    <row r="40" spans="2:2" x14ac:dyDescent="0.35">
      <c r="B40">
        <v>16</v>
      </c>
    </row>
    <row r="41" spans="2:2" x14ac:dyDescent="0.35">
      <c r="B41">
        <v>24</v>
      </c>
    </row>
    <row r="42" spans="2:2" x14ac:dyDescent="0.35">
      <c r="B42">
        <v>38</v>
      </c>
    </row>
    <row r="43" spans="2:2" x14ac:dyDescent="0.35">
      <c r="B43">
        <v>26</v>
      </c>
    </row>
    <row r="44" spans="2:2" x14ac:dyDescent="0.35">
      <c r="B44">
        <v>28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1"/>
  <sheetViews>
    <sheetView workbookViewId="0">
      <selection activeCell="D20" sqref="D20"/>
    </sheetView>
  </sheetViews>
  <sheetFormatPr defaultRowHeight="14.5" x14ac:dyDescent="0.35"/>
  <cols>
    <col min="3" max="3" width="28.90625" bestFit="1" customWidth="1"/>
    <col min="4" max="4" width="19.90625" bestFit="1" customWidth="1"/>
    <col min="7" max="7" width="35.453125" customWidth="1"/>
    <col min="8" max="8" width="19.90625" bestFit="1" customWidth="1"/>
    <col min="10" max="10" width="10.08984375" bestFit="1" customWidth="1"/>
    <col min="11" max="11" width="13.54296875" bestFit="1" customWidth="1"/>
  </cols>
  <sheetData>
    <row r="1" spans="1:11" x14ac:dyDescent="0.35">
      <c r="A1" s="1" t="s">
        <v>23</v>
      </c>
      <c r="B1" s="1"/>
      <c r="C1" s="1"/>
      <c r="D1" s="1"/>
      <c r="E1" s="1"/>
      <c r="F1" s="1"/>
      <c r="G1" s="1"/>
    </row>
    <row r="2" spans="1:11" x14ac:dyDescent="0.35">
      <c r="A2" s="1" t="s">
        <v>24</v>
      </c>
      <c r="B2" s="1"/>
      <c r="C2" s="1"/>
      <c r="D2" s="1"/>
      <c r="E2" s="1"/>
      <c r="F2" s="1"/>
      <c r="G2" s="1"/>
    </row>
    <row r="3" spans="1:11" x14ac:dyDescent="0.35">
      <c r="A3" s="1" t="s">
        <v>25</v>
      </c>
      <c r="B3" s="1"/>
      <c r="C3" s="1"/>
      <c r="D3" s="1"/>
      <c r="E3" s="1"/>
      <c r="F3" s="1"/>
      <c r="G3" s="1"/>
    </row>
    <row r="4" spans="1:11" x14ac:dyDescent="0.35">
      <c r="A4" s="1" t="s">
        <v>38</v>
      </c>
      <c r="B4" s="1"/>
      <c r="C4" s="1"/>
      <c r="D4" s="1"/>
      <c r="E4" s="1"/>
      <c r="F4" s="1"/>
      <c r="G4" s="1"/>
    </row>
    <row r="5" spans="1:11" x14ac:dyDescent="0.35">
      <c r="A5" s="1" t="s">
        <v>26</v>
      </c>
      <c r="B5" s="1"/>
      <c r="C5" s="1"/>
      <c r="D5" s="1"/>
      <c r="E5" s="1"/>
      <c r="F5" s="1"/>
      <c r="G5" s="1"/>
    </row>
    <row r="6" spans="1:11" x14ac:dyDescent="0.35">
      <c r="A6" s="1" t="s">
        <v>27</v>
      </c>
      <c r="B6" s="1"/>
      <c r="C6" s="1"/>
      <c r="D6" s="1"/>
      <c r="E6" s="1"/>
      <c r="F6" s="1"/>
      <c r="G6" s="1"/>
    </row>
    <row r="10" spans="1:11" x14ac:dyDescent="0.35">
      <c r="C10" t="s">
        <v>4</v>
      </c>
      <c r="D10">
        <v>100</v>
      </c>
      <c r="G10" t="s">
        <v>4</v>
      </c>
      <c r="H10">
        <v>100</v>
      </c>
    </row>
    <row r="11" spans="1:11" x14ac:dyDescent="0.35">
      <c r="C11" t="s">
        <v>19</v>
      </c>
      <c r="D11">
        <v>82</v>
      </c>
      <c r="G11" t="s">
        <v>19</v>
      </c>
      <c r="H11">
        <v>82</v>
      </c>
    </row>
    <row r="12" spans="1:11" x14ac:dyDescent="0.35">
      <c r="C12" t="s">
        <v>6</v>
      </c>
      <c r="D12">
        <v>11.03</v>
      </c>
      <c r="G12" t="s">
        <v>6</v>
      </c>
      <c r="H12">
        <v>11.03</v>
      </c>
    </row>
    <row r="13" spans="1:11" x14ac:dyDescent="0.35">
      <c r="C13" t="s">
        <v>18</v>
      </c>
      <c r="D13">
        <v>0.05</v>
      </c>
      <c r="G13" t="s">
        <v>18</v>
      </c>
      <c r="H13">
        <v>0.05</v>
      </c>
      <c r="J13" t="s">
        <v>12</v>
      </c>
      <c r="K13" t="s">
        <v>22</v>
      </c>
    </row>
    <row r="14" spans="1:11" x14ac:dyDescent="0.35">
      <c r="C14" t="s">
        <v>5</v>
      </c>
      <c r="D14">
        <v>83</v>
      </c>
      <c r="G14" t="s">
        <v>5</v>
      </c>
      <c r="H14">
        <v>83</v>
      </c>
    </row>
    <row r="15" spans="1:11" x14ac:dyDescent="0.35">
      <c r="C15" t="s">
        <v>45</v>
      </c>
      <c r="D15" t="s">
        <v>28</v>
      </c>
      <c r="G15" t="s">
        <v>45</v>
      </c>
      <c r="H15" t="s">
        <v>31</v>
      </c>
    </row>
    <row r="16" spans="1:11" x14ac:dyDescent="0.35">
      <c r="C16" t="s">
        <v>46</v>
      </c>
      <c r="D16" t="s">
        <v>29</v>
      </c>
      <c r="G16" t="s">
        <v>46</v>
      </c>
      <c r="H16" t="s">
        <v>30</v>
      </c>
    </row>
    <row r="17" spans="3:8" x14ac:dyDescent="0.35">
      <c r="C17" t="s">
        <v>12</v>
      </c>
      <c r="D17">
        <f>ABS((D14-D11)/D12*SQRT(D10))</f>
        <v>0.90661831368993651</v>
      </c>
      <c r="G17" t="s">
        <v>13</v>
      </c>
      <c r="H17">
        <f>ABS(_xlfn.NORM.S.INV(H13))</f>
        <v>1.6448536269514726</v>
      </c>
    </row>
    <row r="18" spans="3:8" x14ac:dyDescent="0.35">
      <c r="C18" t="s">
        <v>13</v>
      </c>
      <c r="D18">
        <f>ABS(_xlfn.NORM.S.INV(D13/2))</f>
        <v>1.9599639845400538</v>
      </c>
      <c r="G18" t="s">
        <v>32</v>
      </c>
      <c r="H18">
        <f>H11+H17*H12/SQRT(H10)</f>
        <v>83.814273550527474</v>
      </c>
    </row>
    <row r="19" spans="3:8" x14ac:dyDescent="0.35">
      <c r="C19" t="s">
        <v>14</v>
      </c>
      <c r="D19" t="str">
        <f>IF(D17&gt;D18,"Reject Null Hypothesis","Accept Null Hypotheis")</f>
        <v>Accept Null Hypotheis</v>
      </c>
      <c r="G19" t="s">
        <v>33</v>
      </c>
      <c r="H19">
        <f>_xlfn.NORM.S.DIST((H18-86)/1.103,TRUE)</f>
        <v>2.37609143518723E-2</v>
      </c>
    </row>
    <row r="20" spans="3:8" x14ac:dyDescent="0.35">
      <c r="C20" t="s">
        <v>11</v>
      </c>
      <c r="D20">
        <f>(1 - _xlfn.NORM.S.DIST(D17,TRUE))*2</f>
        <v>0.36460867376861739</v>
      </c>
      <c r="G20" t="s">
        <v>34</v>
      </c>
      <c r="H20">
        <f>H19</f>
        <v>2.37609143518723E-2</v>
      </c>
    </row>
    <row r="21" spans="3:8" x14ac:dyDescent="0.35">
      <c r="C21" t="s">
        <v>14</v>
      </c>
      <c r="D21" t="str">
        <f>IF(D20&lt;D13,"Reject Null Hypothesis","Accept Null Hypothesis")</f>
        <v>Accept Null Hypothesis</v>
      </c>
      <c r="G21" t="s">
        <v>35</v>
      </c>
      <c r="H21">
        <f>1-H20</f>
        <v>0.97623908564812767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6"/>
  <sheetViews>
    <sheetView workbookViewId="0">
      <selection activeCell="C15" sqref="C15"/>
    </sheetView>
  </sheetViews>
  <sheetFormatPr defaultRowHeight="14.5" x14ac:dyDescent="0.35"/>
  <cols>
    <col min="2" max="2" width="23.36328125" bestFit="1" customWidth="1"/>
    <col min="3" max="3" width="19.6328125" bestFit="1" customWidth="1"/>
    <col min="5" max="5" width="17.1796875" bestFit="1" customWidth="1"/>
    <col min="6" max="6" width="13.7265625" bestFit="1" customWidth="1"/>
    <col min="9" max="9" width="10.08984375" bestFit="1" customWidth="1"/>
    <col min="10" max="10" width="20.7265625" bestFit="1" customWidth="1"/>
  </cols>
  <sheetData>
    <row r="1" spans="1:10" x14ac:dyDescent="0.35">
      <c r="A1" s="1" t="s">
        <v>36</v>
      </c>
      <c r="B1" s="1"/>
      <c r="C1" s="1"/>
      <c r="D1" s="1"/>
      <c r="E1" s="1"/>
      <c r="F1" s="1"/>
      <c r="G1" s="1"/>
      <c r="H1" s="1"/>
      <c r="I1" s="1"/>
      <c r="J1" s="1"/>
    </row>
    <row r="2" spans="1:10" x14ac:dyDescent="0.35">
      <c r="A2" s="1" t="s">
        <v>37</v>
      </c>
      <c r="B2" s="1"/>
      <c r="C2" s="1"/>
      <c r="D2" s="1"/>
      <c r="E2" s="1"/>
      <c r="F2" s="1"/>
      <c r="G2" s="1"/>
      <c r="H2" s="1"/>
      <c r="I2" s="1"/>
      <c r="J2" s="1"/>
    </row>
    <row r="3" spans="1:10" x14ac:dyDescent="0.35">
      <c r="A3" s="1" t="s">
        <v>40</v>
      </c>
      <c r="B3" s="1"/>
      <c r="C3" s="1"/>
      <c r="D3" s="1"/>
      <c r="E3" s="1"/>
      <c r="F3" s="1"/>
      <c r="G3" s="1"/>
      <c r="H3" s="1"/>
      <c r="I3" s="1"/>
      <c r="J3" s="1"/>
    </row>
    <row r="4" spans="1:10" x14ac:dyDescent="0.35">
      <c r="A4" s="1" t="s">
        <v>41</v>
      </c>
      <c r="B4" s="1"/>
      <c r="C4" s="1"/>
      <c r="D4" s="1"/>
      <c r="E4" s="1"/>
      <c r="F4" s="1"/>
      <c r="G4" s="1"/>
      <c r="H4" s="1"/>
      <c r="I4" s="1"/>
      <c r="J4" s="1"/>
    </row>
    <row r="6" spans="1:10" x14ac:dyDescent="0.35">
      <c r="B6" t="s">
        <v>4</v>
      </c>
      <c r="C6">
        <v>250</v>
      </c>
    </row>
    <row r="7" spans="1:10" x14ac:dyDescent="0.35">
      <c r="B7" t="s">
        <v>47</v>
      </c>
      <c r="C7">
        <f>22/C6</f>
        <v>8.7999999999999995E-2</v>
      </c>
    </row>
    <row r="8" spans="1:10" x14ac:dyDescent="0.35">
      <c r="B8" t="s">
        <v>48</v>
      </c>
      <c r="C8">
        <v>0.12</v>
      </c>
    </row>
    <row r="9" spans="1:10" x14ac:dyDescent="0.35">
      <c r="B9" t="s">
        <v>39</v>
      </c>
      <c r="C9">
        <v>0.05</v>
      </c>
    </row>
    <row r="10" spans="1:10" x14ac:dyDescent="0.35">
      <c r="B10" t="s">
        <v>43</v>
      </c>
      <c r="C10" t="s">
        <v>49</v>
      </c>
    </row>
    <row r="11" spans="1:10" x14ac:dyDescent="0.35">
      <c r="B11" t="s">
        <v>42</v>
      </c>
      <c r="C11" t="s">
        <v>50</v>
      </c>
      <c r="E11" t="s">
        <v>51</v>
      </c>
      <c r="F11">
        <f>C7-C13*(C7*(1-C7)/C6)^0.5</f>
        <v>5.2883045740632476E-2</v>
      </c>
      <c r="I11" t="s">
        <v>12</v>
      </c>
      <c r="J11" t="s">
        <v>63</v>
      </c>
    </row>
    <row r="12" spans="1:10" x14ac:dyDescent="0.35">
      <c r="B12" t="s">
        <v>12</v>
      </c>
      <c r="C12">
        <f>ABS((C7-C8)/(C8*(1-C8)/C6)^0.5)</f>
        <v>1.556997888323046</v>
      </c>
      <c r="E12" t="s">
        <v>52</v>
      </c>
      <c r="F12">
        <f>C7+C13*(C7*(1-C7)/C6)^0.5</f>
        <v>0.12311695425936751</v>
      </c>
    </row>
    <row r="13" spans="1:10" x14ac:dyDescent="0.35">
      <c r="B13" t="s">
        <v>13</v>
      </c>
      <c r="C13">
        <f>ABS(_xlfn.NORM.S.INV(C9/2))</f>
        <v>1.9599639845400538</v>
      </c>
      <c r="E13" t="s">
        <v>53</v>
      </c>
      <c r="F13" t="str">
        <f>CONCATENATE("(",ROUND(F11,4),",",ROUND(F12,4),")")</f>
        <v>(0.0529,0.1231)</v>
      </c>
    </row>
    <row r="14" spans="1:10" x14ac:dyDescent="0.35">
      <c r="B14" t="s">
        <v>14</v>
      </c>
      <c r="C14" t="str">
        <f>IF(C12&gt;C13,"Reject Null Hypothesis","Accept Null Hypothesis")</f>
        <v>Accept Null Hypothesis</v>
      </c>
    </row>
    <row r="15" spans="1:10" x14ac:dyDescent="0.35">
      <c r="B15" t="s">
        <v>11</v>
      </c>
      <c r="C15">
        <f>(1 - _xlfn.NORM.S.DIST(C12,TRUE))*2</f>
        <v>0.11947098677170076</v>
      </c>
    </row>
    <row r="16" spans="1:10" x14ac:dyDescent="0.35">
      <c r="B16" t="s">
        <v>14</v>
      </c>
      <c r="C16" t="str">
        <f>IF(C15&lt;C9,"Reject Null Hypothesis","Accept Null Hypothesis")</f>
        <v>Accept Null Hypothesis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5"/>
  <sheetViews>
    <sheetView workbookViewId="0">
      <selection activeCell="F18" sqref="F18"/>
    </sheetView>
  </sheetViews>
  <sheetFormatPr defaultRowHeight="14.5" x14ac:dyDescent="0.35"/>
  <cols>
    <col min="5" max="5" width="26.36328125" customWidth="1"/>
    <col min="6" max="6" width="19.6328125" bestFit="1" customWidth="1"/>
    <col min="10" max="10" width="9.90625" bestFit="1" customWidth="1"/>
    <col min="11" max="11" width="13.54296875" bestFit="1" customWidth="1"/>
  </cols>
  <sheetData>
    <row r="1" spans="1:11" x14ac:dyDescent="0.35">
      <c r="A1" s="1" t="s">
        <v>54</v>
      </c>
      <c r="B1" s="1"/>
      <c r="C1" s="1"/>
      <c r="D1" s="1"/>
      <c r="E1" s="1"/>
      <c r="F1" s="1"/>
      <c r="G1" s="1"/>
      <c r="H1" s="1"/>
      <c r="I1" s="1"/>
      <c r="J1" s="1"/>
      <c r="K1" s="1"/>
    </row>
    <row r="2" spans="1:11" x14ac:dyDescent="0.35">
      <c r="A2" s="1" t="s">
        <v>55</v>
      </c>
      <c r="B2" s="1"/>
      <c r="C2" s="1"/>
      <c r="D2" s="1"/>
      <c r="E2" s="1"/>
      <c r="F2" s="1"/>
      <c r="G2" s="1"/>
      <c r="H2" s="1"/>
      <c r="I2" s="1"/>
      <c r="J2" s="1"/>
      <c r="K2" s="1"/>
    </row>
    <row r="3" spans="1:11" x14ac:dyDescent="0.35">
      <c r="A3" s="1" t="s">
        <v>56</v>
      </c>
      <c r="B3" s="1"/>
      <c r="C3" s="1"/>
      <c r="D3" s="1"/>
      <c r="E3" s="1"/>
      <c r="F3" s="1"/>
      <c r="G3" s="1"/>
      <c r="H3" s="1"/>
      <c r="I3" s="1"/>
      <c r="J3" s="1"/>
      <c r="K3" s="1"/>
    </row>
    <row r="4" spans="1:11" x14ac:dyDescent="0.35">
      <c r="A4" s="1" t="s">
        <v>57</v>
      </c>
      <c r="B4" s="1"/>
      <c r="C4" s="1"/>
      <c r="D4" s="1"/>
      <c r="E4" s="1"/>
      <c r="F4" s="1"/>
      <c r="G4" s="1"/>
      <c r="H4" s="1"/>
      <c r="I4" s="1"/>
      <c r="J4" s="1"/>
      <c r="K4" s="1"/>
    </row>
    <row r="6" spans="1:11" x14ac:dyDescent="0.35">
      <c r="B6">
        <v>601</v>
      </c>
    </row>
    <row r="7" spans="1:11" x14ac:dyDescent="0.35">
      <c r="B7">
        <v>627</v>
      </c>
    </row>
    <row r="8" spans="1:11" x14ac:dyDescent="0.35">
      <c r="B8">
        <v>330</v>
      </c>
      <c r="E8" t="s">
        <v>4</v>
      </c>
      <c r="F8">
        <f>COUNT(B6:B45)</f>
        <v>40</v>
      </c>
    </row>
    <row r="9" spans="1:11" x14ac:dyDescent="0.35">
      <c r="B9">
        <v>364</v>
      </c>
      <c r="E9" t="s">
        <v>62</v>
      </c>
      <c r="F9">
        <v>500</v>
      </c>
    </row>
    <row r="10" spans="1:11" x14ac:dyDescent="0.35">
      <c r="B10">
        <v>562</v>
      </c>
      <c r="E10" t="s">
        <v>5</v>
      </c>
      <c r="F10">
        <f>AVERAGE(B6:B45)</f>
        <v>429.55</v>
      </c>
      <c r="J10" t="s">
        <v>129</v>
      </c>
      <c r="K10" t="s">
        <v>69</v>
      </c>
    </row>
    <row r="11" spans="1:11" x14ac:dyDescent="0.35">
      <c r="B11">
        <v>353</v>
      </c>
      <c r="E11" t="s">
        <v>68</v>
      </c>
      <c r="F11">
        <f>_xlfn.STDEV.S(B6:B45)</f>
        <v>195.03371832083624</v>
      </c>
      <c r="J11" t="s">
        <v>64</v>
      </c>
      <c r="K11" t="s">
        <v>65</v>
      </c>
    </row>
    <row r="12" spans="1:11" x14ac:dyDescent="0.35">
      <c r="B12">
        <v>583</v>
      </c>
      <c r="E12" t="s">
        <v>44</v>
      </c>
      <c r="F12" t="s">
        <v>60</v>
      </c>
    </row>
    <row r="13" spans="1:11" x14ac:dyDescent="0.35">
      <c r="B13">
        <v>254</v>
      </c>
      <c r="E13" t="s">
        <v>42</v>
      </c>
      <c r="F13" t="s">
        <v>59</v>
      </c>
    </row>
    <row r="14" spans="1:11" x14ac:dyDescent="0.35">
      <c r="B14">
        <v>528</v>
      </c>
      <c r="E14" t="s">
        <v>58</v>
      </c>
      <c r="F14">
        <v>0.05</v>
      </c>
    </row>
    <row r="15" spans="1:11" x14ac:dyDescent="0.35">
      <c r="B15">
        <v>470</v>
      </c>
      <c r="E15" t="s">
        <v>129</v>
      </c>
      <c r="F15">
        <f>(F10-F9)/(F11/SQRT(F8))</f>
        <v>-2.2845532872667538</v>
      </c>
    </row>
    <row r="16" spans="1:11" x14ac:dyDescent="0.35">
      <c r="B16">
        <v>125</v>
      </c>
      <c r="E16" t="s">
        <v>130</v>
      </c>
      <c r="F16">
        <f>ABS(_xlfn.T.INV(F14,F8-1))</f>
        <v>1.6848751217112248</v>
      </c>
    </row>
    <row r="17" spans="2:6" x14ac:dyDescent="0.35">
      <c r="B17">
        <v>60</v>
      </c>
      <c r="E17" t="s">
        <v>14</v>
      </c>
      <c r="F17" t="str">
        <f>IF(F15&gt;F16,"Reject Null Hypothesis","Retain Null Hypothesis")</f>
        <v>Retain Null Hypothesis</v>
      </c>
    </row>
    <row r="18" spans="2:6" x14ac:dyDescent="0.35">
      <c r="B18">
        <v>101</v>
      </c>
      <c r="E18" t="s">
        <v>61</v>
      </c>
      <c r="F18">
        <f>_xlfn.T.DIST.RT(F15,F8-1)</f>
        <v>0.98606872179661909</v>
      </c>
    </row>
    <row r="19" spans="2:6" x14ac:dyDescent="0.35">
      <c r="B19">
        <v>110</v>
      </c>
      <c r="E19" t="s">
        <v>14</v>
      </c>
      <c r="F19" t="str">
        <f>IF(F18&lt;F14,"Reject Null Hypothesis","Retain Null Hypothesis")</f>
        <v>Retain Null Hypothesis</v>
      </c>
    </row>
    <row r="20" spans="2:6" x14ac:dyDescent="0.35">
      <c r="B20">
        <v>60</v>
      </c>
    </row>
    <row r="21" spans="2:6" x14ac:dyDescent="0.35">
      <c r="B21">
        <v>252</v>
      </c>
    </row>
    <row r="22" spans="2:6" x14ac:dyDescent="0.35">
      <c r="B22">
        <v>281</v>
      </c>
    </row>
    <row r="23" spans="2:6" x14ac:dyDescent="0.35">
      <c r="B23">
        <v>227</v>
      </c>
    </row>
    <row r="24" spans="2:6" x14ac:dyDescent="0.35">
      <c r="B24">
        <v>484</v>
      </c>
    </row>
    <row r="25" spans="2:6" x14ac:dyDescent="0.35">
      <c r="B25">
        <v>402</v>
      </c>
    </row>
    <row r="26" spans="2:6" x14ac:dyDescent="0.35">
      <c r="B26">
        <v>408</v>
      </c>
    </row>
    <row r="27" spans="2:6" x14ac:dyDescent="0.35">
      <c r="B27">
        <v>601</v>
      </c>
    </row>
    <row r="28" spans="2:6" x14ac:dyDescent="0.35">
      <c r="B28">
        <v>593</v>
      </c>
    </row>
    <row r="29" spans="2:6" x14ac:dyDescent="0.35">
      <c r="B29">
        <v>729</v>
      </c>
    </row>
    <row r="30" spans="2:6" x14ac:dyDescent="0.35">
      <c r="B30">
        <v>402</v>
      </c>
    </row>
    <row r="31" spans="2:6" x14ac:dyDescent="0.35">
      <c r="B31">
        <v>530</v>
      </c>
    </row>
    <row r="32" spans="2:6" x14ac:dyDescent="0.35">
      <c r="B32">
        <v>708</v>
      </c>
    </row>
    <row r="33" spans="2:2" x14ac:dyDescent="0.35">
      <c r="B33">
        <v>599</v>
      </c>
    </row>
    <row r="34" spans="2:2" x14ac:dyDescent="0.35">
      <c r="B34">
        <v>439</v>
      </c>
    </row>
    <row r="35" spans="2:2" x14ac:dyDescent="0.35">
      <c r="B35">
        <v>762</v>
      </c>
    </row>
    <row r="36" spans="2:2" x14ac:dyDescent="0.35">
      <c r="B36">
        <v>292</v>
      </c>
    </row>
    <row r="37" spans="2:2" x14ac:dyDescent="0.35">
      <c r="B37">
        <v>636</v>
      </c>
    </row>
    <row r="38" spans="2:2" x14ac:dyDescent="0.35">
      <c r="B38">
        <v>444</v>
      </c>
    </row>
    <row r="39" spans="2:2" x14ac:dyDescent="0.35">
      <c r="B39">
        <v>286</v>
      </c>
    </row>
    <row r="40" spans="2:2" x14ac:dyDescent="0.35">
      <c r="B40">
        <v>636</v>
      </c>
    </row>
    <row r="41" spans="2:2" x14ac:dyDescent="0.35">
      <c r="B41">
        <v>667</v>
      </c>
    </row>
    <row r="42" spans="2:2" x14ac:dyDescent="0.35">
      <c r="B42">
        <v>252</v>
      </c>
    </row>
    <row r="43" spans="2:2" x14ac:dyDescent="0.35">
      <c r="B43">
        <v>335</v>
      </c>
    </row>
    <row r="44" spans="2:2" x14ac:dyDescent="0.35">
      <c r="B44">
        <v>457</v>
      </c>
    </row>
    <row r="45" spans="2:2" x14ac:dyDescent="0.35">
      <c r="B45">
        <v>632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7"/>
  <sheetViews>
    <sheetView workbookViewId="0">
      <selection activeCell="H10" sqref="H10:I11"/>
    </sheetView>
  </sheetViews>
  <sheetFormatPr defaultRowHeight="14.5" x14ac:dyDescent="0.35"/>
  <cols>
    <col min="3" max="3" width="25.81640625" bestFit="1" customWidth="1"/>
    <col min="4" max="4" width="19.36328125" bestFit="1" customWidth="1"/>
    <col min="8" max="8" width="9.81640625" bestFit="1" customWidth="1"/>
    <col min="9" max="9" width="13.36328125" bestFit="1" customWidth="1"/>
    <col min="10" max="10" width="10.36328125" customWidth="1"/>
  </cols>
  <sheetData>
    <row r="1" spans="1:10" x14ac:dyDescent="0.35">
      <c r="A1" s="1" t="s">
        <v>66</v>
      </c>
      <c r="B1" s="1"/>
      <c r="C1" s="1"/>
      <c r="D1" s="1"/>
      <c r="E1" s="1"/>
      <c r="F1" s="1"/>
      <c r="G1" s="1"/>
      <c r="H1" s="1"/>
      <c r="I1" s="1"/>
      <c r="J1" s="1"/>
    </row>
    <row r="2" spans="1:10" x14ac:dyDescent="0.35">
      <c r="A2" s="1" t="s">
        <v>67</v>
      </c>
      <c r="B2" s="1"/>
      <c r="C2" s="1"/>
      <c r="D2" s="1"/>
      <c r="E2" s="1"/>
      <c r="F2" s="1"/>
      <c r="G2" s="1"/>
      <c r="H2" s="1"/>
      <c r="I2" s="1"/>
      <c r="J2" s="1"/>
    </row>
    <row r="3" spans="1:10" x14ac:dyDescent="0.35">
      <c r="A3" s="1" t="s">
        <v>73</v>
      </c>
      <c r="B3" s="1"/>
      <c r="C3" s="1"/>
      <c r="D3" s="1"/>
      <c r="E3" s="1"/>
      <c r="F3" s="1"/>
      <c r="G3" s="1"/>
      <c r="H3" s="1"/>
      <c r="I3" s="1"/>
      <c r="J3" s="1"/>
    </row>
    <row r="6" spans="1:10" x14ac:dyDescent="0.35">
      <c r="C6" t="s">
        <v>4</v>
      </c>
      <c r="D6">
        <v>50</v>
      </c>
    </row>
    <row r="7" spans="1:10" x14ac:dyDescent="0.35">
      <c r="C7" t="s">
        <v>19</v>
      </c>
      <c r="D7">
        <v>16.8</v>
      </c>
    </row>
    <row r="8" spans="1:10" x14ac:dyDescent="0.35">
      <c r="C8" t="s">
        <v>5</v>
      </c>
      <c r="D8">
        <v>19.5</v>
      </c>
    </row>
    <row r="9" spans="1:10" x14ac:dyDescent="0.35">
      <c r="C9" t="s">
        <v>70</v>
      </c>
      <c r="D9">
        <v>6.6</v>
      </c>
    </row>
    <row r="10" spans="1:10" x14ac:dyDescent="0.35">
      <c r="C10" t="s">
        <v>18</v>
      </c>
      <c r="D10">
        <v>0.01</v>
      </c>
      <c r="H10" t="s">
        <v>129</v>
      </c>
      <c r="I10" t="s">
        <v>69</v>
      </c>
    </row>
    <row r="11" spans="1:10" x14ac:dyDescent="0.35">
      <c r="C11" t="s">
        <v>44</v>
      </c>
      <c r="D11" t="s">
        <v>71</v>
      </c>
      <c r="H11" t="s">
        <v>64</v>
      </c>
      <c r="I11" t="s">
        <v>65</v>
      </c>
    </row>
    <row r="12" spans="1:10" x14ac:dyDescent="0.35">
      <c r="C12" t="s">
        <v>42</v>
      </c>
      <c r="D12" t="s">
        <v>72</v>
      </c>
    </row>
    <row r="13" spans="1:10" x14ac:dyDescent="0.35">
      <c r="C13" t="s">
        <v>129</v>
      </c>
      <c r="D13">
        <f>(D8-D7)/(D9/SQRT(D6))</f>
        <v>2.892709559399512</v>
      </c>
    </row>
    <row r="14" spans="1:10" x14ac:dyDescent="0.35">
      <c r="C14" t="s">
        <v>130</v>
      </c>
      <c r="D14">
        <f>_xlfn.T.INV.2T(D10,D6-1)</f>
        <v>2.6799519736315514</v>
      </c>
    </row>
    <row r="15" spans="1:10" x14ac:dyDescent="0.35">
      <c r="C15" t="s">
        <v>14</v>
      </c>
      <c r="D15" t="str">
        <f>IF(D13&gt;D14,"Reject Null Hypothesis","Retain Null Hypothesis")</f>
        <v>Reject Null Hypothesis</v>
      </c>
    </row>
    <row r="16" spans="1:10" x14ac:dyDescent="0.35">
      <c r="C16" t="s">
        <v>11</v>
      </c>
      <c r="D16">
        <f>_xlfn.T.DIST.2T(D13,D6-1)</f>
        <v>5.6833277654994661E-3</v>
      </c>
    </row>
    <row r="17" spans="3:4" x14ac:dyDescent="0.35">
      <c r="C17" t="s">
        <v>14</v>
      </c>
      <c r="D17" t="str">
        <f>IF(D16&lt;D10,"Reject Null Hypothesis","Retain Null Hypothesis")</f>
        <v>Reject Null Hypothesis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5"/>
  <sheetViews>
    <sheetView workbookViewId="0">
      <selection activeCell="G10" sqref="G10"/>
    </sheetView>
  </sheetViews>
  <sheetFormatPr defaultRowHeight="14.5" x14ac:dyDescent="0.35"/>
  <cols>
    <col min="2" max="2" width="17.81640625" bestFit="1" customWidth="1"/>
    <col min="3" max="3" width="16.36328125" bestFit="1" customWidth="1"/>
    <col min="6" max="6" width="25.81640625" bestFit="1" customWidth="1"/>
    <col min="7" max="7" width="19.6328125" bestFit="1" customWidth="1"/>
    <col min="9" max="9" width="9.81640625" bestFit="1" customWidth="1"/>
    <col min="10" max="10" width="14.7265625" bestFit="1" customWidth="1"/>
  </cols>
  <sheetData>
    <row r="1" spans="1:10" x14ac:dyDescent="0.35">
      <c r="A1" s="1" t="s">
        <v>74</v>
      </c>
      <c r="B1" s="1"/>
      <c r="C1" s="1"/>
      <c r="D1" s="1"/>
      <c r="E1" s="1"/>
      <c r="F1" s="1"/>
      <c r="G1" s="1"/>
      <c r="H1" s="1"/>
    </row>
    <row r="2" spans="1:10" x14ac:dyDescent="0.35">
      <c r="A2" s="1" t="s">
        <v>83</v>
      </c>
      <c r="B2" s="1"/>
      <c r="C2" s="1"/>
      <c r="D2" s="1"/>
      <c r="E2" s="1"/>
      <c r="F2" s="1"/>
      <c r="G2" s="1"/>
      <c r="H2" s="1"/>
    </row>
    <row r="5" spans="1:10" x14ac:dyDescent="0.35">
      <c r="B5" t="s">
        <v>75</v>
      </c>
      <c r="C5" t="s">
        <v>76</v>
      </c>
      <c r="D5" t="s">
        <v>77</v>
      </c>
    </row>
    <row r="6" spans="1:10" x14ac:dyDescent="0.35">
      <c r="B6">
        <v>470</v>
      </c>
      <c r="C6">
        <v>408</v>
      </c>
      <c r="D6">
        <f>C6-B6</f>
        <v>-62</v>
      </c>
    </row>
    <row r="7" spans="1:10" x14ac:dyDescent="0.35">
      <c r="B7">
        <v>354</v>
      </c>
      <c r="C7">
        <v>439</v>
      </c>
      <c r="D7">
        <f t="shared" ref="D7:D25" si="0">C7-B7</f>
        <v>85</v>
      </c>
    </row>
    <row r="8" spans="1:10" x14ac:dyDescent="0.35">
      <c r="B8">
        <v>496</v>
      </c>
      <c r="C8">
        <v>321</v>
      </c>
      <c r="D8">
        <f t="shared" si="0"/>
        <v>-175</v>
      </c>
      <c r="F8" t="s">
        <v>4</v>
      </c>
      <c r="G8">
        <f>COUNT(B6:B25)</f>
        <v>20</v>
      </c>
    </row>
    <row r="9" spans="1:10" x14ac:dyDescent="0.35">
      <c r="B9">
        <v>351</v>
      </c>
      <c r="C9">
        <v>437</v>
      </c>
      <c r="D9">
        <f t="shared" si="0"/>
        <v>86</v>
      </c>
      <c r="F9" t="s">
        <v>78</v>
      </c>
      <c r="G9">
        <f>AVERAGE(D6:D25)</f>
        <v>11.5</v>
      </c>
    </row>
    <row r="10" spans="1:10" x14ac:dyDescent="0.35">
      <c r="B10">
        <v>349</v>
      </c>
      <c r="C10">
        <v>335</v>
      </c>
      <c r="D10">
        <f t="shared" si="0"/>
        <v>-14</v>
      </c>
      <c r="F10" t="s">
        <v>70</v>
      </c>
      <c r="G10">
        <f>_xlfn.STDEV.S(D6:D25)</f>
        <v>95.6757132466916</v>
      </c>
      <c r="I10" t="s">
        <v>129</v>
      </c>
      <c r="J10" t="s">
        <v>82</v>
      </c>
    </row>
    <row r="11" spans="1:10" x14ac:dyDescent="0.35">
      <c r="B11">
        <v>449</v>
      </c>
      <c r="C11">
        <v>344</v>
      </c>
      <c r="D11">
        <f t="shared" si="0"/>
        <v>-105</v>
      </c>
      <c r="F11" t="s">
        <v>79</v>
      </c>
      <c r="G11">
        <v>0</v>
      </c>
      <c r="I11" t="s">
        <v>64</v>
      </c>
      <c r="J11" t="s">
        <v>65</v>
      </c>
    </row>
    <row r="12" spans="1:10" x14ac:dyDescent="0.35">
      <c r="B12">
        <v>378</v>
      </c>
      <c r="C12">
        <v>318</v>
      </c>
      <c r="D12">
        <f t="shared" si="0"/>
        <v>-60</v>
      </c>
      <c r="F12" t="s">
        <v>44</v>
      </c>
      <c r="G12" t="s">
        <v>81</v>
      </c>
    </row>
    <row r="13" spans="1:10" x14ac:dyDescent="0.35">
      <c r="B13">
        <v>359</v>
      </c>
      <c r="C13">
        <v>492</v>
      </c>
      <c r="D13">
        <f t="shared" si="0"/>
        <v>133</v>
      </c>
      <c r="F13" t="s">
        <v>42</v>
      </c>
      <c r="G13" t="s">
        <v>80</v>
      </c>
    </row>
    <row r="14" spans="1:10" x14ac:dyDescent="0.35">
      <c r="B14">
        <v>469</v>
      </c>
      <c r="C14">
        <v>531</v>
      </c>
      <c r="D14">
        <f t="shared" si="0"/>
        <v>62</v>
      </c>
      <c r="F14" t="s">
        <v>10</v>
      </c>
      <c r="G14">
        <v>0.05</v>
      </c>
    </row>
    <row r="15" spans="1:10" x14ac:dyDescent="0.35">
      <c r="B15">
        <v>329</v>
      </c>
      <c r="C15">
        <v>417</v>
      </c>
      <c r="D15">
        <f t="shared" si="0"/>
        <v>88</v>
      </c>
      <c r="F15" t="s">
        <v>129</v>
      </c>
      <c r="G15">
        <f>(G9-G11)/(G10/SQRT(G8))</f>
        <v>0.53754042418151049</v>
      </c>
    </row>
    <row r="16" spans="1:10" x14ac:dyDescent="0.35">
      <c r="B16">
        <v>389</v>
      </c>
      <c r="C16">
        <v>358</v>
      </c>
      <c r="D16">
        <f t="shared" si="0"/>
        <v>-31</v>
      </c>
      <c r="F16" t="s">
        <v>130</v>
      </c>
      <c r="G16">
        <f>ABS(_xlfn.T.INV(G14,G8-1))</f>
        <v>1.7291328115213698</v>
      </c>
    </row>
    <row r="17" spans="2:7" x14ac:dyDescent="0.35">
      <c r="B17">
        <v>497</v>
      </c>
      <c r="C17">
        <v>391</v>
      </c>
      <c r="D17">
        <f t="shared" si="0"/>
        <v>-106</v>
      </c>
      <c r="F17" t="s">
        <v>14</v>
      </c>
      <c r="G17" t="str">
        <f>IF(G15&gt;G16,"Reject Null Hypothesis","Retain Null Hypothesis")</f>
        <v>Retain Null Hypothesis</v>
      </c>
    </row>
    <row r="18" spans="2:7" x14ac:dyDescent="0.35">
      <c r="B18">
        <v>493</v>
      </c>
      <c r="C18">
        <v>398</v>
      </c>
      <c r="D18">
        <f t="shared" si="0"/>
        <v>-95</v>
      </c>
      <c r="F18" t="s">
        <v>11</v>
      </c>
      <c r="G18">
        <f>_xlfn.T.DIST.RT(G15,G8-1)</f>
        <v>0.29856733691462384</v>
      </c>
    </row>
    <row r="19" spans="2:7" x14ac:dyDescent="0.35">
      <c r="B19">
        <v>268</v>
      </c>
      <c r="C19">
        <v>394</v>
      </c>
      <c r="D19">
        <f t="shared" si="0"/>
        <v>126</v>
      </c>
      <c r="F19" t="s">
        <v>14</v>
      </c>
      <c r="G19" t="str">
        <f>IF(G18&lt;G14,"Reject Null Hypothesis","Retain Null Hypothesis")</f>
        <v>Retain Null Hypothesis</v>
      </c>
    </row>
    <row r="20" spans="2:7" x14ac:dyDescent="0.35">
      <c r="B20">
        <v>445</v>
      </c>
      <c r="C20">
        <v>508</v>
      </c>
      <c r="D20">
        <f t="shared" si="0"/>
        <v>63</v>
      </c>
    </row>
    <row r="21" spans="2:7" x14ac:dyDescent="0.35">
      <c r="B21">
        <v>287</v>
      </c>
      <c r="C21">
        <v>399</v>
      </c>
      <c r="D21">
        <f t="shared" si="0"/>
        <v>112</v>
      </c>
    </row>
    <row r="22" spans="2:7" x14ac:dyDescent="0.35">
      <c r="B22">
        <v>338</v>
      </c>
      <c r="C22">
        <v>345</v>
      </c>
      <c r="D22">
        <f t="shared" si="0"/>
        <v>7</v>
      </c>
    </row>
    <row r="23" spans="2:7" x14ac:dyDescent="0.35">
      <c r="B23">
        <v>271</v>
      </c>
      <c r="C23">
        <v>341</v>
      </c>
      <c r="D23">
        <f t="shared" si="0"/>
        <v>70</v>
      </c>
    </row>
    <row r="24" spans="2:7" x14ac:dyDescent="0.35">
      <c r="B24">
        <v>412</v>
      </c>
      <c r="C24">
        <v>326</v>
      </c>
      <c r="D24">
        <f t="shared" si="0"/>
        <v>-86</v>
      </c>
    </row>
    <row r="25" spans="2:7" x14ac:dyDescent="0.35">
      <c r="B25">
        <v>335</v>
      </c>
      <c r="C25">
        <v>467</v>
      </c>
      <c r="D25">
        <f t="shared" si="0"/>
        <v>132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7"/>
  <sheetViews>
    <sheetView workbookViewId="0">
      <selection activeCell="C23" sqref="C23"/>
    </sheetView>
  </sheetViews>
  <sheetFormatPr defaultRowHeight="14.5" x14ac:dyDescent="0.35"/>
  <cols>
    <col min="3" max="3" width="25.81640625" bestFit="1" customWidth="1"/>
    <col min="4" max="4" width="19.36328125" bestFit="1" customWidth="1"/>
    <col min="9" max="9" width="9.81640625" bestFit="1" customWidth="1"/>
    <col min="10" max="10" width="18.1796875" customWidth="1"/>
  </cols>
  <sheetData>
    <row r="1" spans="1:10" x14ac:dyDescent="0.35">
      <c r="A1" s="1" t="s">
        <v>84</v>
      </c>
      <c r="B1" s="1"/>
      <c r="C1" s="1"/>
      <c r="D1" s="1"/>
      <c r="E1" s="1"/>
      <c r="F1" s="1"/>
      <c r="G1" s="1"/>
      <c r="H1" s="1"/>
      <c r="I1" s="1"/>
      <c r="J1" s="1"/>
    </row>
    <row r="2" spans="1:10" x14ac:dyDescent="0.35">
      <c r="A2" s="1" t="s">
        <v>85</v>
      </c>
      <c r="B2" s="1"/>
      <c r="C2" s="1"/>
      <c r="D2" s="1"/>
      <c r="E2" s="1"/>
      <c r="F2" s="1"/>
      <c r="G2" s="1"/>
      <c r="H2" s="1"/>
      <c r="I2" s="1"/>
      <c r="J2" s="1"/>
    </row>
    <row r="3" spans="1:10" x14ac:dyDescent="0.35">
      <c r="A3" s="1" t="s">
        <v>91</v>
      </c>
      <c r="B3" s="1"/>
      <c r="C3" s="1"/>
      <c r="D3" s="1"/>
      <c r="E3" s="1"/>
      <c r="F3" s="1"/>
      <c r="G3" s="1"/>
      <c r="H3" s="1"/>
      <c r="I3" s="1"/>
      <c r="J3" s="1"/>
    </row>
    <row r="4" spans="1:10" x14ac:dyDescent="0.35">
      <c r="A4" s="1" t="s">
        <v>86</v>
      </c>
      <c r="B4" s="1"/>
      <c r="C4" s="1"/>
      <c r="D4" s="1"/>
      <c r="E4" s="1"/>
      <c r="F4" s="1"/>
      <c r="G4" s="1"/>
      <c r="H4" s="1"/>
      <c r="I4" s="1"/>
      <c r="J4" s="1"/>
    </row>
    <row r="6" spans="1:10" x14ac:dyDescent="0.35">
      <c r="C6" t="s">
        <v>4</v>
      </c>
      <c r="D6">
        <v>50</v>
      </c>
    </row>
    <row r="7" spans="1:10" x14ac:dyDescent="0.35">
      <c r="C7" t="s">
        <v>87</v>
      </c>
      <c r="D7">
        <v>14</v>
      </c>
    </row>
    <row r="8" spans="1:10" x14ac:dyDescent="0.35">
      <c r="C8" t="s">
        <v>70</v>
      </c>
      <c r="D8">
        <v>8.5</v>
      </c>
    </row>
    <row r="9" spans="1:10" x14ac:dyDescent="0.35">
      <c r="C9" t="s">
        <v>79</v>
      </c>
      <c r="D9">
        <v>10</v>
      </c>
    </row>
    <row r="10" spans="1:10" x14ac:dyDescent="0.35">
      <c r="C10" t="s">
        <v>10</v>
      </c>
      <c r="D10">
        <v>0.1</v>
      </c>
      <c r="I10" t="s">
        <v>129</v>
      </c>
      <c r="J10" t="s">
        <v>82</v>
      </c>
    </row>
    <row r="11" spans="1:10" x14ac:dyDescent="0.35">
      <c r="C11" t="s">
        <v>88</v>
      </c>
      <c r="D11" t="s">
        <v>90</v>
      </c>
      <c r="I11" t="s">
        <v>64</v>
      </c>
      <c r="J11" t="s">
        <v>65</v>
      </c>
    </row>
    <row r="12" spans="1:10" x14ac:dyDescent="0.35">
      <c r="C12" t="s">
        <v>42</v>
      </c>
      <c r="D12" t="s">
        <v>89</v>
      </c>
    </row>
    <row r="13" spans="1:10" x14ac:dyDescent="0.35">
      <c r="C13" t="s">
        <v>129</v>
      </c>
      <c r="D13">
        <f>(D7-D9)/(D8/SQRT(D6))</f>
        <v>3.3275613232308121</v>
      </c>
    </row>
    <row r="14" spans="1:10" x14ac:dyDescent="0.35">
      <c r="C14" t="s">
        <v>131</v>
      </c>
      <c r="D14">
        <f>ABS(_xlfn.T.INV(D10,D6-1))</f>
        <v>1.2990687847477498</v>
      </c>
    </row>
    <row r="15" spans="1:10" x14ac:dyDescent="0.35">
      <c r="C15" t="s">
        <v>14</v>
      </c>
      <c r="D15" t="str">
        <f>IF(D13&gt;D14,"Reject Null Hypothesis","Retain Null Hypothesis")</f>
        <v>Reject Null Hypothesis</v>
      </c>
    </row>
    <row r="16" spans="1:10" x14ac:dyDescent="0.35">
      <c r="C16" t="s">
        <v>11</v>
      </c>
      <c r="D16">
        <f>_xlfn.T.DIST.RT(D13,D6-1)</f>
        <v>8.3389085424318248E-4</v>
      </c>
    </row>
    <row r="17" spans="3:4" x14ac:dyDescent="0.35">
      <c r="C17" t="s">
        <v>14</v>
      </c>
      <c r="D17" t="str">
        <f>IF(D16&lt;D10,"Reject Null Hypotheis","Retain Null Hypotheis")</f>
        <v>Reject Null Hypotheis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6"/>
  <sheetViews>
    <sheetView topLeftCell="A2" workbookViewId="0">
      <selection activeCell="E26" sqref="E26"/>
    </sheetView>
  </sheetViews>
  <sheetFormatPr defaultRowHeight="14.5" x14ac:dyDescent="0.35"/>
  <cols>
    <col min="2" max="2" width="12.08984375" bestFit="1" customWidth="1"/>
    <col min="3" max="3" width="10.54296875" bestFit="1" customWidth="1"/>
    <col min="4" max="4" width="30" bestFit="1" customWidth="1"/>
    <col min="5" max="5" width="26.54296875" bestFit="1" customWidth="1"/>
  </cols>
  <sheetData>
    <row r="1" spans="1:11" x14ac:dyDescent="0.35">
      <c r="A1" s="1" t="s">
        <v>111</v>
      </c>
      <c r="B1" s="1"/>
      <c r="C1" s="1"/>
      <c r="D1" s="1"/>
      <c r="E1" s="1"/>
      <c r="F1" s="1"/>
      <c r="G1" s="1"/>
      <c r="H1" s="1"/>
      <c r="I1" s="1"/>
      <c r="J1" s="1"/>
      <c r="K1" s="1"/>
    </row>
    <row r="2" spans="1:11" x14ac:dyDescent="0.35">
      <c r="A2" s="1" t="s">
        <v>112</v>
      </c>
      <c r="B2" s="1"/>
      <c r="C2" s="1"/>
      <c r="D2" s="1"/>
      <c r="E2" s="1"/>
      <c r="F2" s="1"/>
      <c r="G2" s="1"/>
      <c r="H2" s="1"/>
      <c r="I2" s="1"/>
      <c r="J2" s="1"/>
      <c r="K2" s="1"/>
    </row>
    <row r="3" spans="1:11" x14ac:dyDescent="0.35">
      <c r="A3" s="1" t="s">
        <v>132</v>
      </c>
      <c r="B3" s="1"/>
      <c r="C3" s="1"/>
      <c r="D3" s="1"/>
      <c r="E3" s="1"/>
      <c r="F3" s="1"/>
      <c r="G3" s="1"/>
      <c r="H3" s="1"/>
      <c r="I3" s="1"/>
      <c r="J3" s="1"/>
      <c r="K3" s="1"/>
    </row>
    <row r="4" spans="1:11" x14ac:dyDescent="0.35">
      <c r="A4" s="1" t="s">
        <v>113</v>
      </c>
      <c r="B4" s="1"/>
      <c r="C4" s="1"/>
      <c r="D4" s="1"/>
      <c r="E4" s="1"/>
      <c r="F4" s="1"/>
      <c r="G4" s="1"/>
      <c r="H4" s="1"/>
      <c r="I4" s="1"/>
      <c r="J4" s="1"/>
      <c r="K4" s="1"/>
    </row>
    <row r="7" spans="1:11" x14ac:dyDescent="0.35">
      <c r="B7" t="s">
        <v>114</v>
      </c>
      <c r="C7" t="s">
        <v>117</v>
      </c>
      <c r="D7" t="s">
        <v>118</v>
      </c>
      <c r="E7" t="s">
        <v>119</v>
      </c>
    </row>
    <row r="8" spans="1:11" x14ac:dyDescent="0.35">
      <c r="B8" t="s">
        <v>115</v>
      </c>
      <c r="C8">
        <v>120</v>
      </c>
      <c r="D8">
        <v>67500</v>
      </c>
      <c r="E8">
        <v>7200</v>
      </c>
    </row>
    <row r="9" spans="1:11" x14ac:dyDescent="0.35">
      <c r="B9" t="s">
        <v>116</v>
      </c>
      <c r="C9">
        <v>45</v>
      </c>
      <c r="D9">
        <v>58950</v>
      </c>
      <c r="E9">
        <v>4600</v>
      </c>
    </row>
    <row r="12" spans="1:11" x14ac:dyDescent="0.35">
      <c r="D12" t="s">
        <v>120</v>
      </c>
      <c r="E12">
        <v>120</v>
      </c>
    </row>
    <row r="13" spans="1:11" x14ac:dyDescent="0.35">
      <c r="D13" t="s">
        <v>121</v>
      </c>
      <c r="E13">
        <v>45</v>
      </c>
    </row>
    <row r="14" spans="1:11" x14ac:dyDescent="0.35">
      <c r="D14" t="s">
        <v>122</v>
      </c>
      <c r="E14">
        <v>67500</v>
      </c>
    </row>
    <row r="15" spans="1:11" x14ac:dyDescent="0.35">
      <c r="D15" t="s">
        <v>123</v>
      </c>
      <c r="E15">
        <v>58950</v>
      </c>
    </row>
    <row r="16" spans="1:11" x14ac:dyDescent="0.35">
      <c r="D16" t="s">
        <v>124</v>
      </c>
      <c r="E16">
        <v>7200</v>
      </c>
    </row>
    <row r="17" spans="4:5" x14ac:dyDescent="0.35">
      <c r="D17" t="s">
        <v>125</v>
      </c>
      <c r="E17">
        <v>4600</v>
      </c>
    </row>
    <row r="18" spans="4:5" x14ac:dyDescent="0.35">
      <c r="D18" t="s">
        <v>18</v>
      </c>
      <c r="E18">
        <v>0.05</v>
      </c>
    </row>
    <row r="19" spans="4:5" x14ac:dyDescent="0.35">
      <c r="D19" t="s">
        <v>126</v>
      </c>
      <c r="E19">
        <v>5000</v>
      </c>
    </row>
    <row r="20" spans="4:5" x14ac:dyDescent="0.35">
      <c r="D20" t="s">
        <v>88</v>
      </c>
      <c r="E20" s="2" t="s">
        <v>128</v>
      </c>
    </row>
    <row r="21" spans="4:5" x14ac:dyDescent="0.35">
      <c r="D21" t="s">
        <v>42</v>
      </c>
      <c r="E21" t="s">
        <v>127</v>
      </c>
    </row>
    <row r="22" spans="4:5" x14ac:dyDescent="0.35">
      <c r="D22" t="s">
        <v>12</v>
      </c>
      <c r="E22">
        <f>((E14-E15)-(E19))/(E16^2/E12+E17^2/E13)^0.5</f>
        <v>3.7374173137796509</v>
      </c>
    </row>
    <row r="23" spans="4:5" x14ac:dyDescent="0.35">
      <c r="D23" t="s">
        <v>13</v>
      </c>
      <c r="E23">
        <f>ABS(_xlfn.NORM.S.INV(E18))</f>
        <v>1.6448536269514726</v>
      </c>
    </row>
    <row r="24" spans="4:5" x14ac:dyDescent="0.35">
      <c r="D24" t="s">
        <v>14</v>
      </c>
      <c r="E24" t="str">
        <f>IF(E22&gt;E23,"Reject Null Hypothesis","Retain Null Hypothesis")</f>
        <v>Reject Null Hypothesis</v>
      </c>
    </row>
    <row r="25" spans="4:5" x14ac:dyDescent="0.35">
      <c r="D25" t="s">
        <v>11</v>
      </c>
      <c r="E25">
        <f>1-_xlfn.NORM.S.DIST(E22,TRUE)</f>
        <v>9.2960101315764376E-5</v>
      </c>
    </row>
    <row r="26" spans="4:5" x14ac:dyDescent="0.35">
      <c r="D26" t="s">
        <v>14</v>
      </c>
      <c r="E26" t="str">
        <f>IF(E25&lt;E18,"Reject Null Hypothesis","Accept Null Hypothesis")</f>
        <v>Reject Null Hypothesis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7"/>
  <sheetViews>
    <sheetView topLeftCell="C4" workbookViewId="0">
      <selection activeCell="H12" sqref="H12:I13"/>
    </sheetView>
  </sheetViews>
  <sheetFormatPr defaultRowHeight="14.5" x14ac:dyDescent="0.35"/>
  <cols>
    <col min="2" max="2" width="21.90625" bestFit="1" customWidth="1"/>
    <col min="3" max="3" width="10.54296875" bestFit="1" customWidth="1"/>
    <col min="4" max="4" width="31.81640625" bestFit="1" customWidth="1"/>
    <col min="5" max="5" width="37.453125" bestFit="1" customWidth="1"/>
    <col min="8" max="8" width="10.1796875" bestFit="1" customWidth="1"/>
    <col min="9" max="9" width="33.90625" bestFit="1" customWidth="1"/>
  </cols>
  <sheetData>
    <row r="1" spans="1:9" x14ac:dyDescent="0.35">
      <c r="A1" s="1" t="s">
        <v>133</v>
      </c>
      <c r="B1" s="1"/>
      <c r="C1" s="1"/>
      <c r="D1" s="1"/>
      <c r="E1" s="1"/>
      <c r="F1" s="1"/>
      <c r="G1" s="1"/>
      <c r="H1" s="1"/>
    </row>
    <row r="2" spans="1:9" x14ac:dyDescent="0.35">
      <c r="A2" s="1" t="s">
        <v>145</v>
      </c>
      <c r="B2" s="1"/>
      <c r="C2" s="1"/>
      <c r="D2" s="1"/>
      <c r="E2" s="1"/>
      <c r="F2" s="1"/>
      <c r="G2" s="1"/>
      <c r="H2" s="1"/>
    </row>
    <row r="3" spans="1:9" x14ac:dyDescent="0.35">
      <c r="A3" s="1" t="s">
        <v>134</v>
      </c>
      <c r="B3" s="1"/>
      <c r="C3" s="1"/>
      <c r="D3" s="1"/>
      <c r="E3" s="1"/>
      <c r="F3" s="1"/>
      <c r="G3" s="1"/>
      <c r="H3" s="1"/>
    </row>
    <row r="5" spans="1:9" x14ac:dyDescent="0.35">
      <c r="B5" t="s">
        <v>135</v>
      </c>
      <c r="C5" t="s">
        <v>117</v>
      </c>
      <c r="D5" t="s">
        <v>138</v>
      </c>
      <c r="E5" t="s">
        <v>139</v>
      </c>
    </row>
    <row r="6" spans="1:9" x14ac:dyDescent="0.35">
      <c r="B6" t="s">
        <v>136</v>
      </c>
      <c r="C6">
        <v>80</v>
      </c>
      <c r="D6">
        <v>7.6</v>
      </c>
      <c r="E6">
        <v>1.1000000000000001</v>
      </c>
    </row>
    <row r="7" spans="1:9" x14ac:dyDescent="0.35">
      <c r="B7" t="s">
        <v>137</v>
      </c>
      <c r="C7">
        <v>80</v>
      </c>
      <c r="D7">
        <v>6.3</v>
      </c>
      <c r="E7">
        <v>1.3</v>
      </c>
    </row>
    <row r="12" spans="1:9" x14ac:dyDescent="0.35">
      <c r="D12" t="s">
        <v>120</v>
      </c>
      <c r="E12">
        <v>80</v>
      </c>
      <c r="H12" t="s">
        <v>64</v>
      </c>
      <c r="I12" t="s">
        <v>146</v>
      </c>
    </row>
    <row r="13" spans="1:9" x14ac:dyDescent="0.35">
      <c r="D13" t="s">
        <v>121</v>
      </c>
      <c r="E13">
        <v>80</v>
      </c>
      <c r="H13" t="s">
        <v>129</v>
      </c>
      <c r="I13" t="s">
        <v>147</v>
      </c>
    </row>
    <row r="14" spans="1:9" x14ac:dyDescent="0.35">
      <c r="D14" t="s">
        <v>122</v>
      </c>
      <c r="E14">
        <v>7.6</v>
      </c>
    </row>
    <row r="15" spans="1:9" x14ac:dyDescent="0.35">
      <c r="D15" t="s">
        <v>123</v>
      </c>
      <c r="E15">
        <v>6.3</v>
      </c>
    </row>
    <row r="16" spans="1:9" x14ac:dyDescent="0.35">
      <c r="D16" t="s">
        <v>140</v>
      </c>
      <c r="E16">
        <v>1.1000000000000001</v>
      </c>
    </row>
    <row r="17" spans="4:5" x14ac:dyDescent="0.35">
      <c r="D17" t="s">
        <v>141</v>
      </c>
      <c r="E17">
        <v>1.3</v>
      </c>
    </row>
    <row r="18" spans="4:5" x14ac:dyDescent="0.35">
      <c r="D18" t="s">
        <v>18</v>
      </c>
      <c r="E18">
        <v>0.05</v>
      </c>
    </row>
    <row r="19" spans="4:5" x14ac:dyDescent="0.35">
      <c r="D19" s="2" t="s">
        <v>126</v>
      </c>
      <c r="E19">
        <v>1.2</v>
      </c>
    </row>
    <row r="20" spans="4:5" x14ac:dyDescent="0.35">
      <c r="D20" t="s">
        <v>97</v>
      </c>
      <c r="E20" t="s">
        <v>143</v>
      </c>
    </row>
    <row r="21" spans="4:5" x14ac:dyDescent="0.35">
      <c r="D21" t="s">
        <v>42</v>
      </c>
      <c r="E21" t="s">
        <v>142</v>
      </c>
    </row>
    <row r="22" spans="4:5" x14ac:dyDescent="0.35">
      <c r="D22" t="s">
        <v>144</v>
      </c>
      <c r="E22">
        <f>((E12-1)*E16^2+(E13-1)*E17^2)/(E12+E13-2)</f>
        <v>1.4500000000000002</v>
      </c>
    </row>
    <row r="23" spans="4:5" x14ac:dyDescent="0.35">
      <c r="D23" t="s">
        <v>129</v>
      </c>
      <c r="E23">
        <f>((E14-E15)-(E19))/(E22*(1/E12+1/E13))^0.5</f>
        <v>0.52522573143888951</v>
      </c>
    </row>
    <row r="24" spans="4:5" x14ac:dyDescent="0.35">
      <c r="D24" t="s">
        <v>130</v>
      </c>
      <c r="E24">
        <f>ABS(_xlfn.T.INV(E18,E12+E13-2))</f>
        <v>1.654554875439588</v>
      </c>
    </row>
    <row r="25" spans="4:5" x14ac:dyDescent="0.35">
      <c r="D25" t="s">
        <v>14</v>
      </c>
      <c r="E25" t="str">
        <f>IF(E23&gt;E24,"Reject Null Hypothesis","Retain Null Hypothesis")</f>
        <v>Retain Null Hypothesis</v>
      </c>
    </row>
    <row r="26" spans="4:5" x14ac:dyDescent="0.35">
      <c r="D26" t="s">
        <v>11</v>
      </c>
      <c r="E26">
        <f>_xlfn.T.DIST.RT(E23,E12+E13-2)</f>
        <v>0.30008127063589585</v>
      </c>
    </row>
    <row r="27" spans="4:5" x14ac:dyDescent="0.35">
      <c r="D27" t="s">
        <v>14</v>
      </c>
      <c r="E27" t="str">
        <f>IF(E26&lt;E18,"Reject Null Hypothesis","Retain Null Hypothesis")</f>
        <v>Retain Null Hypothesis</v>
      </c>
    </row>
  </sheetData>
  <pageMargins left="0.7" right="0.7" top="0.75" bottom="0.75" header="0.3" footer="0.3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7"/>
  <sheetViews>
    <sheetView workbookViewId="0">
      <selection activeCell="G7" sqref="G7"/>
    </sheetView>
  </sheetViews>
  <sheetFormatPr defaultRowHeight="14.5" x14ac:dyDescent="0.35"/>
  <cols>
    <col min="2" max="2" width="20.54296875" bestFit="1" customWidth="1"/>
    <col min="3" max="3" width="26.81640625" bestFit="1" customWidth="1"/>
    <col min="4" max="4" width="19.90625" bestFit="1" customWidth="1"/>
    <col min="5" max="5" width="37.08984375" bestFit="1" customWidth="1"/>
    <col min="6" max="6" width="10.1796875" bestFit="1" customWidth="1"/>
    <col min="7" max="7" width="41.7265625" bestFit="1" customWidth="1"/>
    <col min="8" max="8" width="13.7265625" customWidth="1"/>
  </cols>
  <sheetData>
    <row r="1" spans="1:8" x14ac:dyDescent="0.35">
      <c r="A1" s="1" t="s">
        <v>182</v>
      </c>
      <c r="B1" s="1"/>
      <c r="C1" s="1"/>
      <c r="D1" s="1"/>
      <c r="E1" s="1"/>
      <c r="F1" s="1"/>
      <c r="G1" s="1"/>
      <c r="H1" s="1"/>
    </row>
    <row r="2" spans="1:8" x14ac:dyDescent="0.35">
      <c r="A2" s="1" t="s">
        <v>183</v>
      </c>
      <c r="B2" s="1"/>
      <c r="C2" s="1"/>
      <c r="D2" s="1"/>
      <c r="E2" s="1"/>
      <c r="F2" s="1"/>
      <c r="G2" s="1"/>
      <c r="H2" s="1"/>
    </row>
    <row r="3" spans="1:8" x14ac:dyDescent="0.35">
      <c r="A3" s="1" t="s">
        <v>193</v>
      </c>
      <c r="B3" s="1"/>
      <c r="C3" s="1"/>
      <c r="D3" s="1"/>
      <c r="E3" s="1"/>
      <c r="F3" s="1"/>
      <c r="G3" s="1"/>
      <c r="H3" s="1"/>
    </row>
    <row r="4" spans="1:8" x14ac:dyDescent="0.35">
      <c r="A4" s="1" t="s">
        <v>184</v>
      </c>
      <c r="B4" s="1"/>
      <c r="C4" s="1"/>
      <c r="D4" s="1"/>
      <c r="E4" s="1"/>
      <c r="F4" s="1"/>
      <c r="G4" s="1"/>
      <c r="H4" s="1"/>
    </row>
    <row r="6" spans="1:8" x14ac:dyDescent="0.35">
      <c r="B6" t="s">
        <v>135</v>
      </c>
      <c r="C6" t="s">
        <v>117</v>
      </c>
      <c r="D6" t="s">
        <v>187</v>
      </c>
      <c r="E6" t="s">
        <v>188</v>
      </c>
    </row>
    <row r="7" spans="1:8" x14ac:dyDescent="0.35">
      <c r="B7" t="s">
        <v>185</v>
      </c>
      <c r="C7">
        <v>120</v>
      </c>
      <c r="D7">
        <v>10.1</v>
      </c>
      <c r="E7">
        <v>2.4</v>
      </c>
    </row>
    <row r="8" spans="1:8" x14ac:dyDescent="0.35">
      <c r="B8" t="s">
        <v>186</v>
      </c>
      <c r="C8">
        <v>100</v>
      </c>
      <c r="D8">
        <v>9.5</v>
      </c>
      <c r="E8">
        <v>3.1</v>
      </c>
    </row>
    <row r="12" spans="1:8" x14ac:dyDescent="0.35">
      <c r="C12" t="s">
        <v>120</v>
      </c>
      <c r="D12">
        <v>120</v>
      </c>
    </row>
    <row r="13" spans="1:8" x14ac:dyDescent="0.35">
      <c r="C13" t="s">
        <v>121</v>
      </c>
      <c r="D13">
        <v>100</v>
      </c>
    </row>
    <row r="14" spans="1:8" x14ac:dyDescent="0.35">
      <c r="C14" t="s">
        <v>189</v>
      </c>
      <c r="D14">
        <v>10.1</v>
      </c>
      <c r="F14" t="s">
        <v>195</v>
      </c>
      <c r="G14" t="s">
        <v>196</v>
      </c>
    </row>
    <row r="15" spans="1:8" x14ac:dyDescent="0.35">
      <c r="C15" t="s">
        <v>190</v>
      </c>
      <c r="D15">
        <v>9.5</v>
      </c>
      <c r="F15" t="s">
        <v>64</v>
      </c>
      <c r="G15" t="s">
        <v>197</v>
      </c>
    </row>
    <row r="16" spans="1:8" x14ac:dyDescent="0.35">
      <c r="C16" t="s">
        <v>140</v>
      </c>
      <c r="D16">
        <v>2.4</v>
      </c>
      <c r="F16" t="s">
        <v>129</v>
      </c>
      <c r="G16" t="s">
        <v>194</v>
      </c>
    </row>
    <row r="17" spans="3:4" x14ac:dyDescent="0.35">
      <c r="C17" t="s">
        <v>141</v>
      </c>
      <c r="D17">
        <v>3.1</v>
      </c>
    </row>
    <row r="18" spans="3:4" x14ac:dyDescent="0.35">
      <c r="C18" t="s">
        <v>10</v>
      </c>
      <c r="D18">
        <v>0.05</v>
      </c>
    </row>
    <row r="19" spans="3:4" x14ac:dyDescent="0.35">
      <c r="C19" s="2" t="s">
        <v>126</v>
      </c>
      <c r="D19">
        <v>0</v>
      </c>
    </row>
    <row r="20" spans="3:4" x14ac:dyDescent="0.35">
      <c r="C20" s="2" t="s">
        <v>97</v>
      </c>
      <c r="D20" t="s">
        <v>192</v>
      </c>
    </row>
    <row r="21" spans="3:4" x14ac:dyDescent="0.35">
      <c r="C21" s="2" t="s">
        <v>42</v>
      </c>
      <c r="D21" t="s">
        <v>191</v>
      </c>
    </row>
    <row r="22" spans="3:4" x14ac:dyDescent="0.35">
      <c r="C22" s="2" t="s">
        <v>129</v>
      </c>
      <c r="D22">
        <f>((D14-D15)-D19)/(D16^2/D12+D17^2/D13)^0.5</f>
        <v>1.5805901093214958</v>
      </c>
    </row>
    <row r="23" spans="3:4" x14ac:dyDescent="0.35">
      <c r="C23" s="2" t="s">
        <v>64</v>
      </c>
      <c r="D23">
        <f>_xlfn.FLOOR.MATH(((D16^2/D12+D17^2/D13)^2)/(((D16^2/D12)^2)/(D12-1)+((D17^2/D13)^2)/(D13-1)))</f>
        <v>184</v>
      </c>
    </row>
    <row r="24" spans="3:4" x14ac:dyDescent="0.35">
      <c r="C24" s="2" t="s">
        <v>130</v>
      </c>
      <c r="D24">
        <f>ABS(_xlfn.T.INV(D18,D23))</f>
        <v>1.6531770875310539</v>
      </c>
    </row>
    <row r="25" spans="3:4" x14ac:dyDescent="0.35">
      <c r="C25" s="2" t="s">
        <v>14</v>
      </c>
      <c r="D25" t="str">
        <f>IF(D22&gt;D24,"Reject Null Hypothesis","Accept Null Hypothesis")</f>
        <v>Accept Null Hypothesis</v>
      </c>
    </row>
    <row r="26" spans="3:4" x14ac:dyDescent="0.35">
      <c r="C26" s="2" t="s">
        <v>11</v>
      </c>
      <c r="D26">
        <f>_xlfn.T.DIST.RT(D22,D23)</f>
        <v>5.7844631666319257E-2</v>
      </c>
    </row>
    <row r="27" spans="3:4" x14ac:dyDescent="0.35">
      <c r="C27" s="2" t="s">
        <v>14</v>
      </c>
      <c r="D27" t="str">
        <f>IF(D26&lt;D18,"Reject Null Hypothesis","Accept Null Hypothesis")</f>
        <v>Accept Null Hypothesis</v>
      </c>
    </row>
  </sheetData>
  <pageMargins left="0.7" right="0.7" top="0.75" bottom="0.75" header="0.3" footer="0.3"/>
  <pageSetup orientation="portrait" r:id="rId1"/>
  <drawing r:id="rId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4"/>
  <sheetViews>
    <sheetView workbookViewId="0">
      <selection activeCell="G5" sqref="G5"/>
    </sheetView>
  </sheetViews>
  <sheetFormatPr defaultRowHeight="14.5" x14ac:dyDescent="0.35"/>
  <cols>
    <col min="2" max="2" width="11.6328125" bestFit="1" customWidth="1"/>
    <col min="3" max="3" width="23.36328125" bestFit="1" customWidth="1"/>
    <col min="4" max="4" width="40.1796875" bestFit="1" customWidth="1"/>
    <col min="5" max="5" width="18.7265625" bestFit="1" customWidth="1"/>
    <col min="8" max="8" width="14.6328125" customWidth="1"/>
    <col min="9" max="9" width="30.1796875" bestFit="1" customWidth="1"/>
  </cols>
  <sheetData>
    <row r="1" spans="1:9" x14ac:dyDescent="0.35">
      <c r="A1" s="1" t="s">
        <v>198</v>
      </c>
      <c r="B1" s="1"/>
      <c r="C1" s="1"/>
      <c r="D1" s="1"/>
      <c r="E1" s="1"/>
      <c r="F1" s="1"/>
      <c r="G1" s="1"/>
      <c r="H1" s="1"/>
    </row>
    <row r="2" spans="1:9" x14ac:dyDescent="0.35">
      <c r="A2" s="1" t="s">
        <v>199</v>
      </c>
      <c r="B2" s="1"/>
      <c r="C2" s="1"/>
      <c r="D2" s="1"/>
      <c r="E2" s="1"/>
      <c r="F2" s="1"/>
      <c r="G2" s="1"/>
      <c r="H2" s="1"/>
    </row>
    <row r="3" spans="1:9" x14ac:dyDescent="0.35">
      <c r="A3" s="1" t="s">
        <v>213</v>
      </c>
      <c r="B3" s="1"/>
      <c r="C3" s="1"/>
      <c r="D3" s="1"/>
      <c r="E3" s="1"/>
      <c r="F3" s="1"/>
      <c r="G3" s="1"/>
      <c r="H3" s="1"/>
    </row>
    <row r="5" spans="1:9" x14ac:dyDescent="0.35">
      <c r="B5" t="s">
        <v>135</v>
      </c>
      <c r="C5" t="s">
        <v>117</v>
      </c>
      <c r="D5" t="s">
        <v>202</v>
      </c>
      <c r="E5" t="s">
        <v>203</v>
      </c>
    </row>
    <row r="6" spans="1:9" x14ac:dyDescent="0.35">
      <c r="B6" t="s">
        <v>200</v>
      </c>
      <c r="C6">
        <v>500</v>
      </c>
      <c r="D6">
        <v>145</v>
      </c>
      <c r="E6">
        <v>0.28999999999999998</v>
      </c>
    </row>
    <row r="7" spans="1:9" x14ac:dyDescent="0.35">
      <c r="B7" t="s">
        <v>201</v>
      </c>
      <c r="C7">
        <v>300</v>
      </c>
      <c r="D7">
        <v>42</v>
      </c>
      <c r="E7">
        <v>0.14000000000000001</v>
      </c>
    </row>
    <row r="12" spans="1:9" x14ac:dyDescent="0.35">
      <c r="C12" t="s">
        <v>120</v>
      </c>
      <c r="D12">
        <v>500</v>
      </c>
    </row>
    <row r="13" spans="1:9" x14ac:dyDescent="0.35">
      <c r="C13" t="s">
        <v>121</v>
      </c>
      <c r="D13">
        <v>300</v>
      </c>
      <c r="H13" t="s">
        <v>206</v>
      </c>
      <c r="I13" t="s">
        <v>207</v>
      </c>
    </row>
    <row r="14" spans="1:9" x14ac:dyDescent="0.35">
      <c r="C14" t="s">
        <v>204</v>
      </c>
      <c r="D14">
        <v>0.28999999999999998</v>
      </c>
      <c r="H14" t="s">
        <v>12</v>
      </c>
      <c r="I14" t="s">
        <v>210</v>
      </c>
    </row>
    <row r="15" spans="1:9" x14ac:dyDescent="0.35">
      <c r="C15" t="s">
        <v>205</v>
      </c>
      <c r="D15">
        <v>0.14000000000000001</v>
      </c>
    </row>
    <row r="16" spans="1:9" x14ac:dyDescent="0.35">
      <c r="C16" t="s">
        <v>206</v>
      </c>
      <c r="D16">
        <f>(D12*D14+D13*D15)/(D12+D13)</f>
        <v>0.23375000000000001</v>
      </c>
    </row>
    <row r="17" spans="3:4" x14ac:dyDescent="0.35">
      <c r="C17" t="s">
        <v>10</v>
      </c>
      <c r="D17">
        <v>0.05</v>
      </c>
    </row>
    <row r="18" spans="3:4" x14ac:dyDescent="0.35">
      <c r="C18" t="s">
        <v>43</v>
      </c>
      <c r="D18" t="s">
        <v>208</v>
      </c>
    </row>
    <row r="19" spans="3:4" x14ac:dyDescent="0.35">
      <c r="C19" t="s">
        <v>42</v>
      </c>
      <c r="D19" t="s">
        <v>209</v>
      </c>
    </row>
    <row r="20" spans="3:4" x14ac:dyDescent="0.35">
      <c r="C20" t="s">
        <v>12</v>
      </c>
      <c r="D20">
        <f>(D14-D15)/(D16*(1-D16)*(1/D12+1/D13))^0.5</f>
        <v>4.8532296429328436</v>
      </c>
    </row>
    <row r="21" spans="3:4" x14ac:dyDescent="0.35">
      <c r="C21" t="s">
        <v>13</v>
      </c>
      <c r="D21">
        <f>ABS(_xlfn.NORM.S.INV(D17/2))</f>
        <v>1.9599639845400538</v>
      </c>
    </row>
    <row r="22" spans="3:4" x14ac:dyDescent="0.35">
      <c r="C22" t="s">
        <v>14</v>
      </c>
      <c r="D22" t="str">
        <f>IF(D20&gt;D21,"Reject Null Hypothesis","Accept Null Hypothesis")</f>
        <v>Reject Null Hypothesis</v>
      </c>
    </row>
    <row r="23" spans="3:4" x14ac:dyDescent="0.35">
      <c r="C23" t="s">
        <v>11</v>
      </c>
      <c r="D23">
        <f>(1-_xlfn.NORM.S.DIST(D20,TRUE))*2</f>
        <v>1.2146689678527167E-6</v>
      </c>
    </row>
    <row r="24" spans="3:4" x14ac:dyDescent="0.35">
      <c r="C24" t="s">
        <v>14</v>
      </c>
      <c r="D24" t="str">
        <f>IF(D23&lt;D17,"Reject Null Hypothesis","Accept Null Hypothesis")</f>
        <v>Reject Null Hypothesis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1"/>
  <sheetViews>
    <sheetView workbookViewId="0">
      <selection activeCell="E22" sqref="E22"/>
    </sheetView>
  </sheetViews>
  <sheetFormatPr defaultRowHeight="14.5" x14ac:dyDescent="0.35"/>
  <cols>
    <col min="3" max="3" width="23.36328125" bestFit="1" customWidth="1"/>
    <col min="4" max="4" width="24.7265625" customWidth="1"/>
    <col min="5" max="5" width="29" bestFit="1" customWidth="1"/>
    <col min="8" max="8" width="9.453125" bestFit="1" customWidth="1"/>
  </cols>
  <sheetData>
    <row r="1" spans="1:9" x14ac:dyDescent="0.35">
      <c r="A1" s="1" t="s">
        <v>211</v>
      </c>
      <c r="B1" s="1"/>
      <c r="C1" s="1"/>
      <c r="D1" s="1"/>
      <c r="E1" s="1"/>
      <c r="F1" s="1"/>
      <c r="G1" s="1"/>
      <c r="H1" s="1"/>
      <c r="I1" s="1"/>
    </row>
    <row r="2" spans="1:9" x14ac:dyDescent="0.35">
      <c r="A2" s="1" t="s">
        <v>225</v>
      </c>
      <c r="B2" s="1"/>
      <c r="C2" s="1"/>
      <c r="D2" s="1"/>
      <c r="E2" s="1"/>
      <c r="F2" s="1"/>
      <c r="G2" s="1"/>
      <c r="H2" s="1"/>
      <c r="I2" s="1"/>
    </row>
    <row r="3" spans="1:9" x14ac:dyDescent="0.35">
      <c r="A3" s="1" t="s">
        <v>212</v>
      </c>
      <c r="B3" s="1"/>
      <c r="C3" s="1"/>
      <c r="D3" s="1"/>
      <c r="E3" s="1"/>
      <c r="F3" s="1"/>
      <c r="G3" s="1"/>
      <c r="H3" s="1"/>
      <c r="I3" s="1"/>
    </row>
    <row r="6" spans="1:9" x14ac:dyDescent="0.35">
      <c r="C6" t="s">
        <v>135</v>
      </c>
      <c r="D6" t="s">
        <v>117</v>
      </c>
      <c r="E6" t="s">
        <v>216</v>
      </c>
    </row>
    <row r="7" spans="1:9" x14ac:dyDescent="0.35">
      <c r="C7" t="s">
        <v>214</v>
      </c>
      <c r="D7">
        <v>80</v>
      </c>
      <c r="E7">
        <v>42</v>
      </c>
    </row>
    <row r="8" spans="1:9" x14ac:dyDescent="0.35">
      <c r="C8" t="s">
        <v>215</v>
      </c>
      <c r="D8">
        <v>52</v>
      </c>
      <c r="E8">
        <v>36</v>
      </c>
    </row>
    <row r="11" spans="1:9" x14ac:dyDescent="0.35">
      <c r="D11">
        <v>42</v>
      </c>
    </row>
    <row r="12" spans="1:9" x14ac:dyDescent="0.35">
      <c r="D12">
        <v>36</v>
      </c>
      <c r="G12" t="s">
        <v>223</v>
      </c>
      <c r="H12" t="s">
        <v>224</v>
      </c>
    </row>
    <row r="13" spans="1:9" x14ac:dyDescent="0.35">
      <c r="C13" t="s">
        <v>120</v>
      </c>
      <c r="D13">
        <v>80</v>
      </c>
    </row>
    <row r="14" spans="1:9" x14ac:dyDescent="0.35">
      <c r="C14" t="s">
        <v>121</v>
      </c>
      <c r="D14">
        <v>52</v>
      </c>
    </row>
    <row r="15" spans="1:9" x14ac:dyDescent="0.35">
      <c r="C15" t="s">
        <v>10</v>
      </c>
      <c r="D15">
        <v>0.1</v>
      </c>
    </row>
    <row r="16" spans="1:9" x14ac:dyDescent="0.35">
      <c r="C16" t="s">
        <v>97</v>
      </c>
      <c r="D16" s="2" t="s">
        <v>217</v>
      </c>
    </row>
    <row r="17" spans="3:4" x14ac:dyDescent="0.35">
      <c r="C17" t="s">
        <v>42</v>
      </c>
      <c r="D17" t="s">
        <v>218</v>
      </c>
    </row>
    <row r="18" spans="3:4" x14ac:dyDescent="0.35">
      <c r="C18" t="s">
        <v>219</v>
      </c>
      <c r="D18">
        <f>D11/D12</f>
        <v>1.1666666666666667</v>
      </c>
    </row>
    <row r="19" spans="3:4" x14ac:dyDescent="0.35">
      <c r="C19" t="s">
        <v>220</v>
      </c>
      <c r="D19">
        <f>_xlfn.F.INV(D15/2,D13-1,D14-1)</f>
        <v>0.66355756290743206</v>
      </c>
    </row>
    <row r="20" spans="3:4" x14ac:dyDescent="0.35">
      <c r="C20" t="s">
        <v>221</v>
      </c>
      <c r="D20">
        <f>_xlfn.F.INV.RT(D15/2,D13-1,D14-1)</f>
        <v>1.5407010010399069</v>
      </c>
    </row>
    <row r="21" spans="3:4" x14ac:dyDescent="0.35">
      <c r="C21" t="s">
        <v>222</v>
      </c>
      <c r="D21" t="str">
        <f>IF(AND(D19&lt;D18,D18&lt;D20),"Retain Null Hypothesis","Reject Null Hypothesis")</f>
        <v>Retain Null Hypothesis</v>
      </c>
    </row>
  </sheetData>
  <pageMargins left="0.7" right="0.7" top="0.75" bottom="0.75" header="0.3" footer="0.3"/>
  <pageSetup orientation="portrait" r:id="rId1"/>
  <drawing r:id="rId2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7"/>
  <sheetViews>
    <sheetView workbookViewId="0">
      <selection activeCell="E8" sqref="E8"/>
    </sheetView>
  </sheetViews>
  <sheetFormatPr defaultRowHeight="14.5" x14ac:dyDescent="0.35"/>
  <cols>
    <col min="2" max="2" width="15.6328125" bestFit="1" customWidth="1"/>
    <col min="3" max="3" width="23.36328125" bestFit="1" customWidth="1"/>
    <col min="4" max="4" width="67.54296875" bestFit="1" customWidth="1"/>
    <col min="5" max="5" width="25.453125" customWidth="1"/>
    <col min="6" max="6" width="13.453125" bestFit="1" customWidth="1"/>
    <col min="7" max="7" width="10.6328125" bestFit="1" customWidth="1"/>
  </cols>
  <sheetData>
    <row r="1" spans="1:6" x14ac:dyDescent="0.35">
      <c r="A1" s="1" t="s">
        <v>226</v>
      </c>
      <c r="B1" s="1"/>
      <c r="C1" s="1"/>
      <c r="D1" s="1"/>
      <c r="E1" s="1"/>
    </row>
    <row r="2" spans="1:6" x14ac:dyDescent="0.35">
      <c r="A2" s="1" t="s">
        <v>227</v>
      </c>
      <c r="B2" s="1"/>
      <c r="C2" s="1"/>
      <c r="D2" s="1"/>
      <c r="E2" s="1"/>
    </row>
    <row r="3" spans="1:6" x14ac:dyDescent="0.35">
      <c r="A3" s="1" t="s">
        <v>228</v>
      </c>
      <c r="B3" s="1"/>
      <c r="C3" s="1"/>
      <c r="D3" s="1"/>
      <c r="E3" s="1"/>
    </row>
    <row r="4" spans="1:6" x14ac:dyDescent="0.35">
      <c r="A4" s="1" t="s">
        <v>261</v>
      </c>
      <c r="B4" s="1"/>
      <c r="C4" s="1"/>
      <c r="D4" s="1"/>
      <c r="E4" s="1"/>
    </row>
    <row r="6" spans="1:6" x14ac:dyDescent="0.35">
      <c r="B6" t="s">
        <v>229</v>
      </c>
      <c r="C6" t="s">
        <v>231</v>
      </c>
      <c r="D6" t="s">
        <v>232</v>
      </c>
      <c r="E6" t="s">
        <v>233</v>
      </c>
      <c r="F6" t="s">
        <v>234</v>
      </c>
    </row>
    <row r="7" spans="1:6" x14ac:dyDescent="0.35">
      <c r="B7" t="s">
        <v>230</v>
      </c>
      <c r="C7">
        <v>190</v>
      </c>
      <c r="D7">
        <v>185</v>
      </c>
      <c r="E7">
        <v>90</v>
      </c>
      <c r="F7">
        <v>35</v>
      </c>
    </row>
    <row r="11" spans="1:6" x14ac:dyDescent="0.35">
      <c r="C11" t="s">
        <v>229</v>
      </c>
      <c r="D11" t="s">
        <v>236</v>
      </c>
      <c r="E11" t="s">
        <v>237</v>
      </c>
      <c r="F11" t="s">
        <v>238</v>
      </c>
    </row>
    <row r="12" spans="1:6" x14ac:dyDescent="0.35">
      <c r="C12" t="s">
        <v>231</v>
      </c>
      <c r="D12">
        <v>190</v>
      </c>
      <c r="E12">
        <f>0.35*D16</f>
        <v>175</v>
      </c>
      <c r="F12">
        <f>(D12-E12)^2/E12</f>
        <v>1.2857142857142858</v>
      </c>
    </row>
    <row r="13" spans="1:6" x14ac:dyDescent="0.35">
      <c r="C13" t="s">
        <v>232</v>
      </c>
      <c r="D13">
        <v>185</v>
      </c>
      <c r="E13">
        <f>0.4*D16</f>
        <v>200</v>
      </c>
      <c r="F13">
        <f t="shared" ref="F13:F15" si="0">(D13-E13)^2/E13</f>
        <v>1.125</v>
      </c>
    </row>
    <row r="14" spans="1:6" x14ac:dyDescent="0.35">
      <c r="C14" t="s">
        <v>233</v>
      </c>
      <c r="D14">
        <v>90</v>
      </c>
      <c r="E14">
        <f>0.2*D16</f>
        <v>100</v>
      </c>
      <c r="F14">
        <f t="shared" si="0"/>
        <v>1</v>
      </c>
    </row>
    <row r="15" spans="1:6" x14ac:dyDescent="0.35">
      <c r="C15" t="s">
        <v>234</v>
      </c>
      <c r="D15">
        <v>35</v>
      </c>
      <c r="E15">
        <f>0.05*D16</f>
        <v>25</v>
      </c>
      <c r="F15">
        <f t="shared" si="0"/>
        <v>4</v>
      </c>
    </row>
    <row r="16" spans="1:6" x14ac:dyDescent="0.35">
      <c r="D16">
        <f>SUM(D12:D15)</f>
        <v>500</v>
      </c>
    </row>
    <row r="20" spans="3:7" x14ac:dyDescent="0.35">
      <c r="C20" t="s">
        <v>97</v>
      </c>
      <c r="D20" t="s">
        <v>239</v>
      </c>
    </row>
    <row r="21" spans="3:7" x14ac:dyDescent="0.35">
      <c r="C21" t="s">
        <v>42</v>
      </c>
      <c r="D21" t="s">
        <v>240</v>
      </c>
    </row>
    <row r="22" spans="3:7" x14ac:dyDescent="0.35">
      <c r="C22" t="s">
        <v>18</v>
      </c>
      <c r="D22">
        <v>0.05</v>
      </c>
      <c r="F22" t="s">
        <v>247</v>
      </c>
      <c r="G22" t="s">
        <v>238</v>
      </c>
    </row>
    <row r="23" spans="3:7" x14ac:dyDescent="0.35">
      <c r="C23" t="s">
        <v>241</v>
      </c>
      <c r="D23">
        <f>SUM(F12:F15)</f>
        <v>7.4107142857142856</v>
      </c>
      <c r="F23" t="s">
        <v>64</v>
      </c>
      <c r="G23" t="s">
        <v>260</v>
      </c>
    </row>
    <row r="24" spans="3:7" x14ac:dyDescent="0.35">
      <c r="C24" t="s">
        <v>242</v>
      </c>
      <c r="D24">
        <f>_xlfn.CHISQ.INV.RT(D22,4-1)</f>
        <v>7.8147279032511792</v>
      </c>
    </row>
    <row r="25" spans="3:7" x14ac:dyDescent="0.35">
      <c r="C25" t="s">
        <v>14</v>
      </c>
      <c r="D25" t="str">
        <f>IF(D23&gt;D24,"Reject Null Hypothesis","Retain Null Hypothesis")</f>
        <v>Retain Null Hypothesis</v>
      </c>
    </row>
    <row r="26" spans="3:7" x14ac:dyDescent="0.35">
      <c r="C26" t="s">
        <v>11</v>
      </c>
      <c r="D26">
        <f>_xlfn.CHISQ.DIST.RT(D23,3)</f>
        <v>5.9897514200849149E-2</v>
      </c>
    </row>
    <row r="27" spans="3:7" x14ac:dyDescent="0.35">
      <c r="C27" t="s">
        <v>14</v>
      </c>
      <c r="D27" t="str">
        <f>IF(D26&lt;D22,"Reject Null Hypothesis","Retain Null Hypothesis")</f>
        <v>Retain Null Hypothesis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1"/>
  <sheetViews>
    <sheetView workbookViewId="0">
      <selection activeCell="B3" sqref="B3"/>
    </sheetView>
  </sheetViews>
  <sheetFormatPr defaultRowHeight="14.5" x14ac:dyDescent="0.35"/>
  <cols>
    <col min="4" max="4" width="23.36328125" bestFit="1" customWidth="1"/>
    <col min="5" max="5" width="68.1796875" bestFit="1" customWidth="1"/>
    <col min="7" max="7" width="10.1796875" customWidth="1"/>
    <col min="8" max="8" width="21.26953125" bestFit="1" customWidth="1"/>
    <col min="9" max="9" width="20.36328125" bestFit="1" customWidth="1"/>
    <col min="10" max="10" width="28" bestFit="1" customWidth="1"/>
  </cols>
  <sheetData>
    <row r="1" spans="1:10" x14ac:dyDescent="0.35">
      <c r="A1" s="1" t="s">
        <v>243</v>
      </c>
      <c r="B1" s="1"/>
      <c r="C1" s="1"/>
      <c r="D1" s="1"/>
      <c r="E1" s="1"/>
      <c r="F1" s="1"/>
      <c r="G1" s="1"/>
    </row>
    <row r="2" spans="1:10" x14ac:dyDescent="0.35">
      <c r="A2" s="1" t="s">
        <v>244</v>
      </c>
      <c r="B2" s="1"/>
      <c r="C2" s="1"/>
      <c r="D2" s="1"/>
      <c r="E2" s="1"/>
      <c r="F2" s="1"/>
      <c r="G2" s="1"/>
    </row>
    <row r="3" spans="1:10" x14ac:dyDescent="0.35">
      <c r="A3" s="1" t="s">
        <v>248</v>
      </c>
      <c r="B3" s="1"/>
      <c r="C3" s="1"/>
      <c r="D3" s="1"/>
      <c r="E3" s="1"/>
      <c r="F3" s="1"/>
      <c r="G3" s="1"/>
    </row>
    <row r="7" spans="1:10" x14ac:dyDescent="0.35">
      <c r="C7">
        <v>4640</v>
      </c>
    </row>
    <row r="8" spans="1:10" x14ac:dyDescent="0.35">
      <c r="C8">
        <v>4967</v>
      </c>
    </row>
    <row r="9" spans="1:10" x14ac:dyDescent="0.35">
      <c r="C9">
        <v>4640</v>
      </c>
      <c r="I9" t="s">
        <v>247</v>
      </c>
      <c r="J9" t="s">
        <v>238</v>
      </c>
    </row>
    <row r="10" spans="1:10" x14ac:dyDescent="0.35">
      <c r="C10">
        <v>4967</v>
      </c>
      <c r="E10" t="s">
        <v>245</v>
      </c>
      <c r="F10">
        <f>_xlfn.FLOOR.MATH(1+3.3*LOG10(50))</f>
        <v>6</v>
      </c>
      <c r="I10" t="s">
        <v>253</v>
      </c>
      <c r="J10" t="s">
        <v>254</v>
      </c>
    </row>
    <row r="11" spans="1:10" x14ac:dyDescent="0.35">
      <c r="C11">
        <v>4640</v>
      </c>
      <c r="E11" t="s">
        <v>246</v>
      </c>
      <c r="F11">
        <f>ROUND((MAX(C7:C51)-MIN(C7:C51))/F10,0)</f>
        <v>174</v>
      </c>
      <c r="I11" t="s">
        <v>246</v>
      </c>
      <c r="J11" t="s">
        <v>255</v>
      </c>
    </row>
    <row r="12" spans="1:10" x14ac:dyDescent="0.35">
      <c r="C12">
        <v>4957</v>
      </c>
      <c r="I12" t="s">
        <v>64</v>
      </c>
      <c r="J12" t="s">
        <v>260</v>
      </c>
    </row>
    <row r="13" spans="1:10" x14ac:dyDescent="0.35">
      <c r="C13">
        <v>5169</v>
      </c>
    </row>
    <row r="14" spans="1:10" x14ac:dyDescent="0.35">
      <c r="C14">
        <v>4957</v>
      </c>
      <c r="E14" s="3" t="s">
        <v>135</v>
      </c>
      <c r="F14" s="4" t="s">
        <v>246</v>
      </c>
      <c r="G14" s="4"/>
      <c r="H14" t="s">
        <v>236</v>
      </c>
      <c r="I14" t="s">
        <v>237</v>
      </c>
      <c r="J14" t="s">
        <v>238</v>
      </c>
    </row>
    <row r="15" spans="1:10" x14ac:dyDescent="0.35">
      <c r="C15">
        <v>5169</v>
      </c>
      <c r="E15">
        <v>1</v>
      </c>
      <c r="F15">
        <v>4514</v>
      </c>
      <c r="G15">
        <f>F15+174</f>
        <v>4688</v>
      </c>
      <c r="H15">
        <v>8</v>
      </c>
      <c r="I15">
        <v>4.83</v>
      </c>
      <c r="J15">
        <f>(H15-I15)^2/I15</f>
        <v>2.0805175983436852</v>
      </c>
    </row>
    <row r="16" spans="1:10" x14ac:dyDescent="0.35">
      <c r="C16">
        <v>4957</v>
      </c>
      <c r="E16">
        <v>2</v>
      </c>
      <c r="F16">
        <v>4689</v>
      </c>
      <c r="G16">
        <f>F16+174</f>
        <v>4863</v>
      </c>
      <c r="H16">
        <v>2</v>
      </c>
      <c r="I16">
        <v>8.6999999999999993</v>
      </c>
      <c r="J16">
        <f t="shared" ref="J16:J20" si="0">(H16-I16)^2/I16</f>
        <v>5.1597701149425284</v>
      </c>
    </row>
    <row r="17" spans="3:10" x14ac:dyDescent="0.35">
      <c r="C17">
        <v>5064</v>
      </c>
      <c r="E17">
        <v>3</v>
      </c>
      <c r="F17">
        <v>4864</v>
      </c>
      <c r="G17">
        <f>F17+174</f>
        <v>5038</v>
      </c>
      <c r="H17">
        <v>19</v>
      </c>
      <c r="I17">
        <v>11.26</v>
      </c>
      <c r="J17">
        <f t="shared" si="0"/>
        <v>5.3203907637655421</v>
      </c>
    </row>
    <row r="18" spans="3:10" x14ac:dyDescent="0.35">
      <c r="C18">
        <v>5033</v>
      </c>
      <c r="E18">
        <v>4</v>
      </c>
      <c r="F18">
        <v>5039</v>
      </c>
      <c r="G18">
        <f>F18+174</f>
        <v>5213</v>
      </c>
      <c r="H18">
        <v>12</v>
      </c>
      <c r="I18">
        <v>10.47</v>
      </c>
      <c r="J18">
        <f t="shared" si="0"/>
        <v>0.22358166189111731</v>
      </c>
    </row>
    <row r="19" spans="3:10" x14ac:dyDescent="0.35">
      <c r="C19">
        <v>5064</v>
      </c>
      <c r="E19">
        <v>5</v>
      </c>
      <c r="F19">
        <v>5214</v>
      </c>
      <c r="G19">
        <f>F19+174</f>
        <v>5388</v>
      </c>
      <c r="H19">
        <v>3</v>
      </c>
      <c r="I19">
        <v>6.99</v>
      </c>
      <c r="J19">
        <f t="shared" si="0"/>
        <v>2.2775536480686696</v>
      </c>
    </row>
    <row r="20" spans="3:10" x14ac:dyDescent="0.35">
      <c r="C20">
        <v>5033</v>
      </c>
      <c r="E20">
        <v>6</v>
      </c>
      <c r="F20">
        <v>5389</v>
      </c>
      <c r="G20">
        <f>F20+174</f>
        <v>5563</v>
      </c>
      <c r="H20">
        <v>6</v>
      </c>
      <c r="I20">
        <v>3.35</v>
      </c>
      <c r="J20">
        <f t="shared" si="0"/>
        <v>2.0962686567164179</v>
      </c>
    </row>
    <row r="21" spans="3:10" x14ac:dyDescent="0.35">
      <c r="C21">
        <v>5064</v>
      </c>
    </row>
    <row r="22" spans="3:10" x14ac:dyDescent="0.35">
      <c r="C22">
        <v>5062</v>
      </c>
    </row>
    <row r="23" spans="3:10" x14ac:dyDescent="0.35">
      <c r="C23">
        <v>4514</v>
      </c>
    </row>
    <row r="24" spans="3:10" x14ac:dyDescent="0.35">
      <c r="C24">
        <v>5062</v>
      </c>
    </row>
    <row r="25" spans="3:10" x14ac:dyDescent="0.35">
      <c r="C25">
        <v>4514</v>
      </c>
    </row>
    <row r="26" spans="3:10" x14ac:dyDescent="0.35">
      <c r="C26">
        <v>5062</v>
      </c>
    </row>
    <row r="27" spans="3:10" x14ac:dyDescent="0.35">
      <c r="C27">
        <v>5217</v>
      </c>
    </row>
    <row r="28" spans="3:10" x14ac:dyDescent="0.35">
      <c r="C28">
        <v>4883</v>
      </c>
    </row>
    <row r="29" spans="3:10" x14ac:dyDescent="0.35">
      <c r="C29">
        <v>5217</v>
      </c>
    </row>
    <row r="30" spans="3:10" x14ac:dyDescent="0.35">
      <c r="C30">
        <v>4883</v>
      </c>
    </row>
    <row r="31" spans="3:10" x14ac:dyDescent="0.35">
      <c r="C31">
        <v>5217</v>
      </c>
    </row>
    <row r="32" spans="3:10" x14ac:dyDescent="0.35">
      <c r="C32">
        <v>4658</v>
      </c>
    </row>
    <row r="33" spans="3:3" x14ac:dyDescent="0.35">
      <c r="C33">
        <v>4998</v>
      </c>
    </row>
    <row r="34" spans="3:3" x14ac:dyDescent="0.35">
      <c r="C34">
        <v>4658</v>
      </c>
    </row>
    <row r="35" spans="3:3" x14ac:dyDescent="0.35">
      <c r="C35">
        <v>4998</v>
      </c>
    </row>
    <row r="36" spans="3:3" x14ac:dyDescent="0.35">
      <c r="C36">
        <v>4658</v>
      </c>
    </row>
    <row r="37" spans="3:3" x14ac:dyDescent="0.35">
      <c r="C37">
        <v>5557</v>
      </c>
    </row>
    <row r="38" spans="3:3" x14ac:dyDescent="0.35">
      <c r="C38">
        <v>4843</v>
      </c>
    </row>
    <row r="39" spans="3:3" x14ac:dyDescent="0.35">
      <c r="C39">
        <v>5557</v>
      </c>
    </row>
    <row r="40" spans="3:3" x14ac:dyDescent="0.35">
      <c r="C40">
        <v>4843</v>
      </c>
    </row>
    <row r="41" spans="3:3" x14ac:dyDescent="0.35">
      <c r="C41">
        <v>5557</v>
      </c>
    </row>
    <row r="42" spans="3:3" x14ac:dyDescent="0.35">
      <c r="C42">
        <v>5510</v>
      </c>
    </row>
    <row r="43" spans="3:3" x14ac:dyDescent="0.35">
      <c r="C43">
        <v>5111</v>
      </c>
    </row>
    <row r="44" spans="3:3" x14ac:dyDescent="0.35">
      <c r="C44">
        <v>5005</v>
      </c>
    </row>
    <row r="45" spans="3:3" x14ac:dyDescent="0.35">
      <c r="C45">
        <v>5111</v>
      </c>
    </row>
    <row r="46" spans="3:3" x14ac:dyDescent="0.35">
      <c r="C46">
        <v>5005</v>
      </c>
    </row>
    <row r="47" spans="3:3" x14ac:dyDescent="0.35">
      <c r="C47">
        <v>4967</v>
      </c>
    </row>
    <row r="48" spans="3:3" x14ac:dyDescent="0.35">
      <c r="C48">
        <v>4865</v>
      </c>
    </row>
    <row r="49" spans="3:5" x14ac:dyDescent="0.35">
      <c r="C49">
        <v>4967</v>
      </c>
    </row>
    <row r="50" spans="3:5" x14ac:dyDescent="0.35">
      <c r="C50">
        <v>4865</v>
      </c>
    </row>
    <row r="51" spans="3:5" x14ac:dyDescent="0.35">
      <c r="C51">
        <v>4967</v>
      </c>
    </row>
    <row r="54" spans="3:5" x14ac:dyDescent="0.35">
      <c r="D54" t="s">
        <v>97</v>
      </c>
      <c r="E54" t="s">
        <v>239</v>
      </c>
    </row>
    <row r="55" spans="3:5" x14ac:dyDescent="0.35">
      <c r="D55" t="s">
        <v>42</v>
      </c>
      <c r="E55" t="s">
        <v>240</v>
      </c>
    </row>
    <row r="56" spans="3:5" x14ac:dyDescent="0.35">
      <c r="D56" t="s">
        <v>18</v>
      </c>
      <c r="E56">
        <v>0.01</v>
      </c>
    </row>
    <row r="57" spans="3:5" x14ac:dyDescent="0.35">
      <c r="D57" t="s">
        <v>247</v>
      </c>
      <c r="E57">
        <f>SUM(J15:J20)</f>
        <v>17.15808244372796</v>
      </c>
    </row>
    <row r="58" spans="3:5" x14ac:dyDescent="0.35">
      <c r="D58" t="s">
        <v>242</v>
      </c>
      <c r="E58">
        <f>_xlfn.CHISQ.INV.RT(E56,F10-1)</f>
        <v>15.086272469388991</v>
      </c>
    </row>
    <row r="59" spans="3:5" x14ac:dyDescent="0.35">
      <c r="D59" t="s">
        <v>14</v>
      </c>
      <c r="E59" t="str">
        <f>IF(E57&gt;E58,"Reject Null Hypothesis","Accept Null Hypothesis")</f>
        <v>Reject Null Hypothesis</v>
      </c>
    </row>
    <row r="60" spans="3:5" x14ac:dyDescent="0.35">
      <c r="D60" t="s">
        <v>11</v>
      </c>
      <c r="E60">
        <f>_xlfn.CHISQ.DIST.RT(E57,F10-1)</f>
        <v>4.2095447924885244E-3</v>
      </c>
    </row>
    <row r="61" spans="3:5" x14ac:dyDescent="0.35">
      <c r="D61" t="s">
        <v>14</v>
      </c>
      <c r="E61" t="str">
        <f>IF(E60&lt;E56,"Reject Null Hypothesis","Accept Null Hypothesis")</f>
        <v>Reject Null Hypothesis</v>
      </c>
    </row>
  </sheetData>
  <mergeCells count="1">
    <mergeCell ref="F14:G14"/>
  </mergeCells>
  <dataValidations count="3">
    <dataValidation type="whole" allowBlank="1" showInputMessage="1" showErrorMessage="1" sqref="D7">
      <formula1>F15</formula1>
      <formula2>G15</formula2>
    </dataValidation>
    <dataValidation type="whole" allowBlank="1" showInputMessage="1" showErrorMessage="1" sqref="C7:C47">
      <formula1>F15</formula1>
      <formula2>G15</formula2>
    </dataValidation>
    <dataValidation type="whole" allowBlank="1" showInputMessage="1" showErrorMessage="1" sqref="C48:C51">
      <formula1>F57</formula1>
      <formula2>G57</formula2>
    </dataValidation>
  </dataValidation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6"/>
  <sheetViews>
    <sheetView topLeftCell="G1" workbookViewId="0">
      <selection activeCell="F11" sqref="F11"/>
    </sheetView>
  </sheetViews>
  <sheetFormatPr defaultRowHeight="14.5" x14ac:dyDescent="0.35"/>
  <cols>
    <col min="5" max="5" width="23.36328125" bestFit="1" customWidth="1"/>
    <col min="6" max="6" width="68.1796875" bestFit="1" customWidth="1"/>
    <col min="8" max="8" width="13.6328125" bestFit="1" customWidth="1"/>
    <col min="11" max="11" width="21.26953125" bestFit="1" customWidth="1"/>
    <col min="12" max="12" width="28" bestFit="1" customWidth="1"/>
    <col min="13" max="13" width="10.26953125" bestFit="1" customWidth="1"/>
  </cols>
  <sheetData>
    <row r="1" spans="1:12" x14ac:dyDescent="0.35">
      <c r="A1" s="1" t="s">
        <v>249</v>
      </c>
      <c r="B1" s="1"/>
      <c r="C1" s="1"/>
      <c r="D1" s="1"/>
      <c r="E1" s="1"/>
      <c r="F1" s="1"/>
      <c r="G1" s="1"/>
      <c r="H1" s="1"/>
    </row>
    <row r="2" spans="1:12" x14ac:dyDescent="0.35">
      <c r="A2" s="1" t="s">
        <v>250</v>
      </c>
      <c r="B2" s="1"/>
      <c r="C2" s="1"/>
      <c r="D2" s="1"/>
      <c r="E2" s="1"/>
      <c r="F2" s="1"/>
      <c r="G2" s="1"/>
      <c r="H2" s="1"/>
    </row>
    <row r="3" spans="1:12" x14ac:dyDescent="0.35">
      <c r="A3" s="1" t="s">
        <v>251</v>
      </c>
      <c r="B3" s="1"/>
      <c r="C3" s="1"/>
      <c r="D3" s="1"/>
      <c r="E3" s="1"/>
      <c r="F3" s="1"/>
      <c r="G3" s="1"/>
      <c r="H3" s="1"/>
    </row>
    <row r="4" spans="1:12" x14ac:dyDescent="0.35">
      <c r="A4" s="1" t="s">
        <v>252</v>
      </c>
      <c r="B4" s="1"/>
      <c r="C4" s="1"/>
      <c r="D4" s="1"/>
      <c r="E4" s="1"/>
      <c r="F4" s="1"/>
      <c r="G4" s="1"/>
      <c r="H4" s="1"/>
    </row>
    <row r="7" spans="1:12" x14ac:dyDescent="0.35">
      <c r="B7">
        <v>2.4700000000000002</v>
      </c>
    </row>
    <row r="8" spans="1:12" x14ac:dyDescent="0.35">
      <c r="B8">
        <v>4.2300000000000004</v>
      </c>
    </row>
    <row r="9" spans="1:12" x14ac:dyDescent="0.35">
      <c r="B9">
        <v>5.41</v>
      </c>
    </row>
    <row r="10" spans="1:12" x14ac:dyDescent="0.35">
      <c r="B10">
        <v>3.49</v>
      </c>
      <c r="K10" t="s">
        <v>247</v>
      </c>
      <c r="L10" t="s">
        <v>238</v>
      </c>
    </row>
    <row r="11" spans="1:12" x14ac:dyDescent="0.35">
      <c r="B11">
        <v>4.17</v>
      </c>
      <c r="H11" t="s">
        <v>253</v>
      </c>
      <c r="I11">
        <f>_xlfn.FLOOR.MATH(1+3.3*LOG10(50))</f>
        <v>6</v>
      </c>
      <c r="K11" t="s">
        <v>253</v>
      </c>
      <c r="L11" t="s">
        <v>254</v>
      </c>
    </row>
    <row r="12" spans="1:12" x14ac:dyDescent="0.35">
      <c r="B12">
        <v>10.09</v>
      </c>
      <c r="H12" t="s">
        <v>246</v>
      </c>
      <c r="I12">
        <f>ROUND((MAX(B7:B56)-MIN(B7:B56))/I11,2)</f>
        <v>4.4800000000000004</v>
      </c>
      <c r="K12" t="s">
        <v>246</v>
      </c>
      <c r="L12" t="s">
        <v>255</v>
      </c>
    </row>
    <row r="13" spans="1:12" x14ac:dyDescent="0.35">
      <c r="B13">
        <v>18.78</v>
      </c>
      <c r="H13" s="2" t="s">
        <v>256</v>
      </c>
      <c r="I13">
        <f>1/AVERAGE(B7:B56)</f>
        <v>0.13068478829064301</v>
      </c>
      <c r="K13" t="s">
        <v>256</v>
      </c>
      <c r="L13" t="s">
        <v>257</v>
      </c>
    </row>
    <row r="14" spans="1:12" x14ac:dyDescent="0.35">
      <c r="B14">
        <v>0.68</v>
      </c>
      <c r="K14" t="s">
        <v>235</v>
      </c>
      <c r="L14" t="s">
        <v>258</v>
      </c>
    </row>
    <row r="15" spans="1:12" x14ac:dyDescent="0.35">
      <c r="B15">
        <v>2.2799999999999998</v>
      </c>
      <c r="K15" t="s">
        <v>64</v>
      </c>
      <c r="L15" t="s">
        <v>259</v>
      </c>
    </row>
    <row r="16" spans="1:12" x14ac:dyDescent="0.35">
      <c r="B16">
        <v>16.16</v>
      </c>
    </row>
    <row r="17" spans="2:13" x14ac:dyDescent="0.35">
      <c r="B17">
        <v>0.28000000000000003</v>
      </c>
      <c r="H17" t="s">
        <v>135</v>
      </c>
      <c r="I17" s="4" t="s">
        <v>246</v>
      </c>
      <c r="J17" s="4"/>
      <c r="K17" t="s">
        <v>236</v>
      </c>
      <c r="L17" t="s">
        <v>237</v>
      </c>
      <c r="M17" t="s">
        <v>238</v>
      </c>
    </row>
    <row r="18" spans="2:13" x14ac:dyDescent="0.35">
      <c r="B18">
        <v>2.97</v>
      </c>
      <c r="H18">
        <v>1</v>
      </c>
      <c r="I18">
        <f>MIN(B7:B56)</f>
        <v>0.01</v>
      </c>
      <c r="J18">
        <f>I18+I12</f>
        <v>4.49</v>
      </c>
      <c r="K18">
        <v>20</v>
      </c>
      <c r="L18">
        <f>ROUND(50*(EXP(-$I$13*I18)-EXP(-$I$13*J18)),2)</f>
        <v>22.13</v>
      </c>
      <c r="M18">
        <f>ROUND((K18-L18)^2/L18,2)</f>
        <v>0.21</v>
      </c>
    </row>
    <row r="19" spans="2:13" x14ac:dyDescent="0.35">
      <c r="B19">
        <v>4.01</v>
      </c>
      <c r="H19">
        <v>2</v>
      </c>
      <c r="I19">
        <v>4.5</v>
      </c>
      <c r="J19">
        <f>I19+I12</f>
        <v>8.98</v>
      </c>
      <c r="K19">
        <v>13</v>
      </c>
      <c r="L19">
        <f t="shared" ref="L19:L23" si="0">ROUND(50*(EXP(-$I$13*I19)-EXP(-$I$13*J19)),2)</f>
        <v>12.31</v>
      </c>
      <c r="M19">
        <f t="shared" ref="M19:M23" si="1">ROUND((K19-L19)^2/L19,2)</f>
        <v>0.04</v>
      </c>
    </row>
    <row r="20" spans="2:13" x14ac:dyDescent="0.35">
      <c r="B20">
        <v>5.88</v>
      </c>
      <c r="H20">
        <v>3</v>
      </c>
      <c r="I20">
        <v>8.99</v>
      </c>
      <c r="J20">
        <f>I20+I12</f>
        <v>13.47</v>
      </c>
      <c r="K20">
        <v>9</v>
      </c>
      <c r="L20">
        <f t="shared" si="0"/>
        <v>6.84</v>
      </c>
      <c r="M20">
        <f t="shared" si="1"/>
        <v>0.68</v>
      </c>
    </row>
    <row r="21" spans="2:13" x14ac:dyDescent="0.35">
      <c r="B21">
        <v>20.32</v>
      </c>
      <c r="H21">
        <v>4</v>
      </c>
      <c r="I21">
        <v>13.48</v>
      </c>
      <c r="J21">
        <f>I21+I12</f>
        <v>17.96</v>
      </c>
      <c r="K21">
        <v>2</v>
      </c>
      <c r="L21">
        <f t="shared" si="0"/>
        <v>3.81</v>
      </c>
      <c r="M21">
        <f t="shared" si="1"/>
        <v>0.86</v>
      </c>
    </row>
    <row r="22" spans="2:13" x14ac:dyDescent="0.35">
      <c r="B22">
        <v>26.88</v>
      </c>
      <c r="H22">
        <v>5</v>
      </c>
      <c r="I22">
        <v>17.97</v>
      </c>
      <c r="J22">
        <f>I22+I12</f>
        <v>22.45</v>
      </c>
      <c r="K22">
        <v>5</v>
      </c>
      <c r="L22">
        <f t="shared" si="0"/>
        <v>2.12</v>
      </c>
      <c r="M22">
        <f t="shared" si="1"/>
        <v>3.91</v>
      </c>
    </row>
    <row r="23" spans="2:13" x14ac:dyDescent="0.35">
      <c r="B23">
        <v>19.07</v>
      </c>
      <c r="H23">
        <v>6</v>
      </c>
      <c r="I23">
        <v>22.46</v>
      </c>
      <c r="J23">
        <f>I23+I12</f>
        <v>26.94</v>
      </c>
      <c r="K23">
        <v>1</v>
      </c>
      <c r="L23">
        <f t="shared" si="0"/>
        <v>1.18</v>
      </c>
      <c r="M23">
        <f t="shared" si="1"/>
        <v>0.03</v>
      </c>
    </row>
    <row r="24" spans="2:13" x14ac:dyDescent="0.35">
      <c r="B24">
        <v>0.22</v>
      </c>
    </row>
    <row r="25" spans="2:13" x14ac:dyDescent="0.35">
      <c r="B25">
        <v>6.37</v>
      </c>
    </row>
    <row r="26" spans="2:13" x14ac:dyDescent="0.35">
      <c r="B26">
        <v>10.38</v>
      </c>
    </row>
    <row r="27" spans="2:13" x14ac:dyDescent="0.35">
      <c r="B27">
        <v>4.2</v>
      </c>
    </row>
    <row r="28" spans="2:13" x14ac:dyDescent="0.35">
      <c r="B28">
        <v>10.17</v>
      </c>
    </row>
    <row r="29" spans="2:13" x14ac:dyDescent="0.35">
      <c r="B29">
        <v>1.84</v>
      </c>
    </row>
    <row r="30" spans="2:13" x14ac:dyDescent="0.35">
      <c r="B30">
        <v>21.88</v>
      </c>
    </row>
    <row r="31" spans="2:13" x14ac:dyDescent="0.35">
      <c r="B31">
        <v>9.42</v>
      </c>
    </row>
    <row r="32" spans="2:13" x14ac:dyDescent="0.35">
      <c r="B32">
        <v>0.01</v>
      </c>
    </row>
    <row r="33" spans="2:2" x14ac:dyDescent="0.35">
      <c r="B33">
        <v>6.15</v>
      </c>
    </row>
    <row r="34" spans="2:2" x14ac:dyDescent="0.35">
      <c r="B34">
        <v>4.99</v>
      </c>
    </row>
    <row r="35" spans="2:2" x14ac:dyDescent="0.35">
      <c r="B35">
        <v>3.07</v>
      </c>
    </row>
    <row r="36" spans="2:2" x14ac:dyDescent="0.35">
      <c r="B36">
        <v>18.600000000000001</v>
      </c>
    </row>
    <row r="37" spans="2:2" x14ac:dyDescent="0.35">
      <c r="B37">
        <v>1.54</v>
      </c>
    </row>
    <row r="38" spans="2:2" x14ac:dyDescent="0.35">
      <c r="B38">
        <v>10.23</v>
      </c>
    </row>
    <row r="39" spans="2:2" x14ac:dyDescent="0.35">
      <c r="B39">
        <v>3.99</v>
      </c>
    </row>
    <row r="40" spans="2:2" x14ac:dyDescent="0.35">
      <c r="B40">
        <v>6.17</v>
      </c>
    </row>
    <row r="41" spans="2:2" x14ac:dyDescent="0.35">
      <c r="B41">
        <v>0.39</v>
      </c>
    </row>
    <row r="42" spans="2:2" x14ac:dyDescent="0.35">
      <c r="B42">
        <v>11.03</v>
      </c>
    </row>
    <row r="43" spans="2:2" x14ac:dyDescent="0.35">
      <c r="B43">
        <v>9.3800000000000008</v>
      </c>
    </row>
    <row r="44" spans="2:2" x14ac:dyDescent="0.35">
      <c r="B44">
        <v>1.57</v>
      </c>
    </row>
    <row r="45" spans="2:2" x14ac:dyDescent="0.35">
      <c r="B45">
        <v>6.91</v>
      </c>
    </row>
    <row r="46" spans="2:2" x14ac:dyDescent="0.35">
      <c r="B46">
        <v>2.4900000000000002</v>
      </c>
    </row>
    <row r="47" spans="2:2" x14ac:dyDescent="0.35">
      <c r="B47">
        <v>5.52</v>
      </c>
    </row>
    <row r="48" spans="2:2" x14ac:dyDescent="0.35">
      <c r="B48">
        <v>11.53</v>
      </c>
    </row>
    <row r="49" spans="2:6" x14ac:dyDescent="0.35">
      <c r="B49">
        <v>7.64</v>
      </c>
    </row>
    <row r="50" spans="2:6" x14ac:dyDescent="0.35">
      <c r="B50">
        <v>8.8000000000000007</v>
      </c>
    </row>
    <row r="51" spans="2:6" x14ac:dyDescent="0.35">
      <c r="B51">
        <v>7.17</v>
      </c>
    </row>
    <row r="52" spans="2:6" x14ac:dyDescent="0.35">
      <c r="B52">
        <v>3.26</v>
      </c>
    </row>
    <row r="53" spans="2:6" x14ac:dyDescent="0.35">
      <c r="B53">
        <v>6.74</v>
      </c>
    </row>
    <row r="54" spans="2:6" x14ac:dyDescent="0.35">
      <c r="B54">
        <v>16.32</v>
      </c>
    </row>
    <row r="55" spans="2:6" x14ac:dyDescent="0.35">
      <c r="B55">
        <v>10</v>
      </c>
    </row>
    <row r="56" spans="2:6" x14ac:dyDescent="0.35">
      <c r="B56">
        <v>7.45</v>
      </c>
    </row>
    <row r="59" spans="2:6" x14ac:dyDescent="0.35">
      <c r="E59" t="s">
        <v>97</v>
      </c>
      <c r="F59" t="s">
        <v>239</v>
      </c>
    </row>
    <row r="60" spans="2:6" x14ac:dyDescent="0.35">
      <c r="E60" t="s">
        <v>42</v>
      </c>
      <c r="F60" t="s">
        <v>240</v>
      </c>
    </row>
    <row r="61" spans="2:6" x14ac:dyDescent="0.35">
      <c r="E61" t="s">
        <v>18</v>
      </c>
      <c r="F61">
        <v>0.05</v>
      </c>
    </row>
    <row r="62" spans="2:6" x14ac:dyDescent="0.35">
      <c r="E62" t="s">
        <v>247</v>
      </c>
      <c r="F62">
        <f>SUM(M18:M23)</f>
        <v>5.73</v>
      </c>
    </row>
    <row r="63" spans="2:6" x14ac:dyDescent="0.35">
      <c r="E63" t="s">
        <v>242</v>
      </c>
      <c r="F63">
        <f>_xlfn.CHISQ.INV.RT(F61,I11-1-1)</f>
        <v>9.4877290367811575</v>
      </c>
    </row>
    <row r="64" spans="2:6" x14ac:dyDescent="0.35">
      <c r="E64" t="s">
        <v>14</v>
      </c>
      <c r="F64" t="str">
        <f>IF(F62&gt;F63,"Reject Null Hypothesis","Accept Null Hypothesis")</f>
        <v>Accept Null Hypothesis</v>
      </c>
    </row>
    <row r="65" spans="5:6" x14ac:dyDescent="0.35">
      <c r="E65" t="s">
        <v>11</v>
      </c>
      <c r="F65">
        <f>_xlfn.CHISQ.DIST.RT(F62,I11-1-1)</f>
        <v>0.22023980182531155</v>
      </c>
    </row>
    <row r="66" spans="5:6" x14ac:dyDescent="0.35">
      <c r="E66" t="s">
        <v>14</v>
      </c>
      <c r="F66" t="str">
        <f>IF(F65&lt;F61,"Reject Null Hypothesis","Accept Null Hypothesis")</f>
        <v>Accept Null Hypothesis</v>
      </c>
    </row>
  </sheetData>
  <mergeCells count="1">
    <mergeCell ref="I17:J17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9"/>
  <sheetViews>
    <sheetView workbookViewId="0">
      <selection activeCell="F19" sqref="F19"/>
    </sheetView>
  </sheetViews>
  <sheetFormatPr defaultRowHeight="14.5" x14ac:dyDescent="0.35"/>
  <cols>
    <col min="4" max="4" width="28.90625" bestFit="1" customWidth="1"/>
    <col min="5" max="5" width="18.81640625" bestFit="1" customWidth="1"/>
    <col min="8" max="8" width="11.81640625" bestFit="1" customWidth="1"/>
    <col min="10" max="10" width="13.1796875" customWidth="1"/>
    <col min="12" max="12" width="10.08984375" bestFit="1" customWidth="1"/>
    <col min="13" max="13" width="13.54296875" bestFit="1" customWidth="1"/>
  </cols>
  <sheetData>
    <row r="1" spans="1:13" x14ac:dyDescent="0.35">
      <c r="A1" s="1" t="s">
        <v>92</v>
      </c>
      <c r="B1" s="1"/>
      <c r="C1" s="1"/>
      <c r="D1" s="1"/>
      <c r="E1" s="1"/>
      <c r="F1" s="1"/>
      <c r="G1" s="1"/>
      <c r="H1" s="1"/>
      <c r="I1" s="1"/>
      <c r="J1" s="1"/>
    </row>
    <row r="2" spans="1:13" x14ac:dyDescent="0.35">
      <c r="A2" s="1" t="s">
        <v>93</v>
      </c>
      <c r="B2" s="1"/>
      <c r="C2" s="1"/>
      <c r="D2" s="1"/>
      <c r="E2" s="1"/>
      <c r="F2" s="1"/>
      <c r="G2" s="1"/>
      <c r="H2" s="1"/>
      <c r="I2" s="1"/>
      <c r="J2" s="1"/>
    </row>
    <row r="3" spans="1:13" x14ac:dyDescent="0.35">
      <c r="A3" s="1" t="s">
        <v>94</v>
      </c>
      <c r="B3" s="1"/>
      <c r="C3" s="1"/>
      <c r="D3" s="1"/>
      <c r="E3" s="1"/>
      <c r="F3" s="1"/>
      <c r="G3" s="1"/>
      <c r="H3" s="1"/>
      <c r="I3" s="1"/>
      <c r="J3" s="1"/>
    </row>
    <row r="4" spans="1:13" x14ac:dyDescent="0.35">
      <c r="A4" s="1" t="s">
        <v>95</v>
      </c>
      <c r="B4" s="1"/>
      <c r="C4" s="1"/>
      <c r="D4" s="1"/>
      <c r="E4" s="1"/>
      <c r="F4" s="1"/>
      <c r="G4" s="1"/>
      <c r="H4" s="1"/>
      <c r="I4" s="1"/>
      <c r="J4" s="1"/>
    </row>
    <row r="8" spans="1:13" x14ac:dyDescent="0.35">
      <c r="D8" t="s">
        <v>4</v>
      </c>
      <c r="E8">
        <v>100</v>
      </c>
    </row>
    <row r="9" spans="1:13" x14ac:dyDescent="0.35">
      <c r="D9" t="s">
        <v>5</v>
      </c>
      <c r="E9">
        <v>12</v>
      </c>
    </row>
    <row r="10" spans="1:13" x14ac:dyDescent="0.35">
      <c r="D10" t="s">
        <v>19</v>
      </c>
      <c r="E10">
        <v>14</v>
      </c>
    </row>
    <row r="11" spans="1:13" x14ac:dyDescent="0.35">
      <c r="D11" t="s">
        <v>6</v>
      </c>
      <c r="E11">
        <v>1.5</v>
      </c>
      <c r="L11" t="s">
        <v>12</v>
      </c>
      <c r="M11" t="s">
        <v>22</v>
      </c>
    </row>
    <row r="12" spans="1:13" x14ac:dyDescent="0.35">
      <c r="D12" t="s">
        <v>97</v>
      </c>
      <c r="E12" t="s">
        <v>98</v>
      </c>
    </row>
    <row r="13" spans="1:13" x14ac:dyDescent="0.35">
      <c r="D13" t="s">
        <v>96</v>
      </c>
      <c r="E13" t="s">
        <v>99</v>
      </c>
    </row>
    <row r="14" spans="1:13" x14ac:dyDescent="0.35">
      <c r="D14" t="s">
        <v>18</v>
      </c>
      <c r="E14">
        <v>0.05</v>
      </c>
    </row>
    <row r="15" spans="1:13" x14ac:dyDescent="0.35">
      <c r="D15" t="s">
        <v>12</v>
      </c>
      <c r="E15">
        <f>((E9-E10)/(E11/SQRT(E8)))</f>
        <v>-13.333333333333334</v>
      </c>
    </row>
    <row r="16" spans="1:13" x14ac:dyDescent="0.35">
      <c r="D16" t="s">
        <v>13</v>
      </c>
      <c r="E16">
        <f>ABS(_xlfn.NORM.S.INV(E14))</f>
        <v>1.6448536269514726</v>
      </c>
    </row>
    <row r="17" spans="4:5" x14ac:dyDescent="0.35">
      <c r="D17" t="s">
        <v>14</v>
      </c>
      <c r="E17" t="str">
        <f>IF(E15&gt;E16,"Reject Null Hypotheis","Retain Null Hypotheis")</f>
        <v>Retain Null Hypotheis</v>
      </c>
    </row>
    <row r="18" spans="4:5" x14ac:dyDescent="0.35">
      <c r="D18" t="s">
        <v>11</v>
      </c>
      <c r="E18">
        <f>1-_xlfn.NORM.S.DIST(E15,TRUE)</f>
        <v>1</v>
      </c>
    </row>
    <row r="19" spans="4:5" x14ac:dyDescent="0.35">
      <c r="D19" t="s">
        <v>14</v>
      </c>
      <c r="E19" t="str">
        <f>IF(E18&lt;E14,"Reject Null Hypotheis","Retain Null Hypotheis")</f>
        <v>Retain Null Hypotheis</v>
      </c>
    </row>
  </sheetData>
  <pageMargins left="0.7" right="0.7" top="0.75" bottom="0.75" header="0.3" footer="0.3"/>
  <pageSetup orientation="portrait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8"/>
  <sheetViews>
    <sheetView workbookViewId="0">
      <selection activeCell="H11" sqref="H11:I12"/>
    </sheetView>
  </sheetViews>
  <sheetFormatPr defaultRowHeight="14.5" x14ac:dyDescent="0.35"/>
  <cols>
    <col min="4" max="4" width="25.81640625" bestFit="1" customWidth="1"/>
    <col min="5" max="5" width="19.90625" bestFit="1" customWidth="1"/>
    <col min="8" max="8" width="10.1796875" bestFit="1" customWidth="1"/>
    <col min="9" max="9" width="13.36328125" bestFit="1" customWidth="1"/>
    <col min="12" max="12" width="10.90625" customWidth="1"/>
  </cols>
  <sheetData>
    <row r="1" spans="1:12" x14ac:dyDescent="0.35">
      <c r="A1" s="1" t="s">
        <v>100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 x14ac:dyDescent="0.35">
      <c r="A2" s="1" t="s">
        <v>101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</row>
    <row r="3" spans="1:12" x14ac:dyDescent="0.35">
      <c r="A3" s="1" t="s">
        <v>110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</row>
    <row r="4" spans="1:12" x14ac:dyDescent="0.35">
      <c r="A4" s="1" t="s">
        <v>102</v>
      </c>
      <c r="B4" s="1"/>
      <c r="C4" s="1"/>
      <c r="D4" s="1"/>
      <c r="E4" s="1"/>
      <c r="F4" s="1"/>
      <c r="G4" s="1"/>
      <c r="H4" s="1"/>
      <c r="I4" s="1"/>
      <c r="J4" s="1"/>
      <c r="K4" s="1"/>
      <c r="L4" s="1"/>
    </row>
    <row r="7" spans="1:12" x14ac:dyDescent="0.35">
      <c r="D7" t="s">
        <v>4</v>
      </c>
      <c r="E7">
        <v>45</v>
      </c>
    </row>
    <row r="8" spans="1:12" x14ac:dyDescent="0.35">
      <c r="D8" t="s">
        <v>5</v>
      </c>
      <c r="E8">
        <v>1220</v>
      </c>
    </row>
    <row r="9" spans="1:12" x14ac:dyDescent="0.35">
      <c r="D9" t="s">
        <v>70</v>
      </c>
      <c r="E9">
        <v>120</v>
      </c>
    </row>
    <row r="10" spans="1:12" x14ac:dyDescent="0.35">
      <c r="D10" t="s">
        <v>19</v>
      </c>
      <c r="E10">
        <v>1200</v>
      </c>
    </row>
    <row r="11" spans="1:12" x14ac:dyDescent="0.35">
      <c r="D11" t="s">
        <v>18</v>
      </c>
      <c r="E11">
        <v>0.01</v>
      </c>
      <c r="H11" t="s">
        <v>129</v>
      </c>
      <c r="I11" t="s">
        <v>69</v>
      </c>
    </row>
    <row r="12" spans="1:12" x14ac:dyDescent="0.35">
      <c r="D12" t="s">
        <v>44</v>
      </c>
      <c r="E12" t="s">
        <v>104</v>
      </c>
      <c r="H12" t="s">
        <v>64</v>
      </c>
      <c r="I12" t="s">
        <v>65</v>
      </c>
    </row>
    <row r="13" spans="1:12" x14ac:dyDescent="0.35">
      <c r="D13" t="s">
        <v>42</v>
      </c>
      <c r="E13" t="s">
        <v>103</v>
      </c>
    </row>
    <row r="14" spans="1:12" x14ac:dyDescent="0.35">
      <c r="D14" t="s">
        <v>129</v>
      </c>
      <c r="E14">
        <f>(E8-E10)/(E9/SQRT(E7))</f>
        <v>1.1180339887498949</v>
      </c>
    </row>
    <row r="15" spans="1:12" x14ac:dyDescent="0.35">
      <c r="D15" t="s">
        <v>130</v>
      </c>
      <c r="E15">
        <f>ABS(_xlfn.T.INV(E11,E7-1))</f>
        <v>2.4141343681687393</v>
      </c>
    </row>
    <row r="16" spans="1:12" x14ac:dyDescent="0.35">
      <c r="D16" t="s">
        <v>14</v>
      </c>
      <c r="E16" t="str">
        <f>IF(E14&gt;E15,"Reject Null Hypothesis","Retain Null Hypothesis")</f>
        <v>Retain Null Hypothesis</v>
      </c>
    </row>
    <row r="17" spans="4:5" x14ac:dyDescent="0.35">
      <c r="D17" t="s">
        <v>11</v>
      </c>
      <c r="E17">
        <f>_xlfn.T.DIST.RT(E14,E7-1)</f>
        <v>0.13480990576831181</v>
      </c>
    </row>
    <row r="18" spans="4:5" x14ac:dyDescent="0.35">
      <c r="D18" t="s">
        <v>14</v>
      </c>
      <c r="E18" t="str">
        <f>IF(E17&lt;E11,"Reject Null Hypothesis","Retain Null Hypothesis")</f>
        <v>Retain Null Hypothesis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4"/>
  <sheetViews>
    <sheetView workbookViewId="0">
      <selection activeCell="J13" sqref="J13:K14"/>
    </sheetView>
  </sheetViews>
  <sheetFormatPr defaultRowHeight="14.5" x14ac:dyDescent="0.35"/>
  <cols>
    <col min="6" max="6" width="25.81640625" bestFit="1" customWidth="1"/>
    <col min="7" max="7" width="19.6328125" bestFit="1" customWidth="1"/>
    <col min="10" max="10" width="10.1796875" bestFit="1" customWidth="1"/>
    <col min="11" max="11" width="13.36328125" bestFit="1" customWidth="1"/>
  </cols>
  <sheetData>
    <row r="1" spans="1:11" x14ac:dyDescent="0.35">
      <c r="A1" s="1" t="s">
        <v>105</v>
      </c>
      <c r="B1" s="1"/>
      <c r="C1" s="1"/>
      <c r="D1" s="1"/>
      <c r="E1" s="1"/>
      <c r="F1" s="1"/>
      <c r="G1" s="1"/>
      <c r="H1" s="1"/>
      <c r="I1" s="1"/>
      <c r="J1" s="1"/>
      <c r="K1" s="1"/>
    </row>
    <row r="2" spans="1:11" x14ac:dyDescent="0.35">
      <c r="A2" s="1" t="s">
        <v>106</v>
      </c>
      <c r="B2" s="1"/>
      <c r="C2" s="1"/>
      <c r="D2" s="1"/>
      <c r="E2" s="1"/>
      <c r="F2" s="1"/>
      <c r="G2" s="1"/>
      <c r="H2" s="1"/>
      <c r="I2" s="1"/>
      <c r="J2" s="1"/>
      <c r="K2" s="1"/>
    </row>
    <row r="3" spans="1:11" x14ac:dyDescent="0.35">
      <c r="A3" s="1" t="s">
        <v>107</v>
      </c>
      <c r="B3" s="1"/>
      <c r="C3" s="1"/>
      <c r="D3" s="1"/>
      <c r="E3" s="1"/>
      <c r="F3" s="1"/>
      <c r="G3" s="1"/>
      <c r="H3" s="1"/>
      <c r="I3" s="1"/>
      <c r="J3" s="1"/>
      <c r="K3" s="1"/>
    </row>
    <row r="5" spans="1:11" x14ac:dyDescent="0.35">
      <c r="C5">
        <v>48</v>
      </c>
    </row>
    <row r="6" spans="1:11" x14ac:dyDescent="0.35">
      <c r="C6">
        <v>62</v>
      </c>
    </row>
    <row r="7" spans="1:11" x14ac:dyDescent="0.35">
      <c r="C7">
        <v>65</v>
      </c>
    </row>
    <row r="8" spans="1:11" x14ac:dyDescent="0.35">
      <c r="C8">
        <v>29</v>
      </c>
    </row>
    <row r="9" spans="1:11" x14ac:dyDescent="0.35">
      <c r="C9">
        <v>33</v>
      </c>
      <c r="F9" t="s">
        <v>4</v>
      </c>
      <c r="G9">
        <f>COUNT(C5:C44)</f>
        <v>40</v>
      </c>
    </row>
    <row r="10" spans="1:11" x14ac:dyDescent="0.35">
      <c r="C10">
        <v>87</v>
      </c>
      <c r="F10" t="s">
        <v>5</v>
      </c>
      <c r="G10">
        <f>AVERAGE(C5:C44)</f>
        <v>62.95</v>
      </c>
    </row>
    <row r="11" spans="1:11" x14ac:dyDescent="0.35">
      <c r="C11">
        <v>57</v>
      </c>
      <c r="F11" t="s">
        <v>19</v>
      </c>
      <c r="G11">
        <v>60</v>
      </c>
    </row>
    <row r="12" spans="1:11" x14ac:dyDescent="0.35">
      <c r="C12">
        <v>88</v>
      </c>
      <c r="F12" t="s">
        <v>70</v>
      </c>
      <c r="G12">
        <f>_xlfn.STDEV.S(C5:C44)</f>
        <v>20.02556058948355</v>
      </c>
    </row>
    <row r="13" spans="1:11" x14ac:dyDescent="0.35">
      <c r="C13">
        <v>34</v>
      </c>
      <c r="F13" t="s">
        <v>18</v>
      </c>
      <c r="G13">
        <v>0.1</v>
      </c>
      <c r="J13" t="s">
        <v>129</v>
      </c>
      <c r="K13" t="s">
        <v>69</v>
      </c>
    </row>
    <row r="14" spans="1:11" x14ac:dyDescent="0.35">
      <c r="C14">
        <v>41</v>
      </c>
      <c r="F14" t="s">
        <v>44</v>
      </c>
      <c r="G14" t="s">
        <v>109</v>
      </c>
      <c r="J14" t="s">
        <v>64</v>
      </c>
      <c r="K14" t="s">
        <v>65</v>
      </c>
    </row>
    <row r="15" spans="1:11" x14ac:dyDescent="0.35">
      <c r="C15">
        <v>64</v>
      </c>
      <c r="F15" t="s">
        <v>42</v>
      </c>
      <c r="G15" t="s">
        <v>108</v>
      </c>
    </row>
    <row r="16" spans="1:11" x14ac:dyDescent="0.35">
      <c r="C16">
        <v>72</v>
      </c>
      <c r="F16" t="s">
        <v>158</v>
      </c>
      <c r="G16">
        <f>(G10-G11)/(G12/SQRT(G9))</f>
        <v>0.93168119372355729</v>
      </c>
    </row>
    <row r="17" spans="3:7" x14ac:dyDescent="0.35">
      <c r="C17">
        <v>68</v>
      </c>
      <c r="F17" t="s">
        <v>130</v>
      </c>
      <c r="G17">
        <f>ABS(_xlfn.T.INV(G13,G9-1))</f>
        <v>1.3036385886212738</v>
      </c>
    </row>
    <row r="18" spans="3:7" x14ac:dyDescent="0.35">
      <c r="C18">
        <v>29</v>
      </c>
      <c r="F18" t="s">
        <v>14</v>
      </c>
      <c r="G18" t="str">
        <f>IF(G16&gt;G17,"Reject Null Hypothesis","Retain Null Hypothesis")</f>
        <v>Retain Null Hypothesis</v>
      </c>
    </row>
    <row r="19" spans="3:7" x14ac:dyDescent="0.35">
      <c r="C19">
        <v>78</v>
      </c>
      <c r="F19" t="s">
        <v>11</v>
      </c>
      <c r="G19">
        <f>_xlfn.T.DIST.RT(G16,G9-1)</f>
        <v>0.17861665944511251</v>
      </c>
    </row>
    <row r="20" spans="3:7" x14ac:dyDescent="0.35">
      <c r="C20">
        <v>65</v>
      </c>
      <c r="F20" t="s">
        <v>14</v>
      </c>
      <c r="G20" t="str">
        <f>IF(G19&lt;G13,"Reject Null Hypothesis","Retain Null Hypothesis")</f>
        <v>Retain Null Hypothesis</v>
      </c>
    </row>
    <row r="21" spans="3:7" x14ac:dyDescent="0.35">
      <c r="C21">
        <v>112</v>
      </c>
    </row>
    <row r="22" spans="3:7" x14ac:dyDescent="0.35">
      <c r="C22">
        <v>36</v>
      </c>
    </row>
    <row r="23" spans="3:7" x14ac:dyDescent="0.35">
      <c r="C23">
        <v>55</v>
      </c>
    </row>
    <row r="24" spans="3:7" x14ac:dyDescent="0.35">
      <c r="C24">
        <v>89</v>
      </c>
    </row>
    <row r="25" spans="3:7" x14ac:dyDescent="0.35">
      <c r="C25">
        <v>62</v>
      </c>
    </row>
    <row r="26" spans="3:7" x14ac:dyDescent="0.35">
      <c r="C26">
        <v>88</v>
      </c>
    </row>
    <row r="27" spans="3:7" x14ac:dyDescent="0.35">
      <c r="C27">
        <v>45</v>
      </c>
    </row>
    <row r="28" spans="3:7" x14ac:dyDescent="0.35">
      <c r="C28">
        <v>75</v>
      </c>
    </row>
    <row r="29" spans="3:7" x14ac:dyDescent="0.35">
      <c r="C29">
        <v>66</v>
      </c>
    </row>
    <row r="30" spans="3:7" x14ac:dyDescent="0.35">
      <c r="C30">
        <v>72</v>
      </c>
    </row>
    <row r="31" spans="3:7" x14ac:dyDescent="0.35">
      <c r="C31">
        <v>34</v>
      </c>
    </row>
    <row r="32" spans="3:7" x14ac:dyDescent="0.35">
      <c r="C32">
        <v>56</v>
      </c>
    </row>
    <row r="33" spans="3:3" x14ac:dyDescent="0.35">
      <c r="C33">
        <v>44</v>
      </c>
    </row>
    <row r="34" spans="3:3" x14ac:dyDescent="0.35">
      <c r="C34">
        <v>78</v>
      </c>
    </row>
    <row r="35" spans="3:3" x14ac:dyDescent="0.35">
      <c r="C35">
        <v>56</v>
      </c>
    </row>
    <row r="36" spans="3:3" x14ac:dyDescent="0.35">
      <c r="C36">
        <v>66</v>
      </c>
    </row>
    <row r="37" spans="3:3" x14ac:dyDescent="0.35">
      <c r="C37">
        <v>82</v>
      </c>
    </row>
    <row r="38" spans="3:3" x14ac:dyDescent="0.35">
      <c r="C38">
        <v>67</v>
      </c>
    </row>
    <row r="39" spans="3:3" x14ac:dyDescent="0.35">
      <c r="C39">
        <v>45</v>
      </c>
    </row>
    <row r="40" spans="3:3" x14ac:dyDescent="0.35">
      <c r="C40">
        <v>66</v>
      </c>
    </row>
    <row r="41" spans="3:3" x14ac:dyDescent="0.35">
      <c r="C41">
        <v>81</v>
      </c>
    </row>
    <row r="42" spans="3:3" x14ac:dyDescent="0.35">
      <c r="C42">
        <v>88</v>
      </c>
    </row>
    <row r="43" spans="3:3" x14ac:dyDescent="0.35">
      <c r="C43">
        <v>90</v>
      </c>
    </row>
    <row r="44" spans="3:3" x14ac:dyDescent="0.35">
      <c r="C44">
        <v>45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8"/>
  <sheetViews>
    <sheetView workbookViewId="0">
      <selection activeCell="D18" sqref="D18"/>
    </sheetView>
  </sheetViews>
  <sheetFormatPr defaultRowHeight="14.5" x14ac:dyDescent="0.35"/>
  <cols>
    <col min="3" max="3" width="23.36328125" bestFit="1" customWidth="1"/>
    <col min="4" max="4" width="19.90625" bestFit="1" customWidth="1"/>
    <col min="10" max="10" width="10.08984375" bestFit="1" customWidth="1"/>
    <col min="11" max="11" width="20.7265625" bestFit="1" customWidth="1"/>
  </cols>
  <sheetData>
    <row r="1" spans="1:11" x14ac:dyDescent="0.35">
      <c r="A1" s="1" t="s">
        <v>148</v>
      </c>
      <c r="B1" s="1"/>
      <c r="C1" s="1"/>
      <c r="D1" s="1"/>
      <c r="E1" s="1"/>
      <c r="F1" s="1"/>
      <c r="G1" s="1"/>
      <c r="H1" s="1"/>
      <c r="I1" s="1"/>
      <c r="J1" s="1"/>
      <c r="K1" s="1"/>
    </row>
    <row r="2" spans="1:11" x14ac:dyDescent="0.35">
      <c r="A2" s="1" t="s">
        <v>149</v>
      </c>
      <c r="B2" s="1"/>
      <c r="C2" s="1"/>
      <c r="D2" s="1"/>
      <c r="E2" s="1"/>
      <c r="F2" s="1"/>
      <c r="G2" s="1"/>
      <c r="H2" s="1"/>
      <c r="I2" s="1"/>
      <c r="J2" s="1"/>
      <c r="K2" s="1"/>
    </row>
    <row r="3" spans="1:11" x14ac:dyDescent="0.35">
      <c r="A3" s="1" t="s">
        <v>150</v>
      </c>
      <c r="B3" s="1"/>
      <c r="C3" s="1"/>
      <c r="D3" s="1"/>
      <c r="E3" s="1"/>
      <c r="F3" s="1"/>
      <c r="G3" s="1"/>
      <c r="H3" s="1"/>
      <c r="I3" s="1"/>
      <c r="J3" s="1"/>
      <c r="K3" s="1"/>
    </row>
    <row r="8" spans="1:11" x14ac:dyDescent="0.35">
      <c r="C8" t="s">
        <v>4</v>
      </c>
      <c r="D8">
        <v>620</v>
      </c>
    </row>
    <row r="9" spans="1:11" x14ac:dyDescent="0.35">
      <c r="C9" t="s">
        <v>47</v>
      </c>
      <c r="D9">
        <f>80/D8</f>
        <v>0.12903225806451613</v>
      </c>
    </row>
    <row r="10" spans="1:11" x14ac:dyDescent="0.35">
      <c r="C10" t="s">
        <v>48</v>
      </c>
      <c r="D10">
        <v>0.12</v>
      </c>
    </row>
    <row r="11" spans="1:11" x14ac:dyDescent="0.35">
      <c r="C11" t="s">
        <v>39</v>
      </c>
      <c r="D11">
        <v>0.01</v>
      </c>
    </row>
    <row r="12" spans="1:11" x14ac:dyDescent="0.35">
      <c r="C12" t="s">
        <v>43</v>
      </c>
      <c r="D12" t="s">
        <v>152</v>
      </c>
    </row>
    <row r="13" spans="1:11" x14ac:dyDescent="0.35">
      <c r="C13" t="s">
        <v>42</v>
      </c>
      <c r="D13" t="s">
        <v>151</v>
      </c>
      <c r="J13" t="s">
        <v>12</v>
      </c>
      <c r="K13" t="s">
        <v>63</v>
      </c>
    </row>
    <row r="14" spans="1:11" x14ac:dyDescent="0.35">
      <c r="C14" t="s">
        <v>12</v>
      </c>
      <c r="D14">
        <f>(D9-D10)/(D10*(1-D10)/D8)^0.5</f>
        <v>0.69208625344619346</v>
      </c>
    </row>
    <row r="15" spans="1:11" x14ac:dyDescent="0.35">
      <c r="C15" t="s">
        <v>13</v>
      </c>
      <c r="D15">
        <f>ABS(_xlfn.NORM.S.INV(D11))</f>
        <v>2.3263478740408408</v>
      </c>
    </row>
    <row r="16" spans="1:11" x14ac:dyDescent="0.35">
      <c r="C16" t="s">
        <v>14</v>
      </c>
      <c r="D16" t="str">
        <f>IF(D14&gt;D15,"Reject Null Hypothesis","Accept Null Hypothesis")</f>
        <v>Accept Null Hypothesis</v>
      </c>
    </row>
    <row r="17" spans="3:4" x14ac:dyDescent="0.35">
      <c r="C17" t="s">
        <v>11</v>
      </c>
      <c r="D17">
        <f>1-_xlfn.NORM.S.DIST(D14,TRUE)</f>
        <v>0.24444158194456833</v>
      </c>
    </row>
    <row r="18" spans="3:4" x14ac:dyDescent="0.35">
      <c r="C18" t="s">
        <v>14</v>
      </c>
      <c r="D18" t="str">
        <f>IF(D17&lt;D11,"Reject Null Hypothesis","Accept Null Hypothesis")</f>
        <v>Accept Null Hypothesis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8"/>
  <sheetViews>
    <sheetView workbookViewId="0">
      <selection activeCell="J6" sqref="J6"/>
    </sheetView>
  </sheetViews>
  <sheetFormatPr defaultRowHeight="14.5" x14ac:dyDescent="0.35"/>
  <cols>
    <col min="4" max="4" width="23.36328125" bestFit="1" customWidth="1"/>
    <col min="5" max="5" width="19.90625" bestFit="1" customWidth="1"/>
    <col min="7" max="7" width="17.1796875" bestFit="1" customWidth="1"/>
    <col min="8" max="8" width="13.7265625" bestFit="1" customWidth="1"/>
    <col min="10" max="10" width="13.6328125" customWidth="1"/>
    <col min="11" max="11" width="10.08984375" bestFit="1" customWidth="1"/>
    <col min="12" max="12" width="20.7265625" bestFit="1" customWidth="1"/>
  </cols>
  <sheetData>
    <row r="1" spans="1:12" x14ac:dyDescent="0.35">
      <c r="A1" s="1" t="s">
        <v>153</v>
      </c>
      <c r="B1" s="1"/>
      <c r="C1" s="1"/>
      <c r="D1" s="1"/>
      <c r="E1" s="1"/>
      <c r="F1" s="1"/>
      <c r="G1" s="1"/>
      <c r="H1" s="1"/>
      <c r="I1" s="1"/>
      <c r="J1" s="1"/>
    </row>
    <row r="2" spans="1:12" x14ac:dyDescent="0.35">
      <c r="A2" s="1" t="s">
        <v>154</v>
      </c>
      <c r="B2" s="1"/>
      <c r="C2" s="1"/>
      <c r="D2" s="1"/>
      <c r="E2" s="1"/>
      <c r="F2" s="1"/>
      <c r="G2" s="1"/>
      <c r="H2" s="1"/>
      <c r="I2" s="1"/>
      <c r="J2" s="1"/>
    </row>
    <row r="3" spans="1:12" x14ac:dyDescent="0.35">
      <c r="A3" s="1" t="s">
        <v>159</v>
      </c>
      <c r="B3" s="1"/>
      <c r="C3" s="1"/>
      <c r="D3" s="1"/>
      <c r="E3" s="1"/>
      <c r="F3" s="1"/>
      <c r="G3" s="1"/>
      <c r="H3" s="1"/>
      <c r="I3" s="1"/>
      <c r="J3" s="1"/>
    </row>
    <row r="4" spans="1:12" x14ac:dyDescent="0.35">
      <c r="A4" s="1" t="s">
        <v>155</v>
      </c>
      <c r="B4" s="1"/>
      <c r="C4" s="1"/>
      <c r="D4" s="1"/>
      <c r="E4" s="1"/>
      <c r="F4" s="1"/>
      <c r="G4" s="1"/>
      <c r="H4" s="1"/>
      <c r="I4" s="1"/>
      <c r="J4" s="1"/>
    </row>
    <row r="8" spans="1:12" x14ac:dyDescent="0.35">
      <c r="D8" t="s">
        <v>4</v>
      </c>
      <c r="E8">
        <v>1200</v>
      </c>
    </row>
    <row r="9" spans="1:12" x14ac:dyDescent="0.35">
      <c r="D9" t="s">
        <v>47</v>
      </c>
      <c r="E9">
        <f>66/E8</f>
        <v>5.5E-2</v>
      </c>
    </row>
    <row r="10" spans="1:12" x14ac:dyDescent="0.35">
      <c r="D10" t="s">
        <v>48</v>
      </c>
      <c r="E10">
        <v>0.06</v>
      </c>
    </row>
    <row r="11" spans="1:12" x14ac:dyDescent="0.35">
      <c r="D11" t="s">
        <v>39</v>
      </c>
      <c r="E11">
        <v>0.01</v>
      </c>
    </row>
    <row r="12" spans="1:12" x14ac:dyDescent="0.35">
      <c r="D12" t="s">
        <v>43</v>
      </c>
      <c r="E12" t="s">
        <v>157</v>
      </c>
    </row>
    <row r="13" spans="1:12" x14ac:dyDescent="0.35">
      <c r="D13" t="s">
        <v>42</v>
      </c>
      <c r="E13" t="s">
        <v>156</v>
      </c>
      <c r="G13" t="s">
        <v>51</v>
      </c>
      <c r="H13">
        <f>E9-E15*(E9*(1-E9)/E8)^0.5</f>
        <v>3.9689785189454686E-2</v>
      </c>
      <c r="K13" t="s">
        <v>12</v>
      </c>
      <c r="L13" t="s">
        <v>63</v>
      </c>
    </row>
    <row r="14" spans="1:12" x14ac:dyDescent="0.35">
      <c r="D14" t="s">
        <v>12</v>
      </c>
      <c r="E14">
        <f>(E9-E10)/(E10*(1-E10)/E8)^0.5</f>
        <v>-0.72932495748947246</v>
      </c>
      <c r="G14" t="s">
        <v>52</v>
      </c>
      <c r="H14">
        <f>E9+E15*(E9*(1-E9)/E8)^0.5</f>
        <v>7.0310214810545321E-2</v>
      </c>
    </row>
    <row r="15" spans="1:12" x14ac:dyDescent="0.35">
      <c r="D15" t="s">
        <v>13</v>
      </c>
      <c r="E15">
        <f>ABS(_xlfn.NORM.S.INV(E11))</f>
        <v>2.3263478740408408</v>
      </c>
      <c r="G15" t="s">
        <v>53</v>
      </c>
      <c r="H15" t="str">
        <f>CONCATENATE("(",ROUND(H13,4),",",ROUND(H14,4),")")</f>
        <v>(0.0397,0.0703)</v>
      </c>
    </row>
    <row r="16" spans="1:12" x14ac:dyDescent="0.35">
      <c r="D16" t="s">
        <v>14</v>
      </c>
      <c r="E16" t="str">
        <f>IF(E14&gt;E15,"Reject Null Hypothesis","Accept Null Hypothesis")</f>
        <v>Accept Null Hypothesis</v>
      </c>
    </row>
    <row r="17" spans="4:5" x14ac:dyDescent="0.35">
      <c r="D17" t="s">
        <v>11</v>
      </c>
      <c r="E17">
        <f>1-_xlfn.NORM.S.DIST(E14,TRUE)</f>
        <v>0.76709854537907785</v>
      </c>
    </row>
    <row r="18" spans="4:5" x14ac:dyDescent="0.35">
      <c r="D18" t="s">
        <v>14</v>
      </c>
      <c r="E18" t="str">
        <f>IF(E17&lt;E11,"Reject Null Hypothesis","Accept Null Hypothesis")</f>
        <v>Accept Null Hypothesis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7"/>
  <sheetViews>
    <sheetView workbookViewId="0">
      <selection activeCell="I16" sqref="I16"/>
    </sheetView>
  </sheetViews>
  <sheetFormatPr defaultRowHeight="14.5" x14ac:dyDescent="0.35"/>
  <cols>
    <col min="4" max="4" width="25.81640625" bestFit="1" customWidth="1"/>
    <col min="5" max="5" width="19.36328125" bestFit="1" customWidth="1"/>
    <col min="8" max="8" width="10.1796875" bestFit="1" customWidth="1"/>
    <col min="9" max="9" width="33.90625" bestFit="1" customWidth="1"/>
    <col min="10" max="10" width="10.1796875" bestFit="1" customWidth="1"/>
    <col min="11" max="11" width="14.7265625" bestFit="1" customWidth="1"/>
  </cols>
  <sheetData>
    <row r="1" spans="1:9" x14ac:dyDescent="0.35">
      <c r="A1" s="1" t="s">
        <v>160</v>
      </c>
      <c r="B1" s="1"/>
      <c r="C1" s="1"/>
      <c r="D1" s="1"/>
      <c r="E1" s="1"/>
      <c r="F1" s="1"/>
      <c r="G1" s="1"/>
      <c r="H1" s="1"/>
      <c r="I1" s="1"/>
    </row>
    <row r="2" spans="1:9" x14ac:dyDescent="0.35">
      <c r="A2" s="1" t="s">
        <v>161</v>
      </c>
      <c r="B2" s="1"/>
      <c r="C2" s="1"/>
      <c r="D2" s="1"/>
      <c r="E2" s="1"/>
      <c r="F2" s="1"/>
      <c r="G2" s="1"/>
      <c r="H2" s="1"/>
      <c r="I2" s="1"/>
    </row>
    <row r="3" spans="1:9" x14ac:dyDescent="0.35">
      <c r="A3" s="1" t="s">
        <v>162</v>
      </c>
      <c r="B3" s="1"/>
      <c r="C3" s="1"/>
      <c r="D3" s="1"/>
      <c r="E3" s="1"/>
      <c r="F3" s="1"/>
      <c r="G3" s="1"/>
      <c r="H3" s="1"/>
      <c r="I3" s="1"/>
    </row>
    <row r="4" spans="1:9" x14ac:dyDescent="0.35">
      <c r="A4" s="1" t="s">
        <v>165</v>
      </c>
      <c r="B4" s="1"/>
      <c r="C4" s="1"/>
      <c r="D4" s="1"/>
      <c r="E4" s="1"/>
      <c r="F4" s="1"/>
      <c r="G4" s="1"/>
      <c r="H4" s="1"/>
      <c r="I4" s="1"/>
    </row>
    <row r="12" spans="1:9" x14ac:dyDescent="0.35">
      <c r="D12" t="s">
        <v>120</v>
      </c>
      <c r="E12">
        <v>30</v>
      </c>
      <c r="H12" t="s">
        <v>64</v>
      </c>
      <c r="I12" t="s">
        <v>146</v>
      </c>
    </row>
    <row r="13" spans="1:9" x14ac:dyDescent="0.35">
      <c r="D13" t="s">
        <v>121</v>
      </c>
      <c r="E13">
        <v>30</v>
      </c>
      <c r="H13" t="s">
        <v>129</v>
      </c>
      <c r="I13" t="s">
        <v>147</v>
      </c>
    </row>
    <row r="14" spans="1:9" x14ac:dyDescent="0.35">
      <c r="D14" t="s">
        <v>122</v>
      </c>
      <c r="E14">
        <v>22</v>
      </c>
    </row>
    <row r="15" spans="1:9" x14ac:dyDescent="0.35">
      <c r="D15" t="s">
        <v>123</v>
      </c>
      <c r="E15">
        <v>21</v>
      </c>
    </row>
    <row r="16" spans="1:9" x14ac:dyDescent="0.35">
      <c r="D16" t="s">
        <v>140</v>
      </c>
      <c r="E16">
        <v>4</v>
      </c>
    </row>
    <row r="17" spans="4:5" x14ac:dyDescent="0.35">
      <c r="D17" t="s">
        <v>141</v>
      </c>
      <c r="E17">
        <v>2.5</v>
      </c>
    </row>
    <row r="18" spans="4:5" x14ac:dyDescent="0.35">
      <c r="D18" t="s">
        <v>18</v>
      </c>
      <c r="E18">
        <v>0.1</v>
      </c>
    </row>
    <row r="19" spans="4:5" x14ac:dyDescent="0.35">
      <c r="D19" s="2" t="s">
        <v>126</v>
      </c>
      <c r="E19">
        <v>1.2</v>
      </c>
    </row>
    <row r="20" spans="4:5" x14ac:dyDescent="0.35">
      <c r="D20" t="s">
        <v>97</v>
      </c>
      <c r="E20" t="s">
        <v>164</v>
      </c>
    </row>
    <row r="21" spans="4:5" x14ac:dyDescent="0.35">
      <c r="D21" t="s">
        <v>42</v>
      </c>
      <c r="E21" t="s">
        <v>163</v>
      </c>
    </row>
    <row r="22" spans="4:5" x14ac:dyDescent="0.35">
      <c r="D22" t="s">
        <v>144</v>
      </c>
      <c r="E22">
        <f>((E12-1)*E16^2+(E13-1)*E17^2)/(E12+E13-2)</f>
        <v>11.125</v>
      </c>
    </row>
    <row r="23" spans="4:5" x14ac:dyDescent="0.35">
      <c r="D23" t="s">
        <v>129</v>
      </c>
      <c r="E23">
        <f>((E14-E15)-(E19))/(E22*(1/E12+1/E13))^0.5</f>
        <v>-0.23223389991485502</v>
      </c>
    </row>
    <row r="24" spans="4:5" x14ac:dyDescent="0.35">
      <c r="D24" t="s">
        <v>130</v>
      </c>
      <c r="E24">
        <f>_xlfn.T.INV(E18,E12+E13-2)</f>
        <v>-1.2963188904044187</v>
      </c>
    </row>
    <row r="25" spans="4:5" x14ac:dyDescent="0.35">
      <c r="D25" t="s">
        <v>14</v>
      </c>
      <c r="E25" t="str">
        <f>IF(E23&lt;E24,"Reject Null Hypothesis","Retain Null Hypothesis")</f>
        <v>Retain Null Hypothesis</v>
      </c>
    </row>
    <row r="26" spans="4:5" x14ac:dyDescent="0.35">
      <c r="D26" t="s">
        <v>11</v>
      </c>
      <c r="E26">
        <f>_xlfn.T.DIST(E23,E12+E13-2,TRUE)</f>
        <v>0.40858692198980573</v>
      </c>
    </row>
    <row r="27" spans="4:5" x14ac:dyDescent="0.35">
      <c r="D27" t="s">
        <v>14</v>
      </c>
      <c r="E27" t="str">
        <f>IF(E26&lt;E18,"Reject Null Hypothesis","Retain Null Hypothesis")</f>
        <v>Retain Null Hypothesis</v>
      </c>
    </row>
  </sheetData>
  <pageMargins left="0.7" right="0.7" top="0.75" bottom="0.75" header="0.3" footer="0.3"/>
  <drawing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6"/>
  <sheetViews>
    <sheetView workbookViewId="0">
      <selection activeCell="C19" sqref="C19"/>
    </sheetView>
  </sheetViews>
  <sheetFormatPr defaultRowHeight="14.5" x14ac:dyDescent="0.35"/>
  <cols>
    <col min="2" max="2" width="19.26953125" bestFit="1" customWidth="1"/>
    <col min="3" max="3" width="12.453125" bestFit="1" customWidth="1"/>
    <col min="4" max="4" width="9.54296875" bestFit="1" customWidth="1"/>
    <col min="7" max="7" width="25.81640625" bestFit="1" customWidth="1"/>
    <col min="8" max="8" width="19.6328125" bestFit="1" customWidth="1"/>
    <col min="10" max="10" width="24.81640625" customWidth="1"/>
    <col min="11" max="11" width="14.7265625" bestFit="1" customWidth="1"/>
  </cols>
  <sheetData>
    <row r="1" spans="1:11" x14ac:dyDescent="0.35">
      <c r="A1" s="1" t="s">
        <v>166</v>
      </c>
      <c r="B1" s="1"/>
      <c r="C1" s="1"/>
      <c r="D1" s="1"/>
      <c r="E1" s="1"/>
      <c r="F1" s="1"/>
      <c r="G1" s="1"/>
      <c r="H1" s="1"/>
      <c r="I1" s="1"/>
      <c r="J1" s="1"/>
    </row>
    <row r="2" spans="1:11" x14ac:dyDescent="0.35">
      <c r="A2" s="1" t="s">
        <v>167</v>
      </c>
      <c r="B2" s="1"/>
      <c r="C2" s="1"/>
      <c r="D2" s="1"/>
      <c r="E2" s="1"/>
      <c r="F2" s="1"/>
      <c r="G2" s="1"/>
      <c r="H2" s="1"/>
      <c r="I2" s="1"/>
      <c r="J2" s="1"/>
    </row>
    <row r="3" spans="1:11" x14ac:dyDescent="0.35">
      <c r="A3" s="1" t="s">
        <v>168</v>
      </c>
      <c r="B3" s="1"/>
      <c r="C3" s="1"/>
      <c r="D3" s="1"/>
      <c r="E3" s="1"/>
      <c r="F3" s="1"/>
      <c r="G3" s="1"/>
      <c r="H3" s="1"/>
      <c r="I3" s="1"/>
      <c r="J3" s="1"/>
    </row>
    <row r="4" spans="1:11" x14ac:dyDescent="0.35">
      <c r="A4" s="1" t="s">
        <v>169</v>
      </c>
      <c r="B4" s="1"/>
      <c r="C4" s="1"/>
      <c r="D4" s="1"/>
      <c r="E4" s="1"/>
      <c r="F4" s="1"/>
      <c r="G4" s="1"/>
      <c r="H4" s="1"/>
      <c r="I4" s="1"/>
      <c r="J4" s="1"/>
    </row>
    <row r="6" spans="1:11" x14ac:dyDescent="0.35">
      <c r="B6" t="s">
        <v>170</v>
      </c>
      <c r="C6" t="s">
        <v>171</v>
      </c>
      <c r="D6" t="s">
        <v>172</v>
      </c>
    </row>
    <row r="7" spans="1:11" x14ac:dyDescent="0.35">
      <c r="B7">
        <v>11.2</v>
      </c>
      <c r="C7">
        <v>17.649999999999999</v>
      </c>
      <c r="D7">
        <f>B7-C7</f>
        <v>-6.4499999999999993</v>
      </c>
    </row>
    <row r="8" spans="1:11" x14ac:dyDescent="0.35">
      <c r="B8">
        <v>12.1</v>
      </c>
      <c r="C8">
        <v>10.199999999999999</v>
      </c>
      <c r="D8">
        <f t="shared" ref="D8:D56" si="0">B8-C8</f>
        <v>1.9000000000000004</v>
      </c>
    </row>
    <row r="9" spans="1:11" x14ac:dyDescent="0.35">
      <c r="B9">
        <v>13.33</v>
      </c>
      <c r="C9">
        <v>19</v>
      </c>
      <c r="D9">
        <f t="shared" si="0"/>
        <v>-5.67</v>
      </c>
      <c r="G9" t="s">
        <v>4</v>
      </c>
      <c r="H9">
        <f>COUNT(C7:C56)</f>
        <v>50</v>
      </c>
    </row>
    <row r="10" spans="1:11" x14ac:dyDescent="0.35">
      <c r="B10">
        <v>16.399999999999999</v>
      </c>
      <c r="C10">
        <v>14</v>
      </c>
      <c r="D10">
        <f t="shared" si="0"/>
        <v>2.3999999999999986</v>
      </c>
      <c r="G10" t="s">
        <v>78</v>
      </c>
      <c r="H10">
        <f>AVERAGE(D7:D56)</f>
        <v>-0.62660000000000016</v>
      </c>
    </row>
    <row r="11" spans="1:11" x14ac:dyDescent="0.35">
      <c r="B11">
        <v>15</v>
      </c>
      <c r="C11">
        <v>11</v>
      </c>
      <c r="D11">
        <f t="shared" si="0"/>
        <v>4</v>
      </c>
      <c r="G11" t="s">
        <v>70</v>
      </c>
      <c r="H11">
        <f>_xlfn.STDEV.S(D7:D56)</f>
        <v>5.5314963137823527</v>
      </c>
      <c r="J11" t="s">
        <v>129</v>
      </c>
      <c r="K11" t="s">
        <v>82</v>
      </c>
    </row>
    <row r="12" spans="1:11" x14ac:dyDescent="0.35">
      <c r="B12">
        <v>10</v>
      </c>
      <c r="C12">
        <v>4.97</v>
      </c>
      <c r="D12">
        <f t="shared" si="0"/>
        <v>5.03</v>
      </c>
      <c r="G12" t="s">
        <v>79</v>
      </c>
      <c r="H12">
        <v>0</v>
      </c>
      <c r="J12" t="s">
        <v>64</v>
      </c>
      <c r="K12" t="s">
        <v>65</v>
      </c>
    </row>
    <row r="13" spans="1:11" x14ac:dyDescent="0.35">
      <c r="B13">
        <v>12</v>
      </c>
      <c r="C13">
        <v>11</v>
      </c>
      <c r="D13">
        <f t="shared" si="0"/>
        <v>1</v>
      </c>
      <c r="G13" t="s">
        <v>44</v>
      </c>
      <c r="H13" t="s">
        <v>81</v>
      </c>
    </row>
    <row r="14" spans="1:11" x14ac:dyDescent="0.35">
      <c r="B14">
        <v>13</v>
      </c>
      <c r="C14">
        <v>7</v>
      </c>
      <c r="D14">
        <f t="shared" si="0"/>
        <v>6</v>
      </c>
      <c r="G14" t="s">
        <v>42</v>
      </c>
      <c r="H14" t="s">
        <v>80</v>
      </c>
    </row>
    <row r="15" spans="1:11" x14ac:dyDescent="0.35">
      <c r="B15">
        <v>12</v>
      </c>
      <c r="C15">
        <v>5.12</v>
      </c>
      <c r="D15">
        <f t="shared" si="0"/>
        <v>6.88</v>
      </c>
      <c r="G15" t="s">
        <v>10</v>
      </c>
      <c r="H15">
        <v>0.05</v>
      </c>
    </row>
    <row r="16" spans="1:11" x14ac:dyDescent="0.35">
      <c r="B16">
        <v>13</v>
      </c>
      <c r="C16">
        <v>4.9000000000000004</v>
      </c>
      <c r="D16">
        <f t="shared" si="0"/>
        <v>8.1</v>
      </c>
      <c r="G16" t="s">
        <v>129</v>
      </c>
      <c r="H16">
        <f>(H10-H12)/(H11/SQRT(H9))</f>
        <v>-0.80100045983493418</v>
      </c>
    </row>
    <row r="17" spans="2:8" x14ac:dyDescent="0.35">
      <c r="B17">
        <v>8.25</v>
      </c>
      <c r="C17">
        <v>19</v>
      </c>
      <c r="D17">
        <f t="shared" si="0"/>
        <v>-10.75</v>
      </c>
      <c r="G17" t="s">
        <v>130</v>
      </c>
      <c r="H17">
        <f>ABS(_xlfn.T.INV(H15,H9-1))</f>
        <v>1.6765508926168529</v>
      </c>
    </row>
    <row r="18" spans="2:8" x14ac:dyDescent="0.35">
      <c r="B18">
        <v>7</v>
      </c>
      <c r="C18">
        <v>11.45</v>
      </c>
      <c r="D18">
        <f t="shared" si="0"/>
        <v>-4.4499999999999993</v>
      </c>
      <c r="G18" t="s">
        <v>14</v>
      </c>
      <c r="H18" t="str">
        <f>IF(H16&gt;H17,"Reject Null Hypothesis","Retain Null Hypothesis")</f>
        <v>Retain Null Hypothesis</v>
      </c>
    </row>
    <row r="19" spans="2:8" x14ac:dyDescent="0.35">
      <c r="B19">
        <v>10</v>
      </c>
      <c r="C19">
        <v>16</v>
      </c>
      <c r="D19">
        <f t="shared" si="0"/>
        <v>-6</v>
      </c>
      <c r="G19" t="s">
        <v>11</v>
      </c>
      <c r="H19">
        <f>_xlfn.T.DIST.RT(H16,H9-1)</f>
        <v>0.78650079483625568</v>
      </c>
    </row>
    <row r="20" spans="2:8" x14ac:dyDescent="0.35">
      <c r="B20">
        <v>11.46</v>
      </c>
      <c r="C20">
        <v>6.87</v>
      </c>
      <c r="D20">
        <f t="shared" si="0"/>
        <v>4.5900000000000007</v>
      </c>
      <c r="G20" t="s">
        <v>14</v>
      </c>
      <c r="H20" t="str">
        <f>IF(H19&lt;H15,"Reject Null Hypothesis","Retain Null Hypothesis")</f>
        <v>Retain Null Hypothesis</v>
      </c>
    </row>
    <row r="21" spans="2:8" x14ac:dyDescent="0.35">
      <c r="B21">
        <v>11</v>
      </c>
      <c r="C21">
        <v>14</v>
      </c>
      <c r="D21">
        <f t="shared" si="0"/>
        <v>-3</v>
      </c>
    </row>
    <row r="22" spans="2:8" x14ac:dyDescent="0.35">
      <c r="B22">
        <v>7.7</v>
      </c>
      <c r="C22">
        <v>8</v>
      </c>
      <c r="D22">
        <f t="shared" si="0"/>
        <v>-0.29999999999999982</v>
      </c>
    </row>
    <row r="23" spans="2:8" x14ac:dyDescent="0.35">
      <c r="B23">
        <v>7</v>
      </c>
      <c r="C23">
        <v>10.78</v>
      </c>
      <c r="D23">
        <f t="shared" si="0"/>
        <v>-3.7799999999999994</v>
      </c>
    </row>
    <row r="24" spans="2:8" x14ac:dyDescent="0.35">
      <c r="B24">
        <v>12</v>
      </c>
      <c r="C24">
        <v>16</v>
      </c>
      <c r="D24">
        <f t="shared" si="0"/>
        <v>-4</v>
      </c>
    </row>
    <row r="25" spans="2:8" x14ac:dyDescent="0.35">
      <c r="B25">
        <v>18</v>
      </c>
      <c r="C25">
        <v>18</v>
      </c>
      <c r="D25">
        <f t="shared" si="0"/>
        <v>0</v>
      </c>
    </row>
    <row r="26" spans="2:8" x14ac:dyDescent="0.35">
      <c r="B26">
        <v>10</v>
      </c>
      <c r="C26">
        <v>11</v>
      </c>
      <c r="D26">
        <f t="shared" si="0"/>
        <v>-1</v>
      </c>
    </row>
    <row r="27" spans="2:8" x14ac:dyDescent="0.35">
      <c r="B27">
        <v>13.11</v>
      </c>
      <c r="C27">
        <v>13</v>
      </c>
      <c r="D27">
        <f t="shared" si="0"/>
        <v>0.10999999999999943</v>
      </c>
    </row>
    <row r="28" spans="2:8" x14ac:dyDescent="0.35">
      <c r="B28">
        <v>9</v>
      </c>
      <c r="C28">
        <v>17</v>
      </c>
      <c r="D28">
        <f t="shared" si="0"/>
        <v>-8</v>
      </c>
    </row>
    <row r="29" spans="2:8" x14ac:dyDescent="0.35">
      <c r="B29">
        <v>14</v>
      </c>
      <c r="C29">
        <v>18</v>
      </c>
      <c r="D29">
        <f t="shared" si="0"/>
        <v>-4</v>
      </c>
    </row>
    <row r="30" spans="2:8" x14ac:dyDescent="0.35">
      <c r="B30">
        <v>9.9</v>
      </c>
      <c r="C30">
        <v>16</v>
      </c>
      <c r="D30">
        <f t="shared" si="0"/>
        <v>-6.1</v>
      </c>
    </row>
    <row r="31" spans="2:8" x14ac:dyDescent="0.35">
      <c r="B31">
        <v>16</v>
      </c>
      <c r="C31">
        <v>12</v>
      </c>
      <c r="D31">
        <f t="shared" si="0"/>
        <v>4</v>
      </c>
    </row>
    <row r="32" spans="2:8" x14ac:dyDescent="0.35">
      <c r="B32">
        <v>9</v>
      </c>
      <c r="C32">
        <v>13.26</v>
      </c>
      <c r="D32">
        <f t="shared" si="0"/>
        <v>-4.26</v>
      </c>
    </row>
    <row r="33" spans="2:4" x14ac:dyDescent="0.35">
      <c r="B33">
        <v>6</v>
      </c>
      <c r="C33">
        <v>19</v>
      </c>
      <c r="D33">
        <f t="shared" si="0"/>
        <v>-13</v>
      </c>
    </row>
    <row r="34" spans="2:4" x14ac:dyDescent="0.35">
      <c r="B34">
        <v>11.4</v>
      </c>
      <c r="C34">
        <v>10</v>
      </c>
      <c r="D34">
        <f t="shared" si="0"/>
        <v>1.4000000000000004</v>
      </c>
    </row>
    <row r="35" spans="2:4" x14ac:dyDescent="0.35">
      <c r="B35">
        <v>7</v>
      </c>
      <c r="C35">
        <v>17</v>
      </c>
      <c r="D35">
        <f t="shared" si="0"/>
        <v>-10</v>
      </c>
    </row>
    <row r="36" spans="2:4" x14ac:dyDescent="0.35">
      <c r="B36">
        <v>16</v>
      </c>
      <c r="C36">
        <v>5.56</v>
      </c>
      <c r="D36">
        <f t="shared" si="0"/>
        <v>10.440000000000001</v>
      </c>
    </row>
    <row r="37" spans="2:4" x14ac:dyDescent="0.35">
      <c r="B37">
        <v>8.41</v>
      </c>
      <c r="C37">
        <v>8</v>
      </c>
      <c r="D37">
        <f t="shared" si="0"/>
        <v>0.41000000000000014</v>
      </c>
    </row>
    <row r="38" spans="2:4" x14ac:dyDescent="0.35">
      <c r="B38">
        <v>17.21</v>
      </c>
      <c r="C38">
        <v>15.55</v>
      </c>
      <c r="D38">
        <f t="shared" si="0"/>
        <v>1.6600000000000001</v>
      </c>
    </row>
    <row r="39" spans="2:4" x14ac:dyDescent="0.35">
      <c r="B39">
        <v>14</v>
      </c>
      <c r="C39">
        <v>11.22</v>
      </c>
      <c r="D39">
        <f t="shared" si="0"/>
        <v>2.7799999999999994</v>
      </c>
    </row>
    <row r="40" spans="2:4" x14ac:dyDescent="0.35">
      <c r="B40">
        <v>15</v>
      </c>
      <c r="C40">
        <v>6.78</v>
      </c>
      <c r="D40">
        <f t="shared" si="0"/>
        <v>8.2199999999999989</v>
      </c>
    </row>
    <row r="41" spans="2:4" x14ac:dyDescent="0.35">
      <c r="B41">
        <v>17.2</v>
      </c>
      <c r="C41">
        <v>10</v>
      </c>
      <c r="D41">
        <f t="shared" si="0"/>
        <v>7.1999999999999993</v>
      </c>
    </row>
    <row r="42" spans="2:4" x14ac:dyDescent="0.35">
      <c r="B42">
        <v>18</v>
      </c>
      <c r="C42">
        <v>19</v>
      </c>
      <c r="D42">
        <f t="shared" si="0"/>
        <v>-1</v>
      </c>
    </row>
    <row r="43" spans="2:4" x14ac:dyDescent="0.35">
      <c r="B43">
        <v>9</v>
      </c>
      <c r="C43">
        <v>14</v>
      </c>
      <c r="D43">
        <f t="shared" si="0"/>
        <v>-5</v>
      </c>
    </row>
    <row r="44" spans="2:4" x14ac:dyDescent="0.35">
      <c r="B44">
        <v>7</v>
      </c>
      <c r="C44">
        <v>15</v>
      </c>
      <c r="D44">
        <f t="shared" si="0"/>
        <v>-8</v>
      </c>
    </row>
    <row r="45" spans="2:4" x14ac:dyDescent="0.35">
      <c r="B45">
        <v>15.45</v>
      </c>
      <c r="C45">
        <v>14</v>
      </c>
      <c r="D45">
        <f t="shared" si="0"/>
        <v>1.4499999999999993</v>
      </c>
    </row>
    <row r="46" spans="2:4" x14ac:dyDescent="0.35">
      <c r="B46">
        <v>15</v>
      </c>
      <c r="C46">
        <v>7</v>
      </c>
      <c r="D46">
        <f t="shared" si="0"/>
        <v>8</v>
      </c>
    </row>
    <row r="47" spans="2:4" x14ac:dyDescent="0.35">
      <c r="B47">
        <v>13</v>
      </c>
      <c r="C47">
        <v>14</v>
      </c>
      <c r="D47">
        <f t="shared" si="0"/>
        <v>-1</v>
      </c>
    </row>
    <row r="48" spans="2:4" x14ac:dyDescent="0.35">
      <c r="B48">
        <v>18.600000000000001</v>
      </c>
      <c r="C48">
        <v>15</v>
      </c>
      <c r="D48">
        <f t="shared" si="0"/>
        <v>3.6000000000000014</v>
      </c>
    </row>
    <row r="49" spans="2:4" x14ac:dyDescent="0.35">
      <c r="B49">
        <v>16</v>
      </c>
      <c r="C49">
        <v>18</v>
      </c>
      <c r="D49">
        <f t="shared" si="0"/>
        <v>-2</v>
      </c>
    </row>
    <row r="50" spans="2:4" x14ac:dyDescent="0.35">
      <c r="B50">
        <v>9.6</v>
      </c>
      <c r="C50">
        <v>7.78</v>
      </c>
      <c r="D50">
        <f t="shared" si="0"/>
        <v>1.8199999999999994</v>
      </c>
    </row>
    <row r="51" spans="2:4" x14ac:dyDescent="0.35">
      <c r="B51">
        <v>12</v>
      </c>
      <c r="C51">
        <v>10</v>
      </c>
      <c r="D51">
        <f t="shared" si="0"/>
        <v>2</v>
      </c>
    </row>
    <row r="52" spans="2:4" x14ac:dyDescent="0.35">
      <c r="B52">
        <v>6</v>
      </c>
      <c r="C52">
        <v>15</v>
      </c>
      <c r="D52">
        <f t="shared" si="0"/>
        <v>-9</v>
      </c>
    </row>
    <row r="53" spans="2:4" x14ac:dyDescent="0.35">
      <c r="B53">
        <v>15</v>
      </c>
      <c r="C53">
        <v>16.2</v>
      </c>
      <c r="D53">
        <f t="shared" si="0"/>
        <v>-1.1999999999999993</v>
      </c>
    </row>
    <row r="54" spans="2:4" x14ac:dyDescent="0.35">
      <c r="B54">
        <v>8</v>
      </c>
      <c r="C54">
        <v>15</v>
      </c>
      <c r="D54">
        <f t="shared" si="0"/>
        <v>-7</v>
      </c>
    </row>
    <row r="55" spans="2:4" x14ac:dyDescent="0.35">
      <c r="B55">
        <v>16.29</v>
      </c>
      <c r="C55">
        <v>11.65</v>
      </c>
      <c r="D55">
        <f t="shared" si="0"/>
        <v>4.6399999999999988</v>
      </c>
    </row>
    <row r="56" spans="2:4" x14ac:dyDescent="0.35">
      <c r="B56">
        <v>9</v>
      </c>
      <c r="C56">
        <v>13</v>
      </c>
      <c r="D56">
        <f t="shared" si="0"/>
        <v>-4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0"/>
  <sheetViews>
    <sheetView tabSelected="1" workbookViewId="0">
      <selection activeCell="H15" sqref="H15"/>
    </sheetView>
  </sheetViews>
  <sheetFormatPr defaultRowHeight="14.5" x14ac:dyDescent="0.35"/>
  <sheetData>
    <row r="1" spans="1:15" x14ac:dyDescent="0.35">
      <c r="A1" s="1" t="s">
        <v>173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</row>
    <row r="2" spans="1:15" x14ac:dyDescent="0.35">
      <c r="A2" s="1" t="s">
        <v>174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</row>
    <row r="3" spans="1:15" x14ac:dyDescent="0.35">
      <c r="A3" s="1" t="s">
        <v>175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</row>
    <row r="7" spans="1:15" x14ac:dyDescent="0.35">
      <c r="D7" t="s">
        <v>176</v>
      </c>
      <c r="E7" t="s">
        <v>180</v>
      </c>
      <c r="F7" t="s">
        <v>181</v>
      </c>
    </row>
    <row r="8" spans="1:15" x14ac:dyDescent="0.35">
      <c r="D8" t="s">
        <v>177</v>
      </c>
      <c r="E8">
        <v>28200</v>
      </c>
      <c r="F8">
        <v>2450</v>
      </c>
    </row>
    <row r="9" spans="1:15" x14ac:dyDescent="0.35">
      <c r="D9" t="s">
        <v>178</v>
      </c>
      <c r="E9">
        <v>18750</v>
      </c>
      <c r="F9">
        <v>710</v>
      </c>
    </row>
    <row r="10" spans="1:15" x14ac:dyDescent="0.35">
      <c r="D10" t="s">
        <v>179</v>
      </c>
      <c r="E10">
        <v>46950</v>
      </c>
      <c r="F10">
        <v>3160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24</vt:i4>
      </vt:variant>
    </vt:vector>
  </HeadingPairs>
  <TitlesOfParts>
    <vt:vector size="24" baseType="lpstr">
      <vt:lpstr>Question1</vt:lpstr>
      <vt:lpstr>Question2</vt:lpstr>
      <vt:lpstr>Question3</vt:lpstr>
      <vt:lpstr>Question4</vt:lpstr>
      <vt:lpstr>Question5</vt:lpstr>
      <vt:lpstr>Question6</vt:lpstr>
      <vt:lpstr>Question7</vt:lpstr>
      <vt:lpstr>Question8</vt:lpstr>
      <vt:lpstr>Question9</vt:lpstr>
      <vt:lpstr>Question10</vt:lpstr>
      <vt:lpstr>Question11</vt:lpstr>
      <vt:lpstr>Question12</vt:lpstr>
      <vt:lpstr>Question13</vt:lpstr>
      <vt:lpstr>Question14</vt:lpstr>
      <vt:lpstr>Question15</vt:lpstr>
      <vt:lpstr>Question16</vt:lpstr>
      <vt:lpstr>Question17</vt:lpstr>
      <vt:lpstr>Question18</vt:lpstr>
      <vt:lpstr>Question19</vt:lpstr>
      <vt:lpstr>Question20</vt:lpstr>
      <vt:lpstr>Question21</vt:lpstr>
      <vt:lpstr>Question22</vt:lpstr>
      <vt:lpstr>Question23</vt:lpstr>
      <vt:lpstr>Question24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2024-05-23T12:53:44Z</dcterms:modified>
</cp:coreProperties>
</file>