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mc:AlternateContent xmlns:mc="http://schemas.openxmlformats.org/markup-compatibility/2006">
    <mc:Choice Requires="x15">
      <x15ac:absPath xmlns:x15ac="http://schemas.microsoft.com/office/spreadsheetml/2010/11/ac" url="D:\ward office aayojana 2\budget estimate\speed breaker\"/>
    </mc:Choice>
  </mc:AlternateContent>
  <bookViews>
    <workbookView xWindow="-120" yWindow="-120" windowWidth="20730" windowHeight="11160"/>
  </bookViews>
  <sheets>
    <sheet name="new" sheetId="18" r:id="rId1"/>
    <sheet name="WCR" sheetId="6" r:id="rId2"/>
    <sheet name="V" sheetId="19" r:id="rId3"/>
    <sheet name="Sheet1" sheetId="20" state="hidden" r:id="rId4"/>
    <sheet name="M" sheetId="21" r:id="rId5"/>
  </sheets>
  <externalReferences>
    <externalReference r:id="rId6"/>
    <externalReference r:id="rId7"/>
    <externalReference r:id="rId8"/>
    <externalReference r:id="rId9"/>
  </externalReferences>
  <definedNames>
    <definedName name="adopted_rate_aggregate_10_20_mm">[1]District_Rate!$L$6</definedName>
    <definedName name="adopted_rate_aggregate_10_mm">[1]District_Rate!$L$7</definedName>
    <definedName name="adopted_rate_aggregate_20_40_mm">[1]District_Rate!$L$9</definedName>
    <definedName name="adopted_rate_binding_wire">[1]District_Rate!$L$17</definedName>
    <definedName name="adopted_rate_cement">[1]District_Rate!$L$25</definedName>
    <definedName name="adopted_rate_HYSD_bar">[1]District_Rate!$L$73</definedName>
    <definedName name="adopted_rate_sand">[1]District_Rate!$L$111</definedName>
    <definedName name="adopted_rate_water">[1]District_Rate!$L$129</definedName>
    <definedName name="concrete_mixer">[1]Equipment_Rate!$J$10</definedName>
    <definedName name="description_1">[2]Abstract!$B$167</definedName>
    <definedName name="description_124">[3]Abstract!$B$18</definedName>
    <definedName name="description_2">[2]Abstract!$B$168</definedName>
    <definedName name="description_261">[4]Abstract!$B$33</definedName>
    <definedName name="description_6">[2]Abstract!$B$172</definedName>
    <definedName name="description_784">[2]Abstract!$B$300</definedName>
    <definedName name="excavator">[1]Equipment_Rate!$J$19</definedName>
    <definedName name="generator">[1]Equipment_Rate!$J$20</definedName>
    <definedName name="_xlnm.Print_Area" localSheetId="4">M!$A$1:$K$67</definedName>
    <definedName name="_xlnm.Print_Area" localSheetId="0">new!$A$1:$K$54</definedName>
    <definedName name="_xlnm.Print_Area" localSheetId="2">V!$A$1:$K$67</definedName>
    <definedName name="_xlnm.Print_Area" localSheetId="1">WCR!$A$1:$K$30</definedName>
    <definedName name="_xlnm.Print_Titles" localSheetId="4">M!$1:$8</definedName>
    <definedName name="_xlnm.Print_Titles" localSheetId="0">new!$1:$8</definedName>
    <definedName name="_xlnm.Print_Titles" localSheetId="2">V!$1:$8</definedName>
    <definedName name="_xlnm.Print_Titles" localSheetId="1">WCR!$1:$12</definedName>
    <definedName name="skilled">[1]District_Rate!$D$148</definedName>
    <definedName name="skilled_blacksmith">[1]District_Rate!$D$149</definedName>
    <definedName name="unskilled">[1]District_Rate!$D$156</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33" i="18" l="1"/>
  <c r="G26" i="18" l="1"/>
  <c r="G27" i="18"/>
  <c r="G28" i="18"/>
  <c r="G29" i="18"/>
  <c r="G30" i="18"/>
  <c r="G31" i="18"/>
  <c r="G25" i="18"/>
  <c r="G32" i="18" s="1"/>
  <c r="E26" i="18"/>
  <c r="E27" i="18"/>
  <c r="E28" i="18"/>
  <c r="E29" i="18"/>
  <c r="E30" i="18"/>
  <c r="E31" i="18"/>
  <c r="D31" i="18"/>
  <c r="D30" i="18"/>
  <c r="D29" i="18"/>
  <c r="D28" i="18"/>
  <c r="D27" i="18"/>
  <c r="D26" i="18"/>
  <c r="E25" i="18"/>
  <c r="D25" i="18"/>
  <c r="G55" i="21"/>
  <c r="A9" i="6" l="1"/>
  <c r="A8" i="6"/>
  <c r="G45" i="19"/>
  <c r="C67" i="21"/>
  <c r="C66" i="21"/>
  <c r="C64" i="21"/>
  <c r="G58" i="21"/>
  <c r="J58" i="21" s="1"/>
  <c r="E54" i="21"/>
  <c r="D54" i="21"/>
  <c r="F53" i="21"/>
  <c r="G53" i="21" s="1"/>
  <c r="E53" i="21"/>
  <c r="D53" i="21"/>
  <c r="C54" i="21" s="1"/>
  <c r="F54" i="21" s="1"/>
  <c r="G54" i="21" s="1"/>
  <c r="C53" i="21"/>
  <c r="B53" i="21"/>
  <c r="E52" i="21"/>
  <c r="D52" i="21"/>
  <c r="C51" i="21" s="1"/>
  <c r="E51" i="21"/>
  <c r="B51" i="21"/>
  <c r="E50" i="21"/>
  <c r="D50" i="21"/>
  <c r="E49" i="21"/>
  <c r="C49" i="21"/>
  <c r="B49" i="21"/>
  <c r="G44" i="21"/>
  <c r="M43" i="21"/>
  <c r="E43" i="21"/>
  <c r="D43" i="21"/>
  <c r="D51" i="21" s="1"/>
  <c r="C52" i="21" s="1"/>
  <c r="F52" i="21" s="1"/>
  <c r="G52" i="21" s="1"/>
  <c r="M42" i="21"/>
  <c r="M44" i="21" s="1"/>
  <c r="D41" i="21"/>
  <c r="D40" i="21"/>
  <c r="D31" i="21" s="1"/>
  <c r="G31" i="21" s="1"/>
  <c r="F39" i="21"/>
  <c r="D39" i="21"/>
  <c r="F38" i="21"/>
  <c r="D38" i="21"/>
  <c r="D37" i="21"/>
  <c r="G37" i="21" s="1"/>
  <c r="D36" i="21"/>
  <c r="D35" i="21"/>
  <c r="F34" i="21"/>
  <c r="D34" i="21"/>
  <c r="G34" i="21" s="1"/>
  <c r="F32" i="21"/>
  <c r="E32" i="21"/>
  <c r="D32" i="21"/>
  <c r="G32" i="21" s="1"/>
  <c r="F31" i="21"/>
  <c r="E31" i="21"/>
  <c r="F30" i="21"/>
  <c r="E30" i="21"/>
  <c r="D30" i="21"/>
  <c r="G30" i="21" s="1"/>
  <c r="F29" i="21"/>
  <c r="E29" i="21"/>
  <c r="D29" i="21"/>
  <c r="G29" i="21" s="1"/>
  <c r="F28" i="21"/>
  <c r="E28" i="21"/>
  <c r="D28" i="21"/>
  <c r="G28" i="21" s="1"/>
  <c r="F27" i="21"/>
  <c r="E27" i="21"/>
  <c r="D27" i="21"/>
  <c r="G27" i="21" s="1"/>
  <c r="F26" i="21"/>
  <c r="E26" i="21"/>
  <c r="D26" i="21"/>
  <c r="G26" i="21" s="1"/>
  <c r="F25" i="21"/>
  <c r="E25" i="21"/>
  <c r="D25" i="21"/>
  <c r="G25" i="21" s="1"/>
  <c r="B25" i="21"/>
  <c r="F20" i="21"/>
  <c r="B20" i="21"/>
  <c r="N19" i="21"/>
  <c r="U18" i="21"/>
  <c r="S18" i="21"/>
  <c r="F41" i="21" s="1"/>
  <c r="P18" i="21"/>
  <c r="U17" i="21"/>
  <c r="S17" i="21"/>
  <c r="F40" i="21" s="1"/>
  <c r="P17" i="21"/>
  <c r="Q18" i="21" s="1"/>
  <c r="E41" i="21" s="1"/>
  <c r="U16" i="21"/>
  <c r="S16" i="21"/>
  <c r="Q16" i="21"/>
  <c r="E39" i="21" s="1"/>
  <c r="P16" i="21"/>
  <c r="Q17" i="21" s="1"/>
  <c r="E40" i="21" s="1"/>
  <c r="U15" i="21"/>
  <c r="S15" i="21"/>
  <c r="Q15" i="21"/>
  <c r="E38" i="21" s="1"/>
  <c r="P15" i="21"/>
  <c r="E15" i="21"/>
  <c r="E20" i="21" s="1"/>
  <c r="D15" i="21"/>
  <c r="D20" i="21" s="1"/>
  <c r="G20" i="21" s="1"/>
  <c r="G21" i="21" s="1"/>
  <c r="B15" i="21"/>
  <c r="U14" i="21"/>
  <c r="Q14" i="21"/>
  <c r="E37" i="21" s="1"/>
  <c r="P14" i="21"/>
  <c r="U13" i="21"/>
  <c r="R13" i="21"/>
  <c r="S14" i="21" s="1"/>
  <c r="F37" i="21" s="1"/>
  <c r="P13" i="21"/>
  <c r="U12" i="21"/>
  <c r="S12" i="21"/>
  <c r="F35" i="21" s="1"/>
  <c r="P12" i="21"/>
  <c r="Q13" i="21" s="1"/>
  <c r="E36" i="21" s="1"/>
  <c r="U11" i="21"/>
  <c r="S11" i="21"/>
  <c r="P11" i="21"/>
  <c r="Q12" i="21" s="1"/>
  <c r="E35" i="21" s="1"/>
  <c r="P10" i="21"/>
  <c r="Q11" i="21" s="1"/>
  <c r="E34" i="21" s="1"/>
  <c r="F10" i="21"/>
  <c r="G10" i="21" s="1"/>
  <c r="G11" i="21" s="1"/>
  <c r="D10" i="21"/>
  <c r="D43" i="19"/>
  <c r="F20" i="19"/>
  <c r="B53" i="19"/>
  <c r="B51" i="19"/>
  <c r="C53" i="19"/>
  <c r="D54" i="19"/>
  <c r="D53" i="19"/>
  <c r="C54" i="19" s="1"/>
  <c r="G44" i="19"/>
  <c r="M42" i="19"/>
  <c r="E43" i="19"/>
  <c r="D52" i="19" s="1"/>
  <c r="C51" i="19" s="1"/>
  <c r="J12" i="21" l="1"/>
  <c r="J11" i="21"/>
  <c r="G38" i="21"/>
  <c r="G40" i="21"/>
  <c r="G35" i="21"/>
  <c r="G41" i="21"/>
  <c r="J22" i="21"/>
  <c r="J21" i="21"/>
  <c r="G39" i="21"/>
  <c r="F51" i="21"/>
  <c r="G51" i="21" s="1"/>
  <c r="D49" i="21"/>
  <c r="S13" i="21"/>
  <c r="F36" i="21" s="1"/>
  <c r="G36" i="21" s="1"/>
  <c r="G15" i="21"/>
  <c r="G16" i="21" s="1"/>
  <c r="G43" i="21"/>
  <c r="M43" i="19"/>
  <c r="D51" i="19"/>
  <c r="C52" i="19" s="1"/>
  <c r="M44" i="19"/>
  <c r="G43" i="19"/>
  <c r="F25" i="19"/>
  <c r="F26" i="19"/>
  <c r="F27" i="19"/>
  <c r="F28" i="19"/>
  <c r="F29" i="19"/>
  <c r="F30" i="19"/>
  <c r="F31" i="19"/>
  <c r="F32" i="19"/>
  <c r="C49" i="19"/>
  <c r="D50" i="19"/>
  <c r="E26" i="19"/>
  <c r="E27" i="19"/>
  <c r="E28" i="19"/>
  <c r="E29" i="19"/>
  <c r="E30" i="19"/>
  <c r="E31" i="19"/>
  <c r="E32" i="19"/>
  <c r="E25" i="19"/>
  <c r="D34" i="19"/>
  <c r="D25" i="19" s="1"/>
  <c r="D35" i="19"/>
  <c r="D26" i="19" s="1"/>
  <c r="D36" i="19"/>
  <c r="D27" i="19" s="1"/>
  <c r="D37" i="19"/>
  <c r="D28" i="19" s="1"/>
  <c r="D38" i="19"/>
  <c r="D29" i="19" s="1"/>
  <c r="D39" i="19"/>
  <c r="D30" i="19" s="1"/>
  <c r="D40" i="19"/>
  <c r="D31" i="19" s="1"/>
  <c r="D41" i="19"/>
  <c r="D32" i="19" s="1"/>
  <c r="U12" i="19"/>
  <c r="U13" i="19"/>
  <c r="U14" i="19"/>
  <c r="U15" i="19"/>
  <c r="U16" i="19"/>
  <c r="U17" i="19"/>
  <c r="U18" i="19"/>
  <c r="U11" i="19"/>
  <c r="S12" i="19"/>
  <c r="F35" i="19" s="1"/>
  <c r="S15" i="19"/>
  <c r="F38" i="19" s="1"/>
  <c r="S16" i="19"/>
  <c r="F39" i="19" s="1"/>
  <c r="S17" i="19"/>
  <c r="F40" i="19" s="1"/>
  <c r="S18" i="19"/>
  <c r="F41" i="19" s="1"/>
  <c r="S11" i="19"/>
  <c r="F34" i="19" s="1"/>
  <c r="R13" i="19"/>
  <c r="S13" i="19" s="1"/>
  <c r="F36" i="19" s="1"/>
  <c r="P11" i="19"/>
  <c r="P12" i="19"/>
  <c r="P13" i="19"/>
  <c r="P14" i="19"/>
  <c r="P15" i="19"/>
  <c r="P16" i="19"/>
  <c r="P17" i="19"/>
  <c r="P18" i="19"/>
  <c r="P10" i="19"/>
  <c r="D10" i="19"/>
  <c r="D10" i="18"/>
  <c r="G45" i="21" l="1"/>
  <c r="J16" i="21"/>
  <c r="J17" i="21"/>
  <c r="F49" i="21"/>
  <c r="G49" i="21" s="1"/>
  <c r="C50" i="21"/>
  <c r="F50" i="21" s="1"/>
  <c r="G50" i="21" s="1"/>
  <c r="G32" i="19"/>
  <c r="D49" i="19"/>
  <c r="G30" i="19"/>
  <c r="G26" i="19"/>
  <c r="G28" i="19"/>
  <c r="Q17" i="19"/>
  <c r="E40" i="19" s="1"/>
  <c r="G40" i="19" s="1"/>
  <c r="Q13" i="19"/>
  <c r="E36" i="19" s="1"/>
  <c r="G36" i="19" s="1"/>
  <c r="G25" i="19"/>
  <c r="G29" i="19"/>
  <c r="S14" i="19"/>
  <c r="F37" i="19" s="1"/>
  <c r="G31" i="19"/>
  <c r="G27" i="19"/>
  <c r="Q11" i="19"/>
  <c r="Q16" i="19"/>
  <c r="E39" i="19" s="1"/>
  <c r="G39" i="19" s="1"/>
  <c r="Q15" i="19"/>
  <c r="E38" i="19" s="1"/>
  <c r="G38" i="19" s="1"/>
  <c r="Q18" i="19"/>
  <c r="E41" i="19" s="1"/>
  <c r="G41" i="19" s="1"/>
  <c r="Q14" i="19"/>
  <c r="E37" i="19" s="1"/>
  <c r="Q12" i="19"/>
  <c r="E35" i="19" s="1"/>
  <c r="G35" i="19" s="1"/>
  <c r="Q53" i="18"/>
  <c r="P56" i="18"/>
  <c r="O56" i="18"/>
  <c r="Q51" i="18"/>
  <c r="P51" i="18"/>
  <c r="Q50" i="18"/>
  <c r="P50" i="18"/>
  <c r="O50" i="18"/>
  <c r="J56" i="21" l="1"/>
  <c r="J55" i="21"/>
  <c r="J46" i="21"/>
  <c r="J45" i="21"/>
  <c r="J60" i="21" s="1"/>
  <c r="C62" i="21" s="1"/>
  <c r="E34" i="19"/>
  <c r="G34" i="19" s="1"/>
  <c r="G37" i="19"/>
  <c r="U61" i="20"/>
  <c r="P61" i="20"/>
  <c r="J60" i="20"/>
  <c r="K60" i="20" s="1"/>
  <c r="E60" i="20"/>
  <c r="F60" i="20" s="1"/>
  <c r="J59" i="20"/>
  <c r="K59" i="20" s="1"/>
  <c r="F59" i="20"/>
  <c r="E59" i="20"/>
  <c r="J49" i="20"/>
  <c r="K49" i="20" s="1"/>
  <c r="J48" i="20"/>
  <c r="K48" i="20" s="1"/>
  <c r="J47" i="20"/>
  <c r="K47" i="20" s="1"/>
  <c r="P46" i="20"/>
  <c r="O46" i="20"/>
  <c r="J46" i="20"/>
  <c r="K46" i="20" s="1"/>
  <c r="E46" i="20"/>
  <c r="F46" i="20" s="1"/>
  <c r="O45" i="20"/>
  <c r="P45" i="20" s="1"/>
  <c r="K45" i="20"/>
  <c r="J45" i="20"/>
  <c r="E45" i="20"/>
  <c r="F45" i="20" s="1"/>
  <c r="J34" i="20"/>
  <c r="K34" i="20" s="1"/>
  <c r="K33" i="20"/>
  <c r="J33" i="20"/>
  <c r="J32" i="20"/>
  <c r="K32" i="20" s="1"/>
  <c r="K31" i="20"/>
  <c r="J31" i="20"/>
  <c r="O30" i="20"/>
  <c r="P30" i="20" s="1"/>
  <c r="K30" i="20"/>
  <c r="J30" i="20"/>
  <c r="E30" i="20"/>
  <c r="F30" i="20" s="1"/>
  <c r="O29" i="20"/>
  <c r="P29" i="20" s="1"/>
  <c r="J29" i="20"/>
  <c r="K29" i="20" s="1"/>
  <c r="F29" i="20"/>
  <c r="F35" i="20" s="1"/>
  <c r="E29" i="20"/>
  <c r="U19" i="20"/>
  <c r="P19" i="20"/>
  <c r="E18" i="20"/>
  <c r="F18" i="20" s="1"/>
  <c r="K17" i="20"/>
  <c r="K19" i="20" s="1"/>
  <c r="E17" i="20"/>
  <c r="F17" i="20" s="1"/>
  <c r="F19" i="20" s="1"/>
  <c r="U8" i="20"/>
  <c r="K8" i="20"/>
  <c r="E7" i="20"/>
  <c r="F7" i="20" s="1"/>
  <c r="P6" i="20"/>
  <c r="P8" i="20" s="1"/>
  <c r="O6" i="20"/>
  <c r="E6" i="20"/>
  <c r="F6" i="20" s="1"/>
  <c r="C65" i="21" l="1"/>
  <c r="E64" i="21"/>
  <c r="E65" i="21" s="1"/>
  <c r="P35" i="20"/>
  <c r="F61" i="20"/>
  <c r="F50" i="20"/>
  <c r="K35" i="20"/>
  <c r="P50" i="20"/>
  <c r="F51" i="20" s="1"/>
  <c r="U45" i="20" s="1"/>
  <c r="U50" i="20" s="1"/>
  <c r="K51" i="20" s="1"/>
  <c r="K61" i="20"/>
  <c r="F62" i="20" s="1"/>
  <c r="K50" i="20"/>
  <c r="F36" i="20"/>
  <c r="U29" i="20" s="1"/>
  <c r="U35" i="20" s="1"/>
  <c r="K36" i="20" s="1"/>
  <c r="F20" i="20"/>
  <c r="K20" i="20"/>
  <c r="F8" i="20"/>
  <c r="K62" i="20" l="1"/>
  <c r="P51" i="20"/>
  <c r="U51" i="20" s="1"/>
  <c r="U52" i="20" s="1"/>
  <c r="P36" i="20"/>
  <c r="U36" i="20" s="1"/>
  <c r="U37" i="20" s="1"/>
  <c r="P20" i="20"/>
  <c r="U20" i="20" s="1"/>
  <c r="U21" i="20" s="1"/>
  <c r="F9" i="20"/>
  <c r="K9" i="20"/>
  <c r="P62" i="20" l="1"/>
  <c r="U62" i="20" s="1"/>
  <c r="U63" i="20" s="1"/>
  <c r="P9" i="20"/>
  <c r="U9" i="20" s="1"/>
  <c r="U10" i="20" s="1"/>
  <c r="H28" i="6" l="1"/>
  <c r="G28" i="6"/>
  <c r="E28" i="6"/>
  <c r="D28" i="6"/>
  <c r="C28" i="6"/>
  <c r="B28" i="6"/>
  <c r="A28" i="6"/>
  <c r="H25" i="6"/>
  <c r="E25" i="6"/>
  <c r="C25" i="6"/>
  <c r="B26" i="6"/>
  <c r="B25" i="6"/>
  <c r="A25" i="6"/>
  <c r="M27" i="6"/>
  <c r="H22" i="6"/>
  <c r="E22" i="6"/>
  <c r="C22" i="6"/>
  <c r="B23" i="6"/>
  <c r="B22" i="6"/>
  <c r="A22" i="6"/>
  <c r="H19" i="6"/>
  <c r="E19" i="6"/>
  <c r="C19" i="6"/>
  <c r="B20" i="6"/>
  <c r="B19" i="6"/>
  <c r="A19" i="6"/>
  <c r="M24" i="6"/>
  <c r="M21" i="6"/>
  <c r="H16" i="6"/>
  <c r="E16" i="6"/>
  <c r="C16" i="6"/>
  <c r="B17" i="6"/>
  <c r="B16" i="6"/>
  <c r="A16" i="6"/>
  <c r="H13" i="6"/>
  <c r="E13" i="6"/>
  <c r="C13" i="6"/>
  <c r="B14" i="6"/>
  <c r="B13" i="6"/>
  <c r="A13" i="6"/>
  <c r="C67" i="19"/>
  <c r="C66" i="19"/>
  <c r="G58" i="19"/>
  <c r="J58" i="19" s="1"/>
  <c r="E54" i="19"/>
  <c r="E53" i="19"/>
  <c r="E52" i="19"/>
  <c r="E51" i="19"/>
  <c r="E50" i="19"/>
  <c r="E49" i="19"/>
  <c r="B25" i="19"/>
  <c r="B49" i="19" s="1"/>
  <c r="E15" i="19"/>
  <c r="E20" i="19" s="1"/>
  <c r="D15" i="19"/>
  <c r="D20" i="19" s="1"/>
  <c r="B15" i="19"/>
  <c r="F10" i="19"/>
  <c r="G10" i="19" s="1"/>
  <c r="G11" i="19" s="1"/>
  <c r="G13" i="6" s="1"/>
  <c r="C64" i="19" l="1"/>
  <c r="F54" i="19"/>
  <c r="G54" i="19" s="1"/>
  <c r="J12" i="19"/>
  <c r="I14" i="6" s="1"/>
  <c r="J11" i="19"/>
  <c r="G20" i="19"/>
  <c r="F53" i="19"/>
  <c r="G53" i="19" s="1"/>
  <c r="G15" i="19"/>
  <c r="G16" i="19" s="1"/>
  <c r="G16" i="6" s="1"/>
  <c r="B20" i="19"/>
  <c r="G21" i="19" l="1"/>
  <c r="G19" i="6" s="1"/>
  <c r="I19" i="6" s="1"/>
  <c r="J21" i="19"/>
  <c r="J17" i="19"/>
  <c r="I17" i="6" s="1"/>
  <c r="J16" i="19"/>
  <c r="C50" i="19"/>
  <c r="F50" i="19" s="1"/>
  <c r="G50" i="19" s="1"/>
  <c r="N19" i="19"/>
  <c r="D15" i="18"/>
  <c r="D20" i="18" s="1"/>
  <c r="C54" i="18"/>
  <c r="C53" i="18"/>
  <c r="G45" i="18"/>
  <c r="J45" i="18" s="1"/>
  <c r="E41" i="18"/>
  <c r="D41" i="18"/>
  <c r="E40" i="18"/>
  <c r="D40" i="18"/>
  <c r="B40" i="18"/>
  <c r="E39" i="18"/>
  <c r="D39" i="18"/>
  <c r="E38" i="18"/>
  <c r="D38" i="18"/>
  <c r="B38" i="18"/>
  <c r="E37" i="18"/>
  <c r="E36" i="18"/>
  <c r="B36" i="18"/>
  <c r="E15" i="18"/>
  <c r="E20" i="18" s="1"/>
  <c r="B15" i="18"/>
  <c r="F10" i="18"/>
  <c r="G10" i="18"/>
  <c r="G11" i="18" s="1"/>
  <c r="J22" i="19" l="1"/>
  <c r="I20" i="6" s="1"/>
  <c r="O44" i="18"/>
  <c r="J12" i="18"/>
  <c r="F14" i="6" s="1"/>
  <c r="D13" i="6"/>
  <c r="F49" i="19"/>
  <c r="G49" i="19" s="1"/>
  <c r="F52" i="19"/>
  <c r="G52" i="19" s="1"/>
  <c r="F51" i="19"/>
  <c r="G51" i="19" s="1"/>
  <c r="G55" i="19" s="1"/>
  <c r="C51" i="18"/>
  <c r="C41" i="18"/>
  <c r="F41" i="18" s="1"/>
  <c r="G41" i="18" s="1"/>
  <c r="J11" i="18"/>
  <c r="G20" i="18"/>
  <c r="G21" i="18" s="1"/>
  <c r="C36" i="18"/>
  <c r="D37" i="18"/>
  <c r="C40" i="18"/>
  <c r="F40" i="18" s="1"/>
  <c r="G40" i="18" s="1"/>
  <c r="G15" i="18"/>
  <c r="G16" i="18" s="1"/>
  <c r="B20" i="18"/>
  <c r="G22" i="6" l="1"/>
  <c r="I22" i="6" s="1"/>
  <c r="P44" i="18"/>
  <c r="Q44" i="18" s="1"/>
  <c r="O37" i="18"/>
  <c r="D16" i="6"/>
  <c r="D19" i="6"/>
  <c r="F19" i="6" s="1"/>
  <c r="J19" i="6" s="1"/>
  <c r="G25" i="6"/>
  <c r="I25" i="6" s="1"/>
  <c r="J16" i="18"/>
  <c r="J17" i="18"/>
  <c r="F17" i="6" s="1"/>
  <c r="J21" i="18"/>
  <c r="J22" i="18"/>
  <c r="F20" i="6" s="1"/>
  <c r="J20" i="6" s="1"/>
  <c r="D36" i="18"/>
  <c r="C37" i="18" s="1"/>
  <c r="F37" i="18" s="1"/>
  <c r="G37" i="18" s="1"/>
  <c r="J56" i="19" l="1"/>
  <c r="I26" i="6" s="1"/>
  <c r="J45" i="19"/>
  <c r="J46" i="19"/>
  <c r="I23" i="6" s="1"/>
  <c r="J55" i="19"/>
  <c r="P37" i="18"/>
  <c r="Q37" i="18"/>
  <c r="F36" i="18"/>
  <c r="G36" i="18" s="1"/>
  <c r="C39" i="18"/>
  <c r="F39" i="18" s="1"/>
  <c r="G39" i="18" s="1"/>
  <c r="C38" i="18"/>
  <c r="F38" i="18" s="1"/>
  <c r="G38" i="18" s="1"/>
  <c r="G42" i="18" l="1"/>
  <c r="J43" i="18" s="1"/>
  <c r="J60" i="19"/>
  <c r="C62" i="19" s="1"/>
  <c r="E64" i="19" s="1"/>
  <c r="E65" i="19" s="1"/>
  <c r="D22" i="6"/>
  <c r="F22" i="6" s="1"/>
  <c r="J22" i="6" s="1"/>
  <c r="O38" i="18"/>
  <c r="P38" i="18" s="1"/>
  <c r="Q38" i="18" s="1"/>
  <c r="O40" i="18"/>
  <c r="P40" i="18" s="1"/>
  <c r="Q40" i="18" s="1"/>
  <c r="O41" i="18"/>
  <c r="P41" i="18" s="1"/>
  <c r="Q41" i="18" s="1"/>
  <c r="O45" i="18"/>
  <c r="P45" i="18" s="1"/>
  <c r="Q45" i="18" s="1"/>
  <c r="O39" i="18"/>
  <c r="P39" i="18" s="1"/>
  <c r="Q39" i="18" s="1"/>
  <c r="F23" i="6"/>
  <c r="J23" i="6" s="1"/>
  <c r="J32" i="18"/>
  <c r="J47" i="18" s="1"/>
  <c r="C65" i="19" l="1"/>
  <c r="P48" i="18"/>
  <c r="F26" i="6"/>
  <c r="J26" i="6" s="1"/>
  <c r="O43" i="18"/>
  <c r="P43" i="18" s="1"/>
  <c r="Q43" i="18" s="1"/>
  <c r="O42" i="18"/>
  <c r="P42" i="18" s="1"/>
  <c r="D25" i="6"/>
  <c r="F25" i="6" s="1"/>
  <c r="J25" i="6" s="1"/>
  <c r="J42" i="18"/>
  <c r="Q42" i="18" l="1"/>
  <c r="Q47" i="18" s="1"/>
  <c r="P47" i="18"/>
  <c r="C49" i="18"/>
  <c r="C52" i="18" l="1"/>
  <c r="E51" i="18"/>
  <c r="E52" i="18" s="1"/>
  <c r="F16" i="6" l="1"/>
  <c r="J17" i="6"/>
  <c r="I16" i="6"/>
  <c r="J16" i="6" l="1"/>
  <c r="M18" i="6" l="1"/>
  <c r="I28" i="6" l="1"/>
  <c r="I13" i="6"/>
  <c r="F28" i="6" l="1"/>
  <c r="J28" i="6" s="1"/>
  <c r="F13" i="6" l="1"/>
  <c r="M14" i="6" l="1"/>
  <c r="J14" i="6"/>
  <c r="M13" i="6"/>
  <c r="J13" i="6"/>
  <c r="I30" i="6" l="1"/>
  <c r="J6" i="6" l="1"/>
  <c r="F30" i="6" l="1"/>
  <c r="J30" i="6" l="1"/>
  <c r="C6" i="6" l="1"/>
</calcChain>
</file>

<file path=xl/sharedStrings.xml><?xml version="1.0" encoding="utf-8"?>
<sst xmlns="http://schemas.openxmlformats.org/spreadsheetml/2006/main" count="481" uniqueCount="135">
  <si>
    <t>Government of Nepal</t>
  </si>
  <si>
    <t>Shankharapur Municipality Office</t>
  </si>
  <si>
    <t>Bagmati Province</t>
  </si>
  <si>
    <t>Sankhu, Kathmandu</t>
  </si>
  <si>
    <t>Detail Estimated Sheet</t>
  </si>
  <si>
    <t>S.N.</t>
  </si>
  <si>
    <t>Description of work</t>
  </si>
  <si>
    <t>No.</t>
  </si>
  <si>
    <t>Length</t>
  </si>
  <si>
    <t>Breadth</t>
  </si>
  <si>
    <t>Height</t>
  </si>
  <si>
    <t>Quantity</t>
  </si>
  <si>
    <t>Unit</t>
  </si>
  <si>
    <t>Rate</t>
  </si>
  <si>
    <t>Amount</t>
  </si>
  <si>
    <t>Remarks</t>
  </si>
  <si>
    <t>Total</t>
  </si>
  <si>
    <t>Grand Total</t>
  </si>
  <si>
    <t>Work Completion Report</t>
  </si>
  <si>
    <t>Total Estimated Amount:</t>
  </si>
  <si>
    <t>Total Valuated Amount :</t>
  </si>
  <si>
    <t>S.No.</t>
  </si>
  <si>
    <t>Description</t>
  </si>
  <si>
    <t>Estimated</t>
  </si>
  <si>
    <t>Valuated</t>
  </si>
  <si>
    <t>Difference</t>
  </si>
  <si>
    <t xml:space="preserve">Quantity </t>
  </si>
  <si>
    <t>Budget allocated</t>
  </si>
  <si>
    <t>Municipal payment</t>
  </si>
  <si>
    <t>User Contribution</t>
  </si>
  <si>
    <t xml:space="preserve">Contingencies </t>
  </si>
  <si>
    <t xml:space="preserve">Maintanince </t>
  </si>
  <si>
    <t>Total Estimated</t>
  </si>
  <si>
    <t>Location:- Shankharapur Municipality 9</t>
  </si>
  <si>
    <t>cum</t>
  </si>
  <si>
    <t>Information board</t>
  </si>
  <si>
    <t>no.</t>
  </si>
  <si>
    <t>VAT 13% for material</t>
  </si>
  <si>
    <t>F.Y:2080/2081</t>
  </si>
  <si>
    <t xml:space="preserve">F.Y.: 2080/81     </t>
  </si>
  <si>
    <t>Providing and laying of hand pack locally available Stone soling with 150 to 200 mm thick stones and packing with smaller stone on prepared surface as per Drawing and Technical Specifications.</t>
  </si>
  <si>
    <t>Sub-total</t>
  </si>
  <si>
    <t>Providing and laying of Plain/Reinforced Cement Concrete in Foundation complete as per Drawing and Technical Specifications, PCC Grade M 15</t>
  </si>
  <si>
    <t>Providing and laying of Plain/Reinforced Cement Concrete in Foundation complete as per Drawing and Technical Specifications., RCC Grade M 20</t>
  </si>
  <si>
    <t>Providing and laying , fitting and placing HYSD bar reinforcement in sub-structure complete as per Drawing and Technical Specifications</t>
  </si>
  <si>
    <t>tonne</t>
  </si>
  <si>
    <t>Length (m)</t>
  </si>
  <si>
    <t>Unit Wt. (Kg/m)</t>
  </si>
  <si>
    <t>Total Wt. (Kg)</t>
  </si>
  <si>
    <t>Total Wt. (tonne)</t>
  </si>
  <si>
    <t>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t>
  </si>
  <si>
    <t>-For roadside drain</t>
  </si>
  <si>
    <t>-Drain shear wall</t>
  </si>
  <si>
    <t>Project:- कालिका मन्दिर मुनि ढल व्यवस्थापन स्तरोन्नति</t>
  </si>
  <si>
    <t>-Drain slab 2</t>
  </si>
  <si>
    <t>-Drain slab 1</t>
  </si>
  <si>
    <t>stone</t>
  </si>
  <si>
    <t>W/OVAT Amount</t>
  </si>
  <si>
    <t>VAT</t>
  </si>
  <si>
    <t>Item</t>
  </si>
  <si>
    <t>Cement</t>
  </si>
  <si>
    <t>Sand</t>
  </si>
  <si>
    <t>aggregate</t>
  </si>
  <si>
    <t>water</t>
  </si>
  <si>
    <t>steel</t>
  </si>
  <si>
    <t>wire</t>
  </si>
  <si>
    <t>jcb</t>
  </si>
  <si>
    <t>Description of Work:</t>
  </si>
  <si>
    <t>360 cum</t>
  </si>
  <si>
    <t>Spec. cl. No: 905</t>
  </si>
  <si>
    <t>Norms No.</t>
  </si>
  <si>
    <t>Labour (A)</t>
  </si>
  <si>
    <t>Material (B)</t>
  </si>
  <si>
    <t>Equipment (C)</t>
  </si>
  <si>
    <t>Formworks (D)</t>
  </si>
  <si>
    <t>Type</t>
  </si>
  <si>
    <t>9.1.I.B</t>
  </si>
  <si>
    <t>Skilled</t>
  </si>
  <si>
    <t>day</t>
  </si>
  <si>
    <t>Hydraulic Excavator</t>
  </si>
  <si>
    <t>hour</t>
  </si>
  <si>
    <t>Unskilled</t>
  </si>
  <si>
    <t>Sub total of A =</t>
  </si>
  <si>
    <t>Sub total of B =</t>
  </si>
  <si>
    <t>Sub total of C =</t>
  </si>
  <si>
    <t>Sub total of D =</t>
  </si>
  <si>
    <t>Sub total of A +B + C =</t>
  </si>
  <si>
    <t>Sub total of A + B + C + D=</t>
  </si>
  <si>
    <t>Contractor's overhead expenses 15% =</t>
  </si>
  <si>
    <t>Norms Rate =</t>
  </si>
  <si>
    <t>Unit Rate =</t>
  </si>
  <si>
    <t>5 Cum</t>
  </si>
  <si>
    <t>Spec. cl. No: N/A</t>
  </si>
  <si>
    <t>10.8.</t>
  </si>
  <si>
    <t>Stone</t>
  </si>
  <si>
    <t>15 cum</t>
  </si>
  <si>
    <t>Spec. cl. No: 2000</t>
  </si>
  <si>
    <t>20.2.A</t>
  </si>
  <si>
    <t>Concrete Mixer</t>
  </si>
  <si>
    <t>@ 4 per cent on cost of concrete i.e. cost of Material, Labour and Equipment</t>
  </si>
  <si>
    <t>Coarse Sand</t>
  </si>
  <si>
    <t>Generator</t>
  </si>
  <si>
    <t>Aggregate 40 mm</t>
  </si>
  <si>
    <t>Aggregate 20 mm</t>
  </si>
  <si>
    <t>Aggregate 10 mm</t>
  </si>
  <si>
    <t>Water</t>
  </si>
  <si>
    <t>KL</t>
  </si>
  <si>
    <t>20.2.C</t>
  </si>
  <si>
    <t>@ 4 per cent on (a+b+c)</t>
  </si>
  <si>
    <t>1 tonne</t>
  </si>
  <si>
    <t>Spec. cl. No: 2014</t>
  </si>
  <si>
    <t>20.5</t>
  </si>
  <si>
    <t>Skilled (Blacksmith)</t>
  </si>
  <si>
    <t>HYSD Bar</t>
  </si>
  <si>
    <t>Binding Wire</t>
  </si>
  <si>
    <t>kg</t>
  </si>
  <si>
    <t>formwork</t>
  </si>
  <si>
    <t>W1</t>
  </si>
  <si>
    <t>W2</t>
  </si>
  <si>
    <t>breadth</t>
  </si>
  <si>
    <t>height</t>
  </si>
  <si>
    <t>wide</t>
  </si>
  <si>
    <t>Wide base of drain</t>
  </si>
  <si>
    <t>Detail Quantity Measurement Sheet</t>
  </si>
  <si>
    <t>Date:2080/03/16</t>
  </si>
  <si>
    <t>Date:2081/03/16</t>
  </si>
  <si>
    <t>Total Valuated</t>
  </si>
  <si>
    <t>Detail Valuated Sheet</t>
  </si>
  <si>
    <t xml:space="preserve">Work Started : </t>
  </si>
  <si>
    <t xml:space="preserve">Work Finished:       </t>
  </si>
  <si>
    <t>-Concrete speed breaker</t>
  </si>
  <si>
    <t>Providing and laying of Plain/Reinforced Cement Concrete in Foundation complete as per Drawing and Technical Specifications., RCC Grade M20</t>
  </si>
  <si>
    <t xml:space="preserve">F.Y.: 2081/082     </t>
  </si>
  <si>
    <t xml:space="preserve">Date:                     </t>
  </si>
  <si>
    <t xml:space="preserve">Project:- </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</si>
</sst>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_(* \(#,##0.00\);_(* &quot;-&quot;??_);_(@_)"/>
    <numFmt numFmtId="164" formatCode="0.0"/>
    <numFmt numFmtId="165" formatCode="0.000"/>
  </numFmts>
  <fonts count="20" x14ac:knownFonts="1">
    <font>
      <sz val="11"/>
      <color theme="1"/>
      <name val="Calibri"/>
      <family val="2"/>
      <scheme val="minor"/>
    </font>
    <font>
      <sz val="11"/>
      <color theme="1"/>
      <name val="Calibri"/>
      <family val="2"/>
      <scheme val="minor"/>
    </font>
    <font>
      <b/>
      <sz val="11"/>
      <color theme="1"/>
      <name val="Calibri"/>
      <family val="2"/>
      <scheme val="minor"/>
    </font>
    <font>
      <b/>
      <sz val="11"/>
      <color theme="1"/>
      <name val="Times New Roman"/>
      <family val="1"/>
    </font>
    <font>
      <b/>
      <sz val="18"/>
      <color theme="1"/>
      <name val="Times New Roman"/>
      <family val="1"/>
    </font>
    <font>
      <b/>
      <sz val="14"/>
      <color theme="1"/>
      <name val="Times New Roman"/>
      <family val="1"/>
    </font>
    <font>
      <sz val="12"/>
      <color theme="1"/>
      <name val="Times New Roman"/>
      <family val="1"/>
    </font>
    <font>
      <b/>
      <sz val="12"/>
      <color theme="1"/>
      <name val="Times New Roman"/>
      <family val="1"/>
    </font>
    <font>
      <b/>
      <sz val="20"/>
      <color theme="1"/>
      <name val="Times New Roman"/>
      <family val="1"/>
    </font>
    <font>
      <b/>
      <sz val="14"/>
      <color theme="1"/>
      <name val="Calibri"/>
      <family val="2"/>
      <scheme val="minor"/>
    </font>
    <font>
      <sz val="12"/>
      <color theme="1"/>
      <name val="Calibri"/>
      <family val="2"/>
      <scheme val="minor"/>
    </font>
    <font>
      <sz val="14"/>
      <color theme="1"/>
      <name val="Calibri"/>
      <family val="2"/>
      <scheme val="minor"/>
    </font>
    <font>
      <b/>
      <sz val="11"/>
      <name val="Times New Roman"/>
      <family val="1"/>
    </font>
    <font>
      <sz val="11"/>
      <name val="Times New Roman"/>
      <family val="1"/>
    </font>
    <font>
      <sz val="11"/>
      <color theme="1"/>
      <name val="Times New Roman"/>
      <family val="1"/>
    </font>
    <font>
      <sz val="10"/>
      <name val="Arial"/>
      <family val="2"/>
    </font>
    <font>
      <sz val="14"/>
      <color theme="1"/>
      <name val="Times New Roman"/>
      <family val="1"/>
    </font>
    <font>
      <b/>
      <sz val="12"/>
      <color rgb="FF000000"/>
      <name val="Times New Roman"/>
      <family val="1"/>
    </font>
    <font>
      <sz val="12"/>
      <color rgb="FF000000"/>
      <name val="Times New Roman"/>
      <family val="1"/>
    </font>
    <font>
      <sz val="12"/>
      <name val="Times New Roman"/>
      <family val="1"/>
    </font>
  </fonts>
  <fills count="14">
    <fill>
      <patternFill patternType="none"/>
    </fill>
    <fill>
      <patternFill patternType="gray125"/>
    </fill>
    <fill>
      <patternFill patternType="solid">
        <fgColor theme="0" tint="-0.14999847407452621"/>
        <bgColor indexed="64"/>
      </patternFill>
    </fill>
    <fill>
      <patternFill patternType="solid">
        <fgColor rgb="FFFDFCD9"/>
        <bgColor indexed="64"/>
      </patternFill>
    </fill>
    <fill>
      <patternFill patternType="solid">
        <fgColor rgb="FFB9FFCB"/>
        <bgColor indexed="64"/>
      </patternFill>
    </fill>
    <fill>
      <patternFill patternType="solid">
        <fgColor rgb="FF86D7F6"/>
        <bgColor indexed="64"/>
      </patternFill>
    </fill>
    <fill>
      <patternFill patternType="solid">
        <fgColor rgb="FFD2FFFE"/>
        <bgColor indexed="64"/>
      </patternFill>
    </fill>
    <fill>
      <patternFill patternType="solid">
        <fgColor rgb="FFFDFCD9"/>
        <bgColor rgb="FF000000"/>
      </patternFill>
    </fill>
    <fill>
      <patternFill patternType="solid">
        <fgColor rgb="FFB9FFCB"/>
        <bgColor rgb="FF000000"/>
      </patternFill>
    </fill>
    <fill>
      <patternFill patternType="solid">
        <fgColor rgb="FF86D7F6"/>
        <bgColor rgb="FF000000"/>
      </patternFill>
    </fill>
    <fill>
      <patternFill patternType="solid">
        <fgColor rgb="FFD2FFFE"/>
        <bgColor rgb="FF000000"/>
      </patternFill>
    </fill>
    <fill>
      <patternFill patternType="solid">
        <fgColor rgb="FFFFFF00"/>
        <bgColor rgb="FF000000"/>
      </patternFill>
    </fill>
    <fill>
      <patternFill patternType="solid">
        <fgColor rgb="FF00B050"/>
        <bgColor rgb="FF000000"/>
      </patternFill>
    </fill>
    <fill>
      <patternFill patternType="solid">
        <fgColor rgb="FFFFFF0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auto="1"/>
      </left>
      <right/>
      <top style="thin">
        <color auto="1"/>
      </top>
      <bottom/>
      <diagonal/>
    </border>
    <border>
      <left/>
      <right style="thin">
        <color auto="1"/>
      </right>
      <top style="thin">
        <color auto="1"/>
      </top>
      <bottom/>
      <diagonal/>
    </border>
    <border>
      <left/>
      <right/>
      <top style="thin">
        <color auto="1"/>
      </top>
      <bottom/>
      <diagonal/>
    </border>
    <border>
      <left style="thin">
        <color auto="1"/>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
      <left style="thin">
        <color indexed="64"/>
      </left>
      <right/>
      <top/>
      <bottom/>
      <diagonal/>
    </border>
    <border>
      <left/>
      <right style="thin">
        <color auto="1"/>
      </right>
      <top/>
      <bottom/>
      <diagonal/>
    </border>
    <border>
      <left/>
      <right/>
      <top/>
      <bottom style="thin">
        <color auto="1"/>
      </bottom>
      <diagonal/>
    </border>
    <border>
      <left style="thin">
        <color auto="1"/>
      </left>
      <right style="thin">
        <color auto="1"/>
      </right>
      <top/>
      <bottom style="thin">
        <color auto="1"/>
      </bottom>
      <diagonal/>
    </border>
    <border>
      <left/>
      <right/>
      <top style="thin">
        <color auto="1"/>
      </top>
      <bottom style="thin">
        <color auto="1"/>
      </bottom>
      <diagonal/>
    </border>
  </borders>
  <cellStyleXfs count="8">
    <xf numFmtId="0" fontId="0" fillId="0" borderId="0"/>
    <xf numFmtId="43" fontId="1" fillId="0" borderId="0" applyFont="0" applyFill="0" applyBorder="0" applyAlignment="0" applyProtection="0"/>
    <xf numFmtId="0" fontId="15" fillId="0" borderId="0"/>
    <xf numFmtId="43" fontId="15" fillId="0" borderId="0" applyFont="0" applyFill="0" applyBorder="0" applyAlignment="0" applyProtection="0"/>
    <xf numFmtId="0" fontId="15" fillId="0" borderId="0"/>
    <xf numFmtId="0" fontId="15" fillId="0" borderId="0"/>
    <xf numFmtId="0" fontId="15" fillId="0" borderId="0"/>
    <xf numFmtId="0" fontId="15" fillId="0" borderId="0"/>
  </cellStyleXfs>
  <cellXfs count="163">
    <xf numFmtId="0" fontId="0" fillId="0" borderId="0" xfId="0"/>
    <xf numFmtId="0" fontId="0" fillId="0" borderId="0" xfId="0" applyAlignment="1">
      <alignment vertical="center"/>
    </xf>
    <xf numFmtId="43" fontId="7" fillId="0" borderId="0" xfId="1" applyFont="1"/>
    <xf numFmtId="0" fontId="7" fillId="0" borderId="1" xfId="0" applyFont="1" applyBorder="1" applyAlignment="1">
      <alignment horizontal="center"/>
    </xf>
    <xf numFmtId="0" fontId="0" fillId="0" borderId="1" xfId="0" applyBorder="1"/>
    <xf numFmtId="0" fontId="2" fillId="0" borderId="1" xfId="0" applyFont="1" applyBorder="1" applyAlignment="1">
      <alignment horizontal="right"/>
    </xf>
    <xf numFmtId="0" fontId="2" fillId="0" borderId="0" xfId="0" applyFont="1"/>
    <xf numFmtId="2" fontId="0" fillId="0" borderId="1" xfId="0" applyNumberFormat="1" applyBorder="1"/>
    <xf numFmtId="2" fontId="2" fillId="0" borderId="1" xfId="0" applyNumberFormat="1" applyFont="1" applyBorder="1"/>
    <xf numFmtId="164" fontId="0" fillId="0" borderId="1" xfId="0" applyNumberFormat="1" applyBorder="1"/>
    <xf numFmtId="0" fontId="2" fillId="0" borderId="1" xfId="0" applyFont="1" applyBorder="1"/>
    <xf numFmtId="0" fontId="10" fillId="0" borderId="0" xfId="0" applyFont="1"/>
    <xf numFmtId="0" fontId="11" fillId="0" borderId="0" xfId="0" applyFont="1" applyAlignment="1">
      <alignment horizontal="center"/>
    </xf>
    <xf numFmtId="0" fontId="0" fillId="0" borderId="0" xfId="0" applyAlignment="1">
      <alignment horizontal="left"/>
    </xf>
    <xf numFmtId="0" fontId="0" fillId="2" borderId="1" xfId="0" applyFill="1" applyBorder="1"/>
    <xf numFmtId="2" fontId="0" fillId="0" borderId="1" xfId="0" applyNumberFormat="1" applyBorder="1" applyAlignment="1">
      <alignment vertical="center"/>
    </xf>
    <xf numFmtId="43" fontId="2" fillId="0" borderId="1" xfId="1" applyFont="1" applyBorder="1"/>
    <xf numFmtId="0" fontId="0" fillId="0" borderId="1" xfId="0" applyBorder="1" applyAlignment="1">
      <alignment vertical="center"/>
    </xf>
    <xf numFmtId="0" fontId="0" fillId="0" borderId="1" xfId="0" applyBorder="1" applyAlignment="1">
      <alignment vertical="center" wrapText="1"/>
    </xf>
    <xf numFmtId="0" fontId="0" fillId="0" borderId="0" xfId="0" applyBorder="1" applyAlignment="1">
      <alignment vertical="center"/>
    </xf>
    <xf numFmtId="2" fontId="0" fillId="0" borderId="0" xfId="0" applyNumberFormat="1" applyBorder="1" applyAlignment="1">
      <alignment vertical="center"/>
    </xf>
    <xf numFmtId="0" fontId="2" fillId="0" borderId="0" xfId="0" applyFont="1" applyBorder="1" applyAlignment="1">
      <alignment horizontal="right" vertical="center"/>
    </xf>
    <xf numFmtId="43" fontId="2" fillId="0" borderId="0" xfId="1" applyFont="1" applyBorder="1" applyAlignment="1">
      <alignment vertical="center"/>
    </xf>
    <xf numFmtId="0" fontId="2" fillId="0" borderId="0" xfId="0" applyFont="1" applyBorder="1" applyAlignment="1">
      <alignment vertical="center"/>
    </xf>
    <xf numFmtId="0" fontId="7" fillId="0" borderId="1" xfId="0" applyFont="1" applyBorder="1" applyAlignment="1">
      <alignment horizontal="center" vertical="top" wrapText="1"/>
    </xf>
    <xf numFmtId="43" fontId="7" fillId="0" borderId="1" xfId="1" applyFont="1" applyBorder="1" applyAlignment="1">
      <alignment horizontal="center"/>
    </xf>
    <xf numFmtId="0" fontId="7" fillId="0" borderId="1" xfId="0" applyFont="1" applyBorder="1" applyAlignment="1">
      <alignment horizontal="center" wrapText="1"/>
    </xf>
    <xf numFmtId="0" fontId="2" fillId="0" borderId="1" xfId="0" applyFont="1" applyBorder="1" applyAlignment="1">
      <alignment horizontal="right" wrapText="1"/>
    </xf>
    <xf numFmtId="1" fontId="12" fillId="0" borderId="1" xfId="0" applyNumberFormat="1" applyFont="1" applyFill="1" applyBorder="1" applyAlignment="1">
      <alignment vertical="center"/>
    </xf>
    <xf numFmtId="164" fontId="13" fillId="0" borderId="1" xfId="0" applyNumberFormat="1" applyFont="1" applyFill="1" applyBorder="1" applyAlignment="1">
      <alignment vertical="center"/>
    </xf>
    <xf numFmtId="2" fontId="13" fillId="0" borderId="1" xfId="1" applyNumberFormat="1" applyFont="1" applyFill="1" applyBorder="1" applyAlignment="1">
      <alignment vertical="center"/>
    </xf>
    <xf numFmtId="2" fontId="13" fillId="0" borderId="1" xfId="0" applyNumberFormat="1" applyFont="1" applyFill="1" applyBorder="1" applyAlignment="1">
      <alignment vertical="center"/>
    </xf>
    <xf numFmtId="2" fontId="12" fillId="0" borderId="1" xfId="0" applyNumberFormat="1" applyFont="1" applyFill="1" applyBorder="1" applyAlignment="1">
      <alignment vertical="center"/>
    </xf>
    <xf numFmtId="2" fontId="12" fillId="0" borderId="1" xfId="1" applyNumberFormat="1" applyFont="1" applyFill="1" applyBorder="1" applyAlignment="1">
      <alignment vertical="center"/>
    </xf>
    <xf numFmtId="1" fontId="13" fillId="0" borderId="1" xfId="0" applyNumberFormat="1" applyFont="1" applyFill="1" applyBorder="1" applyAlignment="1">
      <alignment horizontal="right" vertical="center" wrapText="1"/>
    </xf>
    <xf numFmtId="0" fontId="0" fillId="0" borderId="0" xfId="0" applyAlignment="1">
      <alignment horizontal="left"/>
    </xf>
    <xf numFmtId="1" fontId="14" fillId="0" borderId="1" xfId="0" applyNumberFormat="1" applyFont="1" applyBorder="1" applyAlignment="1">
      <alignment vertical="center"/>
    </xf>
    <xf numFmtId="43" fontId="2" fillId="0" borderId="1" xfId="1" applyFont="1" applyBorder="1" applyAlignment="1">
      <alignment vertical="center"/>
    </xf>
    <xf numFmtId="0" fontId="14" fillId="0" borderId="1" xfId="0" applyFont="1" applyBorder="1" applyAlignment="1">
      <alignment vertical="center"/>
    </xf>
    <xf numFmtId="2" fontId="2" fillId="0" borderId="1" xfId="0" applyNumberFormat="1" applyFont="1" applyBorder="1" applyAlignment="1">
      <alignment vertical="center"/>
    </xf>
    <xf numFmtId="2" fontId="0" fillId="0" borderId="1" xfId="0" applyNumberFormat="1" applyFont="1" applyBorder="1" applyAlignment="1">
      <alignment vertical="center"/>
    </xf>
    <xf numFmtId="0" fontId="2" fillId="0" borderId="1" xfId="0" applyFont="1" applyBorder="1" applyAlignment="1"/>
    <xf numFmtId="1" fontId="14" fillId="0" borderId="1" xfId="0" applyNumberFormat="1" applyFont="1" applyBorder="1" applyAlignment="1">
      <alignment vertical="center" wrapText="1"/>
    </xf>
    <xf numFmtId="0" fontId="2" fillId="0" borderId="1" xfId="0" applyFont="1" applyBorder="1" applyAlignment="1">
      <alignment vertical="center"/>
    </xf>
    <xf numFmtId="0" fontId="0" fillId="0" borderId="0" xfId="0" applyBorder="1"/>
    <xf numFmtId="0" fontId="0" fillId="0" borderId="0" xfId="0" applyBorder="1" applyAlignment="1"/>
    <xf numFmtId="164" fontId="13" fillId="0" borderId="1" xfId="1" applyNumberFormat="1" applyFont="1" applyFill="1" applyBorder="1" applyAlignment="1">
      <alignment vertical="center"/>
    </xf>
    <xf numFmtId="0" fontId="14" fillId="0" borderId="1" xfId="0" applyFont="1" applyBorder="1" applyAlignment="1">
      <alignment vertical="center" wrapText="1"/>
    </xf>
    <xf numFmtId="1" fontId="13" fillId="0" borderId="1" xfId="0" applyNumberFormat="1" applyFont="1" applyFill="1" applyBorder="1" applyAlignment="1">
      <alignment vertical="center" wrapText="1"/>
    </xf>
    <xf numFmtId="1" fontId="13" fillId="0" borderId="1" xfId="0" quotePrefix="1" applyNumberFormat="1" applyFont="1" applyFill="1" applyBorder="1" applyAlignment="1">
      <alignment horizontal="right" vertical="center" wrapText="1"/>
    </xf>
    <xf numFmtId="1" fontId="14" fillId="0" borderId="1" xfId="0" applyNumberFormat="1" applyFont="1" applyBorder="1" applyAlignment="1">
      <alignment horizontal="right" vertical="center" wrapText="1"/>
    </xf>
    <xf numFmtId="1" fontId="14" fillId="0" borderId="1" xfId="0" quotePrefix="1" applyNumberFormat="1" applyFont="1" applyBorder="1" applyAlignment="1">
      <alignment horizontal="right" vertical="center" wrapText="1"/>
    </xf>
    <xf numFmtId="2" fontId="2" fillId="0" borderId="1" xfId="1" applyNumberFormat="1" applyFont="1" applyBorder="1" applyAlignment="1">
      <alignment vertical="center"/>
    </xf>
    <xf numFmtId="2" fontId="3" fillId="0" borderId="1" xfId="0" applyNumberFormat="1" applyFont="1" applyBorder="1" applyAlignment="1">
      <alignment vertical="center"/>
    </xf>
    <xf numFmtId="2" fontId="13" fillId="0" borderId="1" xfId="1" applyNumberFormat="1" applyFont="1" applyFill="1" applyBorder="1" applyAlignment="1">
      <alignment vertical="center" wrapText="1"/>
    </xf>
    <xf numFmtId="165" fontId="12" fillId="0" borderId="1" xfId="1" applyNumberFormat="1" applyFont="1" applyFill="1" applyBorder="1" applyAlignment="1">
      <alignment vertical="center"/>
    </xf>
    <xf numFmtId="0" fontId="6" fillId="0" borderId="0" xfId="0" applyFont="1" applyAlignment="1">
      <alignment horizontal="right"/>
    </xf>
    <xf numFmtId="0" fontId="6" fillId="0" borderId="0" xfId="0" applyFont="1"/>
    <xf numFmtId="0" fontId="6" fillId="0" borderId="0" xfId="0" applyFont="1" applyAlignment="1">
      <alignment horizontal="left"/>
    </xf>
    <xf numFmtId="2" fontId="0" fillId="0" borderId="0" xfId="0" applyNumberFormat="1"/>
    <xf numFmtId="0" fontId="2" fillId="0" borderId="1" xfId="0" applyFont="1" applyBorder="1" applyAlignment="1">
      <alignment horizontal="center"/>
    </xf>
    <xf numFmtId="2" fontId="0" fillId="0" borderId="0" xfId="0" applyNumberFormat="1" applyFill="1" applyBorder="1"/>
    <xf numFmtId="0" fontId="2" fillId="0" borderId="1" xfId="0" applyFont="1" applyFill="1" applyBorder="1"/>
    <xf numFmtId="0" fontId="6" fillId="0" borderId="1" xfId="0" applyFont="1" applyBorder="1" applyAlignment="1">
      <alignment vertical="center" wrapText="1"/>
    </xf>
    <xf numFmtId="0" fontId="6" fillId="0" borderId="1" xfId="0" applyFont="1" applyBorder="1" applyAlignment="1">
      <alignment horizontal="left" vertical="center" wrapText="1"/>
    </xf>
    <xf numFmtId="0" fontId="6" fillId="0" borderId="1" xfId="0" applyFont="1" applyBorder="1" applyAlignment="1">
      <alignment horizontal="right" vertical="center" wrapText="1"/>
    </xf>
    <xf numFmtId="0" fontId="7" fillId="0" borderId="1" xfId="0" applyFont="1" applyBorder="1" applyAlignment="1">
      <alignment vertical="center" wrapText="1"/>
    </xf>
    <xf numFmtId="164" fontId="6" fillId="0" borderId="1" xfId="0" applyNumberFormat="1" applyFont="1" applyBorder="1" applyAlignment="1">
      <alignment vertical="center" wrapText="1"/>
    </xf>
    <xf numFmtId="164" fontId="6" fillId="0" borderId="1" xfId="0" applyNumberFormat="1" applyFont="1" applyBorder="1" applyAlignment="1">
      <alignment horizontal="right" vertical="center" wrapText="1"/>
    </xf>
    <xf numFmtId="0" fontId="7" fillId="5" borderId="1" xfId="0" applyFont="1" applyFill="1" applyBorder="1" applyAlignment="1">
      <alignment horizontal="right" vertical="center" wrapText="1"/>
    </xf>
    <xf numFmtId="0" fontId="18" fillId="0" borderId="1" xfId="0" applyFont="1" applyFill="1" applyBorder="1" applyAlignment="1">
      <alignment vertical="center" wrapText="1"/>
    </xf>
    <xf numFmtId="0" fontId="18" fillId="0" borderId="1" xfId="0" applyFont="1" applyFill="1" applyBorder="1" applyAlignment="1">
      <alignment horizontal="left" vertical="center" wrapText="1"/>
    </xf>
    <xf numFmtId="0" fontId="18" fillId="0" borderId="1" xfId="0" applyFont="1" applyFill="1" applyBorder="1" applyAlignment="1">
      <alignment horizontal="right" vertical="center" wrapText="1"/>
    </xf>
    <xf numFmtId="0" fontId="17" fillId="0" borderId="1" xfId="0" applyFont="1" applyFill="1" applyBorder="1" applyAlignment="1">
      <alignment vertical="center" wrapText="1"/>
    </xf>
    <xf numFmtId="164" fontId="18" fillId="0" borderId="1" xfId="0" applyNumberFormat="1" applyFont="1" applyFill="1" applyBorder="1" applyAlignment="1">
      <alignment vertical="center" wrapText="1"/>
    </xf>
    <xf numFmtId="0" fontId="18" fillId="0" borderId="0" xfId="0" applyFont="1" applyFill="1" applyBorder="1"/>
    <xf numFmtId="0" fontId="18" fillId="0" borderId="0" xfId="0" applyFont="1" applyFill="1" applyBorder="1" applyAlignment="1">
      <alignment horizontal="left"/>
    </xf>
    <xf numFmtId="0" fontId="18" fillId="0" borderId="0" xfId="0" applyFont="1" applyFill="1" applyBorder="1" applyAlignment="1">
      <alignment horizontal="right"/>
    </xf>
    <xf numFmtId="164" fontId="18" fillId="0" borderId="1" xfId="0" applyNumberFormat="1" applyFont="1" applyFill="1" applyBorder="1" applyAlignment="1">
      <alignment horizontal="right" vertical="center" wrapText="1"/>
    </xf>
    <xf numFmtId="0" fontId="17" fillId="9" borderId="1" xfId="0" applyFont="1" applyFill="1" applyBorder="1" applyAlignment="1">
      <alignment horizontal="right" vertical="center" wrapText="1"/>
    </xf>
    <xf numFmtId="0" fontId="18" fillId="11" borderId="1" xfId="0" applyFont="1" applyFill="1" applyBorder="1" applyAlignment="1">
      <alignment vertical="center" wrapText="1"/>
    </xf>
    <xf numFmtId="0" fontId="18" fillId="11" borderId="1" xfId="0" applyFont="1" applyFill="1" applyBorder="1" applyAlignment="1">
      <alignment horizontal="left" vertical="center" wrapText="1"/>
    </xf>
    <xf numFmtId="0" fontId="18" fillId="11" borderId="1" xfId="0" applyFont="1" applyFill="1" applyBorder="1" applyAlignment="1">
      <alignment horizontal="right" vertical="center" wrapText="1"/>
    </xf>
    <xf numFmtId="0" fontId="17" fillId="11" borderId="1" xfId="0" applyFont="1" applyFill="1" applyBorder="1" applyAlignment="1">
      <alignment vertical="center" wrapText="1"/>
    </xf>
    <xf numFmtId="164" fontId="18" fillId="11" borderId="1" xfId="0" applyNumberFormat="1" applyFont="1" applyFill="1" applyBorder="1" applyAlignment="1">
      <alignment vertical="center" wrapText="1"/>
    </xf>
    <xf numFmtId="0" fontId="19" fillId="12" borderId="1" xfId="0" applyFont="1" applyFill="1" applyBorder="1" applyAlignment="1">
      <alignment vertical="center" wrapText="1"/>
    </xf>
    <xf numFmtId="0" fontId="18" fillId="11" borderId="0" xfId="0" applyFont="1" applyFill="1" applyBorder="1"/>
    <xf numFmtId="0" fontId="18" fillId="11" borderId="0" xfId="0" applyFont="1" applyFill="1" applyBorder="1" applyAlignment="1">
      <alignment horizontal="right"/>
    </xf>
    <xf numFmtId="164" fontId="18" fillId="11" borderId="1" xfId="0" applyNumberFormat="1" applyFont="1" applyFill="1" applyBorder="1" applyAlignment="1">
      <alignment horizontal="right" vertical="center" wrapText="1"/>
    </xf>
    <xf numFmtId="0" fontId="18" fillId="11" borderId="0" xfId="0" applyFont="1" applyFill="1" applyBorder="1" applyAlignment="1">
      <alignment horizontal="left"/>
    </xf>
    <xf numFmtId="0" fontId="17" fillId="11" borderId="1" xfId="0" applyFont="1" applyFill="1" applyBorder="1" applyAlignment="1">
      <alignment horizontal="right" vertical="center" wrapText="1"/>
    </xf>
    <xf numFmtId="0" fontId="17" fillId="11" borderId="2" xfId="0" applyFont="1" applyFill="1" applyBorder="1" applyAlignment="1">
      <alignment horizontal="right" vertical="center" wrapText="1"/>
    </xf>
    <xf numFmtId="0" fontId="17" fillId="11" borderId="15" xfId="0" applyFont="1" applyFill="1" applyBorder="1" applyAlignment="1">
      <alignment horizontal="right" vertical="center" wrapText="1"/>
    </xf>
    <xf numFmtId="0" fontId="17" fillId="11" borderId="3" xfId="0" applyFont="1" applyFill="1" applyBorder="1" applyAlignment="1">
      <alignment horizontal="right" vertical="center" wrapText="1"/>
    </xf>
    <xf numFmtId="0" fontId="0" fillId="13" borderId="0" xfId="0" applyFill="1"/>
    <xf numFmtId="0" fontId="0" fillId="13" borderId="0" xfId="0" applyFill="1" applyAlignment="1">
      <alignment wrapText="1"/>
    </xf>
    <xf numFmtId="0" fontId="0" fillId="13" borderId="0" xfId="0" applyFill="1" applyAlignment="1"/>
    <xf numFmtId="2" fontId="0" fillId="0" borderId="2" xfId="0" applyNumberFormat="1" applyBorder="1" applyAlignment="1">
      <alignment horizontal="center" vertical="center"/>
    </xf>
    <xf numFmtId="2" fontId="0" fillId="0" borderId="3" xfId="0" applyNumberFormat="1" applyBorder="1" applyAlignment="1">
      <alignment horizontal="center" vertical="center"/>
    </xf>
    <xf numFmtId="0" fontId="6" fillId="0" borderId="0" xfId="0" applyFont="1"/>
    <xf numFmtId="0" fontId="6" fillId="0" borderId="0" xfId="0" applyFont="1" applyAlignment="1">
      <alignment horizontal="right"/>
    </xf>
    <xf numFmtId="2" fontId="0" fillId="0" borderId="2" xfId="1" applyNumberFormat="1" applyFont="1" applyBorder="1" applyAlignment="1">
      <alignment horizontal="center" vertical="center"/>
    </xf>
    <xf numFmtId="2" fontId="0" fillId="0" borderId="3" xfId="1" applyNumberFormat="1" applyFont="1" applyBorder="1" applyAlignment="1">
      <alignment horizontal="center" vertical="center"/>
    </xf>
    <xf numFmtId="2" fontId="0" fillId="0" borderId="1" xfId="0" applyNumberFormat="1" applyBorder="1" applyAlignment="1">
      <alignment horizontal="center" vertical="center"/>
    </xf>
    <xf numFmtId="0" fontId="16" fillId="0" borderId="0" xfId="0" applyFont="1" applyAlignment="1"/>
    <xf numFmtId="0" fontId="3" fillId="0" borderId="0" xfId="0" applyFont="1" applyAlignment="1">
      <alignment horizontal="center" vertical="center"/>
    </xf>
    <xf numFmtId="0" fontId="4" fillId="0" borderId="0" xfId="0" applyFont="1" applyAlignment="1">
      <alignment horizontal="center" vertical="center"/>
    </xf>
    <xf numFmtId="0" fontId="2" fillId="0" borderId="0" xfId="0" applyFont="1" applyAlignment="1">
      <alignment horizontal="center" vertical="center"/>
    </xf>
    <xf numFmtId="0" fontId="5" fillId="0" borderId="0" xfId="0" applyFont="1" applyAlignment="1">
      <alignment horizontal="center"/>
    </xf>
    <xf numFmtId="0" fontId="0" fillId="2" borderId="1" xfId="0" applyFill="1" applyBorder="1" applyAlignment="1">
      <alignment horizontal="center" vertical="center"/>
    </xf>
    <xf numFmtId="0" fontId="0" fillId="2" borderId="1" xfId="0" applyFill="1" applyBorder="1" applyAlignment="1">
      <alignment horizontal="center" vertical="center" wrapText="1"/>
    </xf>
    <xf numFmtId="0" fontId="6" fillId="0" borderId="0" xfId="0" applyFont="1" applyAlignment="1">
      <alignment horizontal="left"/>
    </xf>
    <xf numFmtId="0" fontId="0" fillId="0" borderId="0" xfId="0" applyAlignment="1">
      <alignment horizontal="center"/>
    </xf>
    <xf numFmtId="0" fontId="0" fillId="0" borderId="0" xfId="0" applyAlignment="1">
      <alignment horizontal="right" vertical="center"/>
    </xf>
    <xf numFmtId="0" fontId="0" fillId="0" borderId="0" xfId="0" applyAlignment="1">
      <alignment horizontal="right"/>
    </xf>
    <xf numFmtId="0" fontId="0" fillId="2" borderId="1" xfId="0" applyFill="1" applyBorder="1" applyAlignment="1">
      <alignment horizontal="center"/>
    </xf>
    <xf numFmtId="43" fontId="10" fillId="0" borderId="0" xfId="0" applyNumberFormat="1" applyFont="1" applyAlignment="1">
      <alignment horizontal="center"/>
    </xf>
    <xf numFmtId="0" fontId="10" fillId="0" borderId="0" xfId="0" applyFont="1" applyAlignment="1">
      <alignment horizontal="center"/>
    </xf>
    <xf numFmtId="0" fontId="3" fillId="0" borderId="0" xfId="0" applyFont="1" applyAlignment="1">
      <alignment horizontal="center"/>
    </xf>
    <xf numFmtId="0" fontId="8" fillId="0" borderId="0" xfId="0" applyFont="1" applyAlignment="1">
      <alignment horizontal="center"/>
    </xf>
    <xf numFmtId="0" fontId="9" fillId="0" borderId="0" xfId="0" applyFont="1" applyAlignment="1">
      <alignment horizontal="center"/>
    </xf>
    <xf numFmtId="0" fontId="7" fillId="0" borderId="1" xfId="0" applyFont="1" applyBorder="1" applyAlignment="1">
      <alignment horizontal="right" vertical="center" wrapText="1"/>
    </xf>
    <xf numFmtId="0" fontId="7" fillId="5" borderId="1" xfId="0" applyFont="1" applyFill="1" applyBorder="1" applyAlignment="1">
      <alignment horizontal="right" vertical="center" wrapText="1"/>
    </xf>
    <xf numFmtId="0" fontId="7" fillId="6" borderId="1" xfId="0" applyFont="1" applyFill="1" applyBorder="1" applyAlignment="1">
      <alignment horizontal="center" vertical="center" wrapText="1"/>
    </xf>
    <xf numFmtId="0" fontId="7" fillId="0" borderId="1" xfId="0" applyFont="1" applyBorder="1" applyAlignment="1">
      <alignment vertical="center" wrapText="1"/>
    </xf>
    <xf numFmtId="0" fontId="7" fillId="0" borderId="1" xfId="0" applyFont="1" applyBorder="1" applyAlignment="1">
      <alignment horizontal="center" vertical="center"/>
    </xf>
    <xf numFmtId="0" fontId="7" fillId="3" borderId="1" xfId="0" applyFont="1" applyFill="1" applyBorder="1" applyAlignment="1" applyProtection="1">
      <alignment horizontal="center" vertical="center" wrapText="1"/>
      <protection locked="0"/>
    </xf>
    <xf numFmtId="0" fontId="7" fillId="4" borderId="1" xfId="0" applyFont="1" applyFill="1" applyBorder="1" applyAlignment="1">
      <alignment horizontal="left" vertical="center" wrapText="1"/>
    </xf>
    <xf numFmtId="0" fontId="6" fillId="0" borderId="0" xfId="0" applyFont="1" applyAlignment="1">
      <alignment vertical="center" wrapText="1"/>
    </xf>
    <xf numFmtId="0" fontId="17" fillId="11" borderId="2" xfId="0" applyFont="1" applyFill="1" applyBorder="1" applyAlignment="1">
      <alignment horizontal="right" vertical="center" wrapText="1"/>
    </xf>
    <xf numFmtId="0" fontId="17" fillId="11" borderId="15" xfId="0" applyFont="1" applyFill="1" applyBorder="1" applyAlignment="1">
      <alignment horizontal="right" vertical="center" wrapText="1"/>
    </xf>
    <xf numFmtId="0" fontId="17" fillId="11" borderId="3" xfId="0" applyFont="1" applyFill="1" applyBorder="1" applyAlignment="1">
      <alignment horizontal="right" vertical="center" wrapText="1"/>
    </xf>
    <xf numFmtId="0" fontId="17" fillId="0" borderId="1" xfId="0" applyFont="1" applyFill="1" applyBorder="1" applyAlignment="1">
      <alignment horizontal="right" vertical="center" wrapText="1"/>
    </xf>
    <xf numFmtId="0" fontId="18" fillId="0" borderId="0" xfId="0" applyFont="1" applyFill="1" applyBorder="1" applyAlignment="1">
      <alignment vertical="center" wrapText="1"/>
    </xf>
    <xf numFmtId="0" fontId="17" fillId="11" borderId="5" xfId="0" applyFont="1" applyFill="1" applyBorder="1" applyAlignment="1" applyProtection="1">
      <alignment horizontal="center" vertical="center" wrapText="1"/>
      <protection locked="0"/>
    </xf>
    <xf numFmtId="0" fontId="17" fillId="11" borderId="6" xfId="0" applyFont="1" applyFill="1" applyBorder="1" applyAlignment="1" applyProtection="1">
      <alignment horizontal="center" vertical="center" wrapText="1"/>
      <protection locked="0"/>
    </xf>
    <xf numFmtId="0" fontId="17" fillId="11" borderId="9" xfId="0" applyFont="1" applyFill="1" applyBorder="1" applyAlignment="1" applyProtection="1">
      <alignment horizontal="center" vertical="center" wrapText="1"/>
      <protection locked="0"/>
    </xf>
    <xf numFmtId="0" fontId="17" fillId="11" borderId="10" xfId="0" applyFont="1" applyFill="1" applyBorder="1" applyAlignment="1" applyProtection="1">
      <alignment horizontal="center" vertical="center" wrapText="1"/>
      <protection locked="0"/>
    </xf>
    <xf numFmtId="0" fontId="17" fillId="11" borderId="5" xfId="0" applyFont="1" applyFill="1" applyBorder="1" applyAlignment="1">
      <alignment horizontal="left" vertical="center" wrapText="1"/>
    </xf>
    <xf numFmtId="0" fontId="17" fillId="11" borderId="7" xfId="0" applyFont="1" applyFill="1" applyBorder="1" applyAlignment="1">
      <alignment horizontal="left" vertical="center" wrapText="1"/>
    </xf>
    <xf numFmtId="0" fontId="17" fillId="11" borderId="6" xfId="0" applyFont="1" applyFill="1" applyBorder="1" applyAlignment="1">
      <alignment horizontal="left" vertical="center" wrapText="1"/>
    </xf>
    <xf numFmtId="0" fontId="17" fillId="11" borderId="11" xfId="0" applyFont="1" applyFill="1" applyBorder="1" applyAlignment="1">
      <alignment horizontal="left" vertical="center" wrapText="1"/>
    </xf>
    <xf numFmtId="0" fontId="17" fillId="11" borderId="0" xfId="0" applyFont="1" applyFill="1" applyBorder="1" applyAlignment="1">
      <alignment horizontal="left" vertical="center" wrapText="1"/>
    </xf>
    <xf numFmtId="0" fontId="17" fillId="11" borderId="12" xfId="0" applyFont="1" applyFill="1" applyBorder="1" applyAlignment="1">
      <alignment horizontal="left" vertical="center" wrapText="1"/>
    </xf>
    <xf numFmtId="0" fontId="17" fillId="11" borderId="9" xfId="0" applyFont="1" applyFill="1" applyBorder="1" applyAlignment="1">
      <alignment horizontal="left" vertical="center" wrapText="1"/>
    </xf>
    <xf numFmtId="0" fontId="17" fillId="11" borderId="13" xfId="0" applyFont="1" applyFill="1" applyBorder="1" applyAlignment="1">
      <alignment horizontal="left" vertical="center" wrapText="1"/>
    </xf>
    <xf numFmtId="0" fontId="17" fillId="11" borderId="10" xfId="0" applyFont="1" applyFill="1" applyBorder="1" applyAlignment="1">
      <alignment horizontal="left" vertical="center" wrapText="1"/>
    </xf>
    <xf numFmtId="0" fontId="17" fillId="11" borderId="8" xfId="0" applyFont="1" applyFill="1" applyBorder="1" applyAlignment="1">
      <alignment horizontal="right" vertical="center" wrapText="1"/>
    </xf>
    <xf numFmtId="0" fontId="17" fillId="11" borderId="4" xfId="0" applyFont="1" applyFill="1" applyBorder="1" applyAlignment="1">
      <alignment horizontal="right" vertical="center" wrapText="1"/>
    </xf>
    <xf numFmtId="0" fontId="17" fillId="11" borderId="14" xfId="0" applyFont="1" applyFill="1" applyBorder="1" applyAlignment="1">
      <alignment horizontal="right" vertical="center" wrapText="1"/>
    </xf>
    <xf numFmtId="0" fontId="17" fillId="11" borderId="2" xfId="0" applyFont="1" applyFill="1" applyBorder="1" applyAlignment="1">
      <alignment horizontal="center" vertical="center" wrapText="1"/>
    </xf>
    <xf numFmtId="0" fontId="17" fillId="11" borderId="3" xfId="0" applyFont="1" applyFill="1" applyBorder="1" applyAlignment="1">
      <alignment horizontal="center" vertical="center" wrapText="1"/>
    </xf>
    <xf numFmtId="0" fontId="17" fillId="11" borderId="8" xfId="0" applyFont="1" applyFill="1" applyBorder="1" applyAlignment="1">
      <alignment vertical="center" wrapText="1"/>
    </xf>
    <xf numFmtId="0" fontId="17" fillId="11" borderId="14" xfId="0" applyFont="1" applyFill="1" applyBorder="1" applyAlignment="1">
      <alignment vertical="center" wrapText="1"/>
    </xf>
    <xf numFmtId="0" fontId="17" fillId="11" borderId="2" xfId="0" applyFont="1" applyFill="1" applyBorder="1" applyAlignment="1">
      <alignment horizontal="center" vertical="center"/>
    </xf>
    <xf numFmtId="0" fontId="17" fillId="11" borderId="15" xfId="0" applyFont="1" applyFill="1" applyBorder="1" applyAlignment="1">
      <alignment horizontal="center" vertical="center"/>
    </xf>
    <xf numFmtId="0" fontId="17" fillId="11" borderId="3" xfId="0" applyFont="1" applyFill="1" applyBorder="1" applyAlignment="1">
      <alignment horizontal="center" vertical="center"/>
    </xf>
    <xf numFmtId="0" fontId="17" fillId="7" borderId="1" xfId="0" applyFont="1" applyFill="1" applyBorder="1" applyAlignment="1" applyProtection="1">
      <alignment horizontal="center" vertical="center" wrapText="1"/>
      <protection locked="0"/>
    </xf>
    <xf numFmtId="0" fontId="17" fillId="8" borderId="1" xfId="0" applyFont="1" applyFill="1" applyBorder="1" applyAlignment="1">
      <alignment horizontal="left" vertical="center" wrapText="1"/>
    </xf>
    <xf numFmtId="0" fontId="17" fillId="9" borderId="1" xfId="0" applyFont="1" applyFill="1" applyBorder="1" applyAlignment="1">
      <alignment horizontal="right" vertical="center" wrapText="1"/>
    </xf>
    <xf numFmtId="0" fontId="17" fillId="10" borderId="1" xfId="0" applyFont="1" applyFill="1" applyBorder="1" applyAlignment="1">
      <alignment horizontal="center" vertical="center" wrapText="1"/>
    </xf>
    <xf numFmtId="0" fontId="17" fillId="0" borderId="1" xfId="0" applyFont="1" applyFill="1" applyBorder="1" applyAlignment="1">
      <alignment vertical="center" wrapText="1"/>
    </xf>
    <xf numFmtId="0" fontId="17" fillId="0" borderId="1" xfId="0" applyFont="1" applyFill="1" applyBorder="1" applyAlignment="1">
      <alignment horizontal="center" vertical="center"/>
    </xf>
  </cellXfs>
  <cellStyles count="8">
    <cellStyle name="Comma" xfId="1" builtinId="3"/>
    <cellStyle name="Comma 2 4" xfId="3"/>
    <cellStyle name="Normal" xfId="0" builtinId="0"/>
    <cellStyle name="Normal 2" xfId="4"/>
    <cellStyle name="Normal 2 2" xfId="6"/>
    <cellStyle name="Normal 2 2 2" xfId="2"/>
    <cellStyle name="Normal 2 3" xfId="5"/>
    <cellStyle name="Normal 2 4" xfId="7"/>
  </cellStyles>
  <dxfs count="5">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ard%20office%20aayojana%202/For-all-Road-rate-analysis-80-81-shankharapur.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E:\080-081\ward%20office%20aayojana\For-all-Road-rate-analysis-80-81-shankharapur.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F:\079-080\Road-rate-analysis-079-80-shankharapur-as-per-dor-norms-nnnn.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Users\Dell\Desktop\Ward%209\RATE%20ANALYSIS\Road-rate-analysis-078-79-shankharapu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sheetData sheetId="2"/>
      <sheetData sheetId="3">
        <row r="6">
          <cell r="L6">
            <v>3598.56</v>
          </cell>
        </row>
        <row r="7">
          <cell r="L7">
            <v>3104.6400000000003</v>
          </cell>
        </row>
        <row r="9">
          <cell r="L9">
            <v>3457.44</v>
          </cell>
        </row>
        <row r="17">
          <cell r="L17">
            <v>106</v>
          </cell>
        </row>
        <row r="25">
          <cell r="L25">
            <v>14231</v>
          </cell>
        </row>
        <row r="73">
          <cell r="L73">
            <v>99000</v>
          </cell>
        </row>
        <row r="111">
          <cell r="L111">
            <v>2504.88</v>
          </cell>
        </row>
        <row r="129">
          <cell r="L129">
            <v>310</v>
          </cell>
        </row>
        <row r="148">
          <cell r="D148">
            <v>1200</v>
          </cell>
        </row>
        <row r="149">
          <cell r="D149">
            <v>1200</v>
          </cell>
        </row>
        <row r="156">
          <cell r="D156">
            <v>900</v>
          </cell>
        </row>
      </sheetData>
      <sheetData sheetId="4">
        <row r="10">
          <cell r="J10">
            <v>293</v>
          </cell>
        </row>
        <row r="19">
          <cell r="J19">
            <v>3071</v>
          </cell>
        </row>
        <row r="20">
          <cell r="J20">
            <v>841</v>
          </cell>
        </row>
      </sheetData>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34">
          <cell r="B34" t="str">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v>
          </cell>
        </row>
        <row r="167">
          <cell r="B167" t="str">
            <v>Providing and laying of Plain Cement Concrete M 10 ( or 1:3:6 for nominal mix) in Foundation complete as per Drawing and Technical Specifications.</v>
          </cell>
        </row>
        <row r="168">
          <cell r="B168" t="str">
            <v>Providing and laying of Plain Cement Concrete M 10 ( or 1:3:6 for nominal mix) in Foundation complete as per Drawing and Technical Specifications., Manual Mixing</v>
          </cell>
        </row>
        <row r="172">
          <cell r="B172" t="str">
            <v>Providing and laying of Plain/Reinforced Cement Concrete in Foundation complete as per Drawing and Technical Specifications., RCC Grade M 20</v>
          </cell>
        </row>
        <row r="300">
          <cell r="B300" t="str">
            <v>Random Rubble Masonry, Providing and laying of Stone Masonry Work in Cement Mortar 1:6 in Foundation complete as per Drawing and Technical Specifications., Using Concrete Mixer</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18">
          <cell r="B18" t="str">
            <v>Dismantling of existing structures like culverts, bridges, retaining walls and other structure comprising of masonry, cement concrete, wood work, steel work, including scaffolding wherever necessary, sorting the dismantled Material, disposal of unserviceable Material and stacking the serviceable Material with all lifts and lead of 1000 meters, Dismantling Brick / Tile work, In cement mortar</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33">
          <cell r="B33" t="str">
            <v>Earthwork Excavation in Cutting., Roadway Excavation in all types of Soil by Manual Means ., Roadway Excavation in all types of soil as per drawing and technical specification, including removal of stumps and other deleterious matter, with all lifts and lead as per Drawing and instruction of the Engineer.</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56"/>
  <sheetViews>
    <sheetView tabSelected="1" zoomScaleNormal="100" zoomScaleSheetLayoutView="80" workbookViewId="0">
      <selection activeCell="A7" sqref="A7:F7"/>
    </sheetView>
  </sheetViews>
  <sheetFormatPr defaultRowHeight="15" x14ac:dyDescent="0.25"/>
  <cols>
    <col min="1" max="1" width="5.140625" style="6" bestFit="1" customWidth="1"/>
    <col min="2" max="2" width="29.5703125" customWidth="1"/>
    <col min="3" max="3" width="5.5703125" bestFit="1" customWidth="1"/>
    <col min="4" max="4" width="6.7109375" customWidth="1"/>
    <col min="5" max="5" width="7.85546875" customWidth="1"/>
    <col min="6" max="6" width="7.140625" customWidth="1"/>
    <col min="7" max="7" width="9.28515625" style="6" customWidth="1"/>
    <col min="8" max="8" width="6.28515625" style="6" bestFit="1" customWidth="1"/>
    <col min="9" max="9" width="10.7109375" style="6" bestFit="1" customWidth="1"/>
    <col min="10" max="10" width="10.5703125" style="6" bestFit="1" customWidth="1"/>
    <col min="11" max="11" width="9.85546875" bestFit="1" customWidth="1"/>
    <col min="14" max="14" width="10.5703125" bestFit="1" customWidth="1"/>
    <col min="15" max="15" width="16.42578125" bestFit="1" customWidth="1"/>
    <col min="16" max="16" width="12.140625" customWidth="1"/>
    <col min="17" max="17" width="14.42578125" customWidth="1"/>
  </cols>
  <sheetData>
    <row r="1" spans="1:11" s="1" customFormat="1" x14ac:dyDescent="0.25">
      <c r="A1" s="105" t="s">
        <v>0</v>
      </c>
      <c r="B1" s="105"/>
      <c r="C1" s="105"/>
      <c r="D1" s="105"/>
      <c r="E1" s="105"/>
      <c r="F1" s="105"/>
      <c r="G1" s="105"/>
      <c r="H1" s="105"/>
      <c r="I1" s="105"/>
      <c r="J1" s="105"/>
      <c r="K1" s="105"/>
    </row>
    <row r="2" spans="1:11" s="1" customFormat="1" ht="22.5" x14ac:dyDescent="0.25">
      <c r="A2" s="106" t="s">
        <v>1</v>
      </c>
      <c r="B2" s="106"/>
      <c r="C2" s="106"/>
      <c r="D2" s="106"/>
      <c r="E2" s="106"/>
      <c r="F2" s="106"/>
      <c r="G2" s="106"/>
      <c r="H2" s="106"/>
      <c r="I2" s="106"/>
      <c r="J2" s="106"/>
      <c r="K2" s="106"/>
    </row>
    <row r="3" spans="1:11" s="1" customFormat="1" x14ac:dyDescent="0.25">
      <c r="A3" s="107" t="s">
        <v>2</v>
      </c>
      <c r="B3" s="107"/>
      <c r="C3" s="107"/>
      <c r="D3" s="107"/>
      <c r="E3" s="107"/>
      <c r="F3" s="107"/>
      <c r="G3" s="107"/>
      <c r="H3" s="107"/>
      <c r="I3" s="107"/>
      <c r="J3" s="107"/>
      <c r="K3" s="107"/>
    </row>
    <row r="4" spans="1:11" s="1" customFormat="1" x14ac:dyDescent="0.25">
      <c r="A4" s="107" t="s">
        <v>3</v>
      </c>
      <c r="B4" s="107"/>
      <c r="C4" s="107"/>
      <c r="D4" s="107"/>
      <c r="E4" s="107"/>
      <c r="F4" s="107"/>
      <c r="G4" s="107"/>
      <c r="H4" s="107"/>
      <c r="I4" s="107"/>
      <c r="J4" s="107"/>
      <c r="K4" s="107"/>
    </row>
    <row r="5" spans="1:11" ht="18.75" x14ac:dyDescent="0.3">
      <c r="A5" s="108" t="s">
        <v>4</v>
      </c>
      <c r="B5" s="108"/>
      <c r="C5" s="108"/>
      <c r="D5" s="108"/>
      <c r="E5" s="108"/>
      <c r="F5" s="108"/>
      <c r="G5" s="108"/>
      <c r="H5" s="108"/>
      <c r="I5" s="108"/>
      <c r="J5" s="108"/>
      <c r="K5" s="108"/>
    </row>
    <row r="6" spans="1:11" ht="18.75" x14ac:dyDescent="0.3">
      <c r="A6" s="104" t="s">
        <v>134</v>
      </c>
      <c r="B6" s="104"/>
      <c r="C6" s="104"/>
      <c r="D6" s="104"/>
      <c r="E6" s="104"/>
      <c r="F6" s="104"/>
      <c r="G6" s="104"/>
      <c r="H6" s="100" t="s">
        <v>132</v>
      </c>
      <c r="I6" s="100"/>
      <c r="J6" s="100"/>
      <c r="K6" s="100"/>
    </row>
    <row r="7" spans="1:11" ht="15.75" x14ac:dyDescent="0.25">
      <c r="A7" s="99" t="s">
        <v>33</v>
      </c>
      <c r="B7" s="99"/>
      <c r="C7" s="99"/>
      <c r="D7" s="99"/>
      <c r="E7" s="99"/>
      <c r="F7" s="99"/>
      <c r="G7" s="2"/>
      <c r="H7" s="100" t="s">
        <v>133</v>
      </c>
      <c r="I7" s="100"/>
      <c r="J7" s="100"/>
      <c r="K7" s="100"/>
    </row>
    <row r="8" spans="1:11" ht="15" customHeight="1" x14ac:dyDescent="0.25">
      <c r="A8" s="3" t="s">
        <v>5</v>
      </c>
      <c r="B8" s="24" t="s">
        <v>6</v>
      </c>
      <c r="C8" s="3" t="s">
        <v>7</v>
      </c>
      <c r="D8" s="25" t="s">
        <v>8</v>
      </c>
      <c r="E8" s="25" t="s">
        <v>9</v>
      </c>
      <c r="F8" s="25" t="s">
        <v>10</v>
      </c>
      <c r="G8" s="25" t="s">
        <v>11</v>
      </c>
      <c r="H8" s="3" t="s">
        <v>12</v>
      </c>
      <c r="I8" s="25" t="s">
        <v>13</v>
      </c>
      <c r="J8" s="25" t="s">
        <v>14</v>
      </c>
      <c r="K8" s="26" t="s">
        <v>15</v>
      </c>
    </row>
    <row r="9" spans="1:11" ht="156" hidden="1" customHeight="1" x14ac:dyDescent="0.25">
      <c r="A9" s="28">
        <v>1</v>
      </c>
      <c r="B9" s="48" t="s">
        <v>50</v>
      </c>
      <c r="C9" s="17"/>
      <c r="D9" s="17"/>
      <c r="E9" s="17"/>
      <c r="F9" s="17"/>
      <c r="G9" s="43"/>
      <c r="H9" s="32"/>
      <c r="I9" s="33"/>
      <c r="J9" s="33"/>
      <c r="K9" s="31"/>
    </row>
    <row r="10" spans="1:11" hidden="1" x14ac:dyDescent="0.25">
      <c r="A10" s="43"/>
      <c r="B10" s="51" t="s">
        <v>51</v>
      </c>
      <c r="C10" s="46">
        <v>1</v>
      </c>
      <c r="D10" s="30">
        <f>121/3.281</f>
        <v>36.879000304785123</v>
      </c>
      <c r="E10" s="31">
        <v>0.6</v>
      </c>
      <c r="F10" s="31">
        <f>(1.5+0.333+0.5)/3.281</f>
        <v>0.7110637000914356</v>
      </c>
      <c r="G10" s="40">
        <f>PRODUCT(C10:F10)</f>
        <v>15.733991047436215</v>
      </c>
      <c r="H10" s="32"/>
      <c r="I10" s="33"/>
      <c r="J10" s="33"/>
      <c r="K10" s="31"/>
    </row>
    <row r="11" spans="1:11" hidden="1" x14ac:dyDescent="0.25">
      <c r="A11" s="28"/>
      <c r="B11" s="34" t="s">
        <v>41</v>
      </c>
      <c r="C11" s="31"/>
      <c r="D11" s="30"/>
      <c r="E11" s="31"/>
      <c r="F11" s="31"/>
      <c r="G11" s="33">
        <f>0*SUM(G10:G10)</f>
        <v>0</v>
      </c>
      <c r="H11" s="32" t="s">
        <v>34</v>
      </c>
      <c r="I11" s="33">
        <v>62.02</v>
      </c>
      <c r="J11" s="39">
        <f>G11*I11</f>
        <v>0</v>
      </c>
      <c r="K11" s="31"/>
    </row>
    <row r="12" spans="1:11" hidden="1" x14ac:dyDescent="0.25">
      <c r="A12" s="28"/>
      <c r="B12" s="34" t="s">
        <v>37</v>
      </c>
      <c r="C12" s="31"/>
      <c r="D12" s="30"/>
      <c r="E12" s="31"/>
      <c r="F12" s="31"/>
      <c r="G12" s="33"/>
      <c r="H12" s="32"/>
      <c r="I12" s="33"/>
      <c r="J12" s="39">
        <f>0.13*G11*18426/360</f>
        <v>0</v>
      </c>
      <c r="K12" s="31"/>
    </row>
    <row r="13" spans="1:11" hidden="1" x14ac:dyDescent="0.25">
      <c r="A13" s="28"/>
      <c r="B13" s="34"/>
      <c r="C13" s="31"/>
      <c r="D13" s="30"/>
      <c r="E13" s="31"/>
      <c r="F13" s="31"/>
      <c r="G13" s="33"/>
      <c r="H13" s="32"/>
      <c r="I13" s="33"/>
      <c r="J13" s="39"/>
      <c r="K13" s="31"/>
    </row>
    <row r="14" spans="1:11" s="1" customFormat="1" ht="105" hidden="1" x14ac:dyDescent="0.25">
      <c r="A14" s="28">
        <v>2</v>
      </c>
      <c r="B14" s="48" t="s">
        <v>40</v>
      </c>
      <c r="C14" s="31"/>
      <c r="D14" s="30"/>
      <c r="E14" s="31"/>
      <c r="F14" s="31"/>
      <c r="G14" s="33"/>
      <c r="H14" s="32"/>
      <c r="I14" s="33"/>
      <c r="J14" s="39"/>
      <c r="K14" s="31"/>
    </row>
    <row r="15" spans="1:11" hidden="1" x14ac:dyDescent="0.25">
      <c r="A15" s="28"/>
      <c r="B15" s="49" t="str">
        <f>B10</f>
        <v>-For roadside drain</v>
      </c>
      <c r="C15" s="29">
        <v>1</v>
      </c>
      <c r="D15" s="30">
        <f>D10</f>
        <v>36.879000304785123</v>
      </c>
      <c r="E15" s="31">
        <f>E10</f>
        <v>0.6</v>
      </c>
      <c r="F15" s="31">
        <v>0.15</v>
      </c>
      <c r="G15" s="40">
        <f>PRODUCT(C15:F15)</f>
        <v>3.3191100274306611</v>
      </c>
      <c r="H15" s="32"/>
      <c r="I15" s="33"/>
      <c r="J15" s="39"/>
      <c r="K15" s="31"/>
    </row>
    <row r="16" spans="1:11" hidden="1" x14ac:dyDescent="0.25">
      <c r="A16" s="28"/>
      <c r="B16" s="34" t="s">
        <v>41</v>
      </c>
      <c r="C16" s="29"/>
      <c r="D16" s="30"/>
      <c r="E16" s="31"/>
      <c r="F16" s="31"/>
      <c r="G16" s="33">
        <f>0*SUM(G15:G15)</f>
        <v>0</v>
      </c>
      <c r="H16" s="32" t="s">
        <v>34</v>
      </c>
      <c r="I16" s="33">
        <v>4403.5200000000004</v>
      </c>
      <c r="J16" s="39">
        <f>G16*I16</f>
        <v>0</v>
      </c>
      <c r="K16" s="31"/>
    </row>
    <row r="17" spans="1:11" hidden="1" x14ac:dyDescent="0.25">
      <c r="A17" s="28"/>
      <c r="B17" s="34" t="s">
        <v>37</v>
      </c>
      <c r="C17" s="29"/>
      <c r="D17" s="30"/>
      <c r="E17" s="31"/>
      <c r="F17" s="31"/>
      <c r="G17" s="33"/>
      <c r="H17" s="32"/>
      <c r="I17" s="33"/>
      <c r="J17" s="39">
        <f>G16*0.13*(14817.6/5)</f>
        <v>0</v>
      </c>
      <c r="K17" s="31"/>
    </row>
    <row r="18" spans="1:11" hidden="1" x14ac:dyDescent="0.25">
      <c r="A18" s="28"/>
      <c r="B18" s="34"/>
      <c r="C18" s="29"/>
      <c r="D18" s="30"/>
      <c r="E18" s="31"/>
      <c r="F18" s="31"/>
      <c r="G18" s="33"/>
      <c r="H18" s="32"/>
      <c r="I18" s="33"/>
      <c r="J18" s="39"/>
      <c r="K18" s="31"/>
    </row>
    <row r="19" spans="1:11" ht="83.25" hidden="1" customHeight="1" x14ac:dyDescent="0.25">
      <c r="A19" s="28">
        <v>3</v>
      </c>
      <c r="B19" s="47" t="s">
        <v>42</v>
      </c>
      <c r="C19" s="29"/>
      <c r="D19" s="30"/>
      <c r="E19" s="31"/>
      <c r="F19" s="31"/>
      <c r="G19" s="33"/>
      <c r="H19" s="32"/>
      <c r="I19" s="33"/>
      <c r="J19" s="39"/>
      <c r="K19" s="31"/>
    </row>
    <row r="20" spans="1:11" hidden="1" x14ac:dyDescent="0.25">
      <c r="A20" s="28"/>
      <c r="B20" s="50" t="str">
        <f>B25</f>
        <v>-Concrete speed breaker</v>
      </c>
      <c r="C20" s="29">
        <v>1</v>
      </c>
      <c r="D20" s="30">
        <f>D15</f>
        <v>36.879000304785123</v>
      </c>
      <c r="E20" s="31">
        <f>E15</f>
        <v>0.6</v>
      </c>
      <c r="F20" s="31">
        <v>0.05</v>
      </c>
      <c r="G20" s="40">
        <f>PRODUCT(C20:F20)</f>
        <v>1.1063700091435538</v>
      </c>
      <c r="H20" s="32"/>
      <c r="I20" s="33"/>
      <c r="J20" s="39"/>
      <c r="K20" s="31"/>
    </row>
    <row r="21" spans="1:11" hidden="1" x14ac:dyDescent="0.25">
      <c r="A21" s="28"/>
      <c r="B21" s="34" t="s">
        <v>41</v>
      </c>
      <c r="C21" s="29"/>
      <c r="D21" s="30"/>
      <c r="E21" s="31"/>
      <c r="F21" s="31"/>
      <c r="G21" s="33">
        <f>0*SUM(G20:G20)</f>
        <v>0</v>
      </c>
      <c r="H21" s="32" t="s">
        <v>34</v>
      </c>
      <c r="I21" s="53">
        <v>11126.38</v>
      </c>
      <c r="J21" s="39">
        <f>G21*I21</f>
        <v>0</v>
      </c>
      <c r="K21" s="31"/>
    </row>
    <row r="22" spans="1:11" hidden="1" x14ac:dyDescent="0.25">
      <c r="A22" s="28"/>
      <c r="B22" s="34" t="s">
        <v>37</v>
      </c>
      <c r="C22" s="29"/>
      <c r="D22" s="30"/>
      <c r="E22" s="31"/>
      <c r="F22" s="31"/>
      <c r="G22" s="33"/>
      <c r="H22" s="32"/>
      <c r="I22" s="33"/>
      <c r="J22" s="52">
        <f>0.13*G21*((123027.7+6419.1)/15)</f>
        <v>0</v>
      </c>
      <c r="K22" s="31"/>
    </row>
    <row r="23" spans="1:11" hidden="1" x14ac:dyDescent="0.25">
      <c r="A23" s="28"/>
      <c r="B23" s="34"/>
      <c r="C23" s="29"/>
      <c r="D23" s="30"/>
      <c r="E23" s="31"/>
      <c r="F23" s="31"/>
      <c r="G23" s="33"/>
      <c r="H23" s="32"/>
      <c r="I23" s="33"/>
      <c r="J23" s="52"/>
      <c r="K23" s="31"/>
    </row>
    <row r="24" spans="1:11" ht="75" x14ac:dyDescent="0.25">
      <c r="A24" s="28">
        <v>1</v>
      </c>
      <c r="B24" s="47" t="s">
        <v>131</v>
      </c>
      <c r="C24" s="29"/>
      <c r="D24" s="30"/>
      <c r="E24" s="31"/>
      <c r="F24" s="31"/>
      <c r="G24" s="33"/>
      <c r="H24" s="32"/>
      <c r="I24" s="33"/>
      <c r="J24" s="39"/>
      <c r="K24" s="31"/>
    </row>
    <row r="25" spans="1:11" x14ac:dyDescent="0.25">
      <c r="A25" s="28"/>
      <c r="B25" s="51" t="s">
        <v>130</v>
      </c>
      <c r="C25" s="29">
        <v>1</v>
      </c>
      <c r="D25" s="30">
        <f>11.5/3.281</f>
        <v>3.5050289545870159</v>
      </c>
      <c r="E25" s="31">
        <f>1.5/3.281</f>
        <v>0.45717768972874123</v>
      </c>
      <c r="F25" s="31">
        <v>0.1</v>
      </c>
      <c r="G25" s="40">
        <f>C25*0.032163*D25</f>
        <v>0.11273224626638219</v>
      </c>
      <c r="H25" s="32"/>
      <c r="I25" s="33"/>
      <c r="J25" s="39"/>
      <c r="K25" s="31"/>
    </row>
    <row r="26" spans="1:11" x14ac:dyDescent="0.25">
      <c r="A26" s="28"/>
      <c r="B26" s="51"/>
      <c r="C26" s="29">
        <v>1</v>
      </c>
      <c r="D26" s="30">
        <f>11/3.281</f>
        <v>3.3526363913441024</v>
      </c>
      <c r="E26" s="31">
        <f t="shared" ref="E26:E31" si="0">1.5/3.281</f>
        <v>0.45717768972874123</v>
      </c>
      <c r="F26" s="31">
        <v>1.1000000000000001</v>
      </c>
      <c r="G26" s="40">
        <f t="shared" ref="G26:G31" si="1">C26*0.032163*D26</f>
        <v>0.10783084425480036</v>
      </c>
      <c r="H26" s="32"/>
      <c r="I26" s="33"/>
      <c r="J26" s="39"/>
      <c r="K26" s="31"/>
    </row>
    <row r="27" spans="1:11" x14ac:dyDescent="0.25">
      <c r="A27" s="28"/>
      <c r="B27" s="51"/>
      <c r="C27" s="29">
        <v>1</v>
      </c>
      <c r="D27" s="30">
        <f>12.25/3.281</f>
        <v>3.7336177994513866</v>
      </c>
      <c r="E27" s="31">
        <f t="shared" si="0"/>
        <v>0.45717768972874123</v>
      </c>
      <c r="F27" s="31">
        <v>2.1</v>
      </c>
      <c r="G27" s="40">
        <f t="shared" si="1"/>
        <v>0.12008434928375494</v>
      </c>
      <c r="H27" s="32"/>
      <c r="I27" s="33"/>
      <c r="J27" s="39"/>
      <c r="K27" s="31"/>
    </row>
    <row r="28" spans="1:11" x14ac:dyDescent="0.25">
      <c r="A28" s="28"/>
      <c r="B28" s="51"/>
      <c r="C28" s="29">
        <v>1</v>
      </c>
      <c r="D28" s="30">
        <f>11.25/3.281</f>
        <v>3.4288326729655592</v>
      </c>
      <c r="E28" s="31">
        <f t="shared" si="0"/>
        <v>0.45717768972874123</v>
      </c>
      <c r="F28" s="31">
        <v>3.1</v>
      </c>
      <c r="G28" s="40">
        <f t="shared" si="1"/>
        <v>0.11028154526059127</v>
      </c>
      <c r="H28" s="32"/>
      <c r="I28" s="33"/>
      <c r="J28" s="39"/>
      <c r="K28" s="31"/>
    </row>
    <row r="29" spans="1:11" x14ac:dyDescent="0.25">
      <c r="A29" s="28"/>
      <c r="B29" s="51"/>
      <c r="C29" s="29">
        <v>1</v>
      </c>
      <c r="D29" s="30">
        <f>11/3.281</f>
        <v>3.3526363913441024</v>
      </c>
      <c r="E29" s="31">
        <f t="shared" si="0"/>
        <v>0.45717768972874123</v>
      </c>
      <c r="F29" s="31">
        <v>4.0999999999999996</v>
      </c>
      <c r="G29" s="40">
        <f t="shared" si="1"/>
        <v>0.10783084425480036</v>
      </c>
      <c r="H29" s="32"/>
      <c r="I29" s="33"/>
      <c r="J29" s="39"/>
      <c r="K29" s="31"/>
    </row>
    <row r="30" spans="1:11" x14ac:dyDescent="0.25">
      <c r="A30" s="28"/>
      <c r="B30" s="51"/>
      <c r="C30" s="29">
        <v>1</v>
      </c>
      <c r="D30" s="30">
        <f>18.5/3.281</f>
        <v>5.6385248399878085</v>
      </c>
      <c r="E30" s="31">
        <f t="shared" si="0"/>
        <v>0.45717768972874123</v>
      </c>
      <c r="F30" s="31">
        <v>5.0999999999999996</v>
      </c>
      <c r="G30" s="40">
        <f t="shared" si="1"/>
        <v>0.18135187442852788</v>
      </c>
      <c r="H30" s="32"/>
      <c r="I30" s="33"/>
      <c r="J30" s="39"/>
      <c r="K30" s="31"/>
    </row>
    <row r="31" spans="1:11" x14ac:dyDescent="0.25">
      <c r="A31" s="28"/>
      <c r="B31" s="51"/>
      <c r="C31" s="29">
        <v>1</v>
      </c>
      <c r="D31" s="30">
        <f>20/3.281</f>
        <v>6.0957025297165499</v>
      </c>
      <c r="E31" s="31">
        <f t="shared" si="0"/>
        <v>0.45717768972874123</v>
      </c>
      <c r="F31" s="31">
        <v>6.1</v>
      </c>
      <c r="G31" s="40">
        <f t="shared" si="1"/>
        <v>0.19605608046327339</v>
      </c>
      <c r="H31" s="32"/>
      <c r="I31" s="33"/>
      <c r="J31" s="39"/>
      <c r="K31" s="31"/>
    </row>
    <row r="32" spans="1:11" x14ac:dyDescent="0.25">
      <c r="A32" s="28"/>
      <c r="B32" s="34" t="s">
        <v>41</v>
      </c>
      <c r="C32" s="29"/>
      <c r="D32" s="30"/>
      <c r="E32" s="31"/>
      <c r="F32" s="31"/>
      <c r="G32" s="33">
        <f>SUM(G25:G31)</f>
        <v>0.93616778421213032</v>
      </c>
      <c r="H32" s="32" t="s">
        <v>34</v>
      </c>
      <c r="I32" s="53">
        <v>11588.17</v>
      </c>
      <c r="J32" s="39">
        <f>G32*I32</f>
        <v>10848.471431973483</v>
      </c>
      <c r="K32" s="31"/>
    </row>
    <row r="33" spans="1:31" x14ac:dyDescent="0.25">
      <c r="A33" s="28"/>
      <c r="B33" s="34" t="s">
        <v>37</v>
      </c>
      <c r="C33" s="29"/>
      <c r="D33" s="30"/>
      <c r="E33" s="31"/>
      <c r="F33" s="31"/>
      <c r="G33" s="33"/>
      <c r="H33" s="32"/>
      <c r="I33" s="33"/>
      <c r="J33" s="52">
        <f>0.13*G32*((128662.2+6685.5)/15)</f>
        <v>1098.1373555291373</v>
      </c>
      <c r="K33" s="31"/>
    </row>
    <row r="34" spans="1:31" x14ac:dyDescent="0.25">
      <c r="A34" s="28"/>
      <c r="B34" s="34"/>
      <c r="C34" s="29"/>
      <c r="D34" s="30"/>
      <c r="E34" s="31"/>
      <c r="F34" s="31"/>
      <c r="G34" s="33"/>
      <c r="H34" s="32"/>
      <c r="I34" s="33"/>
      <c r="J34" s="52"/>
      <c r="K34" s="31"/>
    </row>
    <row r="35" spans="1:31" ht="75" hidden="1" x14ac:dyDescent="0.25">
      <c r="A35" s="28">
        <v>5</v>
      </c>
      <c r="B35" s="47" t="s">
        <v>44</v>
      </c>
      <c r="C35" s="29" t="s">
        <v>7</v>
      </c>
      <c r="D35" s="54" t="s">
        <v>46</v>
      </c>
      <c r="E35" s="54" t="s">
        <v>47</v>
      </c>
      <c r="F35" s="54" t="s">
        <v>48</v>
      </c>
      <c r="G35" s="54" t="s">
        <v>49</v>
      </c>
      <c r="H35" s="32"/>
      <c r="I35" s="33"/>
      <c r="J35" s="52"/>
      <c r="K35" s="31"/>
    </row>
    <row r="36" spans="1:31" hidden="1" x14ac:dyDescent="0.25">
      <c r="A36" s="28"/>
      <c r="B36" s="50" t="str">
        <f>B25</f>
        <v>-Concrete speed breaker</v>
      </c>
      <c r="C36" s="29">
        <f>(TRUNC(((E25-0.1)/0.15),0)+1)+(TRUNC(((F26-0.1)/0.15),0)*2)</f>
        <v>15</v>
      </c>
      <c r="D36" s="30">
        <f>D25-0.1</f>
        <v>3.4050289545870158</v>
      </c>
      <c r="E36" s="31">
        <f t="shared" ref="E36:E41" si="2">10*10/162</f>
        <v>0.61728395061728392</v>
      </c>
      <c r="F36" s="31">
        <f t="shared" ref="F36:F41" si="3">PRODUCT(C36:E36)</f>
        <v>31.528045875805699</v>
      </c>
      <c r="G36" s="40">
        <f t="shared" ref="G36:G41" si="4">F36/1000</f>
        <v>3.1528045875805696E-2</v>
      </c>
      <c r="H36" s="32"/>
      <c r="I36" s="33"/>
      <c r="J36" s="39"/>
      <c r="K36" s="31"/>
      <c r="N36" s="60" t="s">
        <v>59</v>
      </c>
      <c r="O36" s="60" t="s">
        <v>57</v>
      </c>
      <c r="P36" s="60" t="s">
        <v>58</v>
      </c>
      <c r="Q36" s="60" t="s">
        <v>16</v>
      </c>
    </row>
    <row r="37" spans="1:31" hidden="1" x14ac:dyDescent="0.25">
      <c r="A37" s="28"/>
      <c r="B37" s="50"/>
      <c r="C37" s="29">
        <f>TRUNC(((D36-0.1)/0.15),0)</f>
        <v>22</v>
      </c>
      <c r="D37" s="30">
        <f>(E25-0.1)+(F26-0.1)*1.9</f>
        <v>2.2571776897287412</v>
      </c>
      <c r="E37" s="31">
        <f t="shared" si="2"/>
        <v>0.61728395061728392</v>
      </c>
      <c r="F37" s="31">
        <f t="shared" si="3"/>
        <v>30.653030354340927</v>
      </c>
      <c r="G37" s="40">
        <f t="shared" si="4"/>
        <v>3.0653030354340926E-2</v>
      </c>
      <c r="H37" s="32"/>
      <c r="I37" s="33"/>
      <c r="J37" s="33"/>
      <c r="K37" s="31"/>
      <c r="N37" s="10" t="s">
        <v>56</v>
      </c>
      <c r="O37" s="7">
        <f>Sheet1!K17/5*new!G16</f>
        <v>0</v>
      </c>
      <c r="P37" s="7">
        <f>0.13*O37</f>
        <v>0</v>
      </c>
      <c r="Q37" s="7">
        <f>O37+P37</f>
        <v>0</v>
      </c>
    </row>
    <row r="38" spans="1:31" hidden="1" x14ac:dyDescent="0.25">
      <c r="A38" s="28"/>
      <c r="B38" s="50">
        <f>B27</f>
        <v>0</v>
      </c>
      <c r="C38" s="29">
        <f>(TRUNC(((D39)/0.15),0)+1)*C27</f>
        <v>3</v>
      </c>
      <c r="D38" s="30">
        <f>D27-0.1</f>
        <v>3.6336177994513865</v>
      </c>
      <c r="E38" s="31">
        <f t="shared" si="2"/>
        <v>0.61728395061728392</v>
      </c>
      <c r="F38" s="31">
        <f t="shared" si="3"/>
        <v>6.728921850835901</v>
      </c>
      <c r="G38" s="40">
        <f t="shared" si="4"/>
        <v>6.7289218508359014E-3</v>
      </c>
      <c r="H38" s="32"/>
      <c r="I38" s="33"/>
      <c r="J38" s="39"/>
      <c r="K38" s="31"/>
      <c r="N38" s="10" t="s">
        <v>60</v>
      </c>
      <c r="O38" s="7">
        <f>(Sheet1!K29/15*new!G21+Sheet1!K45/15*new!G32)</f>
        <v>4627.3843646939949</v>
      </c>
      <c r="P38" s="7">
        <f t="shared" ref="P38:P43" si="5">0.13*O38</f>
        <v>601.55996741021931</v>
      </c>
      <c r="Q38" s="7">
        <f t="shared" ref="Q38:Q43" si="6">O38+P38</f>
        <v>5228.9443321042145</v>
      </c>
    </row>
    <row r="39" spans="1:31" hidden="1" x14ac:dyDescent="0.25">
      <c r="A39" s="28"/>
      <c r="B39" s="50"/>
      <c r="C39" s="29">
        <f>(TRUNC(((D38)/0.15),0)+1)*C27</f>
        <v>25</v>
      </c>
      <c r="D39" s="30">
        <f>(E27-0.1)</f>
        <v>0.3571776897287412</v>
      </c>
      <c r="E39" s="31">
        <f t="shared" si="2"/>
        <v>0.61728395061728392</v>
      </c>
      <c r="F39" s="31">
        <f t="shared" si="3"/>
        <v>5.5120013847027955</v>
      </c>
      <c r="G39" s="40">
        <f t="shared" si="4"/>
        <v>5.5120013847027955E-3</v>
      </c>
      <c r="H39" s="32"/>
      <c r="I39" s="33"/>
      <c r="J39" s="39"/>
      <c r="K39" s="31"/>
      <c r="N39" s="10" t="s">
        <v>61</v>
      </c>
      <c r="O39" s="7">
        <f>Sheet1!K30/15*new!G21+new!G32*Sheet1!K46/15</f>
        <v>1055.2445816927766</v>
      </c>
      <c r="P39" s="7">
        <f t="shared" si="5"/>
        <v>137.18179562006097</v>
      </c>
      <c r="Q39" s="7">
        <f t="shared" si="6"/>
        <v>1192.4263773128375</v>
      </c>
    </row>
    <row r="40" spans="1:31" hidden="1" x14ac:dyDescent="0.25">
      <c r="A40" s="28"/>
      <c r="B40" s="50">
        <f>B28</f>
        <v>0</v>
      </c>
      <c r="C40" s="29">
        <f>(TRUNC(((D41)/0.15),0)+1)*C28</f>
        <v>3</v>
      </c>
      <c r="D40" s="30">
        <f>D28-0.1</f>
        <v>3.3288326729655591</v>
      </c>
      <c r="E40" s="31">
        <f t="shared" si="2"/>
        <v>0.61728395061728392</v>
      </c>
      <c r="F40" s="31">
        <f t="shared" si="3"/>
        <v>6.1645049499362203</v>
      </c>
      <c r="G40" s="40">
        <f t="shared" si="4"/>
        <v>6.1645049499362203E-3</v>
      </c>
      <c r="H40" s="32"/>
      <c r="I40" s="33"/>
      <c r="J40" s="39"/>
      <c r="K40" s="31"/>
      <c r="N40" s="10" t="s">
        <v>62</v>
      </c>
      <c r="O40" s="7">
        <f>(Sheet1!K31+Sheet1!K32+Sheet1!K33)/15*new!G21+(Sheet1!K47+Sheet1!K48)/15*new!G32</f>
        <v>2865.5092302868638</v>
      </c>
      <c r="P40" s="7">
        <f t="shared" si="5"/>
        <v>372.5161999372923</v>
      </c>
      <c r="Q40" s="7">
        <f t="shared" si="6"/>
        <v>3238.025430224156</v>
      </c>
    </row>
    <row r="41" spans="1:31" hidden="1" x14ac:dyDescent="0.25">
      <c r="A41" s="28"/>
      <c r="B41" s="50"/>
      <c r="C41" s="29">
        <f>(TRUNC(((D40)/0.15),0)+1)*C28</f>
        <v>23</v>
      </c>
      <c r="D41" s="30">
        <f>(E28-0.1)</f>
        <v>0.3571776897287412</v>
      </c>
      <c r="E41" s="31">
        <f t="shared" si="2"/>
        <v>0.61728395061728392</v>
      </c>
      <c r="F41" s="31">
        <f t="shared" si="3"/>
        <v>5.0710412739265722</v>
      </c>
      <c r="G41" s="40">
        <f t="shared" si="4"/>
        <v>5.0710412739265725E-3</v>
      </c>
      <c r="H41" s="32"/>
      <c r="I41" s="33"/>
      <c r="J41" s="39"/>
      <c r="K41" s="31"/>
      <c r="N41" s="10" t="s">
        <v>63</v>
      </c>
      <c r="O41" s="7">
        <f>Sheet1!K34/15*new!G21+new!G32*Sheet1!K49/15</f>
        <v>48.368668850960063</v>
      </c>
      <c r="P41" s="7">
        <f t="shared" si="5"/>
        <v>6.2879269506248088</v>
      </c>
      <c r="Q41" s="7">
        <f t="shared" si="6"/>
        <v>54.656595801584871</v>
      </c>
    </row>
    <row r="42" spans="1:31" hidden="1" x14ac:dyDescent="0.25">
      <c r="A42" s="28"/>
      <c r="B42" s="34" t="s">
        <v>41</v>
      </c>
      <c r="C42" s="29"/>
      <c r="D42" s="30"/>
      <c r="E42" s="31"/>
      <c r="F42" s="31"/>
      <c r="G42" s="55">
        <f>0*SUM(G36:G41)</f>
        <v>0</v>
      </c>
      <c r="H42" s="32" t="s">
        <v>45</v>
      </c>
      <c r="I42" s="53">
        <v>122648</v>
      </c>
      <c r="J42" s="39">
        <f>G42*I42</f>
        <v>0</v>
      </c>
      <c r="K42" s="31"/>
      <c r="N42" s="10" t="s">
        <v>64</v>
      </c>
      <c r="O42" s="7">
        <f>Sheet1!K59/1*new!G42</f>
        <v>0</v>
      </c>
      <c r="P42" s="7">
        <f>0.13*O42</f>
        <v>0</v>
      </c>
      <c r="Q42" s="7">
        <f t="shared" si="6"/>
        <v>0</v>
      </c>
    </row>
    <row r="43" spans="1:31" hidden="1" x14ac:dyDescent="0.25">
      <c r="A43" s="28"/>
      <c r="B43" s="34" t="s">
        <v>37</v>
      </c>
      <c r="C43" s="29"/>
      <c r="D43" s="30"/>
      <c r="E43" s="31"/>
      <c r="F43" s="31"/>
      <c r="G43" s="33"/>
      <c r="H43" s="32"/>
      <c r="I43" s="33"/>
      <c r="J43" s="52">
        <f>0.13*G42*(109748)</f>
        <v>0</v>
      </c>
      <c r="K43" s="31"/>
      <c r="N43" s="10" t="s">
        <v>65</v>
      </c>
      <c r="O43" s="7">
        <f>Sheet1!K60/1*new!G42</f>
        <v>0</v>
      </c>
      <c r="P43" s="7">
        <f t="shared" si="5"/>
        <v>0</v>
      </c>
      <c r="Q43" s="7">
        <f t="shared" si="6"/>
        <v>0</v>
      </c>
    </row>
    <row r="44" spans="1:31" hidden="1" x14ac:dyDescent="0.25">
      <c r="A44" s="28"/>
      <c r="B44" s="34"/>
      <c r="C44" s="29"/>
      <c r="D44" s="30"/>
      <c r="E44" s="31"/>
      <c r="F44" s="31"/>
      <c r="G44" s="33"/>
      <c r="H44" s="32"/>
      <c r="I44" s="33"/>
      <c r="J44" s="52"/>
      <c r="K44" s="31"/>
      <c r="N44" s="62" t="s">
        <v>66</v>
      </c>
      <c r="O44" s="4">
        <f>Sheet1!P6/360*new!G11</f>
        <v>0</v>
      </c>
      <c r="P44" s="7">
        <f>0.13*O44</f>
        <v>0</v>
      </c>
      <c r="Q44" s="7">
        <f>O44+P44</f>
        <v>0</v>
      </c>
    </row>
    <row r="45" spans="1:31" x14ac:dyDescent="0.25">
      <c r="A45" s="28">
        <v>2</v>
      </c>
      <c r="B45" s="41" t="s">
        <v>35</v>
      </c>
      <c r="C45" s="29">
        <v>1</v>
      </c>
      <c r="D45" s="30"/>
      <c r="E45" s="31"/>
      <c r="F45" s="31"/>
      <c r="G45" s="39">
        <f>PRODUCT(C45:F45)</f>
        <v>1</v>
      </c>
      <c r="H45" s="32" t="s">
        <v>36</v>
      </c>
      <c r="I45" s="33">
        <v>500</v>
      </c>
      <c r="J45" s="8">
        <f>G45*I45</f>
        <v>500</v>
      </c>
      <c r="K45" s="31"/>
      <c r="N45" s="62" t="s">
        <v>116</v>
      </c>
      <c r="O45" s="4">
        <f>Sheet1!U29/15*new!G21+Sheet1!U45/15*new!G32</f>
        <v>437.2373932894385</v>
      </c>
      <c r="P45" s="7">
        <f>0.13*O45</f>
        <v>56.840861127627008</v>
      </c>
      <c r="Q45" s="7">
        <f>O45+P45</f>
        <v>494.07825441706552</v>
      </c>
    </row>
    <row r="46" spans="1:31" x14ac:dyDescent="0.25">
      <c r="A46" s="10"/>
      <c r="B46" s="27"/>
      <c r="C46" s="9"/>
      <c r="D46" s="7"/>
      <c r="E46" s="7"/>
      <c r="F46" s="7"/>
      <c r="G46" s="8"/>
      <c r="H46" s="8"/>
      <c r="I46" s="8"/>
      <c r="J46" s="8"/>
      <c r="K46" s="4"/>
      <c r="M46" s="44"/>
    </row>
    <row r="47" spans="1:31" x14ac:dyDescent="0.25">
      <c r="A47" s="10"/>
      <c r="B47" s="27" t="s">
        <v>17</v>
      </c>
      <c r="C47" s="9"/>
      <c r="D47" s="7"/>
      <c r="E47" s="7"/>
      <c r="F47" s="7"/>
      <c r="G47" s="8"/>
      <c r="H47" s="8"/>
      <c r="I47" s="8"/>
      <c r="J47" s="8">
        <f>SUM(J31:J46)</f>
        <v>12446.608787502621</v>
      </c>
      <c r="K47" s="4"/>
      <c r="M47" s="44"/>
      <c r="P47" s="61">
        <f>SUM(P37:P45)</f>
        <v>1174.3867510458242</v>
      </c>
      <c r="Q47" s="61">
        <f>SUM(Q37:Q43)</f>
        <v>9714.0527354427941</v>
      </c>
    </row>
    <row r="48" spans="1:31" x14ac:dyDescent="0.25">
      <c r="M48" s="44"/>
      <c r="N48" s="45"/>
      <c r="O48" s="45"/>
      <c r="P48" s="59">
        <f>J43+J33+J17+J22+J12</f>
        <v>1098.1373555291373</v>
      </c>
      <c r="R48" s="45"/>
      <c r="S48" s="45"/>
      <c r="T48" s="45"/>
      <c r="U48" s="44"/>
      <c r="V48" s="44"/>
      <c r="W48" s="44"/>
      <c r="X48" s="44"/>
      <c r="Y48" s="44"/>
      <c r="Z48" s="44"/>
      <c r="AA48" s="44"/>
      <c r="AB48" s="44"/>
      <c r="AC48" s="44"/>
      <c r="AD48" s="44"/>
      <c r="AE48" s="44"/>
    </row>
    <row r="49" spans="2:31" s="1" customFormat="1" x14ac:dyDescent="0.25">
      <c r="B49" s="17" t="s">
        <v>32</v>
      </c>
      <c r="C49" s="97">
        <f>J47</f>
        <v>12446.608787502621</v>
      </c>
      <c r="D49" s="98"/>
      <c r="E49" s="15">
        <v>100</v>
      </c>
      <c r="F49" s="19"/>
      <c r="G49" s="20"/>
      <c r="H49" s="19"/>
      <c r="I49" s="21"/>
      <c r="J49" s="22"/>
      <c r="K49" s="23"/>
      <c r="M49" s="19"/>
      <c r="N49" s="45"/>
      <c r="O49" s="45"/>
      <c r="P49" s="45"/>
      <c r="Q49" s="45"/>
      <c r="R49" s="45"/>
      <c r="S49" s="45"/>
      <c r="T49" s="45"/>
      <c r="U49" s="19"/>
      <c r="V49" s="19"/>
      <c r="W49" s="19"/>
      <c r="X49" s="19"/>
      <c r="Y49" s="19"/>
      <c r="Z49" s="19"/>
      <c r="AA49" s="19"/>
      <c r="AB49" s="19"/>
      <c r="AC49" s="19"/>
      <c r="AD49" s="19"/>
      <c r="AE49" s="19"/>
    </row>
    <row r="50" spans="2:31" x14ac:dyDescent="0.25">
      <c r="B50" s="17" t="s">
        <v>27</v>
      </c>
      <c r="C50" s="101">
        <v>11000</v>
      </c>
      <c r="D50" s="102"/>
      <c r="E50" s="15"/>
      <c r="M50" s="44"/>
      <c r="N50" s="45"/>
      <c r="O50" s="45">
        <f>1000/50</f>
        <v>20</v>
      </c>
      <c r="P50" s="45">
        <f>14231</f>
        <v>14231</v>
      </c>
      <c r="Q50" s="45">
        <f>P50/O50</f>
        <v>711.55</v>
      </c>
      <c r="R50" s="45"/>
      <c r="S50" s="45"/>
      <c r="T50" s="45"/>
      <c r="U50" s="44"/>
      <c r="V50" s="44"/>
      <c r="W50" s="44"/>
      <c r="X50" s="44"/>
      <c r="Y50" s="44"/>
      <c r="Z50" s="44"/>
      <c r="AA50" s="44"/>
      <c r="AB50" s="44"/>
      <c r="AC50" s="44"/>
      <c r="AD50" s="44"/>
      <c r="AE50" s="44"/>
    </row>
    <row r="51" spans="2:31" x14ac:dyDescent="0.25">
      <c r="B51" s="17" t="s">
        <v>28</v>
      </c>
      <c r="C51" s="101">
        <f>C50-C53-C54</f>
        <v>10450</v>
      </c>
      <c r="D51" s="102"/>
      <c r="E51" s="15">
        <f>C51/C49*100</f>
        <v>83.958612168260856</v>
      </c>
      <c r="M51" s="44"/>
      <c r="N51" s="44"/>
      <c r="O51" s="44"/>
      <c r="P51" s="44">
        <f>56265.26</f>
        <v>56265.26</v>
      </c>
      <c r="Q51" s="44">
        <f>P51/Q50</f>
        <v>79.074218255920186</v>
      </c>
      <c r="R51" s="44"/>
      <c r="S51" s="44"/>
      <c r="T51" s="44"/>
      <c r="U51" s="44"/>
      <c r="V51" s="44"/>
      <c r="W51" s="44"/>
      <c r="X51" s="44"/>
      <c r="Y51" s="44"/>
      <c r="Z51" s="44"/>
      <c r="AA51" s="44"/>
      <c r="AB51" s="44"/>
      <c r="AC51" s="44"/>
      <c r="AD51" s="44"/>
      <c r="AE51" s="44"/>
    </row>
    <row r="52" spans="2:31" x14ac:dyDescent="0.25">
      <c r="B52" s="17" t="s">
        <v>29</v>
      </c>
      <c r="C52" s="103">
        <f>C49-C51</f>
        <v>1996.6087875026205</v>
      </c>
      <c r="D52" s="103"/>
      <c r="E52" s="15">
        <f>100-E51</f>
        <v>16.041387831739144</v>
      </c>
      <c r="M52" s="44"/>
      <c r="N52" s="44"/>
      <c r="O52" s="44"/>
      <c r="P52" s="44"/>
      <c r="Q52" s="44"/>
      <c r="R52" s="44"/>
      <c r="S52" s="44"/>
      <c r="T52" s="44"/>
      <c r="U52" s="44"/>
      <c r="V52" s="44"/>
      <c r="W52" s="44"/>
      <c r="X52" s="44"/>
      <c r="Y52" s="44"/>
      <c r="Z52" s="44"/>
      <c r="AA52" s="44"/>
      <c r="AB52" s="44"/>
      <c r="AC52" s="44"/>
      <c r="AD52" s="44"/>
      <c r="AE52" s="44"/>
    </row>
    <row r="53" spans="2:31" x14ac:dyDescent="0.25">
      <c r="B53" s="17" t="s">
        <v>30</v>
      </c>
      <c r="C53" s="97">
        <f>C50*0.03</f>
        <v>330</v>
      </c>
      <c r="D53" s="98"/>
      <c r="E53" s="15">
        <v>3</v>
      </c>
      <c r="M53" s="44"/>
      <c r="N53" s="44"/>
      <c r="O53" s="44"/>
      <c r="P53" s="44"/>
      <c r="Q53" s="44">
        <f>600+0.13*600</f>
        <v>678</v>
      </c>
      <c r="R53" s="44"/>
      <c r="S53" s="44"/>
      <c r="T53" s="44"/>
      <c r="U53" s="44"/>
      <c r="V53" s="44"/>
      <c r="W53" s="44"/>
      <c r="X53" s="44"/>
      <c r="Y53" s="44"/>
      <c r="Z53" s="44"/>
      <c r="AA53" s="44"/>
      <c r="AB53" s="44"/>
      <c r="AC53" s="44"/>
      <c r="AD53" s="44"/>
      <c r="AE53" s="44"/>
    </row>
    <row r="54" spans="2:31" x14ac:dyDescent="0.25">
      <c r="B54" s="17" t="s">
        <v>31</v>
      </c>
      <c r="C54" s="97">
        <f>C50*0.02</f>
        <v>220</v>
      </c>
      <c r="D54" s="98"/>
      <c r="E54" s="15">
        <v>2</v>
      </c>
      <c r="M54" s="44"/>
      <c r="N54" s="44"/>
      <c r="O54" s="44"/>
      <c r="P54" s="44"/>
      <c r="Q54" s="44"/>
      <c r="R54" s="44"/>
      <c r="S54" s="44"/>
      <c r="T54" s="44"/>
      <c r="U54" s="44"/>
      <c r="V54" s="44"/>
      <c r="W54" s="44"/>
      <c r="X54" s="44"/>
      <c r="Y54" s="44"/>
      <c r="Z54" s="44"/>
      <c r="AA54" s="44"/>
      <c r="AB54" s="44"/>
      <c r="AC54" s="44"/>
      <c r="AD54" s="44"/>
      <c r="AE54" s="44"/>
    </row>
    <row r="56" spans="2:31" x14ac:dyDescent="0.25">
      <c r="O56">
        <f>81/9</f>
        <v>9</v>
      </c>
      <c r="P56">
        <f>9*3</f>
        <v>27</v>
      </c>
    </row>
  </sheetData>
  <mergeCells count="15">
    <mergeCell ref="A6:G6"/>
    <mergeCell ref="H6:K6"/>
    <mergeCell ref="A1:K1"/>
    <mergeCell ref="A2:K2"/>
    <mergeCell ref="A3:K3"/>
    <mergeCell ref="A4:K4"/>
    <mergeCell ref="A5:K5"/>
    <mergeCell ref="C53:D53"/>
    <mergeCell ref="C54:D54"/>
    <mergeCell ref="A7:F7"/>
    <mergeCell ref="H7:K7"/>
    <mergeCell ref="C49:D49"/>
    <mergeCell ref="C50:D50"/>
    <mergeCell ref="C51:D51"/>
    <mergeCell ref="C52:D52"/>
  </mergeCells>
  <printOptions horizontalCentered="1"/>
  <pageMargins left="0.7" right="0.7" top="0.75" bottom="0.75" header="0.3" footer="0.3"/>
  <pageSetup paperSize="9" scale="80" orientation="portrait" horizontalDpi="300" verticalDpi="300" r:id="rId1"/>
  <headerFooter>
    <oddFooter>&amp;LPrepared By:
Kristal Suwal&amp;CChecked By:
Er. Milan Phuyal&amp;RApproved By:    
Er. Prakash Singh Saud</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0"/>
  <sheetViews>
    <sheetView view="pageBreakPreview" zoomScale="60" zoomScaleNormal="100" workbookViewId="0">
      <selection activeCell="I8" sqref="I8:K8"/>
    </sheetView>
  </sheetViews>
  <sheetFormatPr defaultRowHeight="15" x14ac:dyDescent="0.25"/>
  <cols>
    <col min="1" max="1" width="6.28515625" customWidth="1"/>
    <col min="2" max="2" width="36.7109375" customWidth="1"/>
    <col min="3" max="3" width="8.85546875" customWidth="1"/>
    <col min="4" max="4" width="9.28515625" bestFit="1" customWidth="1"/>
    <col min="5" max="5" width="11.5703125" bestFit="1" customWidth="1"/>
    <col min="6" max="6" width="12.28515625" bestFit="1" customWidth="1"/>
    <col min="7" max="7" width="9.5703125" bestFit="1" customWidth="1"/>
    <col min="8" max="8" width="11.140625" bestFit="1" customWidth="1"/>
    <col min="9" max="9" width="11.85546875" bestFit="1" customWidth="1"/>
    <col min="10" max="10" width="12.28515625" bestFit="1" customWidth="1"/>
    <col min="11" max="11" width="11" customWidth="1"/>
  </cols>
  <sheetData>
    <row r="1" spans="1:13" x14ac:dyDescent="0.25">
      <c r="A1" s="118" t="s">
        <v>0</v>
      </c>
      <c r="B1" s="118"/>
      <c r="C1" s="118"/>
      <c r="D1" s="118"/>
      <c r="E1" s="118"/>
      <c r="F1" s="118"/>
      <c r="G1" s="118"/>
      <c r="H1" s="118"/>
      <c r="I1" s="118"/>
      <c r="J1" s="118"/>
      <c r="K1" s="118"/>
    </row>
    <row r="2" spans="1:13" ht="25.5" x14ac:dyDescent="0.35">
      <c r="A2" s="119" t="s">
        <v>1</v>
      </c>
      <c r="B2" s="119"/>
      <c r="C2" s="119"/>
      <c r="D2" s="119"/>
      <c r="E2" s="119"/>
      <c r="F2" s="119"/>
      <c r="G2" s="119"/>
      <c r="H2" s="119"/>
      <c r="I2" s="119"/>
      <c r="J2" s="119"/>
      <c r="K2" s="119"/>
    </row>
    <row r="3" spans="1:13" s="1" customFormat="1" x14ac:dyDescent="0.25">
      <c r="A3" s="107" t="s">
        <v>2</v>
      </c>
      <c r="B3" s="107"/>
      <c r="C3" s="107"/>
      <c r="D3" s="107"/>
      <c r="E3" s="107"/>
      <c r="F3" s="107"/>
      <c r="G3" s="107"/>
      <c r="H3" s="107"/>
      <c r="I3" s="107"/>
      <c r="J3" s="107"/>
      <c r="K3" s="107"/>
    </row>
    <row r="4" spans="1:13" s="1" customFormat="1" x14ac:dyDescent="0.25">
      <c r="A4" s="107" t="s">
        <v>3</v>
      </c>
      <c r="B4" s="107"/>
      <c r="C4" s="107"/>
      <c r="D4" s="107"/>
      <c r="E4" s="107"/>
      <c r="F4" s="107"/>
      <c r="G4" s="107"/>
      <c r="H4" s="107"/>
      <c r="I4" s="107"/>
      <c r="J4" s="107"/>
      <c r="K4" s="107"/>
    </row>
    <row r="5" spans="1:13" ht="18.75" x14ac:dyDescent="0.3">
      <c r="A5" s="120" t="s">
        <v>18</v>
      </c>
      <c r="B5" s="120"/>
      <c r="C5" s="120"/>
      <c r="D5" s="120"/>
      <c r="E5" s="120"/>
      <c r="F5" s="120"/>
      <c r="G5" s="120"/>
      <c r="H5" s="120"/>
      <c r="I5" s="120"/>
      <c r="J5" s="120"/>
      <c r="K5" s="120"/>
    </row>
    <row r="6" spans="1:13" ht="18.75" x14ac:dyDescent="0.3">
      <c r="A6" s="11" t="s">
        <v>19</v>
      </c>
      <c r="B6" s="11"/>
      <c r="C6" s="116">
        <f>F30</f>
        <v>12446.608787502621</v>
      </c>
      <c r="D6" s="117"/>
      <c r="E6" s="12"/>
      <c r="F6" s="11"/>
      <c r="G6" s="11"/>
      <c r="H6" s="11" t="s">
        <v>20</v>
      </c>
      <c r="I6" s="11"/>
      <c r="J6" s="116">
        <f>I30</f>
        <v>238189.74252963794</v>
      </c>
      <c r="K6" s="117"/>
    </row>
    <row r="7" spans="1:13" x14ac:dyDescent="0.25">
      <c r="A7" s="35" t="s">
        <v>128</v>
      </c>
      <c r="B7" s="13"/>
      <c r="C7" s="13"/>
      <c r="D7" s="13"/>
      <c r="F7" s="112"/>
      <c r="G7" s="112"/>
      <c r="I7" s="113" t="s">
        <v>129</v>
      </c>
      <c r="J7" s="113"/>
      <c r="K7" s="113"/>
    </row>
    <row r="8" spans="1:13" ht="15.75" x14ac:dyDescent="0.25">
      <c r="A8" s="111" t="str">
        <f>V!A6</f>
        <v>Project:- कालिका मन्दिर मुनि ढल व्यवस्थापन स्तरोन्नति</v>
      </c>
      <c r="B8" s="111"/>
      <c r="C8" s="111"/>
      <c r="D8" s="111"/>
      <c r="E8" s="111"/>
      <c r="F8" s="111"/>
      <c r="I8" s="114" t="s">
        <v>38</v>
      </c>
      <c r="J8" s="114"/>
      <c r="K8" s="114"/>
    </row>
    <row r="9" spans="1:13" ht="15.75" x14ac:dyDescent="0.25">
      <c r="A9" s="111" t="str">
        <f>V!A7</f>
        <v>Location:- Shankharapur Municipality 9</v>
      </c>
      <c r="B9" s="111"/>
      <c r="C9" s="111"/>
      <c r="D9" s="111"/>
      <c r="E9" s="111"/>
      <c r="F9" s="111"/>
      <c r="I9" s="114" t="s">
        <v>125</v>
      </c>
      <c r="J9" s="114"/>
      <c r="K9" s="114"/>
    </row>
    <row r="11" spans="1:13" x14ac:dyDescent="0.25">
      <c r="A11" s="109" t="s">
        <v>21</v>
      </c>
      <c r="B11" s="109" t="s">
        <v>22</v>
      </c>
      <c r="C11" s="109" t="s">
        <v>12</v>
      </c>
      <c r="D11" s="115" t="s">
        <v>23</v>
      </c>
      <c r="E11" s="115"/>
      <c r="F11" s="115"/>
      <c r="G11" s="115" t="s">
        <v>24</v>
      </c>
      <c r="H11" s="115"/>
      <c r="I11" s="115"/>
      <c r="J11" s="109" t="s">
        <v>25</v>
      </c>
      <c r="K11" s="110" t="s">
        <v>15</v>
      </c>
    </row>
    <row r="12" spans="1:13" x14ac:dyDescent="0.25">
      <c r="A12" s="109"/>
      <c r="B12" s="109"/>
      <c r="C12" s="109"/>
      <c r="D12" s="14" t="s">
        <v>26</v>
      </c>
      <c r="E12" s="14" t="s">
        <v>13</v>
      </c>
      <c r="F12" s="14" t="s">
        <v>14</v>
      </c>
      <c r="G12" s="14" t="s">
        <v>26</v>
      </c>
      <c r="H12" s="14" t="s">
        <v>13</v>
      </c>
      <c r="I12" s="14" t="s">
        <v>14</v>
      </c>
      <c r="J12" s="109"/>
      <c r="K12" s="110"/>
    </row>
    <row r="13" spans="1:13" s="1" customFormat="1" ht="120" x14ac:dyDescent="0.25">
      <c r="A13" s="36">
        <f>new!A9</f>
        <v>1</v>
      </c>
      <c r="B13" s="42" t="str">
        <f>new!B9</f>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v>
      </c>
      <c r="C13" s="15" t="str">
        <f>new!H11</f>
        <v>cum</v>
      </c>
      <c r="D13" s="15">
        <f>new!G11</f>
        <v>0</v>
      </c>
      <c r="E13" s="15">
        <f>new!I11</f>
        <v>62.02</v>
      </c>
      <c r="F13" s="15">
        <f>D13*E13</f>
        <v>0</v>
      </c>
      <c r="G13" s="15">
        <f>V!G11</f>
        <v>15.678954587016156</v>
      </c>
      <c r="H13" s="15">
        <f>V!I11</f>
        <v>62.02</v>
      </c>
      <c r="I13" s="15">
        <f>G13*H13</f>
        <v>972.40876348674203</v>
      </c>
      <c r="J13" s="37">
        <f>I13-F13</f>
        <v>972.40876348674203</v>
      </c>
      <c r="K13" s="18"/>
      <c r="M13" s="1">
        <f t="shared" ref="M13:M18" si="0">1.25*F13</f>
        <v>0</v>
      </c>
    </row>
    <row r="14" spans="1:13" s="1" customFormat="1" x14ac:dyDescent="0.25">
      <c r="A14" s="36"/>
      <c r="B14" s="50" t="str">
        <f>new!B12</f>
        <v>VAT 13% for material</v>
      </c>
      <c r="C14" s="15"/>
      <c r="D14" s="15"/>
      <c r="E14" s="15"/>
      <c r="F14" s="15">
        <f>new!J12</f>
        <v>0</v>
      </c>
      <c r="G14" s="15"/>
      <c r="H14" s="15"/>
      <c r="I14" s="15">
        <f>V!J12</f>
        <v>104.32515066290767</v>
      </c>
      <c r="J14" s="37">
        <f>I14-F14</f>
        <v>104.32515066290767</v>
      </c>
      <c r="K14" s="18"/>
      <c r="M14" s="1">
        <f t="shared" si="0"/>
        <v>0</v>
      </c>
    </row>
    <row r="15" spans="1:13" s="1" customFormat="1" x14ac:dyDescent="0.25">
      <c r="A15" s="36"/>
      <c r="B15" s="42"/>
      <c r="C15" s="15"/>
      <c r="D15" s="15"/>
      <c r="E15" s="15"/>
      <c r="F15" s="15"/>
      <c r="G15" s="15"/>
      <c r="H15" s="15"/>
      <c r="I15" s="15"/>
      <c r="J15" s="37"/>
      <c r="K15" s="18"/>
    </row>
    <row r="16" spans="1:13" s="1" customFormat="1" ht="75" x14ac:dyDescent="0.25">
      <c r="A16" s="36">
        <f>new!A14</f>
        <v>2</v>
      </c>
      <c r="B16" s="42" t="str">
        <f>new!B14</f>
        <v>Providing and laying of hand pack locally available Stone soling with 150 to 200 mm thick stones and packing with smaller stone on prepared surface as per Drawing and Technical Specifications.</v>
      </c>
      <c r="C16" s="15" t="str">
        <f>new!H16</f>
        <v>cum</v>
      </c>
      <c r="D16" s="15">
        <f>new!G16</f>
        <v>0</v>
      </c>
      <c r="E16" s="15">
        <f>new!I16</f>
        <v>4403.5200000000004</v>
      </c>
      <c r="F16" s="15">
        <f>D16*E16</f>
        <v>0</v>
      </c>
      <c r="G16" s="15">
        <f>V!G16</f>
        <v>3.3075000000000001</v>
      </c>
      <c r="H16" s="15">
        <f>V!I16</f>
        <v>4403.5200000000004</v>
      </c>
      <c r="I16" s="15">
        <f>G16*H16</f>
        <v>14564.642400000002</v>
      </c>
      <c r="J16" s="37">
        <f>I16-F16</f>
        <v>14564.642400000002</v>
      </c>
      <c r="K16" s="18"/>
    </row>
    <row r="17" spans="1:13" s="1" customFormat="1" x14ac:dyDescent="0.25">
      <c r="A17" s="36"/>
      <c r="B17" s="50" t="str">
        <f>new!B17</f>
        <v>VAT 13% for material</v>
      </c>
      <c r="C17" s="15"/>
      <c r="D17" s="15"/>
      <c r="E17" s="15"/>
      <c r="F17" s="15">
        <f>new!J17</f>
        <v>0</v>
      </c>
      <c r="G17" s="15"/>
      <c r="H17" s="15"/>
      <c r="I17" s="15">
        <f>V!J17</f>
        <v>1274.2395120000001</v>
      </c>
      <c r="J17" s="37">
        <f>I17-F17</f>
        <v>1274.2395120000001</v>
      </c>
      <c r="K17" s="18"/>
    </row>
    <row r="18" spans="1:13" s="1" customFormat="1" x14ac:dyDescent="0.25">
      <c r="A18" s="36"/>
      <c r="B18" s="42"/>
      <c r="C18" s="15"/>
      <c r="D18" s="15"/>
      <c r="E18" s="15"/>
      <c r="F18" s="15"/>
      <c r="G18" s="15"/>
      <c r="H18" s="15"/>
      <c r="I18" s="15"/>
      <c r="J18" s="37"/>
      <c r="K18" s="18"/>
      <c r="M18" s="1">
        <f t="shared" si="0"/>
        <v>0</v>
      </c>
    </row>
    <row r="19" spans="1:13" s="1" customFormat="1" ht="60" x14ac:dyDescent="0.25">
      <c r="A19" s="36">
        <f>new!A19</f>
        <v>3</v>
      </c>
      <c r="B19" s="42" t="str">
        <f>new!B19</f>
        <v>Providing and laying of Plain/Reinforced Cement Concrete in Foundation complete as per Drawing and Technical Specifications, PCC Grade M 15</v>
      </c>
      <c r="C19" s="15" t="str">
        <f>new!H21</f>
        <v>cum</v>
      </c>
      <c r="D19" s="15">
        <f>new!G21</f>
        <v>0</v>
      </c>
      <c r="E19" s="15">
        <f>new!I21</f>
        <v>11126.38</v>
      </c>
      <c r="F19" s="15">
        <f>D19*E19</f>
        <v>0</v>
      </c>
      <c r="G19" s="15">
        <f>V!G21</f>
        <v>0.70005333739713516</v>
      </c>
      <c r="H19" s="15">
        <f>V!I21</f>
        <v>11126.38</v>
      </c>
      <c r="I19" s="15">
        <f>G19*H19</f>
        <v>7789.0594521487365</v>
      </c>
      <c r="J19" s="37">
        <f>I19-F19</f>
        <v>7789.0594521487365</v>
      </c>
      <c r="K19" s="18"/>
    </row>
    <row r="20" spans="1:13" s="1" customFormat="1" x14ac:dyDescent="0.25">
      <c r="A20" s="36"/>
      <c r="B20" s="50" t="str">
        <f>new!B22</f>
        <v>VAT 13% for material</v>
      </c>
      <c r="C20" s="15"/>
      <c r="D20" s="15"/>
      <c r="E20" s="15"/>
      <c r="F20" s="15">
        <f>new!J22</f>
        <v>0</v>
      </c>
      <c r="G20" s="15"/>
      <c r="H20" s="15"/>
      <c r="I20" s="15">
        <f>V!J22</f>
        <v>785.37042441328879</v>
      </c>
      <c r="J20" s="37">
        <f>I20-F20</f>
        <v>785.37042441328879</v>
      </c>
      <c r="K20" s="18"/>
    </row>
    <row r="21" spans="1:13" s="1" customFormat="1" x14ac:dyDescent="0.25">
      <c r="A21" s="36"/>
      <c r="B21" s="42"/>
      <c r="C21" s="15"/>
      <c r="D21" s="15"/>
      <c r="E21" s="15"/>
      <c r="F21" s="15"/>
      <c r="G21" s="15"/>
      <c r="H21" s="15"/>
      <c r="I21" s="15"/>
      <c r="J21" s="37"/>
      <c r="K21" s="18"/>
      <c r="M21" s="1">
        <f t="shared" ref="M21" si="1">1.25*F21</f>
        <v>0</v>
      </c>
    </row>
    <row r="22" spans="1:13" s="1" customFormat="1" ht="60" x14ac:dyDescent="0.25">
      <c r="A22" s="36">
        <f>new!A24</f>
        <v>1</v>
      </c>
      <c r="B22" s="42" t="str">
        <f>new!B24</f>
        <v>Providing and laying of Plain/Reinforced Cement Concrete in Foundation complete as per Drawing and Technical Specifications., RCC Grade M20</v>
      </c>
      <c r="C22" s="15" t="str">
        <f>new!H32</f>
        <v>cum</v>
      </c>
      <c r="D22" s="15">
        <f>new!G32</f>
        <v>0.93616778421213032</v>
      </c>
      <c r="E22" s="15">
        <f>new!I32</f>
        <v>11588.17</v>
      </c>
      <c r="F22" s="15">
        <f>D22*E22</f>
        <v>10848.471431973483</v>
      </c>
      <c r="G22" s="15">
        <f>V!G45</f>
        <v>9.440879803459973</v>
      </c>
      <c r="H22" s="15">
        <f>V!I45</f>
        <v>12143.3</v>
      </c>
      <c r="I22" s="15">
        <f>G22*H22</f>
        <v>114643.43571735549</v>
      </c>
      <c r="J22" s="37">
        <f>I22-F22</f>
        <v>103794.96428538201</v>
      </c>
      <c r="K22" s="18"/>
    </row>
    <row r="23" spans="1:13" s="1" customFormat="1" x14ac:dyDescent="0.25">
      <c r="A23" s="36"/>
      <c r="B23" s="50" t="str">
        <f>new!B33</f>
        <v>VAT 13% for material</v>
      </c>
      <c r="C23" s="15"/>
      <c r="D23" s="15"/>
      <c r="E23" s="15"/>
      <c r="F23" s="15">
        <f>new!J33</f>
        <v>1098.1373555291373</v>
      </c>
      <c r="G23" s="15"/>
      <c r="H23" s="15"/>
      <c r="I23" s="15">
        <f>V!J46</f>
        <v>11843.223701224029</v>
      </c>
      <c r="J23" s="37">
        <f>I23-F23</f>
        <v>10745.086345694892</v>
      </c>
      <c r="K23" s="18"/>
    </row>
    <row r="24" spans="1:13" s="1" customFormat="1" x14ac:dyDescent="0.25">
      <c r="A24" s="36"/>
      <c r="B24" s="42"/>
      <c r="C24" s="15"/>
      <c r="D24" s="15"/>
      <c r="E24" s="15"/>
      <c r="F24" s="15"/>
      <c r="G24" s="15"/>
      <c r="H24" s="15"/>
      <c r="I24" s="15"/>
      <c r="J24" s="37"/>
      <c r="K24" s="18"/>
      <c r="M24" s="1">
        <f t="shared" ref="M24" si="2">1.25*F24</f>
        <v>0</v>
      </c>
    </row>
    <row r="25" spans="1:13" s="1" customFormat="1" ht="60" x14ac:dyDescent="0.25">
      <c r="A25" s="36">
        <f>new!A35</f>
        <v>5</v>
      </c>
      <c r="B25" s="42" t="str">
        <f>new!B35</f>
        <v>Providing and laying , fitting and placing HYSD bar reinforcement in sub-structure complete as per Drawing and Technical Specifications</v>
      </c>
      <c r="C25" s="15" t="str">
        <f>new!H42</f>
        <v>tonne</v>
      </c>
      <c r="D25" s="15">
        <f>new!G42</f>
        <v>0</v>
      </c>
      <c r="E25" s="15">
        <f>new!I42</f>
        <v>122648</v>
      </c>
      <c r="F25" s="15">
        <f>D25*E25</f>
        <v>0</v>
      </c>
      <c r="G25" s="15">
        <f>V!G55</f>
        <v>0.62602992485238862</v>
      </c>
      <c r="H25" s="15">
        <f>V!I55</f>
        <v>122648</v>
      </c>
      <c r="I25" s="15">
        <f>G25*H25</f>
        <v>76781.318223295762</v>
      </c>
      <c r="J25" s="37">
        <f>I25-F25</f>
        <v>76781.318223295762</v>
      </c>
      <c r="K25" s="18"/>
    </row>
    <row r="26" spans="1:13" s="1" customFormat="1" x14ac:dyDescent="0.25">
      <c r="A26" s="36"/>
      <c r="B26" s="42" t="str">
        <f>new!B43</f>
        <v>VAT 13% for material</v>
      </c>
      <c r="C26" s="15"/>
      <c r="D26" s="15"/>
      <c r="E26" s="15"/>
      <c r="F26" s="15">
        <f>new!J43</f>
        <v>0</v>
      </c>
      <c r="G26" s="15"/>
      <c r="H26" s="15"/>
      <c r="I26" s="15">
        <f>V!J56</f>
        <v>8931.7191850509935</v>
      </c>
      <c r="J26" s="37">
        <f>I26-F26</f>
        <v>8931.7191850509935</v>
      </c>
      <c r="K26" s="18"/>
    </row>
    <row r="27" spans="1:13" s="1" customFormat="1" x14ac:dyDescent="0.25">
      <c r="A27" s="36"/>
      <c r="B27" s="42"/>
      <c r="C27" s="15"/>
      <c r="D27" s="15"/>
      <c r="E27" s="15"/>
      <c r="F27" s="15"/>
      <c r="G27" s="15"/>
      <c r="H27" s="15"/>
      <c r="I27" s="15"/>
      <c r="J27" s="37"/>
      <c r="K27" s="18"/>
      <c r="M27" s="1">
        <f t="shared" ref="M27" si="3">1.25*F27</f>
        <v>0</v>
      </c>
    </row>
    <row r="28" spans="1:13" s="1" customFormat="1" x14ac:dyDescent="0.25">
      <c r="A28" s="42">
        <f>new!A45</f>
        <v>2</v>
      </c>
      <c r="B28" s="42" t="str">
        <f>new!B45</f>
        <v>Information board</v>
      </c>
      <c r="C28" s="15" t="str">
        <f>new!H45</f>
        <v>no.</v>
      </c>
      <c r="D28" s="15">
        <f>new!G45</f>
        <v>1</v>
      </c>
      <c r="E28" s="15">
        <f>V!I58</f>
        <v>500</v>
      </c>
      <c r="F28" s="15">
        <f>D28*E28</f>
        <v>500</v>
      </c>
      <c r="G28" s="15">
        <f>new!G45</f>
        <v>1</v>
      </c>
      <c r="H28" s="15">
        <f>V!I58</f>
        <v>500</v>
      </c>
      <c r="I28" s="15">
        <f>G28*H28</f>
        <v>500</v>
      </c>
      <c r="J28" s="37">
        <f>I28-F28</f>
        <v>0</v>
      </c>
      <c r="K28" s="18"/>
    </row>
    <row r="29" spans="1:13" s="1" customFormat="1" x14ac:dyDescent="0.25">
      <c r="A29" s="38"/>
      <c r="B29" s="38"/>
      <c r="C29" s="15"/>
      <c r="D29" s="15"/>
      <c r="E29" s="15"/>
      <c r="F29" s="15"/>
      <c r="G29" s="15"/>
      <c r="H29" s="15"/>
      <c r="I29" s="15"/>
      <c r="J29" s="37"/>
      <c r="K29" s="18"/>
    </row>
    <row r="30" spans="1:13" x14ac:dyDescent="0.25">
      <c r="A30" s="4"/>
      <c r="B30" s="5" t="s">
        <v>16</v>
      </c>
      <c r="C30" s="5"/>
      <c r="D30" s="8"/>
      <c r="E30" s="8"/>
      <c r="F30" s="8">
        <f>SUM(F13:F29)</f>
        <v>12446.608787502621</v>
      </c>
      <c r="G30" s="8"/>
      <c r="H30" s="8"/>
      <c r="I30" s="8">
        <f>SUM(I13:I29)</f>
        <v>238189.74252963794</v>
      </c>
      <c r="J30" s="16">
        <f>I30-F30</f>
        <v>225743.13374213531</v>
      </c>
      <c r="K30" s="4"/>
    </row>
  </sheetData>
  <mergeCells count="20">
    <mergeCell ref="C6:D6"/>
    <mergeCell ref="J6:K6"/>
    <mergeCell ref="A1:K1"/>
    <mergeCell ref="A2:K2"/>
    <mergeCell ref="A3:K3"/>
    <mergeCell ref="A4:K4"/>
    <mergeCell ref="A5:K5"/>
    <mergeCell ref="J11:J12"/>
    <mergeCell ref="K11:K12"/>
    <mergeCell ref="A8:F8"/>
    <mergeCell ref="F7:G7"/>
    <mergeCell ref="I7:K7"/>
    <mergeCell ref="I8:K8"/>
    <mergeCell ref="A9:F9"/>
    <mergeCell ref="I9:K9"/>
    <mergeCell ref="A11:A12"/>
    <mergeCell ref="B11:B12"/>
    <mergeCell ref="C11:C12"/>
    <mergeCell ref="D11:F11"/>
    <mergeCell ref="G11:I11"/>
  </mergeCells>
  <printOptions horizontalCentered="1"/>
  <pageMargins left="0.7" right="0.7" top="0.75" bottom="0.75" header="0.3" footer="0.3"/>
  <pageSetup scale="85" orientation="landscape" horizontalDpi="300" verticalDpi="300" r:id="rId1"/>
  <headerFooter>
    <oddFooter>&amp;LPrepared By:
Kristal Suwal&amp;CChecked By:
Er. Milan Phuyal&amp;RApproved By:
Er. Prakash Singh Saud</oddFooter>
  </headerFooter>
  <rowBreaks count="1" manualBreakCount="1">
    <brk id="21" max="10"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67"/>
  <sheetViews>
    <sheetView view="pageBreakPreview" zoomScale="80" zoomScaleNormal="100" zoomScaleSheetLayoutView="80" workbookViewId="0">
      <selection activeCell="A6" sqref="A6:G6"/>
    </sheetView>
  </sheetViews>
  <sheetFormatPr defaultRowHeight="15" x14ac:dyDescent="0.25"/>
  <cols>
    <col min="1" max="1" width="5.140625" style="6" bestFit="1" customWidth="1"/>
    <col min="2" max="2" width="29.5703125" customWidth="1"/>
    <col min="3" max="3" width="5.5703125" bestFit="1" customWidth="1"/>
    <col min="4" max="4" width="6.7109375" customWidth="1"/>
    <col min="5" max="5" width="7.85546875" customWidth="1"/>
    <col min="6" max="6" width="7.140625" customWidth="1"/>
    <col min="7" max="7" width="9.28515625" style="6" customWidth="1"/>
    <col min="8" max="8" width="6.28515625" style="6" bestFit="1" customWidth="1"/>
    <col min="9" max="9" width="10.7109375" style="6" bestFit="1" customWidth="1"/>
    <col min="10" max="10" width="10.5703125" style="6" bestFit="1" customWidth="1"/>
    <col min="11" max="11" width="9.85546875" bestFit="1" customWidth="1"/>
    <col min="13" max="13" width="5" bestFit="1" customWidth="1"/>
    <col min="14" max="14" width="6" bestFit="1" customWidth="1"/>
    <col min="15" max="15" width="10.5703125" customWidth="1"/>
    <col min="16" max="16" width="8" bestFit="1" customWidth="1"/>
    <col min="17" max="17" width="8" customWidth="1"/>
    <col min="18" max="18" width="6.7109375" bestFit="1" customWidth="1"/>
    <col min="19" max="19" width="7" bestFit="1" customWidth="1"/>
    <col min="20" max="20" width="5.42578125" bestFit="1" customWidth="1"/>
    <col min="21" max="21" width="17.85546875" bestFit="1" customWidth="1"/>
  </cols>
  <sheetData>
    <row r="1" spans="1:21" s="1" customFormat="1" x14ac:dyDescent="0.25">
      <c r="A1" s="105" t="s">
        <v>0</v>
      </c>
      <c r="B1" s="105"/>
      <c r="C1" s="105"/>
      <c r="D1" s="105"/>
      <c r="E1" s="105"/>
      <c r="F1" s="105"/>
      <c r="G1" s="105"/>
      <c r="H1" s="105"/>
      <c r="I1" s="105"/>
      <c r="J1" s="105"/>
      <c r="K1" s="105"/>
    </row>
    <row r="2" spans="1:21" s="1" customFormat="1" ht="22.5" x14ac:dyDescent="0.25">
      <c r="A2" s="106" t="s">
        <v>1</v>
      </c>
      <c r="B2" s="106"/>
      <c r="C2" s="106"/>
      <c r="D2" s="106"/>
      <c r="E2" s="106"/>
      <c r="F2" s="106"/>
      <c r="G2" s="106"/>
      <c r="H2" s="106"/>
      <c r="I2" s="106"/>
      <c r="J2" s="106"/>
      <c r="K2" s="106"/>
    </row>
    <row r="3" spans="1:21" s="1" customFormat="1" x14ac:dyDescent="0.25">
      <c r="A3" s="107" t="s">
        <v>2</v>
      </c>
      <c r="B3" s="107"/>
      <c r="C3" s="107"/>
      <c r="D3" s="107"/>
      <c r="E3" s="107"/>
      <c r="F3" s="107"/>
      <c r="G3" s="107"/>
      <c r="H3" s="107"/>
      <c r="I3" s="107"/>
      <c r="J3" s="107"/>
      <c r="K3" s="107"/>
    </row>
    <row r="4" spans="1:21" s="1" customFormat="1" x14ac:dyDescent="0.25">
      <c r="A4" s="107" t="s">
        <v>3</v>
      </c>
      <c r="B4" s="107"/>
      <c r="C4" s="107"/>
      <c r="D4" s="107"/>
      <c r="E4" s="107"/>
      <c r="F4" s="107"/>
      <c r="G4" s="107"/>
      <c r="H4" s="107"/>
      <c r="I4" s="107"/>
      <c r="J4" s="107"/>
      <c r="K4" s="107"/>
    </row>
    <row r="5" spans="1:21" ht="18.75" x14ac:dyDescent="0.3">
      <c r="A5" s="108" t="s">
        <v>127</v>
      </c>
      <c r="B5" s="108"/>
      <c r="C5" s="108"/>
      <c r="D5" s="108"/>
      <c r="E5" s="108"/>
      <c r="F5" s="108"/>
      <c r="G5" s="108"/>
      <c r="H5" s="108"/>
      <c r="I5" s="108"/>
      <c r="J5" s="108"/>
      <c r="K5" s="108"/>
    </row>
    <row r="6" spans="1:21" ht="18.75" x14ac:dyDescent="0.3">
      <c r="A6" s="104" t="s">
        <v>53</v>
      </c>
      <c r="B6" s="104"/>
      <c r="C6" s="104"/>
      <c r="D6" s="104"/>
      <c r="E6" s="104"/>
      <c r="F6" s="104"/>
      <c r="G6" s="104"/>
      <c r="H6" s="100" t="s">
        <v>39</v>
      </c>
      <c r="I6" s="100"/>
      <c r="J6" s="100"/>
      <c r="K6" s="100"/>
    </row>
    <row r="7" spans="1:21" ht="15.75" x14ac:dyDescent="0.25">
      <c r="A7" s="99" t="s">
        <v>33</v>
      </c>
      <c r="B7" s="99"/>
      <c r="C7" s="99"/>
      <c r="D7" s="99"/>
      <c r="E7" s="99"/>
      <c r="F7" s="99"/>
      <c r="G7" s="2"/>
      <c r="H7" s="100" t="s">
        <v>124</v>
      </c>
      <c r="I7" s="100"/>
      <c r="J7" s="100"/>
      <c r="K7" s="100"/>
    </row>
    <row r="8" spans="1:21" ht="15" customHeight="1" x14ac:dyDescent="0.25">
      <c r="A8" s="3" t="s">
        <v>5</v>
      </c>
      <c r="B8" s="24" t="s">
        <v>6</v>
      </c>
      <c r="C8" s="3" t="s">
        <v>7</v>
      </c>
      <c r="D8" s="25" t="s">
        <v>8</v>
      </c>
      <c r="E8" s="25" t="s">
        <v>9</v>
      </c>
      <c r="F8" s="25" t="s">
        <v>10</v>
      </c>
      <c r="G8" s="25" t="s">
        <v>11</v>
      </c>
      <c r="H8" s="3" t="s">
        <v>12</v>
      </c>
      <c r="I8" s="25" t="s">
        <v>13</v>
      </c>
      <c r="J8" s="25" t="s">
        <v>14</v>
      </c>
      <c r="K8" s="26" t="s">
        <v>15</v>
      </c>
    </row>
    <row r="9" spans="1:21" ht="156" customHeight="1" x14ac:dyDescent="0.25">
      <c r="A9" s="28">
        <v>1</v>
      </c>
      <c r="B9" s="48" t="s">
        <v>50</v>
      </c>
      <c r="C9" s="17"/>
      <c r="D9" s="17"/>
      <c r="E9" s="17"/>
      <c r="F9" s="17"/>
      <c r="G9" s="43"/>
      <c r="H9" s="32"/>
      <c r="I9" s="33"/>
      <c r="J9" s="33"/>
      <c r="K9" s="31"/>
      <c r="N9" t="s">
        <v>117</v>
      </c>
      <c r="O9" t="s">
        <v>118</v>
      </c>
      <c r="P9" t="s">
        <v>119</v>
      </c>
      <c r="Q9" s="94" t="s">
        <v>9</v>
      </c>
      <c r="R9" t="s">
        <v>120</v>
      </c>
      <c r="S9" s="94" t="s">
        <v>10</v>
      </c>
      <c r="T9" t="s">
        <v>121</v>
      </c>
      <c r="U9" s="96" t="s">
        <v>122</v>
      </c>
    </row>
    <row r="10" spans="1:21" x14ac:dyDescent="0.25">
      <c r="A10" s="43"/>
      <c r="B10" s="51" t="s">
        <v>51</v>
      </c>
      <c r="C10" s="46">
        <v>1</v>
      </c>
      <c r="D10" s="30">
        <f>5+4+3.8+5+5+5+5+3.95</f>
        <v>36.75</v>
      </c>
      <c r="E10" s="31">
        <v>0.6</v>
      </c>
      <c r="F10" s="31">
        <f>(1.5+0.333+0.5)/3.281</f>
        <v>0.7110637000914356</v>
      </c>
      <c r="G10" s="40">
        <f>PRODUCT(C10:F10)</f>
        <v>15.678954587016156</v>
      </c>
      <c r="H10" s="32"/>
      <c r="I10" s="33"/>
      <c r="J10" s="33"/>
      <c r="K10" s="31"/>
      <c r="M10">
        <v>0</v>
      </c>
      <c r="N10">
        <v>0.1</v>
      </c>
      <c r="O10">
        <v>0.12</v>
      </c>
      <c r="P10">
        <f>(N10+O10)/2</f>
        <v>0.11</v>
      </c>
      <c r="R10">
        <v>0.45</v>
      </c>
      <c r="T10">
        <v>0.6</v>
      </c>
    </row>
    <row r="11" spans="1:21" x14ac:dyDescent="0.25">
      <c r="A11" s="28"/>
      <c r="B11" s="34" t="s">
        <v>41</v>
      </c>
      <c r="C11" s="31"/>
      <c r="D11" s="30"/>
      <c r="E11" s="31"/>
      <c r="F11" s="31"/>
      <c r="G11" s="33">
        <f>SUM(G10:G10)</f>
        <v>15.678954587016156</v>
      </c>
      <c r="H11" s="32" t="s">
        <v>34</v>
      </c>
      <c r="I11" s="33">
        <v>62.02</v>
      </c>
      <c r="J11" s="39">
        <f>G11*I11</f>
        <v>972.40876348674203</v>
      </c>
      <c r="K11" s="31"/>
      <c r="M11">
        <v>5</v>
      </c>
      <c r="N11">
        <v>0.12</v>
      </c>
      <c r="O11">
        <v>0.11</v>
      </c>
      <c r="P11">
        <f t="shared" ref="P11:P15" si="0">(N11+O11)/2</f>
        <v>0.11499999999999999</v>
      </c>
      <c r="Q11">
        <f>(P10+P11)/2</f>
        <v>0.11249999999999999</v>
      </c>
      <c r="R11">
        <v>0.48</v>
      </c>
      <c r="S11">
        <f>(R10+R11)/2</f>
        <v>0.46499999999999997</v>
      </c>
      <c r="T11">
        <v>0.6</v>
      </c>
      <c r="U11">
        <f>(T10+T11)/2</f>
        <v>0.6</v>
      </c>
    </row>
    <row r="12" spans="1:21" x14ac:dyDescent="0.25">
      <c r="A12" s="28"/>
      <c r="B12" s="34" t="s">
        <v>37</v>
      </c>
      <c r="C12" s="31"/>
      <c r="D12" s="30"/>
      <c r="E12" s="31"/>
      <c r="F12" s="31"/>
      <c r="G12" s="33"/>
      <c r="H12" s="32"/>
      <c r="I12" s="33"/>
      <c r="J12" s="39">
        <f>0.13*G11*18426/360</f>
        <v>104.32515066290767</v>
      </c>
      <c r="K12" s="31"/>
      <c r="M12">
        <v>4.0199999999999996</v>
      </c>
      <c r="N12">
        <v>0.11</v>
      </c>
      <c r="O12">
        <v>0.12</v>
      </c>
      <c r="P12">
        <f t="shared" si="0"/>
        <v>0.11499999999999999</v>
      </c>
      <c r="Q12">
        <f t="shared" ref="Q12:Q15" si="1">(P11+P12)/2</f>
        <v>0.11499999999999999</v>
      </c>
      <c r="R12">
        <v>0.46</v>
      </c>
      <c r="S12">
        <f t="shared" ref="S12:S15" si="2">(R11+R12)/2</f>
        <v>0.47</v>
      </c>
      <c r="T12">
        <v>0.6</v>
      </c>
      <c r="U12">
        <f t="shared" ref="U12:U15" si="3">(T11+T12)/2</f>
        <v>0.6</v>
      </c>
    </row>
    <row r="13" spans="1:21" x14ac:dyDescent="0.25">
      <c r="A13" s="28"/>
      <c r="B13" s="34"/>
      <c r="C13" s="31"/>
      <c r="D13" s="30"/>
      <c r="E13" s="31"/>
      <c r="F13" s="31"/>
      <c r="G13" s="33"/>
      <c r="H13" s="32"/>
      <c r="I13" s="33"/>
      <c r="J13" s="39"/>
      <c r="K13" s="31"/>
      <c r="M13">
        <v>3.8</v>
      </c>
      <c r="N13">
        <v>0.11</v>
      </c>
      <c r="O13">
        <v>0.1</v>
      </c>
      <c r="P13">
        <f t="shared" si="0"/>
        <v>0.10500000000000001</v>
      </c>
      <c r="Q13">
        <f t="shared" si="1"/>
        <v>0.11</v>
      </c>
      <c r="R13">
        <f>(0.46+0.48)/2</f>
        <v>0.47</v>
      </c>
      <c r="S13">
        <f t="shared" si="2"/>
        <v>0.46499999999999997</v>
      </c>
      <c r="T13">
        <v>0.61</v>
      </c>
      <c r="U13">
        <f t="shared" si="3"/>
        <v>0.60499999999999998</v>
      </c>
    </row>
    <row r="14" spans="1:21" s="1" customFormat="1" ht="105" x14ac:dyDescent="0.25">
      <c r="A14" s="28">
        <v>2</v>
      </c>
      <c r="B14" s="48" t="s">
        <v>40</v>
      </c>
      <c r="C14" s="31"/>
      <c r="D14" s="30"/>
      <c r="E14" s="31"/>
      <c r="F14" s="31"/>
      <c r="G14" s="33"/>
      <c r="H14" s="32"/>
      <c r="I14" s="33"/>
      <c r="J14" s="39"/>
      <c r="K14" s="31"/>
      <c r="M14">
        <v>5</v>
      </c>
      <c r="N14">
        <v>0.1</v>
      </c>
      <c r="O14">
        <v>0.115</v>
      </c>
      <c r="P14">
        <f t="shared" si="0"/>
        <v>0.10750000000000001</v>
      </c>
      <c r="Q14">
        <f t="shared" si="1"/>
        <v>0.10625000000000001</v>
      </c>
      <c r="R14">
        <v>0.46</v>
      </c>
      <c r="S14">
        <f t="shared" si="2"/>
        <v>0.46499999999999997</v>
      </c>
      <c r="T14">
        <v>0.61</v>
      </c>
      <c r="U14">
        <f t="shared" si="3"/>
        <v>0.61</v>
      </c>
    </row>
    <row r="15" spans="1:21" x14ac:dyDescent="0.25">
      <c r="A15" s="28"/>
      <c r="B15" s="49" t="str">
        <f>B10</f>
        <v>-For roadside drain</v>
      </c>
      <c r="C15" s="29">
        <v>1</v>
      </c>
      <c r="D15" s="30">
        <f>D10</f>
        <v>36.75</v>
      </c>
      <c r="E15" s="31">
        <f>E10</f>
        <v>0.6</v>
      </c>
      <c r="F15" s="31">
        <v>0.15</v>
      </c>
      <c r="G15" s="40">
        <f>PRODUCT(C15:F15)</f>
        <v>3.3075000000000001</v>
      </c>
      <c r="H15" s="32"/>
      <c r="I15" s="33"/>
      <c r="J15" s="39"/>
      <c r="K15" s="31"/>
      <c r="M15">
        <v>5</v>
      </c>
      <c r="N15">
        <v>0.1</v>
      </c>
      <c r="O15">
        <v>0.1</v>
      </c>
      <c r="P15">
        <f t="shared" si="0"/>
        <v>0.1</v>
      </c>
      <c r="Q15">
        <f t="shared" si="1"/>
        <v>0.10375000000000001</v>
      </c>
      <c r="R15">
        <v>0.47499999999999998</v>
      </c>
      <c r="S15">
        <f t="shared" si="2"/>
        <v>0.46750000000000003</v>
      </c>
      <c r="T15">
        <v>0.61</v>
      </c>
      <c r="U15">
        <f t="shared" si="3"/>
        <v>0.61</v>
      </c>
    </row>
    <row r="16" spans="1:21" x14ac:dyDescent="0.25">
      <c r="A16" s="28"/>
      <c r="B16" s="34" t="s">
        <v>41</v>
      </c>
      <c r="C16" s="29"/>
      <c r="D16" s="30"/>
      <c r="E16" s="31"/>
      <c r="F16" s="31"/>
      <c r="G16" s="33">
        <f>SUM(G15:G15)</f>
        <v>3.3075000000000001</v>
      </c>
      <c r="H16" s="32" t="s">
        <v>34</v>
      </c>
      <c r="I16" s="33">
        <v>4403.5200000000004</v>
      </c>
      <c r="J16" s="39">
        <f>G16*I16</f>
        <v>14564.642400000002</v>
      </c>
      <c r="K16" s="31"/>
      <c r="M16">
        <v>5</v>
      </c>
      <c r="N16">
        <v>0.11</v>
      </c>
      <c r="O16">
        <v>0.11</v>
      </c>
      <c r="P16">
        <f>(N16+O16)/2</f>
        <v>0.11</v>
      </c>
      <c r="Q16">
        <f>(P15+P16)/2</f>
        <v>0.10500000000000001</v>
      </c>
      <c r="R16">
        <v>0.45500000000000002</v>
      </c>
      <c r="S16">
        <f>(R15+R16)/2</f>
        <v>0.46499999999999997</v>
      </c>
      <c r="T16">
        <v>0.63</v>
      </c>
      <c r="U16">
        <f>(T15+T16)/2</f>
        <v>0.62</v>
      </c>
    </row>
    <row r="17" spans="1:21" x14ac:dyDescent="0.25">
      <c r="A17" s="28"/>
      <c r="B17" s="34" t="s">
        <v>37</v>
      </c>
      <c r="C17" s="29"/>
      <c r="D17" s="30"/>
      <c r="E17" s="31"/>
      <c r="F17" s="31"/>
      <c r="G17" s="33"/>
      <c r="H17" s="32"/>
      <c r="I17" s="33"/>
      <c r="J17" s="39">
        <f>G16*0.13*(14817.6/5)</f>
        <v>1274.2395120000001</v>
      </c>
      <c r="K17" s="31"/>
      <c r="M17">
        <v>5</v>
      </c>
      <c r="N17">
        <v>0.11</v>
      </c>
      <c r="O17">
        <v>0.12</v>
      </c>
      <c r="P17">
        <f>(N17+O17)/2</f>
        <v>0.11499999999999999</v>
      </c>
      <c r="Q17">
        <f>(P16+P17)/2</f>
        <v>0.11249999999999999</v>
      </c>
      <c r="R17">
        <v>0.45</v>
      </c>
      <c r="S17">
        <f>(R16+R17)/2</f>
        <v>0.45250000000000001</v>
      </c>
      <c r="T17">
        <v>0.62</v>
      </c>
      <c r="U17">
        <f>(T16+T17)/2</f>
        <v>0.625</v>
      </c>
    </row>
    <row r="18" spans="1:21" x14ac:dyDescent="0.25">
      <c r="A18" s="28"/>
      <c r="B18" s="34"/>
      <c r="C18" s="29"/>
      <c r="D18" s="30"/>
      <c r="E18" s="31"/>
      <c r="F18" s="31"/>
      <c r="G18" s="33"/>
      <c r="H18" s="32"/>
      <c r="I18" s="33"/>
      <c r="J18" s="39"/>
      <c r="K18" s="31"/>
      <c r="M18">
        <v>3.95</v>
      </c>
      <c r="N18">
        <v>0.11</v>
      </c>
      <c r="O18">
        <v>0.12</v>
      </c>
      <c r="P18">
        <f>(N18+O18)/2</f>
        <v>0.11499999999999999</v>
      </c>
      <c r="Q18">
        <f>(P17+P18)/2</f>
        <v>0.11499999999999999</v>
      </c>
      <c r="R18">
        <v>0.47499999999999998</v>
      </c>
      <c r="S18">
        <f>(R17+R18)/2</f>
        <v>0.46250000000000002</v>
      </c>
      <c r="T18">
        <v>0.67</v>
      </c>
      <c r="U18">
        <f>(T17+T18)/2</f>
        <v>0.64500000000000002</v>
      </c>
    </row>
    <row r="19" spans="1:21" ht="83.25" customHeight="1" x14ac:dyDescent="0.25">
      <c r="A19" s="28">
        <v>3</v>
      </c>
      <c r="B19" s="47" t="s">
        <v>42</v>
      </c>
      <c r="C19" s="29"/>
      <c r="D19" s="30"/>
      <c r="E19" s="31"/>
      <c r="F19" s="31"/>
      <c r="G19" s="33"/>
      <c r="H19" s="32"/>
      <c r="I19" s="33"/>
      <c r="J19" s="39"/>
      <c r="K19" s="31"/>
      <c r="N19" t="e">
        <f>#REF!/#REF!</f>
        <v>#REF!</v>
      </c>
    </row>
    <row r="20" spans="1:21" x14ac:dyDescent="0.25">
      <c r="A20" s="28"/>
      <c r="B20" s="50" t="str">
        <f>B25</f>
        <v>-For roadside drain</v>
      </c>
      <c r="C20" s="29">
        <v>1</v>
      </c>
      <c r="D20" s="30">
        <f>D15</f>
        <v>36.75</v>
      </c>
      <c r="E20" s="31">
        <f>E15</f>
        <v>0.6</v>
      </c>
      <c r="F20" s="31">
        <f>1.25/12/3.281</f>
        <v>3.1748450675607033E-2</v>
      </c>
      <c r="G20" s="40">
        <f>PRODUCT(C20:F20)</f>
        <v>0.70005333739713516</v>
      </c>
      <c r="H20" s="32"/>
      <c r="I20" s="33"/>
      <c r="J20" s="39"/>
      <c r="K20" s="31"/>
    </row>
    <row r="21" spans="1:21" x14ac:dyDescent="0.25">
      <c r="A21" s="28"/>
      <c r="B21" s="34" t="s">
        <v>41</v>
      </c>
      <c r="C21" s="29"/>
      <c r="D21" s="30"/>
      <c r="E21" s="31"/>
      <c r="F21" s="31"/>
      <c r="G21" s="33">
        <f>SUM(G20)</f>
        <v>0.70005333739713516</v>
      </c>
      <c r="H21" s="32" t="s">
        <v>34</v>
      </c>
      <c r="I21" s="53">
        <v>11126.38</v>
      </c>
      <c r="J21" s="39">
        <f>G21*I21</f>
        <v>7789.0594521487365</v>
      </c>
      <c r="K21" s="31"/>
    </row>
    <row r="22" spans="1:21" x14ac:dyDescent="0.25">
      <c r="A22" s="28"/>
      <c r="B22" s="34" t="s">
        <v>37</v>
      </c>
      <c r="C22" s="29"/>
      <c r="D22" s="30"/>
      <c r="E22" s="31"/>
      <c r="F22" s="31"/>
      <c r="G22" s="33"/>
      <c r="H22" s="32"/>
      <c r="I22" s="33"/>
      <c r="J22" s="52">
        <f>0.13*G21*((123027.7+6419.1)/15)</f>
        <v>785.37042441328879</v>
      </c>
      <c r="K22" s="31"/>
    </row>
    <row r="23" spans="1:21" x14ac:dyDescent="0.25">
      <c r="A23" s="28"/>
      <c r="B23" s="34"/>
      <c r="C23" s="29"/>
      <c r="D23" s="30"/>
      <c r="E23" s="31"/>
      <c r="F23" s="31"/>
      <c r="G23" s="33"/>
      <c r="H23" s="32"/>
      <c r="I23" s="33"/>
      <c r="J23" s="52"/>
      <c r="K23" s="31"/>
    </row>
    <row r="24" spans="1:21" ht="78" customHeight="1" x14ac:dyDescent="0.25">
      <c r="A24" s="28">
        <v>4</v>
      </c>
      <c r="B24" s="47" t="s">
        <v>43</v>
      </c>
      <c r="C24" s="29"/>
      <c r="D24" s="30"/>
      <c r="E24" s="31"/>
      <c r="F24" s="31"/>
      <c r="G24" s="33"/>
      <c r="H24" s="32"/>
      <c r="I24" s="33"/>
      <c r="J24" s="39"/>
      <c r="K24" s="31"/>
    </row>
    <row r="25" spans="1:21" x14ac:dyDescent="0.25">
      <c r="A25" s="28"/>
      <c r="B25" s="50" t="str">
        <f>B10</f>
        <v>-For roadside drain</v>
      </c>
      <c r="C25" s="29">
        <v>1</v>
      </c>
      <c r="D25" s="30">
        <f>D34</f>
        <v>5</v>
      </c>
      <c r="E25" s="31">
        <f t="shared" ref="E25:E32" si="4">T11</f>
        <v>0.6</v>
      </c>
      <c r="F25" s="31">
        <f t="shared" ref="F25:F31" si="5">3.5/12/3.281</f>
        <v>8.8895661891699687E-2</v>
      </c>
      <c r="G25" s="40">
        <f t="shared" ref="G25:G32" si="6">PRODUCT(C25:F25)</f>
        <v>0.26668698567509908</v>
      </c>
      <c r="H25" s="32"/>
      <c r="I25" s="33"/>
      <c r="J25" s="39"/>
      <c r="K25" s="31"/>
      <c r="Q25" s="94"/>
      <c r="S25" s="94"/>
      <c r="U25" s="95"/>
    </row>
    <row r="26" spans="1:21" x14ac:dyDescent="0.25">
      <c r="A26" s="28"/>
      <c r="B26" s="50"/>
      <c r="C26" s="29">
        <v>1</v>
      </c>
      <c r="D26" s="30">
        <f t="shared" ref="D26:D30" si="7">D35</f>
        <v>4.0199999999999996</v>
      </c>
      <c r="E26" s="31">
        <f t="shared" si="4"/>
        <v>0.6</v>
      </c>
      <c r="F26" s="31">
        <f t="shared" si="5"/>
        <v>8.8895661891699687E-2</v>
      </c>
      <c r="G26" s="40">
        <f t="shared" si="6"/>
        <v>0.21441633648277961</v>
      </c>
      <c r="H26" s="32"/>
      <c r="I26" s="33"/>
      <c r="J26" s="39"/>
      <c r="K26" s="31"/>
      <c r="Q26" s="94"/>
      <c r="S26" s="94"/>
      <c r="U26" s="95"/>
    </row>
    <row r="27" spans="1:21" x14ac:dyDescent="0.25">
      <c r="A27" s="28"/>
      <c r="B27" s="50"/>
      <c r="C27" s="29">
        <v>1</v>
      </c>
      <c r="D27" s="30">
        <f t="shared" si="7"/>
        <v>3.8</v>
      </c>
      <c r="E27" s="31">
        <f t="shared" si="4"/>
        <v>0.61</v>
      </c>
      <c r="F27" s="31">
        <f t="shared" si="5"/>
        <v>8.8895661891699687E-2</v>
      </c>
      <c r="G27" s="40">
        <f t="shared" si="6"/>
        <v>0.20606014426495989</v>
      </c>
      <c r="H27" s="32"/>
      <c r="I27" s="33"/>
      <c r="J27" s="39"/>
      <c r="K27" s="31"/>
      <c r="Q27" s="94"/>
      <c r="S27" s="94"/>
      <c r="U27" s="95"/>
    </row>
    <row r="28" spans="1:21" x14ac:dyDescent="0.25">
      <c r="A28" s="28"/>
      <c r="B28" s="50"/>
      <c r="C28" s="29">
        <v>1</v>
      </c>
      <c r="D28" s="30">
        <f t="shared" si="7"/>
        <v>5</v>
      </c>
      <c r="E28" s="31">
        <f t="shared" si="4"/>
        <v>0.61</v>
      </c>
      <c r="F28" s="31">
        <f t="shared" si="5"/>
        <v>8.8895661891699687E-2</v>
      </c>
      <c r="G28" s="40">
        <f t="shared" si="6"/>
        <v>0.27113176876968403</v>
      </c>
      <c r="H28" s="32"/>
      <c r="I28" s="33"/>
      <c r="J28" s="39"/>
      <c r="K28" s="31"/>
      <c r="Q28" s="94"/>
      <c r="S28" s="94"/>
      <c r="U28" s="95"/>
    </row>
    <row r="29" spans="1:21" x14ac:dyDescent="0.25">
      <c r="A29" s="28"/>
      <c r="B29" s="50"/>
      <c r="C29" s="29">
        <v>1</v>
      </c>
      <c r="D29" s="30">
        <f t="shared" si="7"/>
        <v>5</v>
      </c>
      <c r="E29" s="31">
        <f t="shared" si="4"/>
        <v>0.61</v>
      </c>
      <c r="F29" s="31">
        <f t="shared" si="5"/>
        <v>8.8895661891699687E-2</v>
      </c>
      <c r="G29" s="40">
        <f t="shared" si="6"/>
        <v>0.27113176876968403</v>
      </c>
      <c r="H29" s="32"/>
      <c r="I29" s="33"/>
      <c r="J29" s="39"/>
      <c r="K29" s="31"/>
      <c r="Q29" s="94"/>
      <c r="S29" s="94"/>
      <c r="U29" s="95"/>
    </row>
    <row r="30" spans="1:21" x14ac:dyDescent="0.25">
      <c r="A30" s="28"/>
      <c r="B30" s="50"/>
      <c r="C30" s="29">
        <v>1</v>
      </c>
      <c r="D30" s="30">
        <f t="shared" si="7"/>
        <v>5</v>
      </c>
      <c r="E30" s="31">
        <f t="shared" si="4"/>
        <v>0.63</v>
      </c>
      <c r="F30" s="31">
        <f t="shared" si="5"/>
        <v>8.8895661891699687E-2</v>
      </c>
      <c r="G30" s="40">
        <f t="shared" si="6"/>
        <v>0.28002133495885401</v>
      </c>
      <c r="H30" s="32"/>
      <c r="I30" s="33"/>
      <c r="J30" s="39"/>
      <c r="K30" s="31"/>
      <c r="O30" s="59"/>
      <c r="Q30" s="94"/>
      <c r="S30" s="94"/>
      <c r="U30" s="95"/>
    </row>
    <row r="31" spans="1:21" x14ac:dyDescent="0.25">
      <c r="A31" s="28"/>
      <c r="B31" s="50"/>
      <c r="C31" s="29">
        <v>1</v>
      </c>
      <c r="D31" s="30">
        <f>D40</f>
        <v>5</v>
      </c>
      <c r="E31" s="31">
        <f t="shared" si="4"/>
        <v>0.62</v>
      </c>
      <c r="F31" s="31">
        <f t="shared" si="5"/>
        <v>8.8895661891699687E-2</v>
      </c>
      <c r="G31" s="40">
        <f t="shared" si="6"/>
        <v>0.27557655186426905</v>
      </c>
      <c r="H31" s="32"/>
      <c r="I31" s="33"/>
      <c r="J31" s="39"/>
      <c r="K31" s="31"/>
      <c r="O31" s="59"/>
      <c r="Q31" s="94"/>
      <c r="S31" s="94"/>
      <c r="U31" s="95"/>
    </row>
    <row r="32" spans="1:21" x14ac:dyDescent="0.25">
      <c r="A32" s="28"/>
      <c r="B32" s="50"/>
      <c r="C32" s="29">
        <v>1</v>
      </c>
      <c r="D32" s="30">
        <f>D41</f>
        <v>3.95</v>
      </c>
      <c r="E32" s="31">
        <f t="shared" si="4"/>
        <v>0.67</v>
      </c>
      <c r="F32" s="31">
        <f>3.5/12/3.281</f>
        <v>8.8895661891699687E-2</v>
      </c>
      <c r="G32" s="40">
        <f t="shared" si="6"/>
        <v>0.23526236919638324</v>
      </c>
      <c r="H32" s="32"/>
      <c r="I32" s="33"/>
      <c r="J32" s="39"/>
      <c r="K32" s="31"/>
      <c r="Q32" s="94"/>
      <c r="S32" s="94"/>
      <c r="U32" s="95"/>
    </row>
    <row r="33" spans="1:13" x14ac:dyDescent="0.25">
      <c r="A33" s="28"/>
      <c r="B33" s="51" t="s">
        <v>52</v>
      </c>
      <c r="C33" s="29"/>
      <c r="D33" s="30"/>
      <c r="E33" s="31"/>
      <c r="F33" s="31"/>
      <c r="G33" s="40"/>
      <c r="H33" s="32"/>
      <c r="I33" s="33"/>
      <c r="J33" s="39"/>
      <c r="K33" s="31"/>
    </row>
    <row r="34" spans="1:13" x14ac:dyDescent="0.25">
      <c r="A34" s="28"/>
      <c r="B34" s="50"/>
      <c r="C34" s="29">
        <v>2</v>
      </c>
      <c r="D34" s="30">
        <f t="shared" ref="D34:D41" si="8">M11</f>
        <v>5</v>
      </c>
      <c r="E34" s="31">
        <f t="shared" ref="E34:E41" si="9">Q11</f>
        <v>0.11249999999999999</v>
      </c>
      <c r="F34" s="31">
        <f t="shared" ref="F34:F41" si="10">S11</f>
        <v>0.46499999999999997</v>
      </c>
      <c r="G34" s="40">
        <f t="shared" ref="G34:G41" si="11">PRODUCT(C34:F34)</f>
        <v>0.52312499999999995</v>
      </c>
      <c r="H34" s="32"/>
      <c r="I34" s="33"/>
      <c r="J34" s="39"/>
      <c r="K34" s="31"/>
    </row>
    <row r="35" spans="1:13" x14ac:dyDescent="0.25">
      <c r="A35" s="28"/>
      <c r="B35" s="50"/>
      <c r="C35" s="29">
        <v>2</v>
      </c>
      <c r="D35" s="30">
        <f t="shared" si="8"/>
        <v>4.0199999999999996</v>
      </c>
      <c r="E35" s="31">
        <f t="shared" si="9"/>
        <v>0.11499999999999999</v>
      </c>
      <c r="F35" s="31">
        <f t="shared" si="10"/>
        <v>0.47</v>
      </c>
      <c r="G35" s="40">
        <f t="shared" si="11"/>
        <v>0.43456199999999989</v>
      </c>
      <c r="H35" s="32"/>
      <c r="I35" s="33"/>
      <c r="J35" s="39"/>
      <c r="K35" s="31"/>
    </row>
    <row r="36" spans="1:13" x14ac:dyDescent="0.25">
      <c r="A36" s="28"/>
      <c r="B36" s="50"/>
      <c r="C36" s="29">
        <v>2</v>
      </c>
      <c r="D36" s="30">
        <f t="shared" si="8"/>
        <v>3.8</v>
      </c>
      <c r="E36" s="31">
        <f t="shared" si="9"/>
        <v>0.11</v>
      </c>
      <c r="F36" s="31">
        <f t="shared" si="10"/>
        <v>0.46499999999999997</v>
      </c>
      <c r="G36" s="40">
        <f t="shared" si="11"/>
        <v>0.38873999999999997</v>
      </c>
      <c r="H36" s="32"/>
      <c r="I36" s="33"/>
      <c r="J36" s="39"/>
      <c r="K36" s="31"/>
    </row>
    <row r="37" spans="1:13" x14ac:dyDescent="0.25">
      <c r="A37" s="28"/>
      <c r="B37" s="50"/>
      <c r="C37" s="29">
        <v>2</v>
      </c>
      <c r="D37" s="30">
        <f t="shared" si="8"/>
        <v>5</v>
      </c>
      <c r="E37" s="31">
        <f t="shared" si="9"/>
        <v>0.10625000000000001</v>
      </c>
      <c r="F37" s="31">
        <f t="shared" si="10"/>
        <v>0.46499999999999997</v>
      </c>
      <c r="G37" s="40">
        <f t="shared" si="11"/>
        <v>0.49406249999999996</v>
      </c>
      <c r="H37" s="32"/>
      <c r="I37" s="33"/>
      <c r="J37" s="39"/>
      <c r="K37" s="31"/>
    </row>
    <row r="38" spans="1:13" x14ac:dyDescent="0.25">
      <c r="A38" s="28"/>
      <c r="B38" s="50"/>
      <c r="C38" s="29">
        <v>2</v>
      </c>
      <c r="D38" s="30">
        <f t="shared" si="8"/>
        <v>5</v>
      </c>
      <c r="E38" s="31">
        <f t="shared" si="9"/>
        <v>0.10375000000000001</v>
      </c>
      <c r="F38" s="31">
        <f t="shared" si="10"/>
        <v>0.46750000000000003</v>
      </c>
      <c r="G38" s="40">
        <f t="shared" si="11"/>
        <v>0.48503125000000008</v>
      </c>
      <c r="H38" s="32"/>
      <c r="I38" s="33"/>
      <c r="J38" s="39"/>
      <c r="K38" s="31"/>
    </row>
    <row r="39" spans="1:13" x14ac:dyDescent="0.25">
      <c r="A39" s="28"/>
      <c r="B39" s="50"/>
      <c r="C39" s="29">
        <v>2</v>
      </c>
      <c r="D39" s="30">
        <f t="shared" si="8"/>
        <v>5</v>
      </c>
      <c r="E39" s="31">
        <f t="shared" si="9"/>
        <v>0.10500000000000001</v>
      </c>
      <c r="F39" s="31">
        <f t="shared" si="10"/>
        <v>0.46499999999999997</v>
      </c>
      <c r="G39" s="40">
        <f t="shared" si="11"/>
        <v>0.48824999999999996</v>
      </c>
      <c r="H39" s="32"/>
      <c r="I39" s="33"/>
      <c r="J39" s="39"/>
      <c r="K39" s="31"/>
    </row>
    <row r="40" spans="1:13" x14ac:dyDescent="0.25">
      <c r="A40" s="28"/>
      <c r="B40" s="50"/>
      <c r="C40" s="29">
        <v>2</v>
      </c>
      <c r="D40" s="30">
        <f t="shared" si="8"/>
        <v>5</v>
      </c>
      <c r="E40" s="31">
        <f t="shared" si="9"/>
        <v>0.11249999999999999</v>
      </c>
      <c r="F40" s="31">
        <f t="shared" si="10"/>
        <v>0.45250000000000001</v>
      </c>
      <c r="G40" s="40">
        <f t="shared" si="11"/>
        <v>0.50906249999999997</v>
      </c>
      <c r="H40" s="32"/>
      <c r="I40" s="33"/>
      <c r="J40" s="39"/>
      <c r="K40" s="31"/>
    </row>
    <row r="41" spans="1:13" x14ac:dyDescent="0.25">
      <c r="A41" s="28"/>
      <c r="B41" s="50"/>
      <c r="C41" s="29">
        <v>2</v>
      </c>
      <c r="D41" s="30">
        <f t="shared" si="8"/>
        <v>3.95</v>
      </c>
      <c r="E41" s="31">
        <f t="shared" si="9"/>
        <v>0.11499999999999999</v>
      </c>
      <c r="F41" s="31">
        <f t="shared" si="10"/>
        <v>0.46250000000000002</v>
      </c>
      <c r="G41" s="40">
        <f t="shared" si="11"/>
        <v>0.42018125000000001</v>
      </c>
      <c r="H41" s="32"/>
      <c r="I41" s="33"/>
      <c r="J41" s="39"/>
      <c r="K41" s="31"/>
    </row>
    <row r="42" spans="1:13" x14ac:dyDescent="0.25">
      <c r="A42" s="28"/>
      <c r="B42" s="50"/>
      <c r="C42" s="29"/>
      <c r="D42" s="30"/>
      <c r="E42" s="31"/>
      <c r="F42" s="31"/>
      <c r="G42" s="40"/>
      <c r="H42" s="32"/>
      <c r="I42" s="33"/>
      <c r="J42" s="39"/>
      <c r="K42" s="31"/>
      <c r="M42">
        <f>3.8*1.2*0.1</f>
        <v>0.45599999999999996</v>
      </c>
    </row>
    <row r="43" spans="1:13" x14ac:dyDescent="0.25">
      <c r="A43" s="28"/>
      <c r="B43" s="51" t="s">
        <v>55</v>
      </c>
      <c r="C43" s="29">
        <v>1</v>
      </c>
      <c r="D43" s="30">
        <f>(1.21+1.12+1.28+1.18+1.2+1.22+1.2+1.2+1.17+1.09+1.1+1.1+1.07+1.09+1.08+1.1+1.18+1.06+1.09+1.11+1.07+1.29+1.11+1.12+1.08+1.09+1.05+1.07+1.14+1.08+1.07+1.06+1.07+1.07+1.12+1.07+1.06+1.23+1.09+1.11+1.17+1.16+1.19+1.17+1.14+1.14)</f>
        <v>51.870000000000005</v>
      </c>
      <c r="E43" s="31">
        <f>(0.63+0.64+0.61+0.64+0.63+0.65+0.63+0.66+0.63+0.6+0.6+0.6+0.61+0.61+0.63+0.63+0.59+0.62+0.58+0.61+0.61+0.59+0.67+0.79+0.84+0.84+0.8+0.61+0.6+0.63+0.62+0.61+0.61+0.62+0.61+0.62+0.62+0.62+0.63+0.62+0.61+0.6+0.6+0.6+0.6)/46</f>
        <v>0.62108695652173929</v>
      </c>
      <c r="F43" s="31">
        <v>0.1</v>
      </c>
      <c r="G43" s="40">
        <f>PRODUCT(C43:F43)</f>
        <v>3.2215780434782624</v>
      </c>
      <c r="H43" s="32"/>
      <c r="I43" s="33"/>
      <c r="J43" s="39"/>
      <c r="K43" s="31"/>
      <c r="M43">
        <f>D43*E43*0.1</f>
        <v>3.2215780434782624</v>
      </c>
    </row>
    <row r="44" spans="1:13" x14ac:dyDescent="0.25">
      <c r="A44" s="28"/>
      <c r="B44" s="51" t="s">
        <v>54</v>
      </c>
      <c r="C44" s="29">
        <v>1</v>
      </c>
      <c r="D44" s="30">
        <v>3.8</v>
      </c>
      <c r="E44" s="31">
        <v>1.2</v>
      </c>
      <c r="F44" s="31">
        <v>0.1</v>
      </c>
      <c r="G44" s="40">
        <f>PRODUCT(C44:F44)</f>
        <v>0.45599999999999996</v>
      </c>
      <c r="H44" s="32"/>
      <c r="I44" s="33"/>
      <c r="J44" s="39"/>
      <c r="K44" s="31"/>
      <c r="M44">
        <f>SUM(M42:M43)</f>
        <v>3.6775780434782623</v>
      </c>
    </row>
    <row r="45" spans="1:13" x14ac:dyDescent="0.25">
      <c r="A45" s="28"/>
      <c r="B45" s="34" t="s">
        <v>41</v>
      </c>
      <c r="C45" s="29"/>
      <c r="D45" s="30"/>
      <c r="E45" s="31"/>
      <c r="F45" s="31"/>
      <c r="G45" s="33">
        <f>SUM(G25:G44)</f>
        <v>9.440879803459973</v>
      </c>
      <c r="H45" s="32" t="s">
        <v>34</v>
      </c>
      <c r="I45" s="53">
        <v>12143.3</v>
      </c>
      <c r="J45" s="39">
        <f>G45*I45</f>
        <v>114643.43571735549</v>
      </c>
      <c r="K45" s="31"/>
    </row>
    <row r="46" spans="1:13" x14ac:dyDescent="0.25">
      <c r="A46" s="28"/>
      <c r="B46" s="34" t="s">
        <v>37</v>
      </c>
      <c r="C46" s="29"/>
      <c r="D46" s="30"/>
      <c r="E46" s="31"/>
      <c r="F46" s="31"/>
      <c r="G46" s="33"/>
      <c r="H46" s="32"/>
      <c r="I46" s="33"/>
      <c r="J46" s="52">
        <f>0.13*G45*((137739.8+7005.8)/15)</f>
        <v>11843.223701224029</v>
      </c>
      <c r="K46" s="31"/>
    </row>
    <row r="47" spans="1:13" x14ac:dyDescent="0.25">
      <c r="A47" s="28"/>
      <c r="B47" s="34"/>
      <c r="C47" s="29"/>
      <c r="D47" s="30"/>
      <c r="E47" s="31"/>
      <c r="F47" s="31"/>
      <c r="G47" s="33"/>
      <c r="H47" s="32"/>
      <c r="I47" s="33"/>
      <c r="J47" s="52"/>
      <c r="K47" s="31"/>
    </row>
    <row r="48" spans="1:13" ht="75" x14ac:dyDescent="0.25">
      <c r="A48" s="28">
        <v>5</v>
      </c>
      <c r="B48" s="47" t="s">
        <v>44</v>
      </c>
      <c r="C48" s="29" t="s">
        <v>7</v>
      </c>
      <c r="D48" s="54" t="s">
        <v>46</v>
      </c>
      <c r="E48" s="54" t="s">
        <v>47</v>
      </c>
      <c r="F48" s="54" t="s">
        <v>48</v>
      </c>
      <c r="G48" s="54" t="s">
        <v>49</v>
      </c>
      <c r="H48" s="32"/>
      <c r="I48" s="33"/>
      <c r="J48" s="52"/>
      <c r="K48" s="31"/>
    </row>
    <row r="49" spans="1:35" x14ac:dyDescent="0.25">
      <c r="A49" s="28"/>
      <c r="B49" s="50" t="str">
        <f>B25</f>
        <v>-For roadside drain</v>
      </c>
      <c r="C49" s="29">
        <f>(TRUNC(((0.6-0.1)/0.15),0)+1)+(TRUNC(((0.45-0.1)/0.15),0)*2)+2</f>
        <v>10</v>
      </c>
      <c r="D49" s="30">
        <f>SUM(V!D34:D41)-0.1</f>
        <v>36.67</v>
      </c>
      <c r="E49" s="31">
        <f t="shared" ref="E49:E54" si="12">10*10/162</f>
        <v>0.61728395061728392</v>
      </c>
      <c r="F49" s="31">
        <f t="shared" ref="F49:F54" si="13">PRODUCT(C49:E49)</f>
        <v>226.35802469135805</v>
      </c>
      <c r="G49" s="40">
        <f t="shared" ref="G49:G54" si="14">F49/1000</f>
        <v>0.22635802469135805</v>
      </c>
      <c r="H49" s="32"/>
      <c r="I49" s="33"/>
      <c r="J49" s="39"/>
      <c r="K49" s="31"/>
    </row>
    <row r="50" spans="1:35" x14ac:dyDescent="0.25">
      <c r="A50" s="28"/>
      <c r="B50" s="50"/>
      <c r="C50" s="29">
        <f>TRUNC(((D49-0.1)/0.15),0)</f>
        <v>243</v>
      </c>
      <c r="D50" s="30">
        <f>(0.6-0.1)+(0.45-0.1)*1.9</f>
        <v>1.165</v>
      </c>
      <c r="E50" s="31">
        <f t="shared" si="12"/>
        <v>0.61728395061728392</v>
      </c>
      <c r="F50" s="31">
        <f t="shared" si="13"/>
        <v>174.75</v>
      </c>
      <c r="G50" s="40">
        <f t="shared" si="14"/>
        <v>0.17474999999999999</v>
      </c>
      <c r="H50" s="32"/>
      <c r="I50" s="33"/>
      <c r="J50" s="33"/>
      <c r="K50" s="31"/>
    </row>
    <row r="51" spans="1:35" x14ac:dyDescent="0.25">
      <c r="A51" s="28"/>
      <c r="B51" s="50" t="str">
        <f>B43</f>
        <v>-Drain slab 1</v>
      </c>
      <c r="C51" s="29">
        <f>(TRUNC(((D52)/0.15),0)+1)*C43</f>
        <v>4</v>
      </c>
      <c r="D51" s="30">
        <f>D43-0.1-(46*0.1)</f>
        <v>47.17</v>
      </c>
      <c r="E51" s="31">
        <f t="shared" si="12"/>
        <v>0.61728395061728392</v>
      </c>
      <c r="F51" s="31">
        <f t="shared" si="13"/>
        <v>116.46913580246914</v>
      </c>
      <c r="G51" s="40">
        <f t="shared" si="14"/>
        <v>0.11646913580246913</v>
      </c>
      <c r="H51" s="32"/>
      <c r="I51" s="33"/>
      <c r="J51" s="39"/>
      <c r="K51" s="31"/>
    </row>
    <row r="52" spans="1:35" x14ac:dyDescent="0.25">
      <c r="A52" s="28"/>
      <c r="B52" s="50"/>
      <c r="C52" s="29">
        <f>(TRUNC(((D51)/0.175),0)+1)</f>
        <v>270</v>
      </c>
      <c r="D52" s="30">
        <f>(E43-0.1)</f>
        <v>0.52108695652173931</v>
      </c>
      <c r="E52" s="31">
        <f t="shared" si="12"/>
        <v>0.61728395061728392</v>
      </c>
      <c r="F52" s="31">
        <f t="shared" si="13"/>
        <v>86.847826086956559</v>
      </c>
      <c r="G52" s="40">
        <f t="shared" si="14"/>
        <v>8.6847826086956556E-2</v>
      </c>
      <c r="H52" s="32"/>
      <c r="I52" s="33"/>
      <c r="J52" s="39"/>
      <c r="K52" s="31"/>
    </row>
    <row r="53" spans="1:35" x14ac:dyDescent="0.25">
      <c r="A53" s="28"/>
      <c r="B53" s="50" t="str">
        <f>B44</f>
        <v>-Drain slab 2</v>
      </c>
      <c r="C53" s="29">
        <f>(TRUNC(((D54)/0.15),0)+1)-3</f>
        <v>5</v>
      </c>
      <c r="D53" s="30">
        <f>D44-0.1</f>
        <v>3.6999999999999997</v>
      </c>
      <c r="E53" s="31">
        <f t="shared" si="12"/>
        <v>0.61728395061728392</v>
      </c>
      <c r="F53" s="31">
        <f t="shared" si="13"/>
        <v>11.419753086419753</v>
      </c>
      <c r="G53" s="40">
        <f t="shared" si="14"/>
        <v>1.1419753086419753E-2</v>
      </c>
      <c r="H53" s="32"/>
      <c r="I53" s="33"/>
      <c r="J53" s="39"/>
      <c r="K53" s="31"/>
    </row>
    <row r="54" spans="1:35" x14ac:dyDescent="0.25">
      <c r="A54" s="28"/>
      <c r="B54" s="50"/>
      <c r="C54" s="29">
        <f>(TRUNC(((D53)/0.15),0)+1)-10</f>
        <v>15</v>
      </c>
      <c r="D54" s="30">
        <f>(E44-0.1)</f>
        <v>1.0999999999999999</v>
      </c>
      <c r="E54" s="31">
        <f t="shared" si="12"/>
        <v>0.61728395061728392</v>
      </c>
      <c r="F54" s="31">
        <f t="shared" si="13"/>
        <v>10.185185185185182</v>
      </c>
      <c r="G54" s="40">
        <f t="shared" si="14"/>
        <v>1.0185185185185181E-2</v>
      </c>
      <c r="H54" s="32"/>
      <c r="I54" s="33"/>
      <c r="J54" s="39"/>
      <c r="K54" s="31"/>
    </row>
    <row r="55" spans="1:35" x14ac:dyDescent="0.25">
      <c r="A55" s="28"/>
      <c r="B55" s="34" t="s">
        <v>41</v>
      </c>
      <c r="C55" s="29"/>
      <c r="D55" s="30"/>
      <c r="E55" s="31"/>
      <c r="F55" s="31"/>
      <c r="G55" s="55">
        <f>SUM(G49:G54)</f>
        <v>0.62602992485238862</v>
      </c>
      <c r="H55" s="32" t="s">
        <v>45</v>
      </c>
      <c r="I55" s="53">
        <v>122648</v>
      </c>
      <c r="J55" s="39">
        <f>G55*I55</f>
        <v>76781.318223295762</v>
      </c>
      <c r="K55" s="31"/>
    </row>
    <row r="56" spans="1:35" x14ac:dyDescent="0.25">
      <c r="A56" s="28"/>
      <c r="B56" s="34" t="s">
        <v>37</v>
      </c>
      <c r="C56" s="29"/>
      <c r="D56" s="30"/>
      <c r="E56" s="31"/>
      <c r="F56" s="31"/>
      <c r="G56" s="33"/>
      <c r="H56" s="32"/>
      <c r="I56" s="33"/>
      <c r="J56" s="52">
        <f>0.13*G55*(109748)</f>
        <v>8931.7191850509935</v>
      </c>
      <c r="K56" s="31"/>
    </row>
    <row r="57" spans="1:35" x14ac:dyDescent="0.25">
      <c r="A57" s="28"/>
      <c r="B57" s="34"/>
      <c r="C57" s="29"/>
      <c r="D57" s="30"/>
      <c r="E57" s="31"/>
      <c r="F57" s="31"/>
      <c r="G57" s="33"/>
      <c r="H57" s="32"/>
      <c r="I57" s="33"/>
      <c r="J57" s="52"/>
      <c r="K57" s="31"/>
    </row>
    <row r="58" spans="1:35" x14ac:dyDescent="0.25">
      <c r="A58" s="43">
        <v>6</v>
      </c>
      <c r="B58" s="41" t="s">
        <v>35</v>
      </c>
      <c r="C58" s="29">
        <v>1</v>
      </c>
      <c r="D58" s="30"/>
      <c r="E58" s="31"/>
      <c r="F58" s="31"/>
      <c r="G58" s="39">
        <f>PRODUCT(C58:F58)</f>
        <v>1</v>
      </c>
      <c r="H58" s="32" t="s">
        <v>36</v>
      </c>
      <c r="I58" s="33">
        <v>500</v>
      </c>
      <c r="J58" s="8">
        <f>G58*I58</f>
        <v>500</v>
      </c>
      <c r="K58" s="31"/>
    </row>
    <row r="59" spans="1:35" x14ac:dyDescent="0.25">
      <c r="A59" s="10"/>
      <c r="B59" s="27"/>
      <c r="C59" s="9"/>
      <c r="D59" s="7"/>
      <c r="E59" s="7"/>
      <c r="F59" s="7"/>
      <c r="G59" s="8"/>
      <c r="H59" s="8"/>
      <c r="I59" s="8"/>
      <c r="J59" s="8"/>
      <c r="K59" s="4"/>
      <c r="M59" s="44"/>
    </row>
    <row r="60" spans="1:35" x14ac:dyDescent="0.25">
      <c r="A60" s="10"/>
      <c r="B60" s="27" t="s">
        <v>17</v>
      </c>
      <c r="C60" s="9"/>
      <c r="D60" s="7"/>
      <c r="E60" s="7"/>
      <c r="F60" s="7"/>
      <c r="G60" s="8"/>
      <c r="H60" s="8"/>
      <c r="I60" s="8"/>
      <c r="J60" s="8">
        <f>SUM(J9:J59)</f>
        <v>238189.74252963794</v>
      </c>
      <c r="K60" s="4"/>
      <c r="M60" s="44"/>
    </row>
    <row r="61" spans="1:35" x14ac:dyDescent="0.25">
      <c r="M61" s="44"/>
      <c r="N61" s="45"/>
      <c r="O61" s="45"/>
      <c r="P61" s="45"/>
      <c r="Q61" s="45"/>
      <c r="R61" s="45"/>
      <c r="S61" s="45"/>
      <c r="T61" s="45"/>
      <c r="U61" s="45"/>
      <c r="V61" s="45"/>
      <c r="W61" s="45"/>
      <c r="X61" s="45"/>
      <c r="Y61" s="44"/>
      <c r="Z61" s="44"/>
      <c r="AA61" s="44"/>
      <c r="AB61" s="44"/>
      <c r="AC61" s="44"/>
      <c r="AD61" s="44"/>
      <c r="AE61" s="44"/>
      <c r="AF61" s="44"/>
      <c r="AG61" s="44"/>
      <c r="AH61" s="44"/>
      <c r="AI61" s="44"/>
    </row>
    <row r="62" spans="1:35" s="1" customFormat="1" x14ac:dyDescent="0.25">
      <c r="B62" s="17" t="s">
        <v>126</v>
      </c>
      <c r="C62" s="97">
        <f>J60</f>
        <v>238189.74252963794</v>
      </c>
      <c r="D62" s="98"/>
      <c r="E62" s="15">
        <v>100</v>
      </c>
      <c r="F62" s="19"/>
      <c r="G62" s="20"/>
      <c r="H62" s="19"/>
      <c r="I62" s="21"/>
      <c r="J62" s="22"/>
      <c r="K62" s="23"/>
      <c r="M62" s="19"/>
      <c r="N62" s="45"/>
      <c r="O62" s="45"/>
      <c r="P62" s="45"/>
      <c r="Q62" s="45"/>
      <c r="R62" s="45"/>
      <c r="S62" s="45"/>
      <c r="T62" s="45"/>
      <c r="U62" s="45"/>
      <c r="V62" s="45"/>
      <c r="W62" s="45"/>
      <c r="X62" s="45"/>
      <c r="Y62" s="19"/>
      <c r="Z62" s="19"/>
      <c r="AA62" s="19"/>
      <c r="AB62" s="19"/>
      <c r="AC62" s="19"/>
      <c r="AD62" s="19"/>
      <c r="AE62" s="19"/>
      <c r="AF62" s="19"/>
      <c r="AG62" s="19"/>
      <c r="AH62" s="19"/>
      <c r="AI62" s="19"/>
    </row>
    <row r="63" spans="1:35" x14ac:dyDescent="0.25">
      <c r="B63" s="17" t="s">
        <v>27</v>
      </c>
      <c r="C63" s="101">
        <v>210000</v>
      </c>
      <c r="D63" s="102"/>
      <c r="E63" s="15"/>
      <c r="M63" s="44"/>
      <c r="N63" s="45"/>
      <c r="O63" s="45"/>
      <c r="P63" s="45"/>
      <c r="Q63" s="45"/>
      <c r="R63" s="45"/>
      <c r="S63" s="45"/>
      <c r="T63" s="45"/>
      <c r="U63" s="45"/>
      <c r="V63" s="45"/>
      <c r="W63" s="45"/>
      <c r="X63" s="45"/>
      <c r="Y63" s="44"/>
      <c r="Z63" s="44"/>
      <c r="AA63" s="44"/>
      <c r="AB63" s="44"/>
      <c r="AC63" s="44"/>
      <c r="AD63" s="44"/>
      <c r="AE63" s="44"/>
      <c r="AF63" s="44"/>
      <c r="AG63" s="44"/>
      <c r="AH63" s="44"/>
      <c r="AI63" s="44"/>
    </row>
    <row r="64" spans="1:35" x14ac:dyDescent="0.25">
      <c r="B64" s="17" t="s">
        <v>28</v>
      </c>
      <c r="C64" s="101">
        <f>C63-C66-C67</f>
        <v>199500</v>
      </c>
      <c r="D64" s="102"/>
      <c r="E64" s="15">
        <f>C64/C62*100</f>
        <v>83.756755383862185</v>
      </c>
      <c r="M64" s="44"/>
      <c r="N64" s="44"/>
      <c r="O64" s="44"/>
      <c r="P64" s="44"/>
      <c r="Q64" s="44"/>
      <c r="R64" s="44"/>
      <c r="S64" s="44"/>
      <c r="T64" s="44"/>
      <c r="U64" s="44"/>
      <c r="V64" s="44"/>
      <c r="W64" s="44"/>
      <c r="X64" s="44"/>
      <c r="Y64" s="44"/>
      <c r="Z64" s="44"/>
      <c r="AA64" s="44"/>
      <c r="AB64" s="44"/>
      <c r="AC64" s="44"/>
      <c r="AD64" s="44"/>
      <c r="AE64" s="44"/>
      <c r="AF64" s="44"/>
      <c r="AG64" s="44"/>
      <c r="AH64" s="44"/>
      <c r="AI64" s="44"/>
    </row>
    <row r="65" spans="2:35" x14ac:dyDescent="0.25">
      <c r="B65" s="17" t="s">
        <v>29</v>
      </c>
      <c r="C65" s="103">
        <f>C62-C64</f>
        <v>38689.742529637937</v>
      </c>
      <c r="D65" s="103"/>
      <c r="E65" s="15">
        <f>100-E64</f>
        <v>16.243244616137815</v>
      </c>
      <c r="M65" s="44"/>
      <c r="N65" s="44"/>
      <c r="O65" s="44"/>
      <c r="P65" s="44"/>
      <c r="Q65" s="44"/>
      <c r="R65" s="44"/>
      <c r="S65" s="44"/>
      <c r="T65" s="44"/>
      <c r="U65" s="44"/>
      <c r="V65" s="44"/>
      <c r="W65" s="44"/>
      <c r="X65" s="44"/>
      <c r="Y65" s="44"/>
      <c r="Z65" s="44"/>
      <c r="AA65" s="44"/>
      <c r="AB65" s="44"/>
      <c r="AC65" s="44"/>
      <c r="AD65" s="44"/>
      <c r="AE65" s="44"/>
      <c r="AF65" s="44"/>
      <c r="AG65" s="44"/>
      <c r="AH65" s="44"/>
      <c r="AI65" s="44"/>
    </row>
    <row r="66" spans="2:35" x14ac:dyDescent="0.25">
      <c r="B66" s="17" t="s">
        <v>30</v>
      </c>
      <c r="C66" s="97">
        <f>C63*0.03</f>
        <v>6300</v>
      </c>
      <c r="D66" s="98"/>
      <c r="E66" s="15">
        <v>3</v>
      </c>
      <c r="M66" s="44"/>
      <c r="N66" s="44"/>
      <c r="O66" s="44"/>
      <c r="P66" s="44"/>
      <c r="Q66" s="44"/>
      <c r="R66" s="44"/>
      <c r="S66" s="44"/>
      <c r="T66" s="44"/>
      <c r="U66" s="44"/>
      <c r="V66" s="44"/>
      <c r="W66" s="44"/>
      <c r="X66" s="44"/>
      <c r="Y66" s="44"/>
      <c r="Z66" s="44"/>
      <c r="AA66" s="44"/>
      <c r="AB66" s="44"/>
      <c r="AC66" s="44"/>
      <c r="AD66" s="44"/>
      <c r="AE66" s="44"/>
      <c r="AF66" s="44"/>
      <c r="AG66" s="44"/>
      <c r="AH66" s="44"/>
      <c r="AI66" s="44"/>
    </row>
    <row r="67" spans="2:35" x14ac:dyDescent="0.25">
      <c r="B67" s="17" t="s">
        <v>31</v>
      </c>
      <c r="C67" s="97">
        <f>C63*0.02</f>
        <v>4200</v>
      </c>
      <c r="D67" s="98"/>
      <c r="E67" s="15">
        <v>2</v>
      </c>
      <c r="M67" s="44"/>
      <c r="N67" s="44"/>
      <c r="O67" s="44"/>
      <c r="P67" s="44"/>
      <c r="Q67" s="44"/>
      <c r="R67" s="44"/>
      <c r="S67" s="44"/>
      <c r="T67" s="44"/>
      <c r="U67" s="44"/>
      <c r="V67" s="44"/>
      <c r="W67" s="44"/>
      <c r="X67" s="44"/>
      <c r="Y67" s="44"/>
      <c r="Z67" s="44"/>
      <c r="AA67" s="44"/>
      <c r="AB67" s="44"/>
      <c r="AC67" s="44"/>
      <c r="AD67" s="44"/>
      <c r="AE67" s="44"/>
      <c r="AF67" s="44"/>
      <c r="AG67" s="44"/>
      <c r="AH67" s="44"/>
      <c r="AI67" s="44"/>
    </row>
  </sheetData>
  <mergeCells count="15">
    <mergeCell ref="C66:D66"/>
    <mergeCell ref="C67:D67"/>
    <mergeCell ref="A7:F7"/>
    <mergeCell ref="H7:K7"/>
    <mergeCell ref="C62:D62"/>
    <mergeCell ref="C63:D63"/>
    <mergeCell ref="C64:D64"/>
    <mergeCell ref="C65:D65"/>
    <mergeCell ref="A6:G6"/>
    <mergeCell ref="H6:K6"/>
    <mergeCell ref="A1:K1"/>
    <mergeCell ref="A2:K2"/>
    <mergeCell ref="A3:K3"/>
    <mergeCell ref="A4:K4"/>
    <mergeCell ref="A5:K5"/>
  </mergeCells>
  <printOptions horizontalCentered="1"/>
  <pageMargins left="0.7" right="0.7" top="0.75" bottom="0.75" header="0.3" footer="0.3"/>
  <pageSetup paperSize="9" scale="80" orientation="portrait" horizontalDpi="300" verticalDpi="300" r:id="rId1"/>
  <headerFooter>
    <oddFooter>&amp;LPrepared By:
Kristal Suwal&amp;CChecked By:
Er. Milan Phuyal&amp;RApproved By:    
Er. Prakash Singh Saud</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3"/>
  <sheetViews>
    <sheetView topLeftCell="A37" zoomScale="90" zoomScaleNormal="90" workbookViewId="0">
      <selection activeCell="A54" sqref="A54:U63"/>
    </sheetView>
  </sheetViews>
  <sheetFormatPr defaultRowHeight="15" x14ac:dyDescent="0.25"/>
  <sheetData>
    <row r="1" spans="1:21" x14ac:dyDescent="0.25">
      <c r="A1" s="157" t="s">
        <v>67</v>
      </c>
      <c r="B1" s="157"/>
      <c r="C1" s="158" t="s">
        <v>50</v>
      </c>
      <c r="D1" s="158"/>
      <c r="E1" s="158"/>
      <c r="F1" s="158"/>
      <c r="G1" s="158"/>
      <c r="H1" s="158"/>
      <c r="I1" s="158"/>
      <c r="J1" s="158"/>
      <c r="K1" s="158"/>
      <c r="L1" s="158"/>
      <c r="M1" s="158"/>
      <c r="N1" s="158"/>
      <c r="O1" s="158"/>
      <c r="P1" s="158"/>
      <c r="Q1" s="158"/>
      <c r="R1" s="158"/>
      <c r="S1" s="158"/>
      <c r="T1" s="158"/>
      <c r="U1" s="159" t="s">
        <v>68</v>
      </c>
    </row>
    <row r="2" spans="1:21" x14ac:dyDescent="0.25">
      <c r="A2" s="157"/>
      <c r="B2" s="157"/>
      <c r="C2" s="158"/>
      <c r="D2" s="158"/>
      <c r="E2" s="158"/>
      <c r="F2" s="158"/>
      <c r="G2" s="158"/>
      <c r="H2" s="158"/>
      <c r="I2" s="158"/>
      <c r="J2" s="158"/>
      <c r="K2" s="158"/>
      <c r="L2" s="158"/>
      <c r="M2" s="158"/>
      <c r="N2" s="158"/>
      <c r="O2" s="158"/>
      <c r="P2" s="158"/>
      <c r="Q2" s="158"/>
      <c r="R2" s="158"/>
      <c r="S2" s="158"/>
      <c r="T2" s="158"/>
      <c r="U2" s="159"/>
    </row>
    <row r="3" spans="1:21" ht="15.75" x14ac:dyDescent="0.25">
      <c r="A3" s="160" t="s">
        <v>69</v>
      </c>
      <c r="B3" s="160"/>
      <c r="C3" s="158"/>
      <c r="D3" s="158"/>
      <c r="E3" s="158"/>
      <c r="F3" s="158"/>
      <c r="G3" s="158"/>
      <c r="H3" s="158"/>
      <c r="I3" s="158"/>
      <c r="J3" s="158"/>
      <c r="K3" s="158"/>
      <c r="L3" s="158"/>
      <c r="M3" s="158"/>
      <c r="N3" s="158"/>
      <c r="O3" s="158"/>
      <c r="P3" s="158"/>
      <c r="Q3" s="158"/>
      <c r="R3" s="158"/>
      <c r="S3" s="158"/>
      <c r="T3" s="158"/>
      <c r="U3" s="159"/>
    </row>
    <row r="4" spans="1:21" ht="15.75" x14ac:dyDescent="0.25">
      <c r="A4" s="161" t="s">
        <v>70</v>
      </c>
      <c r="B4" s="162" t="s">
        <v>71</v>
      </c>
      <c r="C4" s="162"/>
      <c r="D4" s="162"/>
      <c r="E4" s="162"/>
      <c r="F4" s="162"/>
      <c r="G4" s="162" t="s">
        <v>72</v>
      </c>
      <c r="H4" s="162"/>
      <c r="I4" s="162"/>
      <c r="J4" s="162"/>
      <c r="K4" s="162"/>
      <c r="L4" s="162" t="s">
        <v>73</v>
      </c>
      <c r="M4" s="162"/>
      <c r="N4" s="162"/>
      <c r="O4" s="162"/>
      <c r="P4" s="162"/>
      <c r="Q4" s="162" t="s">
        <v>74</v>
      </c>
      <c r="R4" s="162"/>
      <c r="S4" s="162"/>
      <c r="T4" s="162"/>
      <c r="U4" s="162"/>
    </row>
    <row r="5" spans="1:21" ht="15.75" x14ac:dyDescent="0.25">
      <c r="A5" s="161"/>
      <c r="B5" s="70" t="s">
        <v>75</v>
      </c>
      <c r="C5" s="70" t="s">
        <v>12</v>
      </c>
      <c r="D5" s="70" t="s">
        <v>11</v>
      </c>
      <c r="E5" s="70" t="s">
        <v>13</v>
      </c>
      <c r="F5" s="70" t="s">
        <v>14</v>
      </c>
      <c r="G5" s="70" t="s">
        <v>75</v>
      </c>
      <c r="H5" s="71" t="s">
        <v>12</v>
      </c>
      <c r="I5" s="70" t="s">
        <v>11</v>
      </c>
      <c r="J5" s="70" t="s">
        <v>13</v>
      </c>
      <c r="K5" s="70" t="s">
        <v>14</v>
      </c>
      <c r="L5" s="70" t="s">
        <v>75</v>
      </c>
      <c r="M5" s="70" t="s">
        <v>12</v>
      </c>
      <c r="N5" s="70" t="s">
        <v>11</v>
      </c>
      <c r="O5" s="70" t="s">
        <v>13</v>
      </c>
      <c r="P5" s="70" t="s">
        <v>14</v>
      </c>
      <c r="Q5" s="70" t="s">
        <v>75</v>
      </c>
      <c r="R5" s="70" t="s">
        <v>12</v>
      </c>
      <c r="S5" s="70" t="s">
        <v>11</v>
      </c>
      <c r="T5" s="70" t="s">
        <v>13</v>
      </c>
      <c r="U5" s="72" t="s">
        <v>14</v>
      </c>
    </row>
    <row r="6" spans="1:21" ht="63" x14ac:dyDescent="0.25">
      <c r="A6" s="73" t="s">
        <v>76</v>
      </c>
      <c r="B6" s="70" t="s">
        <v>77</v>
      </c>
      <c r="C6" s="70" t="s">
        <v>78</v>
      </c>
      <c r="D6" s="70">
        <v>1</v>
      </c>
      <c r="E6" s="70">
        <f>skilled</f>
        <v>1200</v>
      </c>
      <c r="F6" s="74">
        <f>(D6*E6)</f>
        <v>1200</v>
      </c>
      <c r="G6" s="75"/>
      <c r="H6" s="76"/>
      <c r="I6" s="75"/>
      <c r="J6" s="75"/>
      <c r="K6" s="75"/>
      <c r="L6" s="70" t="s">
        <v>79</v>
      </c>
      <c r="M6" s="70" t="s">
        <v>80</v>
      </c>
      <c r="N6" s="70">
        <v>6</v>
      </c>
      <c r="O6" s="70">
        <f>excavator</f>
        <v>3071</v>
      </c>
      <c r="P6" s="74">
        <f>(N6*O6)</f>
        <v>18426</v>
      </c>
      <c r="Q6" s="75"/>
      <c r="R6" s="75"/>
      <c r="S6" s="75"/>
      <c r="T6" s="75"/>
      <c r="U6" s="77"/>
    </row>
    <row r="7" spans="1:21" ht="15.75" x14ac:dyDescent="0.25">
      <c r="A7" s="75"/>
      <c r="B7" s="70" t="s">
        <v>81</v>
      </c>
      <c r="C7" s="70" t="s">
        <v>78</v>
      </c>
      <c r="D7" s="70">
        <v>3</v>
      </c>
      <c r="E7" s="70">
        <f>unskilled</f>
        <v>900</v>
      </c>
      <c r="F7" s="74">
        <f>(D7*E7)</f>
        <v>2700</v>
      </c>
      <c r="G7" s="75"/>
      <c r="H7" s="76"/>
      <c r="I7" s="75"/>
      <c r="J7" s="75"/>
      <c r="K7" s="75"/>
      <c r="L7" s="75"/>
      <c r="M7" s="75"/>
      <c r="N7" s="75"/>
      <c r="O7" s="75"/>
      <c r="P7" s="75"/>
      <c r="Q7" s="75"/>
      <c r="R7" s="75"/>
      <c r="S7" s="75"/>
      <c r="T7" s="75"/>
      <c r="U7" s="77"/>
    </row>
    <row r="8" spans="1:21" ht="15.75" x14ac:dyDescent="0.25">
      <c r="A8" s="132" t="s">
        <v>82</v>
      </c>
      <c r="B8" s="132"/>
      <c r="C8" s="132"/>
      <c r="D8" s="132"/>
      <c r="E8" s="132"/>
      <c r="F8" s="74">
        <f>SUM(F5:F7)</f>
        <v>3900</v>
      </c>
      <c r="G8" s="132" t="s">
        <v>83</v>
      </c>
      <c r="H8" s="132"/>
      <c r="I8" s="132"/>
      <c r="J8" s="132"/>
      <c r="K8" s="74">
        <f>SUM(K5:K7)</f>
        <v>0</v>
      </c>
      <c r="L8" s="132" t="s">
        <v>84</v>
      </c>
      <c r="M8" s="132"/>
      <c r="N8" s="132"/>
      <c r="O8" s="132"/>
      <c r="P8" s="74">
        <f>SUM(P5:P7)</f>
        <v>18426</v>
      </c>
      <c r="Q8" s="132" t="s">
        <v>85</v>
      </c>
      <c r="R8" s="132"/>
      <c r="S8" s="132"/>
      <c r="T8" s="132"/>
      <c r="U8" s="78">
        <f>SUM(U5:U7)</f>
        <v>0</v>
      </c>
    </row>
    <row r="9" spans="1:21" ht="15.75" x14ac:dyDescent="0.25">
      <c r="A9" s="132" t="s">
        <v>86</v>
      </c>
      <c r="B9" s="132"/>
      <c r="C9" s="132"/>
      <c r="D9" s="132"/>
      <c r="E9" s="132"/>
      <c r="F9" s="74">
        <f>SUM(F8+K8+P8)</f>
        <v>22326</v>
      </c>
      <c r="G9" s="132" t="s">
        <v>87</v>
      </c>
      <c r="H9" s="132"/>
      <c r="I9" s="132"/>
      <c r="J9" s="132"/>
      <c r="K9" s="74">
        <f>SUM(F8+K8+P8+U8)</f>
        <v>22326</v>
      </c>
      <c r="L9" s="132" t="s">
        <v>88</v>
      </c>
      <c r="M9" s="132"/>
      <c r="N9" s="132"/>
      <c r="O9" s="132"/>
      <c r="P9" s="74">
        <f>SUM(K9*0.15)</f>
        <v>3348.9</v>
      </c>
      <c r="Q9" s="132" t="s">
        <v>89</v>
      </c>
      <c r="R9" s="132"/>
      <c r="S9" s="132"/>
      <c r="T9" s="132"/>
      <c r="U9" s="78">
        <f>SUM(K9+P9)</f>
        <v>25674.9</v>
      </c>
    </row>
    <row r="10" spans="1:21" ht="15.75" x14ac:dyDescent="0.25">
      <c r="A10" s="75"/>
      <c r="B10" s="75"/>
      <c r="C10" s="75"/>
      <c r="D10" s="75"/>
      <c r="E10" s="75"/>
      <c r="F10" s="75"/>
      <c r="G10" s="75"/>
      <c r="H10" s="76"/>
      <c r="I10" s="75"/>
      <c r="J10" s="75"/>
      <c r="K10" s="75"/>
      <c r="L10" s="75"/>
      <c r="M10" s="75"/>
      <c r="N10" s="75"/>
      <c r="O10" s="75"/>
      <c r="P10" s="75"/>
      <c r="Q10" s="132" t="s">
        <v>90</v>
      </c>
      <c r="R10" s="132"/>
      <c r="S10" s="132"/>
      <c r="T10" s="132"/>
      <c r="U10" s="79">
        <f>ROUND((U9/360),2)</f>
        <v>71.319999999999993</v>
      </c>
    </row>
    <row r="11" spans="1:21" ht="15.75" x14ac:dyDescent="0.25">
      <c r="A11" s="133"/>
      <c r="B11" s="133"/>
      <c r="C11" s="133"/>
      <c r="D11" s="133"/>
      <c r="E11" s="133"/>
      <c r="F11" s="133"/>
      <c r="G11" s="133"/>
      <c r="H11" s="133"/>
      <c r="I11" s="133"/>
      <c r="J11" s="133"/>
      <c r="K11" s="133"/>
      <c r="L11" s="133"/>
      <c r="M11" s="133"/>
      <c r="N11" s="133"/>
      <c r="O11" s="133"/>
      <c r="P11" s="133"/>
      <c r="Q11" s="133"/>
      <c r="R11" s="133"/>
      <c r="S11" s="133"/>
      <c r="T11" s="133"/>
      <c r="U11" s="133"/>
    </row>
    <row r="12" spans="1:21" x14ac:dyDescent="0.25">
      <c r="A12" s="134" t="s">
        <v>67</v>
      </c>
      <c r="B12" s="135"/>
      <c r="C12" s="138" t="s">
        <v>40</v>
      </c>
      <c r="D12" s="139"/>
      <c r="E12" s="139"/>
      <c r="F12" s="139"/>
      <c r="G12" s="139"/>
      <c r="H12" s="139"/>
      <c r="I12" s="139"/>
      <c r="J12" s="139"/>
      <c r="K12" s="139"/>
      <c r="L12" s="139"/>
      <c r="M12" s="139"/>
      <c r="N12" s="139"/>
      <c r="O12" s="139"/>
      <c r="P12" s="139"/>
      <c r="Q12" s="139"/>
      <c r="R12" s="139"/>
      <c r="S12" s="139"/>
      <c r="T12" s="140"/>
      <c r="U12" s="147" t="s">
        <v>91</v>
      </c>
    </row>
    <row r="13" spans="1:21" x14ac:dyDescent="0.25">
      <c r="A13" s="136"/>
      <c r="B13" s="137"/>
      <c r="C13" s="141"/>
      <c r="D13" s="142"/>
      <c r="E13" s="142"/>
      <c r="F13" s="142"/>
      <c r="G13" s="142"/>
      <c r="H13" s="142"/>
      <c r="I13" s="142"/>
      <c r="J13" s="142"/>
      <c r="K13" s="142"/>
      <c r="L13" s="142"/>
      <c r="M13" s="142"/>
      <c r="N13" s="142"/>
      <c r="O13" s="142"/>
      <c r="P13" s="142"/>
      <c r="Q13" s="142"/>
      <c r="R13" s="142"/>
      <c r="S13" s="142"/>
      <c r="T13" s="143"/>
      <c r="U13" s="148"/>
    </row>
    <row r="14" spans="1:21" ht="15.75" x14ac:dyDescent="0.25">
      <c r="A14" s="150" t="s">
        <v>92</v>
      </c>
      <c r="B14" s="151"/>
      <c r="C14" s="144"/>
      <c r="D14" s="145"/>
      <c r="E14" s="145"/>
      <c r="F14" s="145"/>
      <c r="G14" s="145"/>
      <c r="H14" s="145"/>
      <c r="I14" s="145"/>
      <c r="J14" s="145"/>
      <c r="K14" s="145"/>
      <c r="L14" s="145"/>
      <c r="M14" s="145"/>
      <c r="N14" s="145"/>
      <c r="O14" s="145"/>
      <c r="P14" s="145"/>
      <c r="Q14" s="145"/>
      <c r="R14" s="145"/>
      <c r="S14" s="145"/>
      <c r="T14" s="146"/>
      <c r="U14" s="149"/>
    </row>
    <row r="15" spans="1:21" ht="15.75" x14ac:dyDescent="0.25">
      <c r="A15" s="152" t="s">
        <v>70</v>
      </c>
      <c r="B15" s="154" t="s">
        <v>71</v>
      </c>
      <c r="C15" s="155"/>
      <c r="D15" s="155"/>
      <c r="E15" s="155"/>
      <c r="F15" s="156"/>
      <c r="G15" s="154" t="s">
        <v>72</v>
      </c>
      <c r="H15" s="155"/>
      <c r="I15" s="155"/>
      <c r="J15" s="155"/>
      <c r="K15" s="156"/>
      <c r="L15" s="154" t="s">
        <v>73</v>
      </c>
      <c r="M15" s="155"/>
      <c r="N15" s="155"/>
      <c r="O15" s="155"/>
      <c r="P15" s="156"/>
      <c r="Q15" s="154" t="s">
        <v>74</v>
      </c>
      <c r="R15" s="155"/>
      <c r="S15" s="155"/>
      <c r="T15" s="155"/>
      <c r="U15" s="156"/>
    </row>
    <row r="16" spans="1:21" ht="15.75" x14ac:dyDescent="0.25">
      <c r="A16" s="153"/>
      <c r="B16" s="80" t="s">
        <v>75</v>
      </c>
      <c r="C16" s="80" t="s">
        <v>12</v>
      </c>
      <c r="D16" s="80" t="s">
        <v>11</v>
      </c>
      <c r="E16" s="80" t="s">
        <v>13</v>
      </c>
      <c r="F16" s="80" t="s">
        <v>14</v>
      </c>
      <c r="G16" s="80" t="s">
        <v>75</v>
      </c>
      <c r="H16" s="81" t="s">
        <v>12</v>
      </c>
      <c r="I16" s="80" t="s">
        <v>11</v>
      </c>
      <c r="J16" s="80" t="s">
        <v>13</v>
      </c>
      <c r="K16" s="80" t="s">
        <v>14</v>
      </c>
      <c r="L16" s="80" t="s">
        <v>75</v>
      </c>
      <c r="M16" s="80" t="s">
        <v>12</v>
      </c>
      <c r="N16" s="80" t="s">
        <v>11</v>
      </c>
      <c r="O16" s="80" t="s">
        <v>13</v>
      </c>
      <c r="P16" s="80" t="s">
        <v>14</v>
      </c>
      <c r="Q16" s="80" t="s">
        <v>75</v>
      </c>
      <c r="R16" s="80" t="s">
        <v>12</v>
      </c>
      <c r="S16" s="80" t="s">
        <v>11</v>
      </c>
      <c r="T16" s="80" t="s">
        <v>13</v>
      </c>
      <c r="U16" s="82" t="s">
        <v>14</v>
      </c>
    </row>
    <row r="17" spans="1:21" ht="15.75" x14ac:dyDescent="0.25">
      <c r="A17" s="83" t="s">
        <v>93</v>
      </c>
      <c r="B17" s="80" t="s">
        <v>77</v>
      </c>
      <c r="C17" s="80" t="s">
        <v>78</v>
      </c>
      <c r="D17" s="80">
        <v>3</v>
      </c>
      <c r="E17" s="80">
        <f>skilled</f>
        <v>1200</v>
      </c>
      <c r="F17" s="84">
        <f>(D17*E17)</f>
        <v>3600</v>
      </c>
      <c r="G17" s="80" t="s">
        <v>94</v>
      </c>
      <c r="H17" s="81" t="s">
        <v>34</v>
      </c>
      <c r="I17" s="80">
        <v>6</v>
      </c>
      <c r="J17" s="85">
        <v>2469.6</v>
      </c>
      <c r="K17" s="80">
        <f>(I17*J17)</f>
        <v>14817.599999999999</v>
      </c>
      <c r="L17" s="86"/>
      <c r="M17" s="86"/>
      <c r="N17" s="86"/>
      <c r="O17" s="86"/>
      <c r="P17" s="86"/>
      <c r="Q17" s="86"/>
      <c r="R17" s="86"/>
      <c r="S17" s="86"/>
      <c r="T17" s="86"/>
      <c r="U17" s="87"/>
    </row>
    <row r="18" spans="1:21" ht="15.75" x14ac:dyDescent="0.25">
      <c r="A18" s="86"/>
      <c r="B18" s="80" t="s">
        <v>81</v>
      </c>
      <c r="C18" s="80" t="s">
        <v>78</v>
      </c>
      <c r="D18" s="80">
        <v>4</v>
      </c>
      <c r="E18" s="80">
        <f>unskilled</f>
        <v>900</v>
      </c>
      <c r="F18" s="84">
        <f>(D18*E18)</f>
        <v>3600</v>
      </c>
      <c r="G18" s="80"/>
      <c r="H18" s="81"/>
      <c r="I18" s="80">
        <v>0</v>
      </c>
      <c r="J18" s="86"/>
      <c r="K18" s="86"/>
      <c r="L18" s="86"/>
      <c r="M18" s="86"/>
      <c r="N18" s="86"/>
      <c r="O18" s="86"/>
      <c r="P18" s="86"/>
      <c r="Q18" s="86"/>
      <c r="R18" s="86"/>
      <c r="S18" s="86"/>
      <c r="T18" s="86"/>
      <c r="U18" s="87"/>
    </row>
    <row r="19" spans="1:21" ht="15.75" x14ac:dyDescent="0.25">
      <c r="A19" s="129" t="s">
        <v>82</v>
      </c>
      <c r="B19" s="130"/>
      <c r="C19" s="130"/>
      <c r="D19" s="130"/>
      <c r="E19" s="131"/>
      <c r="F19" s="84">
        <f>SUM(F16:F18)</f>
        <v>7200</v>
      </c>
      <c r="G19" s="129" t="s">
        <v>83</v>
      </c>
      <c r="H19" s="130"/>
      <c r="I19" s="130"/>
      <c r="J19" s="131"/>
      <c r="K19" s="84">
        <f>SUM(K16:K18)</f>
        <v>14817.599999999999</v>
      </c>
      <c r="L19" s="129" t="s">
        <v>84</v>
      </c>
      <c r="M19" s="130"/>
      <c r="N19" s="130"/>
      <c r="O19" s="131"/>
      <c r="P19" s="84">
        <f>SUM(P16:P18)</f>
        <v>0</v>
      </c>
      <c r="Q19" s="129" t="s">
        <v>85</v>
      </c>
      <c r="R19" s="130"/>
      <c r="S19" s="130"/>
      <c r="T19" s="131"/>
      <c r="U19" s="88">
        <f>SUM(U16:U18)</f>
        <v>0</v>
      </c>
    </row>
    <row r="20" spans="1:21" ht="15.75" x14ac:dyDescent="0.25">
      <c r="A20" s="129" t="s">
        <v>86</v>
      </c>
      <c r="B20" s="130"/>
      <c r="C20" s="130"/>
      <c r="D20" s="130"/>
      <c r="E20" s="131"/>
      <c r="F20" s="84">
        <f>SUM(F19+K19+P19)</f>
        <v>22017.599999999999</v>
      </c>
      <c r="G20" s="129" t="s">
        <v>87</v>
      </c>
      <c r="H20" s="130"/>
      <c r="I20" s="130"/>
      <c r="J20" s="131"/>
      <c r="K20" s="84">
        <f>SUM(F19+K19+P19+U19)</f>
        <v>22017.599999999999</v>
      </c>
      <c r="L20" s="129" t="s">
        <v>88</v>
      </c>
      <c r="M20" s="130"/>
      <c r="N20" s="130"/>
      <c r="O20" s="131"/>
      <c r="P20" s="84">
        <f>SUM(K20*0.15)</f>
        <v>3302.64</v>
      </c>
      <c r="Q20" s="129" t="s">
        <v>89</v>
      </c>
      <c r="R20" s="130"/>
      <c r="S20" s="130"/>
      <c r="T20" s="131"/>
      <c r="U20" s="88">
        <f>SUM(K20+P20)</f>
        <v>25320.239999999998</v>
      </c>
    </row>
    <row r="21" spans="1:21" ht="15.75" x14ac:dyDescent="0.25">
      <c r="A21" s="86"/>
      <c r="B21" s="86"/>
      <c r="C21" s="86"/>
      <c r="D21" s="86"/>
      <c r="E21" s="86"/>
      <c r="F21" s="86"/>
      <c r="G21" s="86"/>
      <c r="H21" s="89"/>
      <c r="I21" s="86"/>
      <c r="J21" s="86"/>
      <c r="K21" s="86"/>
      <c r="L21" s="86"/>
      <c r="M21" s="86"/>
      <c r="N21" s="86"/>
      <c r="O21" s="86"/>
      <c r="P21" s="86"/>
      <c r="Q21" s="129" t="s">
        <v>90</v>
      </c>
      <c r="R21" s="130"/>
      <c r="S21" s="130"/>
      <c r="T21" s="131"/>
      <c r="U21" s="90">
        <f>ROUND((U20/5),2)</f>
        <v>5064.05</v>
      </c>
    </row>
    <row r="22" spans="1:21" ht="15.75" x14ac:dyDescent="0.25">
      <c r="A22" s="86"/>
      <c r="B22" s="86"/>
      <c r="C22" s="86"/>
      <c r="D22" s="86"/>
      <c r="E22" s="86"/>
      <c r="F22" s="86"/>
      <c r="G22" s="86"/>
      <c r="H22" s="89"/>
      <c r="I22" s="86"/>
      <c r="J22" s="86"/>
      <c r="K22" s="86"/>
      <c r="L22" s="86"/>
      <c r="M22" s="86"/>
      <c r="N22" s="86"/>
      <c r="O22" s="86"/>
      <c r="P22" s="86"/>
      <c r="Q22" s="91"/>
      <c r="R22" s="92"/>
      <c r="S22" s="92"/>
      <c r="T22" s="93"/>
      <c r="U22" s="90"/>
    </row>
    <row r="24" spans="1:21" x14ac:dyDescent="0.25">
      <c r="A24" s="126" t="s">
        <v>67</v>
      </c>
      <c r="B24" s="126"/>
      <c r="C24" s="127" t="s">
        <v>42</v>
      </c>
      <c r="D24" s="127"/>
      <c r="E24" s="127"/>
      <c r="F24" s="127"/>
      <c r="G24" s="127"/>
      <c r="H24" s="127"/>
      <c r="I24" s="127"/>
      <c r="J24" s="127"/>
      <c r="K24" s="127"/>
      <c r="L24" s="127"/>
      <c r="M24" s="127"/>
      <c r="N24" s="127"/>
      <c r="O24" s="127"/>
      <c r="P24" s="127"/>
      <c r="Q24" s="127"/>
      <c r="R24" s="127"/>
      <c r="S24" s="127"/>
      <c r="T24" s="127"/>
      <c r="U24" s="122" t="s">
        <v>95</v>
      </c>
    </row>
    <row r="25" spans="1:21" x14ac:dyDescent="0.25">
      <c r="A25" s="126"/>
      <c r="B25" s="126"/>
      <c r="C25" s="127"/>
      <c r="D25" s="127"/>
      <c r="E25" s="127"/>
      <c r="F25" s="127"/>
      <c r="G25" s="127"/>
      <c r="H25" s="127"/>
      <c r="I25" s="127"/>
      <c r="J25" s="127"/>
      <c r="K25" s="127"/>
      <c r="L25" s="127"/>
      <c r="M25" s="127"/>
      <c r="N25" s="127"/>
      <c r="O25" s="127"/>
      <c r="P25" s="127"/>
      <c r="Q25" s="127"/>
      <c r="R25" s="127"/>
      <c r="S25" s="127"/>
      <c r="T25" s="127"/>
      <c r="U25" s="122"/>
    </row>
    <row r="26" spans="1:21" ht="15.75" x14ac:dyDescent="0.25">
      <c r="A26" s="123" t="s">
        <v>96</v>
      </c>
      <c r="B26" s="123"/>
      <c r="C26" s="127"/>
      <c r="D26" s="127"/>
      <c r="E26" s="127"/>
      <c r="F26" s="127"/>
      <c r="G26" s="127"/>
      <c r="H26" s="127"/>
      <c r="I26" s="127"/>
      <c r="J26" s="127"/>
      <c r="K26" s="127"/>
      <c r="L26" s="127"/>
      <c r="M26" s="127"/>
      <c r="N26" s="127"/>
      <c r="O26" s="127"/>
      <c r="P26" s="127"/>
      <c r="Q26" s="127"/>
      <c r="R26" s="127"/>
      <c r="S26" s="127"/>
      <c r="T26" s="127"/>
      <c r="U26" s="122"/>
    </row>
    <row r="27" spans="1:21" ht="15.75" x14ac:dyDescent="0.25">
      <c r="A27" s="124" t="s">
        <v>70</v>
      </c>
      <c r="B27" s="125" t="s">
        <v>71</v>
      </c>
      <c r="C27" s="125"/>
      <c r="D27" s="125"/>
      <c r="E27" s="125"/>
      <c r="F27" s="125"/>
      <c r="G27" s="125" t="s">
        <v>72</v>
      </c>
      <c r="H27" s="125"/>
      <c r="I27" s="125"/>
      <c r="J27" s="125"/>
      <c r="K27" s="125"/>
      <c r="L27" s="125" t="s">
        <v>73</v>
      </c>
      <c r="M27" s="125"/>
      <c r="N27" s="125"/>
      <c r="O27" s="125"/>
      <c r="P27" s="125"/>
      <c r="Q27" s="125" t="s">
        <v>74</v>
      </c>
      <c r="R27" s="125"/>
      <c r="S27" s="125"/>
      <c r="T27" s="125"/>
      <c r="U27" s="125"/>
    </row>
    <row r="28" spans="1:21" ht="15.75" x14ac:dyDescent="0.25">
      <c r="A28" s="124"/>
      <c r="B28" s="63" t="s">
        <v>75</v>
      </c>
      <c r="C28" s="63" t="s">
        <v>12</v>
      </c>
      <c r="D28" s="63" t="s">
        <v>11</v>
      </c>
      <c r="E28" s="63" t="s">
        <v>13</v>
      </c>
      <c r="F28" s="63" t="s">
        <v>14</v>
      </c>
      <c r="G28" s="63" t="s">
        <v>75</v>
      </c>
      <c r="H28" s="64" t="s">
        <v>12</v>
      </c>
      <c r="I28" s="63" t="s">
        <v>11</v>
      </c>
      <c r="J28" s="63" t="s">
        <v>13</v>
      </c>
      <c r="K28" s="63" t="s">
        <v>14</v>
      </c>
      <c r="L28" s="63" t="s">
        <v>75</v>
      </c>
      <c r="M28" s="63" t="s">
        <v>12</v>
      </c>
      <c r="N28" s="63" t="s">
        <v>11</v>
      </c>
      <c r="O28" s="63" t="s">
        <v>13</v>
      </c>
      <c r="P28" s="63" t="s">
        <v>14</v>
      </c>
      <c r="Q28" s="63" t="s">
        <v>75</v>
      </c>
      <c r="R28" s="63" t="s">
        <v>12</v>
      </c>
      <c r="S28" s="63" t="s">
        <v>11</v>
      </c>
      <c r="T28" s="63" t="s">
        <v>13</v>
      </c>
      <c r="U28" s="65" t="s">
        <v>14</v>
      </c>
    </row>
    <row r="29" spans="1:21" ht="173.25" x14ac:dyDescent="0.25">
      <c r="A29" s="66" t="s">
        <v>97</v>
      </c>
      <c r="B29" s="63" t="s">
        <v>77</v>
      </c>
      <c r="C29" s="63" t="s">
        <v>78</v>
      </c>
      <c r="D29" s="63">
        <v>3</v>
      </c>
      <c r="E29" s="63">
        <f>skilled</f>
        <v>1200</v>
      </c>
      <c r="F29" s="67">
        <f>(D29*E29)</f>
        <v>3600</v>
      </c>
      <c r="G29" s="63" t="s">
        <v>60</v>
      </c>
      <c r="H29" s="64" t="s">
        <v>45</v>
      </c>
      <c r="I29" s="63">
        <v>4.13</v>
      </c>
      <c r="J29" s="63">
        <f>adopted_rate_cement</f>
        <v>14231</v>
      </c>
      <c r="K29" s="63">
        <f t="shared" ref="K29:K34" si="0">(I29*J29)</f>
        <v>58774.03</v>
      </c>
      <c r="L29" s="63" t="s">
        <v>98</v>
      </c>
      <c r="M29" s="63" t="s">
        <v>80</v>
      </c>
      <c r="N29" s="63">
        <v>6</v>
      </c>
      <c r="O29" s="63">
        <f>concrete_mixer</f>
        <v>293</v>
      </c>
      <c r="P29" s="67">
        <f>(N29*O29)</f>
        <v>1758</v>
      </c>
      <c r="Q29" s="63" t="s">
        <v>99</v>
      </c>
      <c r="R29" s="63"/>
      <c r="S29" s="57"/>
      <c r="T29" s="57"/>
      <c r="U29" s="68">
        <f>F36*4/100</f>
        <v>6419.06664</v>
      </c>
    </row>
    <row r="30" spans="1:21" ht="31.5" x14ac:dyDescent="0.25">
      <c r="A30" s="57"/>
      <c r="B30" s="63" t="s">
        <v>81</v>
      </c>
      <c r="C30" s="63" t="s">
        <v>78</v>
      </c>
      <c r="D30" s="63">
        <v>30</v>
      </c>
      <c r="E30" s="63">
        <f>unskilled</f>
        <v>900</v>
      </c>
      <c r="F30" s="67">
        <f>(D30*E30)</f>
        <v>27000</v>
      </c>
      <c r="G30" s="63" t="s">
        <v>100</v>
      </c>
      <c r="H30" s="64" t="s">
        <v>34</v>
      </c>
      <c r="I30" s="63">
        <v>6.75</v>
      </c>
      <c r="J30" s="63">
        <f>adopted_rate_sand</f>
        <v>2504.88</v>
      </c>
      <c r="K30" s="63">
        <f t="shared" si="0"/>
        <v>16907.940000000002</v>
      </c>
      <c r="L30" s="63" t="s">
        <v>101</v>
      </c>
      <c r="M30" s="63" t="s">
        <v>80</v>
      </c>
      <c r="N30" s="63">
        <v>6</v>
      </c>
      <c r="O30" s="63">
        <f>generator</f>
        <v>841</v>
      </c>
      <c r="P30" s="67">
        <f>(N30*O30)</f>
        <v>5046</v>
      </c>
      <c r="Q30" s="57"/>
      <c r="R30" s="57"/>
      <c r="S30" s="57"/>
      <c r="T30" s="57"/>
      <c r="U30" s="56"/>
    </row>
    <row r="31" spans="1:21" ht="31.5" x14ac:dyDescent="0.25">
      <c r="A31" s="57"/>
      <c r="B31" s="57"/>
      <c r="C31" s="57"/>
      <c r="D31" s="57"/>
      <c r="E31" s="57"/>
      <c r="F31" s="57"/>
      <c r="G31" s="63" t="s">
        <v>102</v>
      </c>
      <c r="H31" s="64" t="s">
        <v>34</v>
      </c>
      <c r="I31" s="63">
        <v>8.1</v>
      </c>
      <c r="J31" s="63">
        <f>adopted_rate_aggregate_20_40_mm</f>
        <v>3457.44</v>
      </c>
      <c r="K31" s="63">
        <f t="shared" si="0"/>
        <v>28005.263999999999</v>
      </c>
      <c r="L31" s="57"/>
      <c r="M31" s="57"/>
      <c r="N31" s="57"/>
      <c r="O31" s="57"/>
      <c r="P31" s="57"/>
      <c r="Q31" s="57"/>
      <c r="R31" s="57"/>
      <c r="S31" s="57"/>
      <c r="T31" s="57"/>
      <c r="U31" s="56"/>
    </row>
    <row r="32" spans="1:21" ht="31.5" x14ac:dyDescent="0.25">
      <c r="A32" s="57"/>
      <c r="B32" s="57"/>
      <c r="C32" s="57"/>
      <c r="D32" s="57"/>
      <c r="E32" s="57"/>
      <c r="F32" s="57"/>
      <c r="G32" s="63" t="s">
        <v>103</v>
      </c>
      <c r="H32" s="64" t="s">
        <v>34</v>
      </c>
      <c r="I32" s="63">
        <v>4.05</v>
      </c>
      <c r="J32" s="63">
        <f>adopted_rate_aggregate_10_20_mm</f>
        <v>3598.56</v>
      </c>
      <c r="K32" s="63">
        <f t="shared" si="0"/>
        <v>14574.168</v>
      </c>
      <c r="L32" s="57"/>
      <c r="M32" s="57"/>
      <c r="N32" s="57"/>
      <c r="O32" s="57"/>
      <c r="P32" s="57"/>
      <c r="Q32" s="57"/>
      <c r="R32" s="57"/>
      <c r="S32" s="57"/>
      <c r="T32" s="57"/>
      <c r="U32" s="56"/>
    </row>
    <row r="33" spans="1:21" ht="31.5" x14ac:dyDescent="0.25">
      <c r="A33" s="57"/>
      <c r="B33" s="57"/>
      <c r="C33" s="57"/>
      <c r="D33" s="57"/>
      <c r="E33" s="57"/>
      <c r="F33" s="57"/>
      <c r="G33" s="63" t="s">
        <v>104</v>
      </c>
      <c r="H33" s="64" t="s">
        <v>34</v>
      </c>
      <c r="I33" s="63">
        <v>1.35</v>
      </c>
      <c r="J33" s="63">
        <f>adopted_rate_aggregate_10_mm</f>
        <v>3104.6400000000003</v>
      </c>
      <c r="K33" s="63">
        <f t="shared" si="0"/>
        <v>4191.264000000001</v>
      </c>
      <c r="L33" s="57"/>
      <c r="M33" s="57"/>
      <c r="N33" s="57"/>
      <c r="O33" s="57"/>
      <c r="P33" s="57"/>
      <c r="Q33" s="57"/>
      <c r="R33" s="57"/>
      <c r="S33" s="57"/>
      <c r="T33" s="57"/>
      <c r="U33" s="56"/>
    </row>
    <row r="34" spans="1:21" ht="15.75" x14ac:dyDescent="0.25">
      <c r="A34" s="57"/>
      <c r="B34" s="57"/>
      <c r="C34" s="57"/>
      <c r="D34" s="57"/>
      <c r="E34" s="57"/>
      <c r="F34" s="57"/>
      <c r="G34" s="63" t="s">
        <v>105</v>
      </c>
      <c r="H34" s="64" t="s">
        <v>106</v>
      </c>
      <c r="I34" s="63">
        <v>2</v>
      </c>
      <c r="J34" s="63">
        <f>adopted_rate_water</f>
        <v>310</v>
      </c>
      <c r="K34" s="63">
        <f t="shared" si="0"/>
        <v>620</v>
      </c>
      <c r="L34" s="57"/>
      <c r="M34" s="57"/>
      <c r="N34" s="57"/>
      <c r="O34" s="57"/>
      <c r="P34" s="57"/>
      <c r="Q34" s="57"/>
      <c r="R34" s="57"/>
      <c r="S34" s="57"/>
      <c r="T34" s="57"/>
      <c r="U34" s="56"/>
    </row>
    <row r="35" spans="1:21" ht="15.75" x14ac:dyDescent="0.25">
      <c r="A35" s="121" t="s">
        <v>82</v>
      </c>
      <c r="B35" s="121"/>
      <c r="C35" s="121"/>
      <c r="D35" s="121"/>
      <c r="E35" s="121"/>
      <c r="F35" s="67">
        <f>SUM(F28:F34)</f>
        <v>30600</v>
      </c>
      <c r="G35" s="121" t="s">
        <v>83</v>
      </c>
      <c r="H35" s="121"/>
      <c r="I35" s="121"/>
      <c r="J35" s="121"/>
      <c r="K35" s="67">
        <f>SUM(K28:K34)</f>
        <v>123072.666</v>
      </c>
      <c r="L35" s="121" t="s">
        <v>84</v>
      </c>
      <c r="M35" s="121"/>
      <c r="N35" s="121"/>
      <c r="O35" s="121"/>
      <c r="P35" s="67">
        <f>SUM(P28:P34)</f>
        <v>6804</v>
      </c>
      <c r="Q35" s="121" t="s">
        <v>85</v>
      </c>
      <c r="R35" s="121"/>
      <c r="S35" s="121"/>
      <c r="T35" s="121"/>
      <c r="U35" s="68">
        <f>SUM(U28:U34)</f>
        <v>6419.06664</v>
      </c>
    </row>
    <row r="36" spans="1:21" ht="15.75" x14ac:dyDescent="0.25">
      <c r="A36" s="121" t="s">
        <v>86</v>
      </c>
      <c r="B36" s="121"/>
      <c r="C36" s="121"/>
      <c r="D36" s="121"/>
      <c r="E36" s="121"/>
      <c r="F36" s="67">
        <f>SUM(F35+K35+P35)</f>
        <v>160476.666</v>
      </c>
      <c r="G36" s="121" t="s">
        <v>87</v>
      </c>
      <c r="H36" s="121"/>
      <c r="I36" s="121"/>
      <c r="J36" s="121"/>
      <c r="K36" s="67">
        <f>SUM(F35+K35+P35+U35)</f>
        <v>166895.73264</v>
      </c>
      <c r="L36" s="121" t="s">
        <v>88</v>
      </c>
      <c r="M36" s="121"/>
      <c r="N36" s="121"/>
      <c r="O36" s="121"/>
      <c r="P36" s="67">
        <f>SUM(K36*0.15)</f>
        <v>25034.359895999998</v>
      </c>
      <c r="Q36" s="121" t="s">
        <v>89</v>
      </c>
      <c r="R36" s="121"/>
      <c r="S36" s="121"/>
      <c r="T36" s="121"/>
      <c r="U36" s="68">
        <f>SUM(K36+P36)</f>
        <v>191930.09253600001</v>
      </c>
    </row>
    <row r="37" spans="1:21" ht="15.75" x14ac:dyDescent="0.25">
      <c r="A37" s="57"/>
      <c r="B37" s="57"/>
      <c r="C37" s="57"/>
      <c r="D37" s="57"/>
      <c r="E37" s="57"/>
      <c r="F37" s="57"/>
      <c r="G37" s="57"/>
      <c r="H37" s="58"/>
      <c r="I37" s="57"/>
      <c r="J37" s="57"/>
      <c r="K37" s="57"/>
      <c r="L37" s="57"/>
      <c r="M37" s="57"/>
      <c r="N37" s="57"/>
      <c r="O37" s="57"/>
      <c r="P37" s="57"/>
      <c r="Q37" s="121" t="s">
        <v>90</v>
      </c>
      <c r="R37" s="121"/>
      <c r="S37" s="121"/>
      <c r="T37" s="121"/>
      <c r="U37" s="69">
        <f>ROUND((U36/15),2)</f>
        <v>12795.34</v>
      </c>
    </row>
    <row r="38" spans="1:21" ht="15.75" x14ac:dyDescent="0.25">
      <c r="A38" s="128"/>
      <c r="B38" s="128"/>
      <c r="C38" s="128"/>
      <c r="D38" s="128"/>
      <c r="E38" s="128"/>
      <c r="F38" s="128"/>
      <c r="G38" s="128"/>
      <c r="H38" s="128"/>
      <c r="I38" s="128"/>
      <c r="J38" s="128"/>
      <c r="K38" s="128"/>
      <c r="L38" s="128"/>
      <c r="M38" s="128"/>
      <c r="N38" s="128"/>
      <c r="O38" s="128"/>
      <c r="P38" s="128"/>
      <c r="Q38" s="128"/>
      <c r="R38" s="128"/>
      <c r="S38" s="128"/>
      <c r="T38" s="128"/>
      <c r="U38" s="128"/>
    </row>
    <row r="40" spans="1:21" x14ac:dyDescent="0.25">
      <c r="A40" s="126" t="s">
        <v>67</v>
      </c>
      <c r="B40" s="126"/>
      <c r="C40" s="127" t="s">
        <v>43</v>
      </c>
      <c r="D40" s="127"/>
      <c r="E40" s="127"/>
      <c r="F40" s="127"/>
      <c r="G40" s="127"/>
      <c r="H40" s="127"/>
      <c r="I40" s="127"/>
      <c r="J40" s="127"/>
      <c r="K40" s="127"/>
      <c r="L40" s="127"/>
      <c r="M40" s="127"/>
      <c r="N40" s="127"/>
      <c r="O40" s="127"/>
      <c r="P40" s="127"/>
      <c r="Q40" s="127"/>
      <c r="R40" s="127"/>
      <c r="S40" s="127"/>
      <c r="T40" s="127"/>
      <c r="U40" s="122" t="s">
        <v>95</v>
      </c>
    </row>
    <row r="41" spans="1:21" x14ac:dyDescent="0.25">
      <c r="A41" s="126"/>
      <c r="B41" s="126"/>
      <c r="C41" s="127"/>
      <c r="D41" s="127"/>
      <c r="E41" s="127"/>
      <c r="F41" s="127"/>
      <c r="G41" s="127"/>
      <c r="H41" s="127"/>
      <c r="I41" s="127"/>
      <c r="J41" s="127"/>
      <c r="K41" s="127"/>
      <c r="L41" s="127"/>
      <c r="M41" s="127"/>
      <c r="N41" s="127"/>
      <c r="O41" s="127"/>
      <c r="P41" s="127"/>
      <c r="Q41" s="127"/>
      <c r="R41" s="127"/>
      <c r="S41" s="127"/>
      <c r="T41" s="127"/>
      <c r="U41" s="122"/>
    </row>
    <row r="42" spans="1:21" ht="15.75" x14ac:dyDescent="0.25">
      <c r="A42" s="123" t="s">
        <v>96</v>
      </c>
      <c r="B42" s="123"/>
      <c r="C42" s="127"/>
      <c r="D42" s="127"/>
      <c r="E42" s="127"/>
      <c r="F42" s="127"/>
      <c r="G42" s="127"/>
      <c r="H42" s="127"/>
      <c r="I42" s="127"/>
      <c r="J42" s="127"/>
      <c r="K42" s="127"/>
      <c r="L42" s="127"/>
      <c r="M42" s="127"/>
      <c r="N42" s="127"/>
      <c r="O42" s="127"/>
      <c r="P42" s="127"/>
      <c r="Q42" s="127"/>
      <c r="R42" s="127"/>
      <c r="S42" s="127"/>
      <c r="T42" s="127"/>
      <c r="U42" s="122"/>
    </row>
    <row r="43" spans="1:21" ht="15.75" x14ac:dyDescent="0.25">
      <c r="A43" s="124" t="s">
        <v>70</v>
      </c>
      <c r="B43" s="125" t="s">
        <v>71</v>
      </c>
      <c r="C43" s="125"/>
      <c r="D43" s="125"/>
      <c r="E43" s="125"/>
      <c r="F43" s="125"/>
      <c r="G43" s="125" t="s">
        <v>72</v>
      </c>
      <c r="H43" s="125"/>
      <c r="I43" s="125"/>
      <c r="J43" s="125"/>
      <c r="K43" s="125"/>
      <c r="L43" s="125" t="s">
        <v>73</v>
      </c>
      <c r="M43" s="125"/>
      <c r="N43" s="125"/>
      <c r="O43" s="125"/>
      <c r="P43" s="125"/>
      <c r="Q43" s="125" t="s">
        <v>74</v>
      </c>
      <c r="R43" s="125"/>
      <c r="S43" s="125"/>
      <c r="T43" s="125"/>
      <c r="U43" s="125"/>
    </row>
    <row r="44" spans="1:21" ht="15.75" x14ac:dyDescent="0.25">
      <c r="A44" s="124"/>
      <c r="B44" s="63" t="s">
        <v>75</v>
      </c>
      <c r="C44" s="63" t="s">
        <v>12</v>
      </c>
      <c r="D44" s="63" t="s">
        <v>11</v>
      </c>
      <c r="E44" s="63" t="s">
        <v>13</v>
      </c>
      <c r="F44" s="63" t="s">
        <v>14</v>
      </c>
      <c r="G44" s="63" t="s">
        <v>75</v>
      </c>
      <c r="H44" s="64" t="s">
        <v>12</v>
      </c>
      <c r="I44" s="63" t="s">
        <v>11</v>
      </c>
      <c r="J44" s="63" t="s">
        <v>13</v>
      </c>
      <c r="K44" s="63" t="s">
        <v>14</v>
      </c>
      <c r="L44" s="63" t="s">
        <v>75</v>
      </c>
      <c r="M44" s="63" t="s">
        <v>12</v>
      </c>
      <c r="N44" s="63" t="s">
        <v>11</v>
      </c>
      <c r="O44" s="63" t="s">
        <v>13</v>
      </c>
      <c r="P44" s="63" t="s">
        <v>14</v>
      </c>
      <c r="Q44" s="63" t="s">
        <v>75</v>
      </c>
      <c r="R44" s="63" t="s">
        <v>12</v>
      </c>
      <c r="S44" s="63" t="s">
        <v>11</v>
      </c>
      <c r="T44" s="63" t="s">
        <v>13</v>
      </c>
      <c r="U44" s="65" t="s">
        <v>14</v>
      </c>
    </row>
    <row r="45" spans="1:21" ht="47.25" x14ac:dyDescent="0.25">
      <c r="A45" s="66" t="s">
        <v>107</v>
      </c>
      <c r="B45" s="63" t="s">
        <v>77</v>
      </c>
      <c r="C45" s="63" t="s">
        <v>78</v>
      </c>
      <c r="D45" s="63">
        <v>3</v>
      </c>
      <c r="E45" s="63">
        <f>skilled</f>
        <v>1200</v>
      </c>
      <c r="F45" s="67">
        <f>(D45*E45)</f>
        <v>3600</v>
      </c>
      <c r="G45" s="63" t="s">
        <v>60</v>
      </c>
      <c r="H45" s="64" t="s">
        <v>45</v>
      </c>
      <c r="I45" s="63">
        <v>5.21</v>
      </c>
      <c r="J45" s="63">
        <f>adopted_rate_cement</f>
        <v>14231</v>
      </c>
      <c r="K45" s="63">
        <f>(I45*J45)</f>
        <v>74143.509999999995</v>
      </c>
      <c r="L45" s="63" t="s">
        <v>98</v>
      </c>
      <c r="M45" s="63" t="s">
        <v>80</v>
      </c>
      <c r="N45" s="63">
        <v>6</v>
      </c>
      <c r="O45" s="63">
        <f>concrete_mixer</f>
        <v>293</v>
      </c>
      <c r="P45" s="67">
        <f>(N45*O45)</f>
        <v>1758</v>
      </c>
      <c r="Q45" s="63" t="s">
        <v>108</v>
      </c>
      <c r="R45" s="63"/>
      <c r="S45" s="57"/>
      <c r="T45" s="57"/>
      <c r="U45" s="68">
        <f>F51*4/100</f>
        <v>7005.7536799999998</v>
      </c>
    </row>
    <row r="46" spans="1:21" ht="31.5" x14ac:dyDescent="0.25">
      <c r="A46" s="57"/>
      <c r="B46" s="63" t="s">
        <v>81</v>
      </c>
      <c r="C46" s="63" t="s">
        <v>78</v>
      </c>
      <c r="D46" s="63">
        <v>30</v>
      </c>
      <c r="E46" s="63">
        <f>unskilled</f>
        <v>900</v>
      </c>
      <c r="F46" s="67">
        <f>(D46*E46)</f>
        <v>27000</v>
      </c>
      <c r="G46" s="63" t="s">
        <v>100</v>
      </c>
      <c r="H46" s="64" t="s">
        <v>34</v>
      </c>
      <c r="I46" s="63">
        <v>6.75</v>
      </c>
      <c r="J46" s="63">
        <f>adopted_rate_sand</f>
        <v>2504.88</v>
      </c>
      <c r="K46" s="63">
        <f>(I46*J46)</f>
        <v>16907.940000000002</v>
      </c>
      <c r="L46" s="63" t="s">
        <v>101</v>
      </c>
      <c r="M46" s="63" t="s">
        <v>80</v>
      </c>
      <c r="N46" s="63">
        <v>6</v>
      </c>
      <c r="O46" s="63">
        <f>generator</f>
        <v>841</v>
      </c>
      <c r="P46" s="67">
        <f>(N46*O46)</f>
        <v>5046</v>
      </c>
      <c r="Q46" s="57"/>
      <c r="R46" s="57"/>
      <c r="S46" s="57"/>
      <c r="T46" s="57"/>
      <c r="U46" s="56"/>
    </row>
    <row r="47" spans="1:21" ht="31.5" x14ac:dyDescent="0.25">
      <c r="A47" s="57"/>
      <c r="B47" s="57"/>
      <c r="C47" s="57"/>
      <c r="D47" s="57"/>
      <c r="E47" s="57"/>
      <c r="F47" s="57"/>
      <c r="G47" s="63" t="s">
        <v>103</v>
      </c>
      <c r="H47" s="64" t="s">
        <v>34</v>
      </c>
      <c r="I47" s="63">
        <v>8.1</v>
      </c>
      <c r="J47" s="63">
        <f>adopted_rate_aggregate_10_20_mm</f>
        <v>3598.56</v>
      </c>
      <c r="K47" s="63">
        <f>(I47*J47)</f>
        <v>29148.335999999999</v>
      </c>
      <c r="L47" s="57"/>
      <c r="M47" s="57"/>
      <c r="N47" s="57"/>
      <c r="O47" s="57"/>
      <c r="P47" s="57"/>
      <c r="Q47" s="57"/>
      <c r="R47" s="57"/>
      <c r="S47" s="57"/>
      <c r="T47" s="57"/>
      <c r="U47" s="56"/>
    </row>
    <row r="48" spans="1:21" ht="31.5" x14ac:dyDescent="0.25">
      <c r="A48" s="57"/>
      <c r="B48" s="57"/>
      <c r="C48" s="57"/>
      <c r="D48" s="57"/>
      <c r="E48" s="57"/>
      <c r="F48" s="57"/>
      <c r="G48" s="63" t="s">
        <v>104</v>
      </c>
      <c r="H48" s="64" t="s">
        <v>34</v>
      </c>
      <c r="I48" s="63">
        <v>5.4</v>
      </c>
      <c r="J48" s="63">
        <f>adopted_rate_aggregate_10_mm</f>
        <v>3104.6400000000003</v>
      </c>
      <c r="K48" s="63">
        <f>(I48*J48)</f>
        <v>16765.056000000004</v>
      </c>
      <c r="L48" s="57"/>
      <c r="M48" s="57"/>
      <c r="N48" s="57"/>
      <c r="O48" s="57"/>
      <c r="P48" s="57"/>
      <c r="Q48" s="57"/>
      <c r="R48" s="57"/>
      <c r="S48" s="57"/>
      <c r="T48" s="57"/>
      <c r="U48" s="56"/>
    </row>
    <row r="49" spans="1:21" ht="15.75" x14ac:dyDescent="0.25">
      <c r="A49" s="57"/>
      <c r="B49" s="57"/>
      <c r="C49" s="57"/>
      <c r="D49" s="57"/>
      <c r="E49" s="57"/>
      <c r="F49" s="57"/>
      <c r="G49" s="63" t="s">
        <v>105</v>
      </c>
      <c r="H49" s="64" t="s">
        <v>106</v>
      </c>
      <c r="I49" s="63">
        <v>2.5</v>
      </c>
      <c r="J49" s="63">
        <f>adopted_rate_water</f>
        <v>310</v>
      </c>
      <c r="K49" s="63">
        <f>(I49*J49)</f>
        <v>775</v>
      </c>
      <c r="L49" s="57"/>
      <c r="M49" s="57"/>
      <c r="N49" s="57"/>
      <c r="O49" s="57"/>
      <c r="P49" s="57"/>
      <c r="Q49" s="57"/>
      <c r="R49" s="57"/>
      <c r="S49" s="57"/>
      <c r="T49" s="57"/>
      <c r="U49" s="56"/>
    </row>
    <row r="50" spans="1:21" ht="15.75" x14ac:dyDescent="0.25">
      <c r="A50" s="121" t="s">
        <v>82</v>
      </c>
      <c r="B50" s="121"/>
      <c r="C50" s="121"/>
      <c r="D50" s="121"/>
      <c r="E50" s="121"/>
      <c r="F50" s="67">
        <f>SUM(F44:F49)</f>
        <v>30600</v>
      </c>
      <c r="G50" s="121" t="s">
        <v>83</v>
      </c>
      <c r="H50" s="121"/>
      <c r="I50" s="121"/>
      <c r="J50" s="121"/>
      <c r="K50" s="67">
        <f>SUM(K44:K49)</f>
        <v>137739.842</v>
      </c>
      <c r="L50" s="121" t="s">
        <v>84</v>
      </c>
      <c r="M50" s="121"/>
      <c r="N50" s="121"/>
      <c r="O50" s="121"/>
      <c r="P50" s="67">
        <f>SUM(P44:P49)</f>
        <v>6804</v>
      </c>
      <c r="Q50" s="121" t="s">
        <v>85</v>
      </c>
      <c r="R50" s="121"/>
      <c r="S50" s="121"/>
      <c r="T50" s="121"/>
      <c r="U50" s="68">
        <f>SUM(U44:U49)</f>
        <v>7005.7536799999998</v>
      </c>
    </row>
    <row r="51" spans="1:21" ht="15.75" x14ac:dyDescent="0.25">
      <c r="A51" s="121" t="s">
        <v>86</v>
      </c>
      <c r="B51" s="121"/>
      <c r="C51" s="121"/>
      <c r="D51" s="121"/>
      <c r="E51" s="121"/>
      <c r="F51" s="67">
        <f>SUM(F50+K50+P50)</f>
        <v>175143.842</v>
      </c>
      <c r="G51" s="121" t="s">
        <v>87</v>
      </c>
      <c r="H51" s="121"/>
      <c r="I51" s="121"/>
      <c r="J51" s="121"/>
      <c r="K51" s="67">
        <f>SUM(F50+K50+P50+U50)</f>
        <v>182149.59568</v>
      </c>
      <c r="L51" s="121" t="s">
        <v>88</v>
      </c>
      <c r="M51" s="121"/>
      <c r="N51" s="121"/>
      <c r="O51" s="121"/>
      <c r="P51" s="67">
        <f>SUM(K51*0.15)</f>
        <v>27322.439351999998</v>
      </c>
      <c r="Q51" s="121" t="s">
        <v>89</v>
      </c>
      <c r="R51" s="121"/>
      <c r="S51" s="121"/>
      <c r="T51" s="121"/>
      <c r="U51" s="68">
        <f>SUM(K51+P51)</f>
        <v>209472.03503199999</v>
      </c>
    </row>
    <row r="52" spans="1:21" ht="15.75" x14ac:dyDescent="0.25">
      <c r="A52" s="57"/>
      <c r="B52" s="57"/>
      <c r="C52" s="57"/>
      <c r="D52" s="57"/>
      <c r="E52" s="57"/>
      <c r="F52" s="57"/>
      <c r="G52" s="57"/>
      <c r="H52" s="58"/>
      <c r="I52" s="57"/>
      <c r="J52" s="57"/>
      <c r="K52" s="57"/>
      <c r="L52" s="57"/>
      <c r="M52" s="57"/>
      <c r="N52" s="57"/>
      <c r="O52" s="57"/>
      <c r="P52" s="57"/>
      <c r="Q52" s="121" t="s">
        <v>90</v>
      </c>
      <c r="R52" s="121"/>
      <c r="S52" s="121"/>
      <c r="T52" s="121"/>
      <c r="U52" s="69">
        <f>ROUND((U51/15),2)</f>
        <v>13964.8</v>
      </c>
    </row>
    <row r="54" spans="1:21" x14ac:dyDescent="0.25">
      <c r="A54" s="126" t="s">
        <v>67</v>
      </c>
      <c r="B54" s="126"/>
      <c r="C54" s="127" t="s">
        <v>44</v>
      </c>
      <c r="D54" s="127"/>
      <c r="E54" s="127"/>
      <c r="F54" s="127"/>
      <c r="G54" s="127"/>
      <c r="H54" s="127"/>
      <c r="I54" s="127"/>
      <c r="J54" s="127"/>
      <c r="K54" s="127"/>
      <c r="L54" s="127"/>
      <c r="M54" s="127"/>
      <c r="N54" s="127"/>
      <c r="O54" s="127"/>
      <c r="P54" s="127"/>
      <c r="Q54" s="127"/>
      <c r="R54" s="127"/>
      <c r="S54" s="127"/>
      <c r="T54" s="127"/>
      <c r="U54" s="122" t="s">
        <v>109</v>
      </c>
    </row>
    <row r="55" spans="1:21" x14ac:dyDescent="0.25">
      <c r="A55" s="126"/>
      <c r="B55" s="126"/>
      <c r="C55" s="127"/>
      <c r="D55" s="127"/>
      <c r="E55" s="127"/>
      <c r="F55" s="127"/>
      <c r="G55" s="127"/>
      <c r="H55" s="127"/>
      <c r="I55" s="127"/>
      <c r="J55" s="127"/>
      <c r="K55" s="127"/>
      <c r="L55" s="127"/>
      <c r="M55" s="127"/>
      <c r="N55" s="127"/>
      <c r="O55" s="127"/>
      <c r="P55" s="127"/>
      <c r="Q55" s="127"/>
      <c r="R55" s="127"/>
      <c r="S55" s="127"/>
      <c r="T55" s="127"/>
      <c r="U55" s="122"/>
    </row>
    <row r="56" spans="1:21" ht="15.75" x14ac:dyDescent="0.25">
      <c r="A56" s="123" t="s">
        <v>110</v>
      </c>
      <c r="B56" s="123"/>
      <c r="C56" s="127"/>
      <c r="D56" s="127"/>
      <c r="E56" s="127"/>
      <c r="F56" s="127"/>
      <c r="G56" s="127"/>
      <c r="H56" s="127"/>
      <c r="I56" s="127"/>
      <c r="J56" s="127"/>
      <c r="K56" s="127"/>
      <c r="L56" s="127"/>
      <c r="M56" s="127"/>
      <c r="N56" s="127"/>
      <c r="O56" s="127"/>
      <c r="P56" s="127"/>
      <c r="Q56" s="127"/>
      <c r="R56" s="127"/>
      <c r="S56" s="127"/>
      <c r="T56" s="127"/>
      <c r="U56" s="122"/>
    </row>
    <row r="57" spans="1:21" ht="15.75" x14ac:dyDescent="0.25">
      <c r="A57" s="124" t="s">
        <v>70</v>
      </c>
      <c r="B57" s="125" t="s">
        <v>71</v>
      </c>
      <c r="C57" s="125"/>
      <c r="D57" s="125"/>
      <c r="E57" s="125"/>
      <c r="F57" s="125"/>
      <c r="G57" s="125" t="s">
        <v>72</v>
      </c>
      <c r="H57" s="125"/>
      <c r="I57" s="125"/>
      <c r="J57" s="125"/>
      <c r="K57" s="125"/>
      <c r="L57" s="125" t="s">
        <v>73</v>
      </c>
      <c r="M57" s="125"/>
      <c r="N57" s="125"/>
      <c r="O57" s="125"/>
      <c r="P57" s="125"/>
      <c r="Q57" s="125" t="s">
        <v>74</v>
      </c>
      <c r="R57" s="125"/>
      <c r="S57" s="125"/>
      <c r="T57" s="125"/>
      <c r="U57" s="125"/>
    </row>
    <row r="58" spans="1:21" ht="15.75" x14ac:dyDescent="0.25">
      <c r="A58" s="124"/>
      <c r="B58" s="63" t="s">
        <v>75</v>
      </c>
      <c r="C58" s="63" t="s">
        <v>12</v>
      </c>
      <c r="D58" s="63" t="s">
        <v>11</v>
      </c>
      <c r="E58" s="63" t="s">
        <v>13</v>
      </c>
      <c r="F58" s="63" t="s">
        <v>14</v>
      </c>
      <c r="G58" s="63" t="s">
        <v>75</v>
      </c>
      <c r="H58" s="64" t="s">
        <v>12</v>
      </c>
      <c r="I58" s="63" t="s">
        <v>11</v>
      </c>
      <c r="J58" s="63" t="s">
        <v>13</v>
      </c>
      <c r="K58" s="63" t="s">
        <v>14</v>
      </c>
      <c r="L58" s="63" t="s">
        <v>75</v>
      </c>
      <c r="M58" s="63" t="s">
        <v>12</v>
      </c>
      <c r="N58" s="63" t="s">
        <v>11</v>
      </c>
      <c r="O58" s="63" t="s">
        <v>13</v>
      </c>
      <c r="P58" s="63" t="s">
        <v>14</v>
      </c>
      <c r="Q58" s="63" t="s">
        <v>75</v>
      </c>
      <c r="R58" s="63" t="s">
        <v>12</v>
      </c>
      <c r="S58" s="63" t="s">
        <v>11</v>
      </c>
      <c r="T58" s="63" t="s">
        <v>13</v>
      </c>
      <c r="U58" s="65" t="s">
        <v>14</v>
      </c>
    </row>
    <row r="59" spans="1:21" ht="47.25" x14ac:dyDescent="0.25">
      <c r="A59" s="66" t="s">
        <v>111</v>
      </c>
      <c r="B59" s="63" t="s">
        <v>112</v>
      </c>
      <c r="C59" s="63" t="s">
        <v>78</v>
      </c>
      <c r="D59" s="63">
        <v>4</v>
      </c>
      <c r="E59" s="63">
        <f>skilled_blacksmith</f>
        <v>1200</v>
      </c>
      <c r="F59" s="67">
        <f>(D59*E59)</f>
        <v>4800</v>
      </c>
      <c r="G59" s="63" t="s">
        <v>113</v>
      </c>
      <c r="H59" s="64" t="s">
        <v>45</v>
      </c>
      <c r="I59" s="63">
        <v>1.1000000000000001</v>
      </c>
      <c r="J59" s="63">
        <f>adopted_rate_HYSD_bar</f>
        <v>99000</v>
      </c>
      <c r="K59" s="63">
        <f>(I59*J59)</f>
        <v>108900.00000000001</v>
      </c>
      <c r="L59" s="57"/>
      <c r="M59" s="57"/>
      <c r="N59" s="57"/>
      <c r="O59" s="57"/>
      <c r="P59" s="57"/>
      <c r="Q59" s="57"/>
      <c r="R59" s="57"/>
      <c r="S59" s="57"/>
      <c r="T59" s="57"/>
      <c r="U59" s="56"/>
    </row>
    <row r="60" spans="1:21" ht="31.5" x14ac:dyDescent="0.25">
      <c r="A60" s="57"/>
      <c r="B60" s="63" t="s">
        <v>81</v>
      </c>
      <c r="C60" s="63" t="s">
        <v>78</v>
      </c>
      <c r="D60" s="63">
        <v>9</v>
      </c>
      <c r="E60" s="63">
        <f>unskilled</f>
        <v>900</v>
      </c>
      <c r="F60" s="67">
        <f>(D60*E60)</f>
        <v>8100</v>
      </c>
      <c r="G60" s="63" t="s">
        <v>114</v>
      </c>
      <c r="H60" s="64" t="s">
        <v>115</v>
      </c>
      <c r="I60" s="63">
        <v>8</v>
      </c>
      <c r="J60" s="63">
        <f>adopted_rate_binding_wire</f>
        <v>106</v>
      </c>
      <c r="K60" s="63">
        <f>(I60*J60)</f>
        <v>848</v>
      </c>
      <c r="L60" s="57"/>
      <c r="M60" s="57"/>
      <c r="N60" s="57"/>
      <c r="O60" s="57"/>
      <c r="P60" s="57"/>
      <c r="Q60" s="57"/>
      <c r="R60" s="57"/>
      <c r="S60" s="57"/>
      <c r="T60" s="57"/>
      <c r="U60" s="56"/>
    </row>
    <row r="61" spans="1:21" ht="15.75" x14ac:dyDescent="0.25">
      <c r="A61" s="121" t="s">
        <v>82</v>
      </c>
      <c r="B61" s="121"/>
      <c r="C61" s="121"/>
      <c r="D61" s="121"/>
      <c r="E61" s="121"/>
      <c r="F61" s="67">
        <f>SUM(F58:F60)</f>
        <v>12900</v>
      </c>
      <c r="G61" s="121" t="s">
        <v>83</v>
      </c>
      <c r="H61" s="121"/>
      <c r="I61" s="121"/>
      <c r="J61" s="121"/>
      <c r="K61" s="67">
        <f>SUM(K58:K60)</f>
        <v>109748.00000000001</v>
      </c>
      <c r="L61" s="121" t="s">
        <v>84</v>
      </c>
      <c r="M61" s="121"/>
      <c r="N61" s="121"/>
      <c r="O61" s="121"/>
      <c r="P61" s="67">
        <f>SUM(P58:P60)</f>
        <v>0</v>
      </c>
      <c r="Q61" s="121" t="s">
        <v>85</v>
      </c>
      <c r="R61" s="121"/>
      <c r="S61" s="121"/>
      <c r="T61" s="121"/>
      <c r="U61" s="68">
        <f>SUM(U58:U60)</f>
        <v>0</v>
      </c>
    </row>
    <row r="62" spans="1:21" ht="15.75" x14ac:dyDescent="0.25">
      <c r="A62" s="121" t="s">
        <v>86</v>
      </c>
      <c r="B62" s="121"/>
      <c r="C62" s="121"/>
      <c r="D62" s="121"/>
      <c r="E62" s="121"/>
      <c r="F62" s="67">
        <f>SUM(F61+K61+P61)</f>
        <v>122648.00000000001</v>
      </c>
      <c r="G62" s="121" t="s">
        <v>87</v>
      </c>
      <c r="H62" s="121"/>
      <c r="I62" s="121"/>
      <c r="J62" s="121"/>
      <c r="K62" s="67">
        <f>SUM(F61+K61+P61+U61)</f>
        <v>122648.00000000001</v>
      </c>
      <c r="L62" s="121" t="s">
        <v>88</v>
      </c>
      <c r="M62" s="121"/>
      <c r="N62" s="121"/>
      <c r="O62" s="121"/>
      <c r="P62" s="67">
        <f>SUM(K62*0.15)</f>
        <v>18397.2</v>
      </c>
      <c r="Q62" s="121" t="s">
        <v>89</v>
      </c>
      <c r="R62" s="121"/>
      <c r="S62" s="121"/>
      <c r="T62" s="121"/>
      <c r="U62" s="68">
        <f>SUM(K62+P62)</f>
        <v>141045.20000000001</v>
      </c>
    </row>
    <row r="63" spans="1:21" ht="15.75" x14ac:dyDescent="0.25">
      <c r="A63" s="57"/>
      <c r="B63" s="57"/>
      <c r="C63" s="57"/>
      <c r="D63" s="57"/>
      <c r="E63" s="57"/>
      <c r="F63" s="57"/>
      <c r="G63" s="57"/>
      <c r="H63" s="58"/>
      <c r="I63" s="57"/>
      <c r="J63" s="57"/>
      <c r="K63" s="57"/>
      <c r="L63" s="57"/>
      <c r="M63" s="57"/>
      <c r="N63" s="57"/>
      <c r="O63" s="57"/>
      <c r="P63" s="57"/>
      <c r="Q63" s="121" t="s">
        <v>90</v>
      </c>
      <c r="R63" s="121"/>
      <c r="S63" s="121"/>
      <c r="T63" s="121"/>
      <c r="U63" s="69">
        <f>ROUND((U62/1),2)</f>
        <v>141045.20000000001</v>
      </c>
    </row>
  </sheetData>
  <mergeCells count="92">
    <mergeCell ref="A1:B2"/>
    <mergeCell ref="C1:T3"/>
    <mergeCell ref="U1:U3"/>
    <mergeCell ref="A3:B3"/>
    <mergeCell ref="A4:A5"/>
    <mergeCell ref="B4:F4"/>
    <mergeCell ref="G4:K4"/>
    <mergeCell ref="L4:P4"/>
    <mergeCell ref="Q4:U4"/>
    <mergeCell ref="A8:E8"/>
    <mergeCell ref="G8:J8"/>
    <mergeCell ref="L8:O8"/>
    <mergeCell ref="Q8:T8"/>
    <mergeCell ref="A9:E9"/>
    <mergeCell ref="G9:J9"/>
    <mergeCell ref="L9:O9"/>
    <mergeCell ref="Q9:T9"/>
    <mergeCell ref="A19:E19"/>
    <mergeCell ref="G19:J19"/>
    <mergeCell ref="L19:O19"/>
    <mergeCell ref="Q19:T19"/>
    <mergeCell ref="Q10:T10"/>
    <mergeCell ref="A11:U11"/>
    <mergeCell ref="A12:B13"/>
    <mergeCell ref="C12:T14"/>
    <mergeCell ref="U12:U14"/>
    <mergeCell ref="A14:B14"/>
    <mergeCell ref="A15:A16"/>
    <mergeCell ref="B15:F15"/>
    <mergeCell ref="G15:K15"/>
    <mergeCell ref="L15:P15"/>
    <mergeCell ref="Q15:U15"/>
    <mergeCell ref="A20:E20"/>
    <mergeCell ref="G20:J20"/>
    <mergeCell ref="L20:O20"/>
    <mergeCell ref="Q20:T20"/>
    <mergeCell ref="Q21:T21"/>
    <mergeCell ref="U24:U26"/>
    <mergeCell ref="A26:B26"/>
    <mergeCell ref="A27:A28"/>
    <mergeCell ref="B27:F27"/>
    <mergeCell ref="G27:K27"/>
    <mergeCell ref="L27:P27"/>
    <mergeCell ref="Q27:U27"/>
    <mergeCell ref="A24:B25"/>
    <mergeCell ref="C24:T26"/>
    <mergeCell ref="A35:E35"/>
    <mergeCell ref="G35:J35"/>
    <mergeCell ref="L35:O35"/>
    <mergeCell ref="Q35:T35"/>
    <mergeCell ref="A36:E36"/>
    <mergeCell ref="G36:J36"/>
    <mergeCell ref="L36:O36"/>
    <mergeCell ref="Q36:T36"/>
    <mergeCell ref="A50:E50"/>
    <mergeCell ref="G50:J50"/>
    <mergeCell ref="L50:O50"/>
    <mergeCell ref="Q50:T50"/>
    <mergeCell ref="Q37:T37"/>
    <mergeCell ref="A38:U38"/>
    <mergeCell ref="A40:B41"/>
    <mergeCell ref="C40:T42"/>
    <mergeCell ref="U40:U42"/>
    <mergeCell ref="A42:B42"/>
    <mergeCell ref="A43:A44"/>
    <mergeCell ref="B43:F43"/>
    <mergeCell ref="G43:K43"/>
    <mergeCell ref="L43:P43"/>
    <mergeCell ref="Q43:U43"/>
    <mergeCell ref="A51:E51"/>
    <mergeCell ref="G51:J51"/>
    <mergeCell ref="L51:O51"/>
    <mergeCell ref="Q51:T51"/>
    <mergeCell ref="Q52:T52"/>
    <mergeCell ref="U54:U56"/>
    <mergeCell ref="A56:B56"/>
    <mergeCell ref="A57:A58"/>
    <mergeCell ref="B57:F57"/>
    <mergeCell ref="G57:K57"/>
    <mergeCell ref="L57:P57"/>
    <mergeCell ref="Q57:U57"/>
    <mergeCell ref="A54:B55"/>
    <mergeCell ref="C54:T56"/>
    <mergeCell ref="Q63:T63"/>
    <mergeCell ref="A61:E61"/>
    <mergeCell ref="G61:J61"/>
    <mergeCell ref="L61:O61"/>
    <mergeCell ref="Q61:T61"/>
    <mergeCell ref="A62:E62"/>
    <mergeCell ref="G62:J62"/>
    <mergeCell ref="L62:O62"/>
    <mergeCell ref="Q62:T62"/>
  </mergeCells>
  <conditionalFormatting sqref="A54:U63">
    <cfRule type="containsBlanks" dxfId="4" priority="1">
      <formula>LEN(TRIM(A54))=0</formula>
    </cfRule>
  </conditionalFormatting>
  <conditionalFormatting sqref="A1:U10">
    <cfRule type="containsBlanks" dxfId="3" priority="5">
      <formula>LEN(TRIM(A1))=0</formula>
    </cfRule>
  </conditionalFormatting>
  <conditionalFormatting sqref="A12:U22">
    <cfRule type="containsBlanks" dxfId="2" priority="4">
      <formula>LEN(TRIM(A12))=0</formula>
    </cfRule>
  </conditionalFormatting>
  <conditionalFormatting sqref="A24:U37">
    <cfRule type="containsBlanks" dxfId="1" priority="3">
      <formula>LEN(TRIM(A24))=0</formula>
    </cfRule>
  </conditionalFormatting>
  <conditionalFormatting sqref="A40:U52">
    <cfRule type="containsBlanks" dxfId="0" priority="2">
      <formula>LEN(TRIM(A40))=0</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67"/>
  <sheetViews>
    <sheetView view="pageBreakPreview" topLeftCell="A31" zoomScale="80" zoomScaleNormal="100" zoomScaleSheetLayoutView="80" workbookViewId="0">
      <selection activeCell="B39" sqref="B39"/>
    </sheetView>
  </sheetViews>
  <sheetFormatPr defaultRowHeight="15" x14ac:dyDescent="0.25"/>
  <cols>
    <col min="1" max="1" width="5.140625" style="6" bestFit="1" customWidth="1"/>
    <col min="2" max="2" width="29.5703125" customWidth="1"/>
    <col min="3" max="3" width="5.5703125" bestFit="1" customWidth="1"/>
    <col min="4" max="4" width="6.7109375" customWidth="1"/>
    <col min="5" max="5" width="7.85546875" customWidth="1"/>
    <col min="6" max="6" width="7.140625" customWidth="1"/>
    <col min="7" max="7" width="9.28515625" style="6" customWidth="1"/>
    <col min="8" max="8" width="6.28515625" style="6" bestFit="1" customWidth="1"/>
    <col min="9" max="9" width="10.7109375" style="6" hidden="1" customWidth="1"/>
    <col min="10" max="10" width="10.5703125" style="6" hidden="1" customWidth="1"/>
    <col min="11" max="11" width="9.85546875" bestFit="1" customWidth="1"/>
    <col min="13" max="13" width="5" bestFit="1" customWidth="1"/>
    <col min="14" max="14" width="6" bestFit="1" customWidth="1"/>
    <col min="15" max="15" width="10.5703125" customWidth="1"/>
    <col min="16" max="16" width="8" bestFit="1" customWidth="1"/>
    <col min="17" max="17" width="8" customWidth="1"/>
    <col min="18" max="18" width="6.7109375" bestFit="1" customWidth="1"/>
    <col min="19" max="19" width="7" bestFit="1" customWidth="1"/>
    <col min="20" max="20" width="5.42578125" bestFit="1" customWidth="1"/>
    <col min="21" max="21" width="17.85546875" bestFit="1" customWidth="1"/>
  </cols>
  <sheetData>
    <row r="1" spans="1:21" s="1" customFormat="1" x14ac:dyDescent="0.25">
      <c r="A1" s="105" t="s">
        <v>0</v>
      </c>
      <c r="B1" s="105"/>
      <c r="C1" s="105"/>
      <c r="D1" s="105"/>
      <c r="E1" s="105"/>
      <c r="F1" s="105"/>
      <c r="G1" s="105"/>
      <c r="H1" s="105"/>
      <c r="I1" s="105"/>
      <c r="J1" s="105"/>
      <c r="K1" s="105"/>
    </row>
    <row r="2" spans="1:21" s="1" customFormat="1" ht="22.5" x14ac:dyDescent="0.25">
      <c r="A2" s="106" t="s">
        <v>1</v>
      </c>
      <c r="B2" s="106"/>
      <c r="C2" s="106"/>
      <c r="D2" s="106"/>
      <c r="E2" s="106"/>
      <c r="F2" s="106"/>
      <c r="G2" s="106"/>
      <c r="H2" s="106"/>
      <c r="I2" s="106"/>
      <c r="J2" s="106"/>
      <c r="K2" s="106"/>
    </row>
    <row r="3" spans="1:21" s="1" customFormat="1" x14ac:dyDescent="0.25">
      <c r="A3" s="107" t="s">
        <v>2</v>
      </c>
      <c r="B3" s="107"/>
      <c r="C3" s="107"/>
      <c r="D3" s="107"/>
      <c r="E3" s="107"/>
      <c r="F3" s="107"/>
      <c r="G3" s="107"/>
      <c r="H3" s="107"/>
      <c r="I3" s="107"/>
      <c r="J3" s="107"/>
      <c r="K3" s="107"/>
    </row>
    <row r="4" spans="1:21" s="1" customFormat="1" x14ac:dyDescent="0.25">
      <c r="A4" s="107" t="s">
        <v>3</v>
      </c>
      <c r="B4" s="107"/>
      <c r="C4" s="107"/>
      <c r="D4" s="107"/>
      <c r="E4" s="107"/>
      <c r="F4" s="107"/>
      <c r="G4" s="107"/>
      <c r="H4" s="107"/>
      <c r="I4" s="107"/>
      <c r="J4" s="107"/>
      <c r="K4" s="107"/>
    </row>
    <row r="5" spans="1:21" ht="18.75" x14ac:dyDescent="0.3">
      <c r="A5" s="108" t="s">
        <v>123</v>
      </c>
      <c r="B5" s="108"/>
      <c r="C5" s="108"/>
      <c r="D5" s="108"/>
      <c r="E5" s="108"/>
      <c r="F5" s="108"/>
      <c r="G5" s="108"/>
      <c r="H5" s="108"/>
      <c r="I5" s="108"/>
      <c r="J5" s="108"/>
      <c r="K5" s="108"/>
    </row>
    <row r="6" spans="1:21" ht="18.75" x14ac:dyDescent="0.3">
      <c r="A6" s="104" t="s">
        <v>53</v>
      </c>
      <c r="B6" s="104"/>
      <c r="C6" s="104"/>
      <c r="D6" s="104"/>
      <c r="E6" s="104"/>
      <c r="F6" s="104"/>
      <c r="G6" s="104"/>
      <c r="H6" s="100" t="s">
        <v>39</v>
      </c>
      <c r="I6" s="100"/>
      <c r="J6" s="100"/>
      <c r="K6" s="100"/>
    </row>
    <row r="7" spans="1:21" ht="15.75" x14ac:dyDescent="0.25">
      <c r="A7" s="99" t="s">
        <v>33</v>
      </c>
      <c r="B7" s="99"/>
      <c r="C7" s="99"/>
      <c r="D7" s="99"/>
      <c r="E7" s="99"/>
      <c r="F7" s="99"/>
      <c r="G7" s="2"/>
      <c r="H7" s="100" t="s">
        <v>124</v>
      </c>
      <c r="I7" s="100"/>
      <c r="J7" s="100"/>
      <c r="K7" s="100"/>
    </row>
    <row r="8" spans="1:21" ht="15" customHeight="1" x14ac:dyDescent="0.25">
      <c r="A8" s="3" t="s">
        <v>5</v>
      </c>
      <c r="B8" s="24" t="s">
        <v>6</v>
      </c>
      <c r="C8" s="3" t="s">
        <v>7</v>
      </c>
      <c r="D8" s="25" t="s">
        <v>8</v>
      </c>
      <c r="E8" s="25" t="s">
        <v>9</v>
      </c>
      <c r="F8" s="25" t="s">
        <v>10</v>
      </c>
      <c r="G8" s="25" t="s">
        <v>11</v>
      </c>
      <c r="H8" s="3" t="s">
        <v>12</v>
      </c>
      <c r="I8" s="25" t="s">
        <v>13</v>
      </c>
      <c r="J8" s="25" t="s">
        <v>14</v>
      </c>
      <c r="K8" s="26" t="s">
        <v>15</v>
      </c>
    </row>
    <row r="9" spans="1:21" ht="156" customHeight="1" x14ac:dyDescent="0.25">
      <c r="A9" s="28">
        <v>1</v>
      </c>
      <c r="B9" s="48" t="s">
        <v>50</v>
      </c>
      <c r="C9" s="17"/>
      <c r="D9" s="17"/>
      <c r="E9" s="17"/>
      <c r="F9" s="17"/>
      <c r="G9" s="43"/>
      <c r="H9" s="32"/>
      <c r="I9" s="33"/>
      <c r="J9" s="33"/>
      <c r="K9" s="31"/>
      <c r="N9" t="s">
        <v>117</v>
      </c>
      <c r="O9" t="s">
        <v>118</v>
      </c>
      <c r="P9" t="s">
        <v>119</v>
      </c>
      <c r="Q9" s="94" t="s">
        <v>9</v>
      </c>
      <c r="R9" t="s">
        <v>120</v>
      </c>
      <c r="S9" s="94" t="s">
        <v>10</v>
      </c>
      <c r="T9" t="s">
        <v>121</v>
      </c>
      <c r="U9" s="96" t="s">
        <v>122</v>
      </c>
    </row>
    <row r="10" spans="1:21" x14ac:dyDescent="0.25">
      <c r="A10" s="43"/>
      <c r="B10" s="51" t="s">
        <v>51</v>
      </c>
      <c r="C10" s="46">
        <v>1</v>
      </c>
      <c r="D10" s="30">
        <f>5+4+3.8+5+5+5+5+3.95</f>
        <v>36.75</v>
      </c>
      <c r="E10" s="31">
        <v>0.6</v>
      </c>
      <c r="F10" s="31">
        <f>(1.5+0.333+0.5)/3.281</f>
        <v>0.7110637000914356</v>
      </c>
      <c r="G10" s="40">
        <f>PRODUCT(C10:F10)</f>
        <v>15.678954587016156</v>
      </c>
      <c r="H10" s="32"/>
      <c r="I10" s="33"/>
      <c r="J10" s="33"/>
      <c r="K10" s="31"/>
      <c r="M10">
        <v>0</v>
      </c>
      <c r="N10">
        <v>0.1</v>
      </c>
      <c r="O10">
        <v>0.12</v>
      </c>
      <c r="P10">
        <f>(N10+O10)/2</f>
        <v>0.11</v>
      </c>
      <c r="R10">
        <v>0.45</v>
      </c>
      <c r="T10">
        <v>0.6</v>
      </c>
    </row>
    <row r="11" spans="1:21" x14ac:dyDescent="0.25">
      <c r="A11" s="28"/>
      <c r="B11" s="34" t="s">
        <v>41</v>
      </c>
      <c r="C11" s="31"/>
      <c r="D11" s="30"/>
      <c r="E11" s="31"/>
      <c r="F11" s="31"/>
      <c r="G11" s="33">
        <f>SUM(G10:G10)</f>
        <v>15.678954587016156</v>
      </c>
      <c r="H11" s="32" t="s">
        <v>34</v>
      </c>
      <c r="I11" s="33">
        <v>62.02</v>
      </c>
      <c r="J11" s="39">
        <f>G11*I11</f>
        <v>972.40876348674203</v>
      </c>
      <c r="K11" s="31"/>
      <c r="M11">
        <v>5</v>
      </c>
      <c r="N11">
        <v>0.12</v>
      </c>
      <c r="O11">
        <v>0.11</v>
      </c>
      <c r="P11">
        <f t="shared" ref="P11:P15" si="0">(N11+O11)/2</f>
        <v>0.11499999999999999</v>
      </c>
      <c r="Q11">
        <f>(P10+P11)/2</f>
        <v>0.11249999999999999</v>
      </c>
      <c r="R11">
        <v>0.48</v>
      </c>
      <c r="S11">
        <f>(R10+R11)/2</f>
        <v>0.46499999999999997</v>
      </c>
      <c r="T11">
        <v>0.6</v>
      </c>
      <c r="U11">
        <f>(T10+T11)/2</f>
        <v>0.6</v>
      </c>
    </row>
    <row r="12" spans="1:21" x14ac:dyDescent="0.25">
      <c r="A12" s="28"/>
      <c r="B12" s="34" t="s">
        <v>37</v>
      </c>
      <c r="C12" s="31"/>
      <c r="D12" s="30"/>
      <c r="E12" s="31"/>
      <c r="F12" s="31"/>
      <c r="G12" s="33"/>
      <c r="H12" s="32"/>
      <c r="I12" s="33"/>
      <c r="J12" s="39">
        <f>0.13*G11*18426/360</f>
        <v>104.32515066290767</v>
      </c>
      <c r="K12" s="31"/>
      <c r="M12">
        <v>4.0199999999999996</v>
      </c>
      <c r="N12">
        <v>0.11</v>
      </c>
      <c r="O12">
        <v>0.12</v>
      </c>
      <c r="P12">
        <f t="shared" si="0"/>
        <v>0.11499999999999999</v>
      </c>
      <c r="Q12">
        <f t="shared" ref="Q12:Q15" si="1">(P11+P12)/2</f>
        <v>0.11499999999999999</v>
      </c>
      <c r="R12">
        <v>0.46</v>
      </c>
      <c r="S12">
        <f t="shared" ref="S12:S15" si="2">(R11+R12)/2</f>
        <v>0.47</v>
      </c>
      <c r="T12">
        <v>0.6</v>
      </c>
      <c r="U12">
        <f t="shared" ref="U12:U15" si="3">(T11+T12)/2</f>
        <v>0.6</v>
      </c>
    </row>
    <row r="13" spans="1:21" x14ac:dyDescent="0.25">
      <c r="A13" s="28"/>
      <c r="B13" s="34"/>
      <c r="C13" s="31"/>
      <c r="D13" s="30"/>
      <c r="E13" s="31"/>
      <c r="F13" s="31"/>
      <c r="G13" s="33"/>
      <c r="H13" s="32"/>
      <c r="I13" s="33"/>
      <c r="J13" s="39"/>
      <c r="K13" s="31"/>
      <c r="M13">
        <v>3.8</v>
      </c>
      <c r="N13">
        <v>0.11</v>
      </c>
      <c r="O13">
        <v>0.1</v>
      </c>
      <c r="P13">
        <f t="shared" si="0"/>
        <v>0.10500000000000001</v>
      </c>
      <c r="Q13">
        <f t="shared" si="1"/>
        <v>0.11</v>
      </c>
      <c r="R13">
        <f>(0.46+0.48)/2</f>
        <v>0.47</v>
      </c>
      <c r="S13">
        <f t="shared" si="2"/>
        <v>0.46499999999999997</v>
      </c>
      <c r="T13">
        <v>0.61</v>
      </c>
      <c r="U13">
        <f t="shared" si="3"/>
        <v>0.60499999999999998</v>
      </c>
    </row>
    <row r="14" spans="1:21" s="1" customFormat="1" ht="105" x14ac:dyDescent="0.25">
      <c r="A14" s="28">
        <v>2</v>
      </c>
      <c r="B14" s="48" t="s">
        <v>40</v>
      </c>
      <c r="C14" s="31"/>
      <c r="D14" s="30"/>
      <c r="E14" s="31"/>
      <c r="F14" s="31"/>
      <c r="G14" s="33"/>
      <c r="H14" s="32"/>
      <c r="I14" s="33"/>
      <c r="J14" s="39"/>
      <c r="K14" s="31"/>
      <c r="M14">
        <v>5</v>
      </c>
      <c r="N14">
        <v>0.1</v>
      </c>
      <c r="O14">
        <v>0.115</v>
      </c>
      <c r="P14">
        <f t="shared" si="0"/>
        <v>0.10750000000000001</v>
      </c>
      <c r="Q14">
        <f t="shared" si="1"/>
        <v>0.10625000000000001</v>
      </c>
      <c r="R14">
        <v>0.46</v>
      </c>
      <c r="S14">
        <f t="shared" si="2"/>
        <v>0.46499999999999997</v>
      </c>
      <c r="T14">
        <v>0.61</v>
      </c>
      <c r="U14">
        <f t="shared" si="3"/>
        <v>0.61</v>
      </c>
    </row>
    <row r="15" spans="1:21" x14ac:dyDescent="0.25">
      <c r="A15" s="28"/>
      <c r="B15" s="49" t="str">
        <f>B10</f>
        <v>-For roadside drain</v>
      </c>
      <c r="C15" s="29">
        <v>1</v>
      </c>
      <c r="D15" s="30">
        <f>D10</f>
        <v>36.75</v>
      </c>
      <c r="E15" s="31">
        <f>E10</f>
        <v>0.6</v>
      </c>
      <c r="F15" s="31">
        <v>0.15</v>
      </c>
      <c r="G15" s="40">
        <f>PRODUCT(C15:F15)</f>
        <v>3.3075000000000001</v>
      </c>
      <c r="H15" s="32"/>
      <c r="I15" s="33"/>
      <c r="J15" s="39"/>
      <c r="K15" s="31"/>
      <c r="M15">
        <v>5</v>
      </c>
      <c r="N15">
        <v>0.1</v>
      </c>
      <c r="O15">
        <v>0.1</v>
      </c>
      <c r="P15">
        <f t="shared" si="0"/>
        <v>0.1</v>
      </c>
      <c r="Q15">
        <f t="shared" si="1"/>
        <v>0.10375000000000001</v>
      </c>
      <c r="R15">
        <v>0.47499999999999998</v>
      </c>
      <c r="S15">
        <f t="shared" si="2"/>
        <v>0.46750000000000003</v>
      </c>
      <c r="T15">
        <v>0.61</v>
      </c>
      <c r="U15">
        <f t="shared" si="3"/>
        <v>0.61</v>
      </c>
    </row>
    <row r="16" spans="1:21" x14ac:dyDescent="0.25">
      <c r="A16" s="28"/>
      <c r="B16" s="34" t="s">
        <v>41</v>
      </c>
      <c r="C16" s="29"/>
      <c r="D16" s="30"/>
      <c r="E16" s="31"/>
      <c r="F16" s="31"/>
      <c r="G16" s="33">
        <f>SUM(G15:G15)</f>
        <v>3.3075000000000001</v>
      </c>
      <c r="H16" s="32" t="s">
        <v>34</v>
      </c>
      <c r="I16" s="33">
        <v>4403.5200000000004</v>
      </c>
      <c r="J16" s="39">
        <f>G16*I16</f>
        <v>14564.642400000002</v>
      </c>
      <c r="K16" s="31"/>
      <c r="M16">
        <v>5</v>
      </c>
      <c r="N16">
        <v>0.11</v>
      </c>
      <c r="O16">
        <v>0.11</v>
      </c>
      <c r="P16">
        <f>(N16+O16)/2</f>
        <v>0.11</v>
      </c>
      <c r="Q16">
        <f>(P15+P16)/2</f>
        <v>0.10500000000000001</v>
      </c>
      <c r="R16">
        <v>0.45500000000000002</v>
      </c>
      <c r="S16">
        <f>(R15+R16)/2</f>
        <v>0.46499999999999997</v>
      </c>
      <c r="T16">
        <v>0.63</v>
      </c>
      <c r="U16">
        <f>(T15+T16)/2</f>
        <v>0.62</v>
      </c>
    </row>
    <row r="17" spans="1:21" hidden="1" x14ac:dyDescent="0.25">
      <c r="A17" s="28"/>
      <c r="B17" s="34" t="s">
        <v>37</v>
      </c>
      <c r="C17" s="29"/>
      <c r="D17" s="30"/>
      <c r="E17" s="31"/>
      <c r="F17" s="31"/>
      <c r="G17" s="33"/>
      <c r="H17" s="32"/>
      <c r="I17" s="33"/>
      <c r="J17" s="39">
        <f>G16*0.13*(14817.6/5)</f>
        <v>1274.2395120000001</v>
      </c>
      <c r="K17" s="31"/>
      <c r="M17">
        <v>5</v>
      </c>
      <c r="N17">
        <v>0.11</v>
      </c>
      <c r="O17">
        <v>0.12</v>
      </c>
      <c r="P17">
        <f>(N17+O17)/2</f>
        <v>0.11499999999999999</v>
      </c>
      <c r="Q17">
        <f>(P16+P17)/2</f>
        <v>0.11249999999999999</v>
      </c>
      <c r="R17">
        <v>0.45</v>
      </c>
      <c r="S17">
        <f>(R16+R17)/2</f>
        <v>0.45250000000000001</v>
      </c>
      <c r="T17">
        <v>0.62</v>
      </c>
      <c r="U17">
        <f>(T16+T17)/2</f>
        <v>0.625</v>
      </c>
    </row>
    <row r="18" spans="1:21" x14ac:dyDescent="0.25">
      <c r="A18" s="28"/>
      <c r="B18" s="34"/>
      <c r="C18" s="29"/>
      <c r="D18" s="30"/>
      <c r="E18" s="31"/>
      <c r="F18" s="31"/>
      <c r="G18" s="33"/>
      <c r="H18" s="32"/>
      <c r="I18" s="33"/>
      <c r="J18" s="39"/>
      <c r="K18" s="31"/>
      <c r="M18">
        <v>3.95</v>
      </c>
      <c r="N18">
        <v>0.11</v>
      </c>
      <c r="O18">
        <v>0.12</v>
      </c>
      <c r="P18">
        <f>(N18+O18)/2</f>
        <v>0.11499999999999999</v>
      </c>
      <c r="Q18">
        <f>(P17+P18)/2</f>
        <v>0.11499999999999999</v>
      </c>
      <c r="R18">
        <v>0.47499999999999998</v>
      </c>
      <c r="S18">
        <f>(R17+R18)/2</f>
        <v>0.46250000000000002</v>
      </c>
      <c r="T18">
        <v>0.67</v>
      </c>
      <c r="U18">
        <f>(T17+T18)/2</f>
        <v>0.64500000000000002</v>
      </c>
    </row>
    <row r="19" spans="1:21" ht="83.25" customHeight="1" x14ac:dyDescent="0.25">
      <c r="A19" s="28">
        <v>3</v>
      </c>
      <c r="B19" s="47" t="s">
        <v>42</v>
      </c>
      <c r="C19" s="29"/>
      <c r="D19" s="30"/>
      <c r="E19" s="31"/>
      <c r="F19" s="31"/>
      <c r="G19" s="33"/>
      <c r="H19" s="32"/>
      <c r="I19" s="33"/>
      <c r="J19" s="39"/>
      <c r="K19" s="31"/>
      <c r="N19" t="e">
        <f>#REF!/#REF!</f>
        <v>#REF!</v>
      </c>
    </row>
    <row r="20" spans="1:21" x14ac:dyDescent="0.25">
      <c r="A20" s="28"/>
      <c r="B20" s="50" t="str">
        <f>B25</f>
        <v>-For roadside drain</v>
      </c>
      <c r="C20" s="29">
        <v>1</v>
      </c>
      <c r="D20" s="30">
        <f>D15</f>
        <v>36.75</v>
      </c>
      <c r="E20" s="31">
        <f>E15</f>
        <v>0.6</v>
      </c>
      <c r="F20" s="31">
        <f>1.25/12/3.281</f>
        <v>3.1748450675607033E-2</v>
      </c>
      <c r="G20" s="40">
        <f>PRODUCT(C20:F20)</f>
        <v>0.70005333739713516</v>
      </c>
      <c r="H20" s="32"/>
      <c r="I20" s="33"/>
      <c r="J20" s="39"/>
      <c r="K20" s="31"/>
    </row>
    <row r="21" spans="1:21" x14ac:dyDescent="0.25">
      <c r="A21" s="28"/>
      <c r="B21" s="34" t="s">
        <v>41</v>
      </c>
      <c r="C21" s="29"/>
      <c r="D21" s="30"/>
      <c r="E21" s="31"/>
      <c r="F21" s="31"/>
      <c r="G21" s="33">
        <f>SUM(G20)</f>
        <v>0.70005333739713516</v>
      </c>
      <c r="H21" s="32" t="s">
        <v>34</v>
      </c>
      <c r="I21" s="53">
        <v>11126.38</v>
      </c>
      <c r="J21" s="39">
        <f>G21*I21</f>
        <v>7789.0594521487365</v>
      </c>
      <c r="K21" s="31"/>
    </row>
    <row r="22" spans="1:21" hidden="1" x14ac:dyDescent="0.25">
      <c r="A22" s="28"/>
      <c r="B22" s="34" t="s">
        <v>37</v>
      </c>
      <c r="C22" s="29"/>
      <c r="D22" s="30"/>
      <c r="E22" s="31"/>
      <c r="F22" s="31"/>
      <c r="G22" s="33"/>
      <c r="H22" s="32"/>
      <c r="I22" s="33"/>
      <c r="J22" s="52">
        <f>0.13*G21*((123027.7+6419.1)/15)</f>
        <v>785.37042441328879</v>
      </c>
      <c r="K22" s="31"/>
    </row>
    <row r="23" spans="1:21" x14ac:dyDescent="0.25">
      <c r="A23" s="28"/>
      <c r="B23" s="34"/>
      <c r="C23" s="29"/>
      <c r="D23" s="30"/>
      <c r="E23" s="31"/>
      <c r="F23" s="31"/>
      <c r="G23" s="33"/>
      <c r="H23" s="32"/>
      <c r="I23" s="33"/>
      <c r="J23" s="52"/>
      <c r="K23" s="31"/>
    </row>
    <row r="24" spans="1:21" ht="78" customHeight="1" x14ac:dyDescent="0.25">
      <c r="A24" s="28">
        <v>4</v>
      </c>
      <c r="B24" s="47" t="s">
        <v>43</v>
      </c>
      <c r="C24" s="29"/>
      <c r="D24" s="30"/>
      <c r="E24" s="31"/>
      <c r="F24" s="31"/>
      <c r="G24" s="33"/>
      <c r="H24" s="32"/>
      <c r="I24" s="33"/>
      <c r="J24" s="39"/>
      <c r="K24" s="31"/>
    </row>
    <row r="25" spans="1:21" x14ac:dyDescent="0.25">
      <c r="A25" s="28"/>
      <c r="B25" s="50" t="str">
        <f>B10</f>
        <v>-For roadside drain</v>
      </c>
      <c r="C25" s="29">
        <v>1</v>
      </c>
      <c r="D25" s="30">
        <f>D34</f>
        <v>5</v>
      </c>
      <c r="E25" s="31">
        <f t="shared" ref="E25:E32" si="4">T11</f>
        <v>0.6</v>
      </c>
      <c r="F25" s="31">
        <f t="shared" ref="F25:F31" si="5">3.5/12/3.281</f>
        <v>8.8895661891699687E-2</v>
      </c>
      <c r="G25" s="40">
        <f t="shared" ref="G25:G32" si="6">PRODUCT(C25:F25)</f>
        <v>0.26668698567509908</v>
      </c>
      <c r="H25" s="32"/>
      <c r="I25" s="33"/>
      <c r="J25" s="39"/>
      <c r="K25" s="31"/>
      <c r="Q25" s="94"/>
      <c r="S25" s="94"/>
      <c r="U25" s="95"/>
    </row>
    <row r="26" spans="1:21" x14ac:dyDescent="0.25">
      <c r="A26" s="28"/>
      <c r="B26" s="50"/>
      <c r="C26" s="29">
        <v>1</v>
      </c>
      <c r="D26" s="30">
        <f t="shared" ref="D26:D30" si="7">D35</f>
        <v>4.0199999999999996</v>
      </c>
      <c r="E26" s="31">
        <f t="shared" si="4"/>
        <v>0.6</v>
      </c>
      <c r="F26" s="31">
        <f t="shared" si="5"/>
        <v>8.8895661891699687E-2</v>
      </c>
      <c r="G26" s="40">
        <f t="shared" si="6"/>
        <v>0.21441633648277961</v>
      </c>
      <c r="H26" s="32"/>
      <c r="I26" s="33"/>
      <c r="J26" s="39"/>
      <c r="K26" s="31"/>
      <c r="Q26" s="94"/>
      <c r="S26" s="94"/>
      <c r="U26" s="95"/>
    </row>
    <row r="27" spans="1:21" x14ac:dyDescent="0.25">
      <c r="A27" s="28"/>
      <c r="B27" s="50"/>
      <c r="C27" s="29">
        <v>1</v>
      </c>
      <c r="D27" s="30">
        <f t="shared" si="7"/>
        <v>3.8</v>
      </c>
      <c r="E27" s="31">
        <f t="shared" si="4"/>
        <v>0.61</v>
      </c>
      <c r="F27" s="31">
        <f t="shared" si="5"/>
        <v>8.8895661891699687E-2</v>
      </c>
      <c r="G27" s="40">
        <f t="shared" si="6"/>
        <v>0.20606014426495989</v>
      </c>
      <c r="H27" s="32"/>
      <c r="I27" s="33"/>
      <c r="J27" s="39"/>
      <c r="K27" s="31"/>
      <c r="Q27" s="94"/>
      <c r="S27" s="94"/>
      <c r="U27" s="95"/>
    </row>
    <row r="28" spans="1:21" x14ac:dyDescent="0.25">
      <c r="A28" s="28"/>
      <c r="B28" s="50"/>
      <c r="C28" s="29">
        <v>1</v>
      </c>
      <c r="D28" s="30">
        <f t="shared" si="7"/>
        <v>5</v>
      </c>
      <c r="E28" s="31">
        <f t="shared" si="4"/>
        <v>0.61</v>
      </c>
      <c r="F28" s="31">
        <f t="shared" si="5"/>
        <v>8.8895661891699687E-2</v>
      </c>
      <c r="G28" s="40">
        <f t="shared" si="6"/>
        <v>0.27113176876968403</v>
      </c>
      <c r="H28" s="32"/>
      <c r="I28" s="33"/>
      <c r="J28" s="39"/>
      <c r="K28" s="31"/>
      <c r="Q28" s="94"/>
      <c r="S28" s="94"/>
      <c r="U28" s="95"/>
    </row>
    <row r="29" spans="1:21" x14ac:dyDescent="0.25">
      <c r="A29" s="28"/>
      <c r="B29" s="50"/>
      <c r="C29" s="29">
        <v>1</v>
      </c>
      <c r="D29" s="30">
        <f t="shared" si="7"/>
        <v>5</v>
      </c>
      <c r="E29" s="31">
        <f t="shared" si="4"/>
        <v>0.61</v>
      </c>
      <c r="F29" s="31">
        <f t="shared" si="5"/>
        <v>8.8895661891699687E-2</v>
      </c>
      <c r="G29" s="40">
        <f t="shared" si="6"/>
        <v>0.27113176876968403</v>
      </c>
      <c r="H29" s="32"/>
      <c r="I29" s="33"/>
      <c r="J29" s="39"/>
      <c r="K29" s="31"/>
      <c r="Q29" s="94"/>
      <c r="S29" s="94"/>
      <c r="U29" s="95"/>
    </row>
    <row r="30" spans="1:21" x14ac:dyDescent="0.25">
      <c r="A30" s="28"/>
      <c r="B30" s="50"/>
      <c r="C30" s="29">
        <v>1</v>
      </c>
      <c r="D30" s="30">
        <f t="shared" si="7"/>
        <v>5</v>
      </c>
      <c r="E30" s="31">
        <f t="shared" si="4"/>
        <v>0.63</v>
      </c>
      <c r="F30" s="31">
        <f t="shared" si="5"/>
        <v>8.8895661891699687E-2</v>
      </c>
      <c r="G30" s="40">
        <f t="shared" si="6"/>
        <v>0.28002133495885401</v>
      </c>
      <c r="H30" s="32"/>
      <c r="I30" s="33"/>
      <c r="J30" s="39"/>
      <c r="K30" s="31"/>
      <c r="O30" s="59"/>
      <c r="Q30" s="94"/>
      <c r="S30" s="94"/>
      <c r="U30" s="95"/>
    </row>
    <row r="31" spans="1:21" x14ac:dyDescent="0.25">
      <c r="A31" s="28"/>
      <c r="B31" s="50"/>
      <c r="C31" s="29">
        <v>1</v>
      </c>
      <c r="D31" s="30">
        <f>D40</f>
        <v>5</v>
      </c>
      <c r="E31" s="31">
        <f t="shared" si="4"/>
        <v>0.62</v>
      </c>
      <c r="F31" s="31">
        <f t="shared" si="5"/>
        <v>8.8895661891699687E-2</v>
      </c>
      <c r="G31" s="40">
        <f t="shared" si="6"/>
        <v>0.27557655186426905</v>
      </c>
      <c r="H31" s="32"/>
      <c r="I31" s="33"/>
      <c r="J31" s="39"/>
      <c r="K31" s="31"/>
      <c r="O31" s="59"/>
      <c r="Q31" s="94"/>
      <c r="S31" s="94"/>
      <c r="U31" s="95"/>
    </row>
    <row r="32" spans="1:21" x14ac:dyDescent="0.25">
      <c r="A32" s="28"/>
      <c r="B32" s="50"/>
      <c r="C32" s="29">
        <v>1</v>
      </c>
      <c r="D32" s="30">
        <f>D41</f>
        <v>3.95</v>
      </c>
      <c r="E32" s="31">
        <f t="shared" si="4"/>
        <v>0.67</v>
      </c>
      <c r="F32" s="31">
        <f>3.5/12/3.281</f>
        <v>8.8895661891699687E-2</v>
      </c>
      <c r="G32" s="40">
        <f t="shared" si="6"/>
        <v>0.23526236919638324</v>
      </c>
      <c r="H32" s="32"/>
      <c r="I32" s="33"/>
      <c r="J32" s="39"/>
      <c r="K32" s="31"/>
      <c r="Q32" s="94"/>
      <c r="S32" s="94"/>
      <c r="U32" s="95"/>
    </row>
    <row r="33" spans="1:13" x14ac:dyDescent="0.25">
      <c r="A33" s="28"/>
      <c r="B33" s="51" t="s">
        <v>52</v>
      </c>
      <c r="C33" s="29"/>
      <c r="D33" s="30"/>
      <c r="E33" s="31"/>
      <c r="F33" s="31"/>
      <c r="G33" s="40"/>
      <c r="H33" s="32"/>
      <c r="I33" s="33"/>
      <c r="J33" s="39"/>
      <c r="K33" s="31"/>
    </row>
    <row r="34" spans="1:13" x14ac:dyDescent="0.25">
      <c r="A34" s="28"/>
      <c r="B34" s="50"/>
      <c r="C34" s="29">
        <v>2</v>
      </c>
      <c r="D34" s="30">
        <f t="shared" ref="D34:D41" si="8">M11</f>
        <v>5</v>
      </c>
      <c r="E34" s="31">
        <f t="shared" ref="E34:E41" si="9">Q11</f>
        <v>0.11249999999999999</v>
      </c>
      <c r="F34" s="31">
        <f t="shared" ref="F34:F41" si="10">S11</f>
        <v>0.46499999999999997</v>
      </c>
      <c r="G34" s="40">
        <f t="shared" ref="G34:G41" si="11">PRODUCT(C34:F34)</f>
        <v>0.52312499999999995</v>
      </c>
      <c r="H34" s="32"/>
      <c r="I34" s="33"/>
      <c r="J34" s="39"/>
      <c r="K34" s="31"/>
    </row>
    <row r="35" spans="1:13" x14ac:dyDescent="0.25">
      <c r="A35" s="28"/>
      <c r="B35" s="50"/>
      <c r="C35" s="29">
        <v>2</v>
      </c>
      <c r="D35" s="30">
        <f t="shared" si="8"/>
        <v>4.0199999999999996</v>
      </c>
      <c r="E35" s="31">
        <f t="shared" si="9"/>
        <v>0.11499999999999999</v>
      </c>
      <c r="F35" s="31">
        <f t="shared" si="10"/>
        <v>0.47</v>
      </c>
      <c r="G35" s="40">
        <f t="shared" si="11"/>
        <v>0.43456199999999989</v>
      </c>
      <c r="H35" s="32"/>
      <c r="I35" s="33"/>
      <c r="J35" s="39"/>
      <c r="K35" s="31"/>
    </row>
    <row r="36" spans="1:13" x14ac:dyDescent="0.25">
      <c r="A36" s="28"/>
      <c r="B36" s="50"/>
      <c r="C36" s="29">
        <v>2</v>
      </c>
      <c r="D36" s="30">
        <f t="shared" si="8"/>
        <v>3.8</v>
      </c>
      <c r="E36" s="31">
        <f t="shared" si="9"/>
        <v>0.11</v>
      </c>
      <c r="F36" s="31">
        <f t="shared" si="10"/>
        <v>0.46499999999999997</v>
      </c>
      <c r="G36" s="40">
        <f t="shared" si="11"/>
        <v>0.38873999999999997</v>
      </c>
      <c r="H36" s="32"/>
      <c r="I36" s="33"/>
      <c r="J36" s="39"/>
      <c r="K36" s="31"/>
    </row>
    <row r="37" spans="1:13" x14ac:dyDescent="0.25">
      <c r="A37" s="28"/>
      <c r="B37" s="50"/>
      <c r="C37" s="29">
        <v>2</v>
      </c>
      <c r="D37" s="30">
        <f t="shared" si="8"/>
        <v>5</v>
      </c>
      <c r="E37" s="31">
        <f t="shared" si="9"/>
        <v>0.10625000000000001</v>
      </c>
      <c r="F37" s="31">
        <f t="shared" si="10"/>
        <v>0.46499999999999997</v>
      </c>
      <c r="G37" s="40">
        <f t="shared" si="11"/>
        <v>0.49406249999999996</v>
      </c>
      <c r="H37" s="32"/>
      <c r="I37" s="33"/>
      <c r="J37" s="39"/>
      <c r="K37" s="31"/>
    </row>
    <row r="38" spans="1:13" x14ac:dyDescent="0.25">
      <c r="A38" s="28"/>
      <c r="B38" s="50"/>
      <c r="C38" s="29">
        <v>2</v>
      </c>
      <c r="D38" s="30">
        <f t="shared" si="8"/>
        <v>5</v>
      </c>
      <c r="E38" s="31">
        <f t="shared" si="9"/>
        <v>0.10375000000000001</v>
      </c>
      <c r="F38" s="31">
        <f t="shared" si="10"/>
        <v>0.46750000000000003</v>
      </c>
      <c r="G38" s="40">
        <f t="shared" si="11"/>
        <v>0.48503125000000008</v>
      </c>
      <c r="H38" s="32"/>
      <c r="I38" s="33"/>
      <c r="J38" s="39"/>
      <c r="K38" s="31"/>
    </row>
    <row r="39" spans="1:13" x14ac:dyDescent="0.25">
      <c r="A39" s="28"/>
      <c r="B39" s="50"/>
      <c r="C39" s="29">
        <v>2</v>
      </c>
      <c r="D39" s="30">
        <f t="shared" si="8"/>
        <v>5</v>
      </c>
      <c r="E39" s="31">
        <f t="shared" si="9"/>
        <v>0.10500000000000001</v>
      </c>
      <c r="F39" s="31">
        <f t="shared" si="10"/>
        <v>0.46499999999999997</v>
      </c>
      <c r="G39" s="40">
        <f t="shared" si="11"/>
        <v>0.48824999999999996</v>
      </c>
      <c r="H39" s="32"/>
      <c r="I39" s="33"/>
      <c r="J39" s="39"/>
      <c r="K39" s="31"/>
    </row>
    <row r="40" spans="1:13" x14ac:dyDescent="0.25">
      <c r="A40" s="28"/>
      <c r="B40" s="50"/>
      <c r="C40" s="29">
        <v>2</v>
      </c>
      <c r="D40" s="30">
        <f t="shared" si="8"/>
        <v>5</v>
      </c>
      <c r="E40" s="31">
        <f t="shared" si="9"/>
        <v>0.11249999999999999</v>
      </c>
      <c r="F40" s="31">
        <f t="shared" si="10"/>
        <v>0.45250000000000001</v>
      </c>
      <c r="G40" s="40">
        <f t="shared" si="11"/>
        <v>0.50906249999999997</v>
      </c>
      <c r="H40" s="32"/>
      <c r="I40" s="33"/>
      <c r="J40" s="39"/>
      <c r="K40" s="31"/>
    </row>
    <row r="41" spans="1:13" x14ac:dyDescent="0.25">
      <c r="A41" s="28"/>
      <c r="B41" s="50"/>
      <c r="C41" s="29">
        <v>2</v>
      </c>
      <c r="D41" s="30">
        <f t="shared" si="8"/>
        <v>3.95</v>
      </c>
      <c r="E41" s="31">
        <f t="shared" si="9"/>
        <v>0.11499999999999999</v>
      </c>
      <c r="F41" s="31">
        <f t="shared" si="10"/>
        <v>0.46250000000000002</v>
      </c>
      <c r="G41" s="40">
        <f t="shared" si="11"/>
        <v>0.42018125000000001</v>
      </c>
      <c r="H41" s="32"/>
      <c r="I41" s="33"/>
      <c r="J41" s="39"/>
      <c r="K41" s="31"/>
    </row>
    <row r="42" spans="1:13" x14ac:dyDescent="0.25">
      <c r="A42" s="28"/>
      <c r="B42" s="50"/>
      <c r="C42" s="29"/>
      <c r="D42" s="30"/>
      <c r="E42" s="31"/>
      <c r="F42" s="31"/>
      <c r="G42" s="40"/>
      <c r="H42" s="32"/>
      <c r="I42" s="33"/>
      <c r="J42" s="39"/>
      <c r="K42" s="31"/>
      <c r="M42">
        <f>3.8*1.2*0.1</f>
        <v>0.45599999999999996</v>
      </c>
    </row>
    <row r="43" spans="1:13" x14ac:dyDescent="0.25">
      <c r="A43" s="28"/>
      <c r="B43" s="51" t="s">
        <v>55</v>
      </c>
      <c r="C43" s="29">
        <v>1</v>
      </c>
      <c r="D43" s="30">
        <f>(1.21+1.12+1.28+1.18+1.2+1.22+1.2+1.2+1.17+1.09+1.1+1.1+1.07+1.09+1.08+1.1+1.18+1.06+1.09+1.11+1.07+1.29+1.11+1.12+1.08+1.09+1.05+1.07+1.14+1.08+1.07+1.06+1.07+1.07+1.12+1.07+1.06+1.23+1.09+1.11+1.17+1.16+1.19+1.17+1.14+1.14)</f>
        <v>51.870000000000005</v>
      </c>
      <c r="E43" s="31">
        <f>(0.63+0.64+0.61+0.64+0.63+0.65+0.63+0.66+0.63+0.6+0.6+0.6+0.61+0.61+0.63+0.63+0.59+0.62+0.58+0.61+0.61+0.59+0.67+0.79+0.84+0.84+0.8+0.61+0.6+0.63+0.62+0.61+0.61+0.62+0.61+0.62+0.62+0.62+0.63+0.62+0.61+0.6+0.6+0.6+0.6)/46</f>
        <v>0.62108695652173929</v>
      </c>
      <c r="F43" s="31">
        <v>0.1</v>
      </c>
      <c r="G43" s="40">
        <f>PRODUCT(C43:F43)</f>
        <v>3.2215780434782624</v>
      </c>
      <c r="H43" s="32"/>
      <c r="I43" s="33"/>
      <c r="J43" s="39"/>
      <c r="K43" s="31"/>
      <c r="M43">
        <f>D43*E43*0.1</f>
        <v>3.2215780434782624</v>
      </c>
    </row>
    <row r="44" spans="1:13" x14ac:dyDescent="0.25">
      <c r="A44" s="28"/>
      <c r="B44" s="51" t="s">
        <v>54</v>
      </c>
      <c r="C44" s="29">
        <v>1</v>
      </c>
      <c r="D44" s="30">
        <v>3.8</v>
      </c>
      <c r="E44" s="31">
        <v>1.2</v>
      </c>
      <c r="F44" s="31">
        <v>0.1</v>
      </c>
      <c r="G44" s="40">
        <f>PRODUCT(C44:F44)</f>
        <v>0.45599999999999996</v>
      </c>
      <c r="H44" s="32"/>
      <c r="I44" s="33"/>
      <c r="J44" s="39"/>
      <c r="K44" s="31"/>
      <c r="M44">
        <f>SUM(M42:M43)</f>
        <v>3.6775780434782623</v>
      </c>
    </row>
    <row r="45" spans="1:13" x14ac:dyDescent="0.25">
      <c r="A45" s="28"/>
      <c r="B45" s="34" t="s">
        <v>41</v>
      </c>
      <c r="C45" s="29"/>
      <c r="D45" s="30"/>
      <c r="E45" s="31"/>
      <c r="F45" s="31"/>
      <c r="G45" s="33">
        <f>SUM(G25:G44)</f>
        <v>9.440879803459973</v>
      </c>
      <c r="H45" s="32" t="s">
        <v>34</v>
      </c>
      <c r="I45" s="53">
        <v>12143.3</v>
      </c>
      <c r="J45" s="39">
        <f>G45*I45</f>
        <v>114643.43571735549</v>
      </c>
      <c r="K45" s="31"/>
    </row>
    <row r="46" spans="1:13" hidden="1" x14ac:dyDescent="0.25">
      <c r="A46" s="28"/>
      <c r="B46" s="34" t="s">
        <v>37</v>
      </c>
      <c r="C46" s="29"/>
      <c r="D46" s="30"/>
      <c r="E46" s="31"/>
      <c r="F46" s="31"/>
      <c r="G46" s="33"/>
      <c r="H46" s="32"/>
      <c r="I46" s="33"/>
      <c r="J46" s="52">
        <f>0.13*G45*((137739.8+7005.8)/15)</f>
        <v>11843.223701224029</v>
      </c>
      <c r="K46" s="31"/>
    </row>
    <row r="47" spans="1:13" x14ac:dyDescent="0.25">
      <c r="A47" s="28"/>
      <c r="B47" s="34"/>
      <c r="C47" s="29"/>
      <c r="D47" s="30"/>
      <c r="E47" s="31"/>
      <c r="F47" s="31"/>
      <c r="G47" s="33"/>
      <c r="H47" s="32"/>
      <c r="I47" s="33"/>
      <c r="J47" s="52"/>
      <c r="K47" s="31"/>
    </row>
    <row r="48" spans="1:13" ht="75" x14ac:dyDescent="0.25">
      <c r="A48" s="28">
        <v>5</v>
      </c>
      <c r="B48" s="47" t="s">
        <v>44</v>
      </c>
      <c r="C48" s="29" t="s">
        <v>7</v>
      </c>
      <c r="D48" s="54" t="s">
        <v>46</v>
      </c>
      <c r="E48" s="54" t="s">
        <v>47</v>
      </c>
      <c r="F48" s="54" t="s">
        <v>48</v>
      </c>
      <c r="G48" s="54" t="s">
        <v>49</v>
      </c>
      <c r="H48" s="32"/>
      <c r="I48" s="33"/>
      <c r="J48" s="52"/>
      <c r="K48" s="31"/>
    </row>
    <row r="49" spans="1:35" x14ac:dyDescent="0.25">
      <c r="A49" s="28"/>
      <c r="B49" s="50" t="str">
        <f>B25</f>
        <v>-For roadside drain</v>
      </c>
      <c r="C49" s="29">
        <f>(TRUNC(((0.6-0.1)/0.15),0)+1)+(TRUNC(((0.45-0.1)/0.15),0)*2)+2</f>
        <v>10</v>
      </c>
      <c r="D49" s="30">
        <f>SUM(M!D34:D41)-0.1</f>
        <v>36.67</v>
      </c>
      <c r="E49" s="31">
        <f t="shared" ref="E49:E54" si="12">10*10/162</f>
        <v>0.61728395061728392</v>
      </c>
      <c r="F49" s="31">
        <f t="shared" ref="F49:F54" si="13">PRODUCT(C49:E49)</f>
        <v>226.35802469135805</v>
      </c>
      <c r="G49" s="40">
        <f t="shared" ref="G49:G54" si="14">F49/1000</f>
        <v>0.22635802469135805</v>
      </c>
      <c r="H49" s="32"/>
      <c r="I49" s="33"/>
      <c r="J49" s="39"/>
      <c r="K49" s="31"/>
    </row>
    <row r="50" spans="1:35" x14ac:dyDescent="0.25">
      <c r="A50" s="28"/>
      <c r="B50" s="50"/>
      <c r="C50" s="29">
        <f>TRUNC(((D49-0.1)/0.15),0)</f>
        <v>243</v>
      </c>
      <c r="D50" s="30">
        <f>(0.6-0.1)+(0.45-0.1)*1.9</f>
        <v>1.165</v>
      </c>
      <c r="E50" s="31">
        <f t="shared" si="12"/>
        <v>0.61728395061728392</v>
      </c>
      <c r="F50" s="31">
        <f t="shared" si="13"/>
        <v>174.75</v>
      </c>
      <c r="G50" s="40">
        <f t="shared" si="14"/>
        <v>0.17474999999999999</v>
      </c>
      <c r="H50" s="32"/>
      <c r="I50" s="33"/>
      <c r="J50" s="33"/>
      <c r="K50" s="31"/>
    </row>
    <row r="51" spans="1:35" x14ac:dyDescent="0.25">
      <c r="A51" s="28"/>
      <c r="B51" s="50" t="str">
        <f>B43</f>
        <v>-Drain slab 1</v>
      </c>
      <c r="C51" s="29">
        <f>(TRUNC(((D52)/0.15),0)+1)*C43</f>
        <v>4</v>
      </c>
      <c r="D51" s="30">
        <f>D43-0.1-(46*0.1)</f>
        <v>47.17</v>
      </c>
      <c r="E51" s="31">
        <f t="shared" si="12"/>
        <v>0.61728395061728392</v>
      </c>
      <c r="F51" s="31">
        <f t="shared" si="13"/>
        <v>116.46913580246914</v>
      </c>
      <c r="G51" s="40">
        <f t="shared" si="14"/>
        <v>0.11646913580246913</v>
      </c>
      <c r="H51" s="32"/>
      <c r="I51" s="33"/>
      <c r="J51" s="39"/>
      <c r="K51" s="31"/>
    </row>
    <row r="52" spans="1:35" x14ac:dyDescent="0.25">
      <c r="A52" s="28"/>
      <c r="B52" s="50"/>
      <c r="C52" s="29">
        <f>(TRUNC(((D51)/0.175),0)+1)</f>
        <v>270</v>
      </c>
      <c r="D52" s="30">
        <f>(E43-0.1)</f>
        <v>0.52108695652173931</v>
      </c>
      <c r="E52" s="31">
        <f t="shared" si="12"/>
        <v>0.61728395061728392</v>
      </c>
      <c r="F52" s="31">
        <f t="shared" si="13"/>
        <v>86.847826086956559</v>
      </c>
      <c r="G52" s="40">
        <f t="shared" si="14"/>
        <v>8.6847826086956556E-2</v>
      </c>
      <c r="H52" s="32"/>
      <c r="I52" s="33"/>
      <c r="J52" s="39"/>
      <c r="K52" s="31"/>
    </row>
    <row r="53" spans="1:35" x14ac:dyDescent="0.25">
      <c r="A53" s="28"/>
      <c r="B53" s="50" t="str">
        <f>B44</f>
        <v>-Drain slab 2</v>
      </c>
      <c r="C53" s="29">
        <f>(TRUNC(((D54)/0.15),0)+1)-3</f>
        <v>5</v>
      </c>
      <c r="D53" s="30">
        <f>D44-0.1</f>
        <v>3.6999999999999997</v>
      </c>
      <c r="E53" s="31">
        <f t="shared" si="12"/>
        <v>0.61728395061728392</v>
      </c>
      <c r="F53" s="31">
        <f t="shared" si="13"/>
        <v>11.419753086419753</v>
      </c>
      <c r="G53" s="40">
        <f t="shared" si="14"/>
        <v>1.1419753086419753E-2</v>
      </c>
      <c r="H53" s="32"/>
      <c r="I53" s="33"/>
      <c r="J53" s="39"/>
      <c r="K53" s="31"/>
    </row>
    <row r="54" spans="1:35" x14ac:dyDescent="0.25">
      <c r="A54" s="28"/>
      <c r="B54" s="50"/>
      <c r="C54" s="29">
        <f>(TRUNC(((D53)/0.15),0)+1)-10</f>
        <v>15</v>
      </c>
      <c r="D54" s="30">
        <f>(E44-0.1)</f>
        <v>1.0999999999999999</v>
      </c>
      <c r="E54" s="31">
        <f t="shared" si="12"/>
        <v>0.61728395061728392</v>
      </c>
      <c r="F54" s="31">
        <f t="shared" si="13"/>
        <v>10.185185185185182</v>
      </c>
      <c r="G54" s="40">
        <f t="shared" si="14"/>
        <v>1.0185185185185181E-2</v>
      </c>
      <c r="H54" s="32"/>
      <c r="I54" s="33"/>
      <c r="J54" s="39"/>
      <c r="K54" s="31"/>
    </row>
    <row r="55" spans="1:35" x14ac:dyDescent="0.25">
      <c r="A55" s="28"/>
      <c r="B55" s="34" t="s">
        <v>41</v>
      </c>
      <c r="C55" s="29"/>
      <c r="D55" s="30"/>
      <c r="E55" s="31"/>
      <c r="F55" s="31"/>
      <c r="G55" s="55">
        <f>0*SUM(G49:G54)</f>
        <v>0</v>
      </c>
      <c r="H55" s="32" t="s">
        <v>45</v>
      </c>
      <c r="I55" s="53">
        <v>122648</v>
      </c>
      <c r="J55" s="39">
        <f>G55*I55</f>
        <v>0</v>
      </c>
      <c r="K55" s="31"/>
    </row>
    <row r="56" spans="1:35" hidden="1" x14ac:dyDescent="0.25">
      <c r="A56" s="28"/>
      <c r="B56" s="34" t="s">
        <v>37</v>
      </c>
      <c r="C56" s="29"/>
      <c r="D56" s="30"/>
      <c r="E56" s="31"/>
      <c r="F56" s="31"/>
      <c r="G56" s="33"/>
      <c r="H56" s="32"/>
      <c r="I56" s="33"/>
      <c r="J56" s="52">
        <f>0.13*G55*(109748)</f>
        <v>0</v>
      </c>
      <c r="K56" s="31"/>
    </row>
    <row r="57" spans="1:35" x14ac:dyDescent="0.25">
      <c r="A57" s="28"/>
      <c r="B57" s="34"/>
      <c r="C57" s="29"/>
      <c r="D57" s="30"/>
      <c r="E57" s="31"/>
      <c r="F57" s="31"/>
      <c r="G57" s="33"/>
      <c r="H57" s="32"/>
      <c r="I57" s="33"/>
      <c r="J57" s="52"/>
      <c r="K57" s="31"/>
    </row>
    <row r="58" spans="1:35" x14ac:dyDescent="0.25">
      <c r="A58" s="43">
        <v>6</v>
      </c>
      <c r="B58" s="41" t="s">
        <v>35</v>
      </c>
      <c r="C58" s="29">
        <v>1</v>
      </c>
      <c r="D58" s="30"/>
      <c r="E58" s="31"/>
      <c r="F58" s="31"/>
      <c r="G58" s="39">
        <f>PRODUCT(C58:F58)</f>
        <v>1</v>
      </c>
      <c r="H58" s="32" t="s">
        <v>36</v>
      </c>
      <c r="I58" s="33">
        <v>500</v>
      </c>
      <c r="J58" s="8">
        <f>G58*I58</f>
        <v>500</v>
      </c>
      <c r="K58" s="31"/>
    </row>
    <row r="59" spans="1:35" x14ac:dyDescent="0.25">
      <c r="A59" s="10"/>
      <c r="B59" s="27"/>
      <c r="C59" s="9"/>
      <c r="D59" s="7"/>
      <c r="E59" s="7"/>
      <c r="F59" s="7"/>
      <c r="G59" s="8"/>
      <c r="H59" s="8"/>
      <c r="I59" s="8"/>
      <c r="J59" s="8"/>
      <c r="K59" s="4"/>
      <c r="M59" s="44"/>
    </row>
    <row r="60" spans="1:35" x14ac:dyDescent="0.25">
      <c r="A60" s="10"/>
      <c r="B60" s="27" t="s">
        <v>17</v>
      </c>
      <c r="C60" s="9"/>
      <c r="D60" s="7"/>
      <c r="E60" s="7"/>
      <c r="F60" s="7"/>
      <c r="G60" s="8"/>
      <c r="H60" s="8"/>
      <c r="I60" s="8"/>
      <c r="J60" s="8">
        <f>SUM(J9:J59)</f>
        <v>152476.70512129119</v>
      </c>
      <c r="K60" s="4"/>
      <c r="M60" s="44"/>
    </row>
    <row r="61" spans="1:35" x14ac:dyDescent="0.25">
      <c r="M61" s="44"/>
      <c r="N61" s="45"/>
      <c r="O61" s="45"/>
      <c r="P61" s="45"/>
      <c r="Q61" s="45"/>
      <c r="R61" s="45"/>
      <c r="S61" s="45"/>
      <c r="T61" s="45"/>
      <c r="U61" s="45"/>
      <c r="V61" s="45"/>
      <c r="W61" s="45"/>
      <c r="X61" s="45"/>
      <c r="Y61" s="44"/>
      <c r="Z61" s="44"/>
      <c r="AA61" s="44"/>
      <c r="AB61" s="44"/>
      <c r="AC61" s="44"/>
      <c r="AD61" s="44"/>
      <c r="AE61" s="44"/>
      <c r="AF61" s="44"/>
      <c r="AG61" s="44"/>
      <c r="AH61" s="44"/>
      <c r="AI61" s="44"/>
    </row>
    <row r="62" spans="1:35" s="1" customFormat="1" hidden="1" x14ac:dyDescent="0.25">
      <c r="B62" s="17" t="s">
        <v>32</v>
      </c>
      <c r="C62" s="97">
        <f>J60</f>
        <v>152476.70512129119</v>
      </c>
      <c r="D62" s="98"/>
      <c r="E62" s="15">
        <v>100</v>
      </c>
      <c r="F62" s="19"/>
      <c r="G62" s="20"/>
      <c r="H62" s="19"/>
      <c r="I62" s="21"/>
      <c r="J62" s="22"/>
      <c r="K62" s="23"/>
      <c r="M62" s="19"/>
      <c r="N62" s="45"/>
      <c r="O62" s="45"/>
      <c r="P62" s="45"/>
      <c r="Q62" s="45"/>
      <c r="R62" s="45"/>
      <c r="S62" s="45"/>
      <c r="T62" s="45"/>
      <c r="U62" s="45"/>
      <c r="V62" s="45"/>
      <c r="W62" s="45"/>
      <c r="X62" s="45"/>
      <c r="Y62" s="19"/>
      <c r="Z62" s="19"/>
      <c r="AA62" s="19"/>
      <c r="AB62" s="19"/>
      <c r="AC62" s="19"/>
      <c r="AD62" s="19"/>
      <c r="AE62" s="19"/>
      <c r="AF62" s="19"/>
      <c r="AG62" s="19"/>
      <c r="AH62" s="19"/>
      <c r="AI62" s="19"/>
    </row>
    <row r="63" spans="1:35" hidden="1" x14ac:dyDescent="0.25">
      <c r="B63" s="17" t="s">
        <v>27</v>
      </c>
      <c r="C63" s="101">
        <v>210000</v>
      </c>
      <c r="D63" s="102"/>
      <c r="E63" s="15"/>
      <c r="M63" s="44"/>
      <c r="N63" s="45"/>
      <c r="O63" s="45"/>
      <c r="P63" s="45"/>
      <c r="Q63" s="45"/>
      <c r="R63" s="45"/>
      <c r="S63" s="45"/>
      <c r="T63" s="45"/>
      <c r="U63" s="45"/>
      <c r="V63" s="45"/>
      <c r="W63" s="45"/>
      <c r="X63" s="45"/>
      <c r="Y63" s="44"/>
      <c r="Z63" s="44"/>
      <c r="AA63" s="44"/>
      <c r="AB63" s="44"/>
      <c r="AC63" s="44"/>
      <c r="AD63" s="44"/>
      <c r="AE63" s="44"/>
      <c r="AF63" s="44"/>
      <c r="AG63" s="44"/>
      <c r="AH63" s="44"/>
      <c r="AI63" s="44"/>
    </row>
    <row r="64" spans="1:35" hidden="1" x14ac:dyDescent="0.25">
      <c r="B64" s="17" t="s">
        <v>28</v>
      </c>
      <c r="C64" s="101">
        <f>C63-C66-C67</f>
        <v>199500</v>
      </c>
      <c r="D64" s="102"/>
      <c r="E64" s="15">
        <f>C64/C62*100</f>
        <v>130.83965832112062</v>
      </c>
      <c r="M64" s="44"/>
      <c r="N64" s="44"/>
      <c r="O64" s="44"/>
      <c r="P64" s="44"/>
      <c r="Q64" s="44"/>
      <c r="R64" s="44"/>
      <c r="S64" s="44"/>
      <c r="T64" s="44"/>
      <c r="U64" s="44"/>
      <c r="V64" s="44"/>
      <c r="W64" s="44"/>
      <c r="X64" s="44"/>
      <c r="Y64" s="44"/>
      <c r="Z64" s="44"/>
      <c r="AA64" s="44"/>
      <c r="AB64" s="44"/>
      <c r="AC64" s="44"/>
      <c r="AD64" s="44"/>
      <c r="AE64" s="44"/>
      <c r="AF64" s="44"/>
      <c r="AG64" s="44"/>
      <c r="AH64" s="44"/>
      <c r="AI64" s="44"/>
    </row>
    <row r="65" spans="2:35" hidden="1" x14ac:dyDescent="0.25">
      <c r="B65" s="17" t="s">
        <v>29</v>
      </c>
      <c r="C65" s="103">
        <f>C62-C64</f>
        <v>-47023.29487870881</v>
      </c>
      <c r="D65" s="103"/>
      <c r="E65" s="15">
        <f>100-E64</f>
        <v>-30.839658321120623</v>
      </c>
      <c r="M65" s="44"/>
      <c r="N65" s="44"/>
      <c r="O65" s="44"/>
      <c r="P65" s="44"/>
      <c r="Q65" s="44"/>
      <c r="R65" s="44"/>
      <c r="S65" s="44"/>
      <c r="T65" s="44"/>
      <c r="U65" s="44"/>
      <c r="V65" s="44"/>
      <c r="W65" s="44"/>
      <c r="X65" s="44"/>
      <c r="Y65" s="44"/>
      <c r="Z65" s="44"/>
      <c r="AA65" s="44"/>
      <c r="AB65" s="44"/>
      <c r="AC65" s="44"/>
      <c r="AD65" s="44"/>
      <c r="AE65" s="44"/>
      <c r="AF65" s="44"/>
      <c r="AG65" s="44"/>
      <c r="AH65" s="44"/>
      <c r="AI65" s="44"/>
    </row>
    <row r="66" spans="2:35" hidden="1" x14ac:dyDescent="0.25">
      <c r="B66" s="17" t="s">
        <v>30</v>
      </c>
      <c r="C66" s="97">
        <f>C63*0.03</f>
        <v>6300</v>
      </c>
      <c r="D66" s="98"/>
      <c r="E66" s="15">
        <v>3</v>
      </c>
      <c r="M66" s="44"/>
      <c r="N66" s="44"/>
      <c r="O66" s="44"/>
      <c r="P66" s="44"/>
      <c r="Q66" s="44"/>
      <c r="R66" s="44"/>
      <c r="S66" s="44"/>
      <c r="T66" s="44"/>
      <c r="U66" s="44"/>
      <c r="V66" s="44"/>
      <c r="W66" s="44"/>
      <c r="X66" s="44"/>
      <c r="Y66" s="44"/>
      <c r="Z66" s="44"/>
      <c r="AA66" s="44"/>
      <c r="AB66" s="44"/>
      <c r="AC66" s="44"/>
      <c r="AD66" s="44"/>
      <c r="AE66" s="44"/>
      <c r="AF66" s="44"/>
      <c r="AG66" s="44"/>
      <c r="AH66" s="44"/>
      <c r="AI66" s="44"/>
    </row>
    <row r="67" spans="2:35" hidden="1" x14ac:dyDescent="0.25">
      <c r="B67" s="17" t="s">
        <v>31</v>
      </c>
      <c r="C67" s="97">
        <f>C63*0.02</f>
        <v>4200</v>
      </c>
      <c r="D67" s="98"/>
      <c r="E67" s="15">
        <v>2</v>
      </c>
      <c r="M67" s="44"/>
      <c r="N67" s="44"/>
      <c r="O67" s="44"/>
      <c r="P67" s="44"/>
      <c r="Q67" s="44"/>
      <c r="R67" s="44"/>
      <c r="S67" s="44"/>
      <c r="T67" s="44"/>
      <c r="U67" s="44"/>
      <c r="V67" s="44"/>
      <c r="W67" s="44"/>
      <c r="X67" s="44"/>
      <c r="Y67" s="44"/>
      <c r="Z67" s="44"/>
      <c r="AA67" s="44"/>
      <c r="AB67" s="44"/>
      <c r="AC67" s="44"/>
      <c r="AD67" s="44"/>
      <c r="AE67" s="44"/>
      <c r="AF67" s="44"/>
      <c r="AG67" s="44"/>
      <c r="AH67" s="44"/>
      <c r="AI67" s="44"/>
    </row>
  </sheetData>
  <mergeCells count="15">
    <mergeCell ref="C66:D66"/>
    <mergeCell ref="C67:D67"/>
    <mergeCell ref="A7:F7"/>
    <mergeCell ref="H7:K7"/>
    <mergeCell ref="C62:D62"/>
    <mergeCell ref="C63:D63"/>
    <mergeCell ref="C64:D64"/>
    <mergeCell ref="C65:D65"/>
    <mergeCell ref="A6:G6"/>
    <mergeCell ref="H6:K6"/>
    <mergeCell ref="A1:K1"/>
    <mergeCell ref="A2:K2"/>
    <mergeCell ref="A3:K3"/>
    <mergeCell ref="A4:K4"/>
    <mergeCell ref="A5:K5"/>
  </mergeCells>
  <printOptions horizontalCentered="1"/>
  <pageMargins left="0.7" right="0.7" top="0.75" bottom="0.75" header="0.3" footer="0.3"/>
  <pageSetup paperSize="9" orientation="portrait" horizontalDpi="300" verticalDpi="300" r:id="rId1"/>
  <headerFooter>
    <oddFooter>&amp;LPrepared By:
Kristal Suwal&amp;CChecked By:
Er. Milan Phuyal&amp;RApproved By:    
Er. Prakash Singh Saud</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8</vt:i4>
      </vt:variant>
    </vt:vector>
  </HeadingPairs>
  <TitlesOfParts>
    <vt:vector size="13" baseType="lpstr">
      <vt:lpstr>new</vt:lpstr>
      <vt:lpstr>WCR</vt:lpstr>
      <vt:lpstr>V</vt:lpstr>
      <vt:lpstr>Sheet1</vt:lpstr>
      <vt:lpstr>M</vt:lpstr>
      <vt:lpstr>M!Print_Area</vt:lpstr>
      <vt:lpstr>new!Print_Area</vt:lpstr>
      <vt:lpstr>V!Print_Area</vt:lpstr>
      <vt:lpstr>WCR!Print_Area</vt:lpstr>
      <vt:lpstr>M!Print_Titles</vt:lpstr>
      <vt:lpstr>new!Print_Titles</vt:lpstr>
      <vt:lpstr>V!Print_Titles</vt:lpstr>
      <vt:lpstr>WCR!Print_Titles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Info Hub</dc:creator>
  <cp:lastModifiedBy>Windows User</cp:lastModifiedBy>
  <cp:lastPrinted>2024-06-30T09:07:17Z</cp:lastPrinted>
  <dcterms:created xsi:type="dcterms:W3CDTF">2015-06-05T18:17:20Z</dcterms:created>
  <dcterms:modified xsi:type="dcterms:W3CDTF">2024-07-22T06:46:36Z</dcterms:modified>
</cp:coreProperties>
</file>