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_rels/externalLink4.xml.rels" ContentType="application/vnd.openxmlformats-package.relationships+xml"/>
  <Override PartName="/xl/externalLinks/_rels/externalLink3.xml.rels" ContentType="application/vnd.openxmlformats-package.relationships+xml"/>
  <Override PartName="/xl/externalLinks/_rels/externalLink2.xml.rels" ContentType="application/vnd.openxmlformats-package.relationships+xml"/>
  <Override PartName="/xl/externalLinks/_rels/externalLink1.xml.rels" ContentType="application/vnd.openxmlformats-package.relationship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ew" sheetId="1" state="visible" r:id="rId2"/>
    <sheet name="WCR" sheetId="2" state="visible" r:id="rId3"/>
    <sheet name="V" sheetId="3" state="visible" r:id="rId4"/>
    <sheet name="Sheet1" sheetId="4" state="hidden" r:id="rId5"/>
    <sheet name="M" sheetId="5" state="visible" r:id="rId6"/>
  </sheets>
  <externalReferences>
    <externalReference r:id="rId7"/>
    <externalReference r:id="rId8"/>
    <externalReference r:id="rId9"/>
    <externalReference r:id="rId10"/>
  </externalReferences>
  <definedNames>
    <definedName function="false" hidden="false" localSheetId="4" name="_xlnm.Print_Area" vbProcedure="false">M!$A$1:$K$67</definedName>
    <definedName function="false" hidden="false" localSheetId="4" name="_xlnm.Print_Titles" vbProcedure="false">M!$1:$8</definedName>
    <definedName function="false" hidden="false" localSheetId="0" name="_xlnm.Print_Area" vbProcedure="false">new!$A$1:$K$54</definedName>
    <definedName function="false" hidden="false" localSheetId="0" name="_xlnm.Print_Titles" vbProcedure="false">new!$1:$8</definedName>
    <definedName function="false" hidden="false" localSheetId="2" name="_xlnm.Print_Area" vbProcedure="false">V!$A$1:$K$67</definedName>
    <definedName function="false" hidden="false" localSheetId="2" name="_xlnm.Print_Titles" vbProcedure="false">V!$1:$8</definedName>
    <definedName function="false" hidden="false" localSheetId="1" name="_xlnm.Print_Area" vbProcedure="false">WCR!$A$1:$K$30</definedName>
    <definedName function="false" hidden="false" localSheetId="1" name="_xlnm.Print_Titles" vbProcedure="false">WCR!$1:$12</definedName>
    <definedName function="false" hidden="false" name="adopted_rate_aggregate_10_20_mm" vbProcedure="false">[1]District_Rate!$L$6</definedName>
    <definedName function="false" hidden="false" name="adopted_rate_aggregate_10_mm" vbProcedure="false">[1]District_Rate!$L$7</definedName>
    <definedName function="false" hidden="false" name="adopted_rate_aggregate_20_40_mm" vbProcedure="false">[1]District_Rate!$L$9</definedName>
    <definedName function="false" hidden="false" name="adopted_rate_binding_wire" vbProcedure="false">[1]District_Rate!$L$17</definedName>
    <definedName function="false" hidden="false" name="adopted_rate_cement" vbProcedure="false">[1]District_Rate!$L$25</definedName>
    <definedName function="false" hidden="false" name="adopted_rate_HYSD_bar" vbProcedure="false">[1]District_Rate!$L$73</definedName>
    <definedName function="false" hidden="false" name="adopted_rate_sand" vbProcedure="false">[1]District_Rate!$L$111</definedName>
    <definedName function="false" hidden="false" name="adopted_rate_water" vbProcedure="false">[1]District_Rate!$L$129</definedName>
    <definedName function="false" hidden="false" name="concrete_mixer" vbProcedure="false">[1]Equipment_Rate!$J$10</definedName>
    <definedName function="false" hidden="false" name="description_1" vbProcedure="false">[2]Abstract!$B$167</definedName>
    <definedName function="false" hidden="false" name="description_124" vbProcedure="false">[3]Abstract!$B$18</definedName>
    <definedName function="false" hidden="false" name="description_2" vbProcedure="false">[2]Abstract!$B$168</definedName>
    <definedName function="false" hidden="false" name="description_261" vbProcedure="false">[4]Abstract!$B$33</definedName>
    <definedName function="false" hidden="false" name="description_6" vbProcedure="false">[2]Abstract!$B$172</definedName>
    <definedName function="false" hidden="false" name="description_784" vbProcedure="false">[2]Abstract!$B$300</definedName>
    <definedName function="false" hidden="false" name="excavator" vbProcedure="false">[1]Equipment_Rate!$J$19</definedName>
    <definedName function="false" hidden="false" name="generator" vbProcedure="false">[1]Equipment_Rate!$J$20</definedName>
    <definedName function="false" hidden="false" name="skilled" vbProcedure="false">[1]District_Rate!$D$148</definedName>
    <definedName function="false" hidden="false" name="skilled_blacksmith" vbProcedure="false">[1]District_Rate!$D$149</definedName>
    <definedName function="false" hidden="false" name="unskilled" vbProcedure="false">[1]District_Rate!$D$156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<sst xmlns="http://schemas.openxmlformats.org/spreadsheetml/2006/main" count="481" uniqueCount="136">
  <si>
    <t xml:space="preserve">Government of Nepal</t>
  </si>
  <si>
    <t xml:space="preserve">Shankharapur Municipality Office</t>
  </si>
  <si>
    <t xml:space="preserve">Bagmati Province</t>
  </si>
  <si>
    <t xml:space="preserve">Sankhu, Kathmandu</t>
  </si>
  <si>
    <t xml:space="preserve">Detail Estimated Sheet</t>
  </si>
  <si>
    <t xml:space="preserve">Project:- </t>
  </si>
  <si>
    <t xml:space="preserve">F.Y.: 2081/082     </t>
  </si>
  <si>
    <t xml:space="preserve">Location:- Shankharapur Municipality 9</t>
  </si>
  <si>
    <t xml:space="preserve">Date:                     </t>
  </si>
  <si>
    <t xml:space="preserve">S.N.</t>
  </si>
  <si>
    <t xml:space="preserve">Description of works</t>
  </si>
  <si>
    <t xml:space="preserve">No.</t>
  </si>
  <si>
    <t xml:space="preserve">Length</t>
  </si>
  <si>
    <t xml:space="preserve">Breadth</t>
  </si>
  <si>
    <t xml:space="preserve">Height</t>
  </si>
  <si>
    <t xml:space="preserve">Quantity</t>
  </si>
  <si>
    <t xml:space="preserve">Unit</t>
  </si>
  <si>
    <t xml:space="preserve">Rate</t>
  </si>
  <si>
    <t xml:space="preserve">Amount</t>
  </si>
  <si>
    <t xml:space="preserve">Remarks</t>
  </si>
  <si>
    <t xml:space="preserve">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t>
  </si>
  <si>
    <t xml:space="preserve">-For roadside drain</t>
  </si>
  <si>
    <t xml:space="preserve">Sub-total</t>
  </si>
  <si>
    <t xml:space="preserve">cum</t>
  </si>
  <si>
    <t xml:space="preserve">VAT 13% for material</t>
  </si>
  <si>
    <t xml:space="preserve">Providing and laying of hand pack locally available Stone soling with 150 to 200 mm thick stones and packing with smaller stone on prepared surface as per Drawing and Technical Specifications.</t>
  </si>
  <si>
    <t xml:space="preserve">Providing and laying of Plain/Reinforced Cement Concrete in Foundation complete as per Drawing and Technical Specifications, PCC Grade M 15</t>
  </si>
  <si>
    <t xml:space="preserve">Providing and laying of Plain/Reinforced Cement Concrete in Foundation complete as per Drawing and Technical Specifications., RCC Grade M20</t>
  </si>
  <si>
    <t xml:space="preserve">-Concrete speed breaker</t>
  </si>
  <si>
    <t xml:space="preserve">Providing and laying , fitting and placing HYSD bar reinforcement in sub-structure complete as per Drawing and Technical Specifications</t>
  </si>
  <si>
    <t xml:space="preserve">Length (m)</t>
  </si>
  <si>
    <t xml:space="preserve">Unit Wt. (Kg/m)</t>
  </si>
  <si>
    <t xml:space="preserve">Total Wt. (Kg)</t>
  </si>
  <si>
    <t xml:space="preserve">Total Wt. (tonne)</t>
  </si>
  <si>
    <t xml:space="preserve">Item</t>
  </si>
  <si>
    <t xml:space="preserve">W/OVAT Amount</t>
  </si>
  <si>
    <t xml:space="preserve">VAT</t>
  </si>
  <si>
    <t xml:space="preserve">Total</t>
  </si>
  <si>
    <t xml:space="preserve">stone</t>
  </si>
  <si>
    <t xml:space="preserve">Cement</t>
  </si>
  <si>
    <t xml:space="preserve">Sand</t>
  </si>
  <si>
    <t xml:space="preserve">aggregate</t>
  </si>
  <si>
    <t xml:space="preserve">water</t>
  </si>
  <si>
    <t xml:space="preserve">tonne</t>
  </si>
  <si>
    <t xml:space="preserve">steel</t>
  </si>
  <si>
    <t xml:space="preserve">wire</t>
  </si>
  <si>
    <t xml:space="preserve">jcb</t>
  </si>
  <si>
    <t xml:space="preserve">Information board</t>
  </si>
  <si>
    <t xml:space="preserve">no.</t>
  </si>
  <si>
    <t xml:space="preserve">formwork</t>
  </si>
  <si>
    <t xml:space="preserve">Grand Total</t>
  </si>
  <si>
    <t xml:space="preserve">Total Estimated</t>
  </si>
  <si>
    <t xml:space="preserve">Budget allocated</t>
  </si>
  <si>
    <t xml:space="preserve">Municipal payment</t>
  </si>
  <si>
    <t xml:space="preserve">User Contribution</t>
  </si>
  <si>
    <t xml:space="preserve">Contingencies </t>
  </si>
  <si>
    <t xml:space="preserve">Maintanince </t>
  </si>
  <si>
    <t xml:space="preserve">Work Completion Report</t>
  </si>
  <si>
    <t xml:space="preserve">Total Estimated Amount:</t>
  </si>
  <si>
    <t xml:space="preserve">Total Valuated Amount :</t>
  </si>
  <si>
    <t xml:space="preserve">Work Started : </t>
  </si>
  <si>
    <t xml:space="preserve">Work Finished:       </t>
  </si>
  <si>
    <t xml:space="preserve">F.Y:2080/2081</t>
  </si>
  <si>
    <t xml:space="preserve">Date:2081/03/16</t>
  </si>
  <si>
    <t xml:space="preserve">S.No.</t>
  </si>
  <si>
    <t xml:space="preserve">Description</t>
  </si>
  <si>
    <t xml:space="preserve">Estimated</t>
  </si>
  <si>
    <t xml:space="preserve">Valuated</t>
  </si>
  <si>
    <t xml:space="preserve">Difference</t>
  </si>
  <si>
    <t xml:space="preserve">Quantity </t>
  </si>
  <si>
    <t xml:space="preserve">Detail Valuated Sheet</t>
  </si>
  <si>
    <t xml:space="preserve">Project:- कालिका मन्दिर मुनि ढल व्यवस्थापन स्तरोन्नति</t>
  </si>
  <si>
    <t xml:space="preserve">F.Y.: 2080/81     </t>
  </si>
  <si>
    <t xml:space="preserve">Date:2080/03/16</t>
  </si>
  <si>
    <t xml:space="preserve">Description of work</t>
  </si>
  <si>
    <t xml:space="preserve">W1</t>
  </si>
  <si>
    <t xml:space="preserve">W2</t>
  </si>
  <si>
    <t xml:space="preserve">breadth</t>
  </si>
  <si>
    <t xml:space="preserve">height</t>
  </si>
  <si>
    <t xml:space="preserve">wide</t>
  </si>
  <si>
    <t xml:space="preserve">Wide base of drain</t>
  </si>
  <si>
    <t xml:space="preserve">Providing and laying of Plain/Reinforced Cement Concrete in Foundation complete as per Drawing and Technical Specifications., RCC Grade M 20</t>
  </si>
  <si>
    <t xml:space="preserve">-Drain shear wall</t>
  </si>
  <si>
    <t xml:space="preserve">-Drain slab 1</t>
  </si>
  <si>
    <t xml:space="preserve">-Drain slab 2</t>
  </si>
  <si>
    <t xml:space="preserve">Total Valuated</t>
  </si>
  <si>
    <t xml:space="preserve">Description of Work:</t>
  </si>
  <si>
    <t xml:space="preserve">360 cum</t>
  </si>
  <si>
    <t xml:space="preserve">Spec. cl. No: 905</t>
  </si>
  <si>
    <t xml:space="preserve">Norms No.</t>
  </si>
  <si>
    <t xml:space="preserve">Labour (A)</t>
  </si>
  <si>
    <t xml:space="preserve">Material (B)</t>
  </si>
  <si>
    <t xml:space="preserve">Equipment (C)</t>
  </si>
  <si>
    <t xml:space="preserve">Formworks (D)</t>
  </si>
  <si>
    <t xml:space="preserve">Type</t>
  </si>
  <si>
    <t xml:space="preserve">9.1.I.B</t>
  </si>
  <si>
    <t xml:space="preserve">Skilled</t>
  </si>
  <si>
    <t xml:space="preserve">day</t>
  </si>
  <si>
    <t xml:space="preserve">Hydraulic Excavator</t>
  </si>
  <si>
    <t xml:space="preserve">hour</t>
  </si>
  <si>
    <t xml:space="preserve">Unskilled</t>
  </si>
  <si>
    <t xml:space="preserve">Sub total of A =</t>
  </si>
  <si>
    <t xml:space="preserve">Sub total of B =</t>
  </si>
  <si>
    <t xml:space="preserve">Sub total of C =</t>
  </si>
  <si>
    <t xml:space="preserve">Sub total of D =</t>
  </si>
  <si>
    <t xml:space="preserve">Sub total of A +B + C =</t>
  </si>
  <si>
    <t xml:space="preserve">Sub total of A + B + C + D=</t>
  </si>
  <si>
    <t xml:space="preserve">Contractor's overhead expenses 15% =</t>
  </si>
  <si>
    <t xml:space="preserve">Norms Rate =</t>
  </si>
  <si>
    <t xml:space="preserve">Unit Rate =</t>
  </si>
  <si>
    <t xml:space="preserve">5 Cum</t>
  </si>
  <si>
    <t xml:space="preserve">Spec. cl. No: N/A</t>
  </si>
  <si>
    <t xml:space="preserve">10.8.</t>
  </si>
  <si>
    <t xml:space="preserve">Stone</t>
  </si>
  <si>
    <t xml:space="preserve">15 cum</t>
  </si>
  <si>
    <t xml:space="preserve">Spec. cl. No: 2000</t>
  </si>
  <si>
    <t xml:space="preserve">20.2.A</t>
  </si>
  <si>
    <t xml:space="preserve">Concrete Mixer</t>
  </si>
  <si>
    <t xml:space="preserve">@ 4 per cent on cost of concrete i.e. cost of Material, Labour and Equipment</t>
  </si>
  <si>
    <t xml:space="preserve">Coarse Sand</t>
  </si>
  <si>
    <t xml:space="preserve">Generator</t>
  </si>
  <si>
    <t xml:space="preserve">Aggregate 40 mm</t>
  </si>
  <si>
    <t xml:space="preserve">Aggregate 20 mm</t>
  </si>
  <si>
    <t xml:space="preserve">Aggregate 10 mm</t>
  </si>
  <si>
    <t xml:space="preserve">Water</t>
  </si>
  <si>
    <t xml:space="preserve">KL</t>
  </si>
  <si>
    <t xml:space="preserve">20.2.C</t>
  </si>
  <si>
    <t xml:space="preserve">@ 4 per cent on (a+b+c)</t>
  </si>
  <si>
    <t xml:space="preserve">1 tonne</t>
  </si>
  <si>
    <t xml:space="preserve">Spec. cl. No: 2014</t>
  </si>
  <si>
    <t xml:space="preserve">20.5</t>
  </si>
  <si>
    <t xml:space="preserve">Skilled (Blacksmith)</t>
  </si>
  <si>
    <t xml:space="preserve">HYSD Bar</t>
  </si>
  <si>
    <t xml:space="preserve">Binding Wire</t>
  </si>
  <si>
    <t xml:space="preserve">kg</t>
  </si>
  <si>
    <t xml:space="preserve">Detail Quantity Measurement Sheet</t>
  </si>
</sst>
</file>

<file path=xl/styles.xml><?xml version="1.0" encoding="utf-8"?>
<styleSheet xmlns="http://schemas.openxmlformats.org/spreadsheetml/2006/main">
  <numFmts count="7">
    <numFmt numFmtId="164" formatCode="General"/>
    <numFmt numFmtId="165" formatCode="_(* #,##0.00_);_(* \(#,##0.00\);_(* \-??_);_(@_)"/>
    <numFmt numFmtId="166" formatCode="0"/>
    <numFmt numFmtId="167" formatCode="0.00"/>
    <numFmt numFmtId="168" formatCode="0.0"/>
    <numFmt numFmtId="169" formatCode="0.000"/>
    <numFmt numFmtId="170" formatCode="General"/>
  </numFmts>
  <fonts count="20">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1"/>
      <color rgb="FF000000"/>
      <name val="Calibri"/>
      <family val="2"/>
      <charset val="1"/>
    </font>
    <font>
      <b val="true"/>
      <sz val="11"/>
      <color rgb="FF000000"/>
      <name val="Times New Roman"/>
      <family val="1"/>
      <charset val="1"/>
    </font>
    <font>
      <b val="true"/>
      <sz val="18"/>
      <color rgb="FF000000"/>
      <name val="Times New Roman"/>
      <family val="1"/>
      <charset val="1"/>
    </font>
    <font>
      <b val="true"/>
      <sz val="14"/>
      <color rgb="FF000000"/>
      <name val="Times New Roman"/>
      <family val="1"/>
      <charset val="1"/>
    </font>
    <font>
      <sz val="14"/>
      <color rgb="FF000000"/>
      <name val="Times New Roman"/>
      <family val="1"/>
      <charset val="1"/>
    </font>
    <font>
      <sz val="12"/>
      <color rgb="FF000000"/>
      <name val="Times New Roman"/>
      <family val="1"/>
      <charset val="1"/>
    </font>
    <font>
      <b val="true"/>
      <sz val="12"/>
      <color rgb="FF000000"/>
      <name val="Times New Roman"/>
      <family val="1"/>
      <charset val="1"/>
    </font>
    <font>
      <b val="true"/>
      <sz val="11"/>
      <name val="Times New Roman"/>
      <family val="1"/>
      <charset val="1"/>
    </font>
    <font>
      <sz val="11"/>
      <name val="Times New Roman"/>
      <family val="1"/>
      <charset val="1"/>
    </font>
    <font>
      <sz val="11"/>
      <color rgb="FF000000"/>
      <name val="Times New Roman"/>
      <family val="1"/>
      <charset val="1"/>
    </font>
    <font>
      <b val="true"/>
      <sz val="20"/>
      <color rgb="FF000000"/>
      <name val="Times New Roman"/>
      <family val="1"/>
      <charset val="1"/>
    </font>
    <font>
      <b val="true"/>
      <sz val="14"/>
      <color rgb="FF000000"/>
      <name val="Calibri"/>
      <family val="2"/>
      <charset val="1"/>
    </font>
    <font>
      <sz val="12"/>
      <color rgb="FF000000"/>
      <name val="Calibri"/>
      <family val="2"/>
      <charset val="1"/>
    </font>
    <font>
      <sz val="14"/>
      <color rgb="FF000000"/>
      <name val="Calibri"/>
      <family val="2"/>
      <charset val="1"/>
    </font>
    <font>
      <sz val="12"/>
      <name val="Times New Roman"/>
      <family val="1"/>
      <charset val="1"/>
    </font>
  </fonts>
  <fills count="9">
    <fill>
      <patternFill patternType="none"/>
    </fill>
    <fill>
      <patternFill patternType="gray125"/>
    </fill>
    <fill>
      <patternFill patternType="solid">
        <fgColor rgb="FFD9D9D9"/>
        <bgColor rgb="FFC0C0C0"/>
      </patternFill>
    </fill>
    <fill>
      <patternFill patternType="solid">
        <fgColor rgb="FFFFFF00"/>
        <bgColor rgb="FFFFFF00"/>
      </patternFill>
    </fill>
    <fill>
      <patternFill patternType="solid">
        <fgColor rgb="FFFDFCD9"/>
        <bgColor rgb="FFFFFFFF"/>
      </patternFill>
    </fill>
    <fill>
      <patternFill patternType="solid">
        <fgColor rgb="FFB9FFCB"/>
        <bgColor rgb="FFCCFFFF"/>
      </patternFill>
    </fill>
    <fill>
      <patternFill patternType="solid">
        <fgColor rgb="FF86D7F6"/>
        <bgColor rgb="FFC0C0C0"/>
      </patternFill>
    </fill>
    <fill>
      <patternFill patternType="solid">
        <fgColor rgb="FFD2FFFE"/>
        <bgColor rgb="FFCCFFFF"/>
      </patternFill>
    </fill>
    <fill>
      <patternFill patternType="solid">
        <fgColor rgb="FF00B050"/>
        <bgColor rgb="FF00808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128">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right" vertical="bottom" textRotation="0" wrapText="fals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5" fontId="11" fillId="0" borderId="0" xfId="15" applyFont="true" applyBorder="true" applyAlignment="true" applyProtection="true">
      <alignment horizontal="general"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xf numFmtId="164" fontId="11" fillId="0" borderId="1" xfId="0" applyFont="true" applyBorder="true" applyAlignment="true" applyProtection="false">
      <alignment horizontal="center" vertical="top" textRotation="0" wrapText="true" indent="0" shrinkToFit="false"/>
      <protection locked="true" hidden="false"/>
    </xf>
    <xf numFmtId="165" fontId="11" fillId="0" borderId="1" xfId="15" applyFont="true" applyBorder="true" applyAlignment="true" applyProtection="true">
      <alignment horizontal="center"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true" indent="0" shrinkToFit="false"/>
      <protection locked="true" hidden="false"/>
    </xf>
    <xf numFmtId="166" fontId="12" fillId="0" borderId="1" xfId="0" applyFont="true" applyBorder="true" applyAlignment="true" applyProtection="false">
      <alignment horizontal="general" vertical="center" textRotation="0" wrapText="false" indent="0" shrinkToFit="false"/>
      <protection locked="true" hidden="false"/>
    </xf>
    <xf numFmtId="166" fontId="13"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7" fontId="12" fillId="0" borderId="1" xfId="0" applyFont="true" applyBorder="true" applyAlignment="true" applyProtection="false">
      <alignment horizontal="general" vertical="center" textRotation="0" wrapText="false" indent="0" shrinkToFit="false"/>
      <protection locked="true" hidden="false"/>
    </xf>
    <xf numFmtId="167" fontId="12" fillId="0" borderId="1" xfId="15" applyFont="true" applyBorder="true" applyAlignment="true" applyProtection="true">
      <alignment horizontal="general" vertical="center" textRotation="0" wrapText="false" indent="0" shrinkToFit="false"/>
      <protection locked="true" hidden="false"/>
    </xf>
    <xf numFmtId="167" fontId="13" fillId="0" borderId="1" xfId="0" applyFont="true" applyBorder="true" applyAlignment="true" applyProtection="false">
      <alignment horizontal="general" vertical="center" textRotation="0" wrapText="false" indent="0" shrinkToFit="false"/>
      <protection locked="true" hidden="false"/>
    </xf>
    <xf numFmtId="166" fontId="14" fillId="0" borderId="1" xfId="0" applyFont="true" applyBorder="true" applyAlignment="true" applyProtection="false">
      <alignment horizontal="right" vertical="center" textRotation="0" wrapText="true" indent="0" shrinkToFit="false"/>
      <protection locked="true" hidden="false"/>
    </xf>
    <xf numFmtId="168" fontId="13" fillId="0" borderId="1" xfId="15" applyFont="true" applyBorder="true" applyAlignment="true" applyProtection="true">
      <alignment horizontal="general" vertical="center" textRotation="0" wrapText="false" indent="0" shrinkToFit="false"/>
      <protection locked="true" hidden="false"/>
    </xf>
    <xf numFmtId="167" fontId="13" fillId="0" borderId="1" xfId="15" applyFont="true" applyBorder="true" applyAlignment="true" applyProtection="true">
      <alignment horizontal="general" vertical="center" textRotation="0" wrapText="false" indent="0" shrinkToFit="false"/>
      <protection locked="true" hidden="false"/>
    </xf>
    <xf numFmtId="167" fontId="0" fillId="0" borderId="1" xfId="0" applyFont="true" applyBorder="true" applyAlignment="true" applyProtection="false">
      <alignment horizontal="general" vertical="center" textRotation="0" wrapText="false" indent="0" shrinkToFit="false"/>
      <protection locked="true" hidden="false"/>
    </xf>
    <xf numFmtId="166" fontId="13" fillId="0" borderId="1" xfId="0" applyFont="true" applyBorder="true" applyAlignment="true" applyProtection="false">
      <alignment horizontal="right" vertical="center" textRotation="0" wrapText="true" indent="0" shrinkToFit="false"/>
      <protection locked="true" hidden="false"/>
    </xf>
    <xf numFmtId="167" fontId="5" fillId="0" borderId="1" xfId="0" applyFont="true" applyBorder="true" applyAlignment="true" applyProtection="false">
      <alignment horizontal="general" vertical="center" textRotation="0" wrapText="false" indent="0" shrinkToFit="false"/>
      <protection locked="true" hidden="false"/>
    </xf>
    <xf numFmtId="168" fontId="13" fillId="0" borderId="1" xfId="0" applyFont="true" applyBorder="true" applyAlignment="true" applyProtection="false">
      <alignment horizontal="general" vertical="center" textRotation="0" wrapText="false" indent="0" shrinkToFit="false"/>
      <protection locked="true" hidden="false"/>
    </xf>
    <xf numFmtId="164" fontId="14" fillId="0" borderId="1" xfId="0" applyFont="true" applyBorder="true" applyAlignment="true" applyProtection="false">
      <alignment horizontal="general" vertical="center" textRotation="0" wrapText="true" indent="0" shrinkToFit="false"/>
      <protection locked="true" hidden="false"/>
    </xf>
    <xf numFmtId="167" fontId="6" fillId="0" borderId="1" xfId="0" applyFont="true" applyBorder="true" applyAlignment="true" applyProtection="false">
      <alignment horizontal="general" vertical="center" textRotation="0" wrapText="false" indent="0" shrinkToFit="false"/>
      <protection locked="true" hidden="false"/>
    </xf>
    <xf numFmtId="167" fontId="5" fillId="0" borderId="1" xfId="15" applyFont="true" applyBorder="true" applyAlignment="true" applyProtection="true">
      <alignment horizontal="general" vertical="center" textRotation="0" wrapText="false" indent="0" shrinkToFit="false"/>
      <protection locked="true" hidden="false"/>
    </xf>
    <xf numFmtId="167" fontId="13" fillId="0" borderId="1" xfId="15" applyFont="true" applyBorder="true" applyAlignment="true" applyProtection="true">
      <alignment horizontal="general" vertical="center"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7" fontId="0" fillId="0" borderId="1" xfId="0" applyFont="false" applyBorder="true" applyAlignment="false" applyProtection="false">
      <alignment horizontal="general" vertical="bottom" textRotation="0" wrapText="false" indent="0" shrinkToFit="false"/>
      <protection locked="true" hidden="false"/>
    </xf>
    <xf numFmtId="169" fontId="12" fillId="0" borderId="1" xfId="15" applyFont="true" applyBorder="true" applyAlignment="true" applyProtection="true">
      <alignment horizontal="general" vertical="center"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70" fontId="0" fillId="0" borderId="1"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7"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right" vertical="bottom" textRotation="0" wrapText="true" indent="0" shrinkToFit="false"/>
      <protection locked="true" hidden="false"/>
    </xf>
    <xf numFmtId="168"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7"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7" fontId="0" fillId="0" borderId="1" xfId="0" applyFont="false" applyBorder="true" applyAlignment="true" applyProtection="false">
      <alignment horizontal="center" vertical="center" textRotation="0" wrapText="false" indent="0" shrinkToFit="false"/>
      <protection locked="true" hidden="false"/>
    </xf>
    <xf numFmtId="167" fontId="0" fillId="0" borderId="1"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7" fontId="0" fillId="0" borderId="0" xfId="0" applyFont="false" applyBorder="tru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right" vertical="center" textRotation="0" wrapText="false" indent="0" shrinkToFit="false"/>
      <protection locked="true" hidden="false"/>
    </xf>
    <xf numFmtId="165" fontId="5" fillId="0" borderId="0" xfId="15" applyFont="true" applyBorder="true" applyAlignment="true" applyProtection="true">
      <alignment horizontal="general" vertical="center"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7" fontId="0" fillId="0" borderId="1" xfId="15" applyFont="true" applyBorder="true" applyAlignment="true" applyProtection="true">
      <alignment horizontal="center" vertical="center"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15" fillId="0" borderId="0" xfId="0" applyFont="true" applyBorder="true" applyAlignment="true" applyProtection="false">
      <alignment horizontal="center" vertical="bottom" textRotation="0" wrapText="false" indent="0" shrinkToFit="false"/>
      <protection locked="true" hidden="false"/>
    </xf>
    <xf numFmtId="164" fontId="16" fillId="0" borderId="0" xfId="0" applyFont="true" applyBorder="true" applyAlignment="true" applyProtection="false">
      <alignment horizontal="center"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5" fontId="17" fillId="0" borderId="0" xfId="0" applyFont="true" applyBorder="true" applyAlignment="true" applyProtection="false">
      <alignment horizontal="center" vertical="bottom" textRotation="0" wrapText="false" indent="0" shrinkToFit="false"/>
      <protection locked="true" hidden="false"/>
    </xf>
    <xf numFmtId="164" fontId="18"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right" vertical="center" textRotation="0" wrapText="false" indent="0" shrinkToFit="false"/>
      <protection locked="true" hidden="false"/>
    </xf>
    <xf numFmtId="170" fontId="1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right"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tru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6" fontId="14" fillId="0" borderId="1" xfId="0" applyFont="true" applyBorder="true" applyAlignment="true" applyProtection="false">
      <alignment horizontal="general" vertical="center" textRotation="0" wrapText="false" indent="0" shrinkToFit="false"/>
      <protection locked="true" hidden="false"/>
    </xf>
    <xf numFmtId="166" fontId="14" fillId="0" borderId="1" xfId="0" applyFont="true" applyBorder="true" applyAlignment="true" applyProtection="false">
      <alignment horizontal="general" vertical="center" textRotation="0" wrapText="true" indent="0" shrinkToFit="false"/>
      <protection locked="true" hidden="false"/>
    </xf>
    <xf numFmtId="165" fontId="5" fillId="0" borderId="1" xfId="15" applyFont="true" applyBorder="true" applyAlignment="true" applyProtection="true">
      <alignment horizontal="general" vertical="center" textRotation="0" wrapText="false" indent="0" shrinkToFit="false"/>
      <protection locked="true" hidden="false"/>
    </xf>
    <xf numFmtId="164" fontId="0" fillId="0" borderId="1" xfId="0" applyFont="false" applyBorder="true" applyAlignment="true" applyProtection="false">
      <alignment horizontal="general" vertical="center" textRotation="0" wrapText="true" indent="0" shrinkToFit="false"/>
      <protection locked="true" hidden="false"/>
    </xf>
    <xf numFmtId="164" fontId="14" fillId="0" borderId="1" xfId="0" applyFont="true" applyBorder="tru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right" vertical="bottom" textRotation="0" wrapText="false" indent="0" shrinkToFit="false"/>
      <protection locked="true" hidden="false"/>
    </xf>
    <xf numFmtId="165" fontId="5" fillId="0" borderId="1" xfId="15"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3" borderId="0" xfId="0" applyFont="false" applyBorder="false" applyAlignment="true" applyProtection="false">
      <alignment horizontal="general" vertical="bottom" textRotation="0" wrapText="true" indent="0" shrinkToFit="false"/>
      <protection locked="true" hidden="false"/>
    </xf>
    <xf numFmtId="164" fontId="11" fillId="4" borderId="1" xfId="0" applyFont="true" applyBorder="true" applyAlignment="true" applyProtection="true">
      <alignment horizontal="center" vertical="center" textRotation="0" wrapText="true" indent="0" shrinkToFit="false"/>
      <protection locked="false" hidden="false"/>
    </xf>
    <xf numFmtId="164" fontId="11" fillId="5" borderId="1" xfId="0" applyFont="true" applyBorder="true" applyAlignment="true" applyProtection="false">
      <alignment horizontal="left" vertical="center" textRotation="0" wrapText="true" indent="0" shrinkToFit="false"/>
      <protection locked="true" hidden="false"/>
    </xf>
    <xf numFmtId="164" fontId="11" fillId="6" borderId="1" xfId="0" applyFont="true" applyBorder="true" applyAlignment="true" applyProtection="false">
      <alignment horizontal="right" vertical="center" textRotation="0" wrapText="true" indent="0" shrinkToFit="false"/>
      <protection locked="true" hidden="false"/>
    </xf>
    <xf numFmtId="164" fontId="11" fillId="7" borderId="1"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true" applyProtection="false">
      <alignment horizontal="general" vertical="center" textRotation="0" wrapText="true" indent="0" shrinkToFit="false"/>
      <protection locked="true" hidden="false"/>
    </xf>
    <xf numFmtId="164" fontId="11" fillId="0" borderId="1" xfId="0" applyFont="true" applyBorder="true" applyAlignment="true" applyProtection="false">
      <alignment horizontal="center" vertical="center" textRotation="0" wrapText="fals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false">
      <alignment horizontal="right" vertical="center" textRotation="0" wrapText="true" indent="0" shrinkToFit="false"/>
      <protection locked="true" hidden="false"/>
    </xf>
    <xf numFmtId="168" fontId="10" fillId="0" borderId="1"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left" vertical="bottom" textRotation="0" wrapText="false" indent="0" shrinkToFit="false"/>
      <protection locked="true" hidden="false"/>
    </xf>
    <xf numFmtId="164" fontId="10" fillId="0" borderId="0" xfId="0" applyFont="true" applyBorder="true" applyAlignment="true" applyProtection="false">
      <alignment horizontal="right" vertical="bottom" textRotation="0" wrapText="false" indent="0" shrinkToFit="false"/>
      <protection locked="true" hidden="false"/>
    </xf>
    <xf numFmtId="164" fontId="11" fillId="0" borderId="1" xfId="0" applyFont="true" applyBorder="true" applyAlignment="true" applyProtection="false">
      <alignment horizontal="right" vertical="center" textRotation="0" wrapText="true" indent="0" shrinkToFit="false"/>
      <protection locked="true" hidden="false"/>
    </xf>
    <xf numFmtId="168" fontId="10" fillId="0" borderId="1" xfId="0" applyFont="true" applyBorder="true" applyAlignment="true" applyProtection="false">
      <alignment horizontal="right" vertical="center" textRotation="0" wrapText="true" indent="0" shrinkToFit="false"/>
      <protection locked="true" hidden="false"/>
    </xf>
    <xf numFmtId="170" fontId="11" fillId="6" borderId="1" xfId="0" applyFont="true" applyBorder="true" applyAlignment="true" applyProtection="false">
      <alignment horizontal="right" vertical="center" textRotation="0" wrapText="true" indent="0" shrinkToFit="false"/>
      <protection locked="true" hidden="false"/>
    </xf>
    <xf numFmtId="164" fontId="10" fillId="0" borderId="0" xfId="0" applyFont="true" applyBorder="true" applyAlignment="true" applyProtection="false">
      <alignment horizontal="general" vertical="center" textRotation="0" wrapText="true" indent="0" shrinkToFit="false"/>
      <protection locked="true" hidden="false"/>
    </xf>
    <xf numFmtId="164" fontId="11" fillId="3" borderId="1" xfId="0" applyFont="true" applyBorder="true" applyAlignment="true" applyProtection="true">
      <alignment horizontal="center" vertical="center" textRotation="0" wrapText="true" indent="0" shrinkToFit="false"/>
      <protection locked="false" hidden="false"/>
    </xf>
    <xf numFmtId="164" fontId="11" fillId="3" borderId="1" xfId="0" applyFont="true" applyBorder="true" applyAlignment="true" applyProtection="false">
      <alignment horizontal="left" vertical="center" textRotation="0" wrapText="true" indent="0" shrinkToFit="false"/>
      <protection locked="true" hidden="false"/>
    </xf>
    <xf numFmtId="164" fontId="11" fillId="3" borderId="1" xfId="0" applyFont="true" applyBorder="true" applyAlignment="true" applyProtection="false">
      <alignment horizontal="right" vertical="center" textRotation="0" wrapText="true" indent="0" shrinkToFit="false"/>
      <protection locked="true" hidden="false"/>
    </xf>
    <xf numFmtId="164" fontId="11" fillId="3" borderId="1" xfId="0" applyFont="true" applyBorder="true" applyAlignment="true" applyProtection="false">
      <alignment horizontal="center" vertical="center" textRotation="0" wrapText="true" indent="0" shrinkToFit="false"/>
      <protection locked="true" hidden="false"/>
    </xf>
    <xf numFmtId="164" fontId="11" fillId="3" borderId="1" xfId="0" applyFont="true" applyBorder="true" applyAlignment="true" applyProtection="false">
      <alignment horizontal="general" vertical="center" textRotation="0" wrapText="true" indent="0" shrinkToFit="false"/>
      <protection locked="true" hidden="false"/>
    </xf>
    <xf numFmtId="164" fontId="11" fillId="3" borderId="1" xfId="0" applyFont="true" applyBorder="true" applyAlignment="true" applyProtection="false">
      <alignment horizontal="center" vertical="center" textRotation="0" wrapText="false" indent="0" shrinkToFit="false"/>
      <protection locked="true" hidden="false"/>
    </xf>
    <xf numFmtId="164" fontId="10" fillId="3"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left" vertical="center" textRotation="0" wrapText="true" indent="0" shrinkToFit="false"/>
      <protection locked="true" hidden="false"/>
    </xf>
    <xf numFmtId="164" fontId="10" fillId="3" borderId="1" xfId="0" applyFont="true" applyBorder="true" applyAlignment="true" applyProtection="false">
      <alignment horizontal="right" vertical="center" textRotation="0" wrapText="true" indent="0" shrinkToFit="false"/>
      <protection locked="true" hidden="false"/>
    </xf>
    <xf numFmtId="168" fontId="10" fillId="3" borderId="1" xfId="0" applyFont="true" applyBorder="true" applyAlignment="true" applyProtection="false">
      <alignment horizontal="general" vertical="center" textRotation="0" wrapText="true" indent="0" shrinkToFit="false"/>
      <protection locked="true" hidden="false"/>
    </xf>
    <xf numFmtId="164" fontId="19" fillId="8" borderId="1" xfId="0" applyFont="true" applyBorder="true" applyAlignment="true" applyProtection="false">
      <alignment horizontal="general" vertical="center" textRotation="0" wrapText="true" indent="0" shrinkToFit="false"/>
      <protection locked="true" hidden="false"/>
    </xf>
    <xf numFmtId="164" fontId="10" fillId="3" borderId="0" xfId="0" applyFont="true" applyBorder="true" applyAlignment="false" applyProtection="false">
      <alignment horizontal="general" vertical="bottom" textRotation="0" wrapText="false" indent="0" shrinkToFit="false"/>
      <protection locked="true" hidden="false"/>
    </xf>
    <xf numFmtId="164" fontId="10" fillId="3" borderId="0" xfId="0" applyFont="true" applyBorder="true" applyAlignment="true" applyProtection="false">
      <alignment horizontal="right" vertical="bottom" textRotation="0" wrapText="false" indent="0" shrinkToFit="false"/>
      <protection locked="true" hidden="false"/>
    </xf>
    <xf numFmtId="168" fontId="10" fillId="3" borderId="1" xfId="0" applyFont="true" applyBorder="true" applyAlignment="true" applyProtection="false">
      <alignment horizontal="right" vertical="center" textRotation="0" wrapText="true" indent="0" shrinkToFit="false"/>
      <protection locked="true" hidden="false"/>
    </xf>
    <xf numFmtId="164" fontId="10" fillId="3" borderId="0" xfId="0" applyFont="true" applyBorder="true" applyAlignment="true" applyProtection="false">
      <alignment horizontal="left" vertical="bottom" textRotation="0" wrapText="false" indent="0" shrinkToFit="false"/>
      <protection locked="true" hidden="false"/>
    </xf>
    <xf numFmtId="170" fontId="11" fillId="3" borderId="1" xfId="0" applyFont="true" applyBorder="true" applyAlignment="true" applyProtection="false">
      <alignment horizontal="right" vertical="center" textRotation="0" wrapText="true" indent="0" shrinkToFit="false"/>
      <protection locked="true" hidden="false"/>
    </xf>
    <xf numFmtId="164" fontId="11" fillId="3" borderId="2" xfId="0" applyFont="true" applyBorder="true" applyAlignment="true" applyProtection="false">
      <alignment horizontal="right" vertical="center" textRotation="0" wrapText="true" indent="0" shrinkToFit="false"/>
      <protection locked="true" hidden="false"/>
    </xf>
    <xf numFmtId="164" fontId="11" fillId="3" borderId="3" xfId="0" applyFont="true" applyBorder="true" applyAlignment="true" applyProtection="false">
      <alignment horizontal="right" vertical="center" textRotation="0" wrapText="true" indent="0" shrinkToFit="false"/>
      <protection locked="true" hidden="false"/>
    </xf>
    <xf numFmtId="164" fontId="11" fillId="3" borderId="4" xfId="0" applyFont="true" applyBorder="true" applyAlignment="true" applyProtection="false">
      <alignment horizontal="right" vertical="center" textRotation="0" wrapText="true" indent="0" shrinkToFit="false"/>
      <protection locked="true" hidden="false"/>
    </xf>
    <xf numFmtId="164" fontId="11" fillId="0" borderId="1" xfId="0" applyFont="true" applyBorder="true" applyAlignment="true" applyProtection="false">
      <alignment horizontal="general" vertical="center" textRotation="0" wrapText="true" indent="0" shrinkToFit="false"/>
      <protection locked="true" hidden="false"/>
    </xf>
    <xf numFmtId="164" fontId="11" fillId="0" borderId="1" xfId="0" applyFont="true" applyBorder="true" applyAlignment="true" applyProtection="false">
      <alignment horizontal="center" vertical="center" textRotation="0" wrapText="fals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false">
      <alignment horizontal="right" vertical="center" textRotation="0" wrapText="true" indent="0" shrinkToFit="false"/>
      <protection locked="true" hidden="false"/>
    </xf>
    <xf numFmtId="168" fontId="10" fillId="0" borderId="1"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8" fontId="10" fillId="0" borderId="1" xfId="0" applyFont="true" applyBorder="true" applyAlignment="true" applyProtection="false">
      <alignment horizontal="right" vertical="center" textRotation="0" wrapText="true" indent="0" shrinkToFit="false"/>
      <protection locked="true" hidden="false"/>
    </xf>
    <xf numFmtId="164" fontId="10" fillId="0" borderId="0" xfId="0" applyFont="true" applyBorder="false" applyAlignment="true" applyProtection="false">
      <alignment horizontal="right" vertical="bottom" textRotation="0" wrapText="false" indent="0" shrinkToFit="false"/>
      <protection locked="true" hidden="false"/>
    </xf>
    <xf numFmtId="164" fontId="11" fillId="0" borderId="1" xfId="0" applyFont="true" applyBorder="true" applyAlignment="true" applyProtection="false">
      <alignment horizontal="right" vertical="center" textRotation="0" wrapText="tru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true" applyAlignment="true" applyProtection="false">
      <alignment horizontal="general" vertical="center" textRotation="0" wrapText="tru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Comma 2 4" xfId="20"/>
    <cellStyle name="Normal 2" xfId="21"/>
    <cellStyle name="Normal 2 2" xfId="22"/>
    <cellStyle name="Normal 2 2 2" xfId="23"/>
    <cellStyle name="Normal 2 3" xfId="24"/>
    <cellStyle name="Normal 2 4" xfId="25"/>
  </cellStyles>
  <dxfs count="5">
    <dxf>
      <border diagonalUp="false" diagonalDown="false">
        <left style="thin"/>
        <right style="thin"/>
        <top style="thin"/>
        <bottom style="thin"/>
        <diagonal/>
      </border>
    </dxf>
    <dxf>
      <border diagonalUp="false" diagonalDown="false">
        <left style="thin"/>
        <right style="thin"/>
        <top style="thin"/>
        <bottom style="thin"/>
        <diagonal/>
      </border>
    </dxf>
    <dxf>
      <border diagonalUp="false" diagonalDown="false">
        <left style="thin"/>
        <right style="thin"/>
        <top style="thin"/>
        <bottom style="thin"/>
        <diagonal/>
      </border>
    </dxf>
    <dxf>
      <border diagonalUp="false" diagonalDown="false">
        <left style="thin"/>
        <right style="thin"/>
        <top style="thin"/>
        <bottom style="thin"/>
        <diagonal/>
      </border>
    </dxf>
    <dxf>
      <border diagonalUp="false" diagonalDown="false">
        <left style="thin"/>
        <right style="thin"/>
        <top style="thin"/>
        <bottom style="thin"/>
        <diagonal/>
      </border>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DFCD9"/>
      <rgbColor rgb="FFD2FFFE"/>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B9FFCB"/>
      <rgbColor rgb="FFFFFF99"/>
      <rgbColor rgb="FF86D7F6"/>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externalLink" Target="externalLinks/externalLink1.xml"/><Relationship Id="rId8" Type="http://schemas.openxmlformats.org/officeDocument/2006/relationships/externalLink" Target="externalLinks/externalLink2.xml"/><Relationship Id="rId9" Type="http://schemas.openxmlformats.org/officeDocument/2006/relationships/externalLink" Target="externalLinks/externalLink3.xml"/><Relationship Id="rId10" Type="http://schemas.openxmlformats.org/officeDocument/2006/relationships/externalLink" Target="externalLinks/externalLink4.xml"/><Relationship Id="rId11" Type="http://schemas.openxmlformats.org/officeDocument/2006/relationships/sharedStrings" Target="sharedStrings.xml"/>
</Relationships>
</file>

<file path=xl/externalLinks/_rels/externalLink1.xml.rels><?xml version="1.0" encoding="UTF-8"?>
<Relationships xmlns="http://schemas.openxmlformats.org/package/2006/relationships"><Relationship Id="rId1" Type="http://schemas.openxmlformats.org/officeDocument/2006/relationships/externalLinkPath" Target="../../../../ward%20office%20aayojana%202/For-all-Road-rate-analysis-80-81-shankharapur.xlsx" TargetMode="External"/>
</Relationships>
</file>

<file path=xl/externalLinks/_rels/externalLink2.xml.rels><?xml version="1.0" encoding="UTF-8"?>
<Relationships xmlns="http://schemas.openxmlformats.org/package/2006/relationships"><Relationship Id="rId1" Type="http://schemas.openxmlformats.org/officeDocument/2006/relationships/externalLinkPath" Target="../../../../E:/080-081/ward%20office%20aayojana/For-all-Road-rate-analysis-80-81-shankharapur.xlsx" TargetMode="External"/>
</Relationships>
</file>

<file path=xl/externalLinks/_rels/externalLink3.xml.rels><?xml version="1.0" encoding="UTF-8"?>
<Relationships xmlns="http://schemas.openxmlformats.org/package/2006/relationships"><Relationship Id="rId1" Type="http://schemas.openxmlformats.org/officeDocument/2006/relationships/externalLinkPath" Target="../../../../F:/079-080/Road-rate-analysis-079-80-shankharapur-as-per-dor-norms-nnnn.xlsx" TargetMode="External"/>
</Relationships>
</file>

<file path=xl/externalLinks/_rels/externalLink4.xml.rels><?xml version="1.0" encoding="UTF-8"?>
<Relationships xmlns="http://schemas.openxmlformats.org/package/2006/relationships"><Relationship Id="rId1" Type="http://schemas.openxmlformats.org/officeDocument/2006/relationships/externalLinkPath" Target="../../../../C:/Users/Dell/Desktop/Ward%209/RATE%20ANALYSIS/Road-rate-analysis-078-79-shankharapur.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E56"/>
  <sheetViews>
    <sheetView showFormulas="false" showGridLines="true" showRowColHeaders="true" showZeros="true" rightToLeft="false" tabSelected="true" showOutlineSymbols="true" defaultGridColor="true" view="normal" topLeftCell="A1" colorId="64" zoomScale="100" zoomScaleNormal="100" zoomScalePageLayoutView="80" workbookViewId="0">
      <selection pane="topLeft" activeCell="B8" activeCellId="0" sqref="B8"/>
    </sheetView>
  </sheetViews>
  <sheetFormatPr defaultColWidth="8.4296875" defaultRowHeight="15" zeroHeight="false" outlineLevelRow="0" outlineLevelCol="0"/>
  <cols>
    <col collapsed="false" customWidth="true" hidden="false" outlineLevel="0" max="1" min="1" style="1" width="5.14"/>
    <col collapsed="false" customWidth="true" hidden="false" outlineLevel="0" max="2" min="2" style="0" width="29.57"/>
    <col collapsed="false" customWidth="true" hidden="false" outlineLevel="0" max="3" min="3" style="0" width="5.57"/>
    <col collapsed="false" customWidth="true" hidden="false" outlineLevel="0" max="4" min="4" style="0" width="6.71"/>
    <col collapsed="false" customWidth="true" hidden="false" outlineLevel="0" max="5" min="5" style="0" width="7.85"/>
    <col collapsed="false" customWidth="true" hidden="false" outlineLevel="0" max="6" min="6" style="0" width="7.14"/>
    <col collapsed="false" customWidth="true" hidden="false" outlineLevel="0" max="7" min="7" style="1" width="9.28"/>
    <col collapsed="false" customWidth="true" hidden="false" outlineLevel="0" max="8" min="8" style="1" width="6.28"/>
    <col collapsed="false" customWidth="true" hidden="false" outlineLevel="0" max="9" min="9" style="1" width="10.71"/>
    <col collapsed="false" customWidth="true" hidden="false" outlineLevel="0" max="10" min="10" style="1" width="10.57"/>
    <col collapsed="false" customWidth="true" hidden="false" outlineLevel="0" max="11" min="11" style="0" width="9.85"/>
    <col collapsed="false" customWidth="true" hidden="false" outlineLevel="0" max="14" min="14" style="0" width="10.57"/>
    <col collapsed="false" customWidth="true" hidden="false" outlineLevel="0" max="15" min="15" style="0" width="16.43"/>
    <col collapsed="false" customWidth="true" hidden="false" outlineLevel="0" max="16" min="16" style="0" width="12.14"/>
    <col collapsed="false" customWidth="true" hidden="false" outlineLevel="0" max="17" min="17" style="0" width="14.43"/>
  </cols>
  <sheetData>
    <row r="1" s="3" customFormat="true" ht="15" hidden="false" customHeight="false" outlineLevel="0" collapsed="false">
      <c r="A1" s="2" t="s">
        <v>0</v>
      </c>
      <c r="B1" s="2"/>
      <c r="C1" s="2"/>
      <c r="D1" s="2"/>
      <c r="E1" s="2"/>
      <c r="F1" s="2"/>
      <c r="G1" s="2"/>
      <c r="H1" s="2"/>
      <c r="I1" s="2"/>
      <c r="J1" s="2"/>
      <c r="K1" s="2"/>
    </row>
    <row r="2" s="3" customFormat="true" ht="22.5" hidden="false" customHeight="false" outlineLevel="0" collapsed="false">
      <c r="A2" s="4" t="s">
        <v>1</v>
      </c>
      <c r="B2" s="4"/>
      <c r="C2" s="4"/>
      <c r="D2" s="4"/>
      <c r="E2" s="4"/>
      <c r="F2" s="4"/>
      <c r="G2" s="4"/>
      <c r="H2" s="4"/>
      <c r="I2" s="4"/>
      <c r="J2" s="4"/>
      <c r="K2" s="4"/>
    </row>
    <row r="3" s="3" customFormat="true" ht="15" hidden="false" customHeight="false" outlineLevel="0" collapsed="false">
      <c r="A3" s="5" t="s">
        <v>2</v>
      </c>
      <c r="B3" s="5"/>
      <c r="C3" s="5"/>
      <c r="D3" s="5"/>
      <c r="E3" s="5"/>
      <c r="F3" s="5"/>
      <c r="G3" s="5"/>
      <c r="H3" s="5"/>
      <c r="I3" s="5"/>
      <c r="J3" s="5"/>
      <c r="K3" s="5"/>
    </row>
    <row r="4" s="3" customFormat="true" ht="15" hidden="false" customHeight="false" outlineLevel="0" collapsed="false">
      <c r="A4" s="5" t="s">
        <v>3</v>
      </c>
      <c r="B4" s="5"/>
      <c r="C4" s="5"/>
      <c r="D4" s="5"/>
      <c r="E4" s="5"/>
      <c r="F4" s="5"/>
      <c r="G4" s="5"/>
      <c r="H4" s="5"/>
      <c r="I4" s="5"/>
      <c r="J4" s="5"/>
      <c r="K4" s="5"/>
    </row>
    <row r="5" customFormat="false" ht="18.75" hidden="false" customHeight="false" outlineLevel="0" collapsed="false">
      <c r="A5" s="6" t="s">
        <v>4</v>
      </c>
      <c r="B5" s="6"/>
      <c r="C5" s="6"/>
      <c r="D5" s="6"/>
      <c r="E5" s="6"/>
      <c r="F5" s="6"/>
      <c r="G5" s="6"/>
      <c r="H5" s="6"/>
      <c r="I5" s="6"/>
      <c r="J5" s="6"/>
      <c r="K5" s="6"/>
    </row>
    <row r="6" customFormat="false" ht="18.75" hidden="false" customHeight="false" outlineLevel="0" collapsed="false">
      <c r="A6" s="7" t="s">
        <v>5</v>
      </c>
      <c r="B6" s="7"/>
      <c r="C6" s="7"/>
      <c r="D6" s="7"/>
      <c r="E6" s="7"/>
      <c r="F6" s="7"/>
      <c r="G6" s="7"/>
      <c r="H6" s="8" t="s">
        <v>6</v>
      </c>
      <c r="I6" s="8"/>
      <c r="J6" s="8"/>
      <c r="K6" s="8"/>
    </row>
    <row r="7" customFormat="false" ht="15.75" hidden="false" customHeight="false" outlineLevel="0" collapsed="false">
      <c r="A7" s="9" t="s">
        <v>7</v>
      </c>
      <c r="B7" s="9"/>
      <c r="C7" s="9"/>
      <c r="D7" s="9"/>
      <c r="E7" s="9"/>
      <c r="F7" s="9"/>
      <c r="G7" s="10"/>
      <c r="H7" s="8" t="s">
        <v>8</v>
      </c>
      <c r="I7" s="8"/>
      <c r="J7" s="8"/>
      <c r="K7" s="8"/>
    </row>
    <row r="8" customFormat="false" ht="15" hidden="false" customHeight="true" outlineLevel="0" collapsed="false">
      <c r="A8" s="11" t="s">
        <v>9</v>
      </c>
      <c r="B8" s="12" t="s">
        <v>10</v>
      </c>
      <c r="C8" s="11" t="s">
        <v>11</v>
      </c>
      <c r="D8" s="13" t="s">
        <v>12</v>
      </c>
      <c r="E8" s="13" t="s">
        <v>13</v>
      </c>
      <c r="F8" s="13" t="s">
        <v>14</v>
      </c>
      <c r="G8" s="13" t="s">
        <v>15</v>
      </c>
      <c r="H8" s="11" t="s">
        <v>16</v>
      </c>
      <c r="I8" s="13" t="s">
        <v>17</v>
      </c>
      <c r="J8" s="13" t="s">
        <v>18</v>
      </c>
      <c r="K8" s="14" t="s">
        <v>19</v>
      </c>
    </row>
    <row r="9" customFormat="false" ht="156" hidden="true" customHeight="true" outlineLevel="0" collapsed="false">
      <c r="A9" s="15" t="n">
        <v>1</v>
      </c>
      <c r="B9" s="16" t="s">
        <v>20</v>
      </c>
      <c r="C9" s="17"/>
      <c r="D9" s="17"/>
      <c r="E9" s="17"/>
      <c r="F9" s="17"/>
      <c r="G9" s="18"/>
      <c r="H9" s="19"/>
      <c r="I9" s="20"/>
      <c r="J9" s="20"/>
      <c r="K9" s="21"/>
    </row>
    <row r="10" customFormat="false" ht="15" hidden="true" customHeight="false" outlineLevel="0" collapsed="false">
      <c r="A10" s="18"/>
      <c r="B10" s="22" t="s">
        <v>21</v>
      </c>
      <c r="C10" s="23" t="n">
        <v>1</v>
      </c>
      <c r="D10" s="24" t="n">
        <f aca="false">121/3.281</f>
        <v>36.8790003047851</v>
      </c>
      <c r="E10" s="21" t="n">
        <v>0.6</v>
      </c>
      <c r="F10" s="21" t="n">
        <f aca="false">(1.5+0.333+0.5)/3.281</f>
        <v>0.711063700091436</v>
      </c>
      <c r="G10" s="25" t="n">
        <f aca="false">PRODUCT(C10:F10)</f>
        <v>15.7339910474362</v>
      </c>
      <c r="H10" s="19"/>
      <c r="I10" s="20"/>
      <c r="J10" s="20"/>
      <c r="K10" s="21"/>
    </row>
    <row r="11" customFormat="false" ht="15" hidden="true" customHeight="false" outlineLevel="0" collapsed="false">
      <c r="A11" s="15"/>
      <c r="B11" s="26" t="s">
        <v>22</v>
      </c>
      <c r="C11" s="21"/>
      <c r="D11" s="24"/>
      <c r="E11" s="21"/>
      <c r="F11" s="21"/>
      <c r="G11" s="20" t="n">
        <f aca="false">0*SUM(G10:G10)</f>
        <v>0</v>
      </c>
      <c r="H11" s="19" t="s">
        <v>23</v>
      </c>
      <c r="I11" s="20" t="n">
        <v>62.02</v>
      </c>
      <c r="J11" s="27" t="n">
        <f aca="false">G11*I11</f>
        <v>0</v>
      </c>
      <c r="K11" s="21"/>
    </row>
    <row r="12" customFormat="false" ht="15" hidden="true" customHeight="false" outlineLevel="0" collapsed="false">
      <c r="A12" s="15"/>
      <c r="B12" s="26" t="s">
        <v>24</v>
      </c>
      <c r="C12" s="21"/>
      <c r="D12" s="24"/>
      <c r="E12" s="21"/>
      <c r="F12" s="21"/>
      <c r="G12" s="20"/>
      <c r="H12" s="19"/>
      <c r="I12" s="20"/>
      <c r="J12" s="27" t="n">
        <f aca="false">0.13*G11*18426/360</f>
        <v>0</v>
      </c>
      <c r="K12" s="21"/>
    </row>
    <row r="13" customFormat="false" ht="15" hidden="true" customHeight="false" outlineLevel="0" collapsed="false">
      <c r="A13" s="15"/>
      <c r="B13" s="26"/>
      <c r="C13" s="21"/>
      <c r="D13" s="24"/>
      <c r="E13" s="21"/>
      <c r="F13" s="21"/>
      <c r="G13" s="20"/>
      <c r="H13" s="19"/>
      <c r="I13" s="20"/>
      <c r="J13" s="27"/>
      <c r="K13" s="21"/>
    </row>
    <row r="14" s="3" customFormat="true" ht="105" hidden="true" customHeight="false" outlineLevel="0" collapsed="false">
      <c r="A14" s="15" t="n">
        <v>2</v>
      </c>
      <c r="B14" s="16" t="s">
        <v>25</v>
      </c>
      <c r="C14" s="21"/>
      <c r="D14" s="24"/>
      <c r="E14" s="21"/>
      <c r="F14" s="21"/>
      <c r="G14" s="20"/>
      <c r="H14" s="19"/>
      <c r="I14" s="20"/>
      <c r="J14" s="27"/>
      <c r="K14" s="21"/>
    </row>
    <row r="15" customFormat="false" ht="15" hidden="true" customHeight="false" outlineLevel="0" collapsed="false">
      <c r="A15" s="15"/>
      <c r="B15" s="26" t="str">
        <f aca="false">B10</f>
        <v>-For roadside drain</v>
      </c>
      <c r="C15" s="28" t="n">
        <v>1</v>
      </c>
      <c r="D15" s="24" t="n">
        <f aca="false">D10</f>
        <v>36.8790003047851</v>
      </c>
      <c r="E15" s="21" t="n">
        <f aca="false">E10</f>
        <v>0.6</v>
      </c>
      <c r="F15" s="21" t="n">
        <v>0.15</v>
      </c>
      <c r="G15" s="25" t="n">
        <f aca="false">PRODUCT(C15:F15)</f>
        <v>3.31911002743066</v>
      </c>
      <c r="H15" s="19"/>
      <c r="I15" s="20"/>
      <c r="J15" s="27"/>
      <c r="K15" s="21"/>
    </row>
    <row r="16" customFormat="false" ht="15" hidden="true" customHeight="false" outlineLevel="0" collapsed="false">
      <c r="A16" s="15"/>
      <c r="B16" s="26" t="s">
        <v>22</v>
      </c>
      <c r="C16" s="28"/>
      <c r="D16" s="24"/>
      <c r="E16" s="21"/>
      <c r="F16" s="21"/>
      <c r="G16" s="20" t="n">
        <f aca="false">0*SUM(G15:G15)</f>
        <v>0</v>
      </c>
      <c r="H16" s="19" t="s">
        <v>23</v>
      </c>
      <c r="I16" s="20" t="n">
        <v>4403.52</v>
      </c>
      <c r="J16" s="27" t="n">
        <f aca="false">G16*I16</f>
        <v>0</v>
      </c>
      <c r="K16" s="21"/>
    </row>
    <row r="17" customFormat="false" ht="15" hidden="true" customHeight="false" outlineLevel="0" collapsed="false">
      <c r="A17" s="15"/>
      <c r="B17" s="26" t="s">
        <v>24</v>
      </c>
      <c r="C17" s="28"/>
      <c r="D17" s="24"/>
      <c r="E17" s="21"/>
      <c r="F17" s="21"/>
      <c r="G17" s="20"/>
      <c r="H17" s="19"/>
      <c r="I17" s="20"/>
      <c r="J17" s="27" t="n">
        <f aca="false">G16*0.13*(14817.6/5)</f>
        <v>0</v>
      </c>
      <c r="K17" s="21"/>
    </row>
    <row r="18" customFormat="false" ht="15" hidden="true" customHeight="false" outlineLevel="0" collapsed="false">
      <c r="A18" s="15"/>
      <c r="B18" s="26"/>
      <c r="C18" s="28"/>
      <c r="D18" s="24"/>
      <c r="E18" s="21"/>
      <c r="F18" s="21"/>
      <c r="G18" s="20"/>
      <c r="H18" s="19"/>
      <c r="I18" s="20"/>
      <c r="J18" s="27"/>
      <c r="K18" s="21"/>
    </row>
    <row r="19" customFormat="false" ht="83.25" hidden="true" customHeight="true" outlineLevel="0" collapsed="false">
      <c r="A19" s="15" t="n">
        <v>3</v>
      </c>
      <c r="B19" s="29" t="s">
        <v>26</v>
      </c>
      <c r="C19" s="28"/>
      <c r="D19" s="24"/>
      <c r="E19" s="21"/>
      <c r="F19" s="21"/>
      <c r="G19" s="20"/>
      <c r="H19" s="19"/>
      <c r="I19" s="20"/>
      <c r="J19" s="27"/>
      <c r="K19" s="21"/>
    </row>
    <row r="20" customFormat="false" ht="15" hidden="true" customHeight="false" outlineLevel="0" collapsed="false">
      <c r="A20" s="15"/>
      <c r="B20" s="22" t="str">
        <f aca="false">B25</f>
        <v>-Concrete speed breaker</v>
      </c>
      <c r="C20" s="28" t="n">
        <v>1</v>
      </c>
      <c r="D20" s="24" t="n">
        <f aca="false">D15</f>
        <v>36.8790003047851</v>
      </c>
      <c r="E20" s="21" t="n">
        <f aca="false">E15</f>
        <v>0.6</v>
      </c>
      <c r="F20" s="21" t="n">
        <v>0.05</v>
      </c>
      <c r="G20" s="25" t="n">
        <f aca="false">PRODUCT(C20:F20)</f>
        <v>1.10637000914355</v>
      </c>
      <c r="H20" s="19"/>
      <c r="I20" s="20"/>
      <c r="J20" s="27"/>
      <c r="K20" s="21"/>
    </row>
    <row r="21" customFormat="false" ht="15" hidden="true" customHeight="false" outlineLevel="0" collapsed="false">
      <c r="A21" s="15"/>
      <c r="B21" s="26" t="s">
        <v>22</v>
      </c>
      <c r="C21" s="28"/>
      <c r="D21" s="24"/>
      <c r="E21" s="21"/>
      <c r="F21" s="21"/>
      <c r="G21" s="20" t="n">
        <f aca="false">0*SUM(G20:G20)</f>
        <v>0</v>
      </c>
      <c r="H21" s="19" t="s">
        <v>23</v>
      </c>
      <c r="I21" s="30" t="n">
        <v>11126.38</v>
      </c>
      <c r="J21" s="27" t="n">
        <f aca="false">G21*I21</f>
        <v>0</v>
      </c>
      <c r="K21" s="21"/>
    </row>
    <row r="22" customFormat="false" ht="15" hidden="true" customHeight="false" outlineLevel="0" collapsed="false">
      <c r="A22" s="15"/>
      <c r="B22" s="26" t="s">
        <v>24</v>
      </c>
      <c r="C22" s="28"/>
      <c r="D22" s="24"/>
      <c r="E22" s="21"/>
      <c r="F22" s="21"/>
      <c r="G22" s="20"/>
      <c r="H22" s="19"/>
      <c r="I22" s="20"/>
      <c r="J22" s="31" t="n">
        <f aca="false">0.13*G21*((123027.7+6419.1)/15)</f>
        <v>0</v>
      </c>
      <c r="K22" s="21"/>
    </row>
    <row r="23" customFormat="false" ht="15" hidden="true" customHeight="false" outlineLevel="0" collapsed="false">
      <c r="A23" s="15"/>
      <c r="B23" s="26"/>
      <c r="C23" s="28"/>
      <c r="D23" s="24"/>
      <c r="E23" s="21"/>
      <c r="F23" s="21"/>
      <c r="G23" s="20"/>
      <c r="H23" s="19"/>
      <c r="I23" s="20"/>
      <c r="J23" s="31"/>
      <c r="K23" s="21"/>
    </row>
    <row r="24" customFormat="false" ht="75" hidden="false" customHeight="false" outlineLevel="0" collapsed="false">
      <c r="A24" s="15" t="n">
        <v>1</v>
      </c>
      <c r="B24" s="29" t="s">
        <v>27</v>
      </c>
      <c r="C24" s="28"/>
      <c r="D24" s="24"/>
      <c r="E24" s="21"/>
      <c r="F24" s="21"/>
      <c r="G24" s="20"/>
      <c r="H24" s="19"/>
      <c r="I24" s="20"/>
      <c r="J24" s="27"/>
      <c r="K24" s="21"/>
    </row>
    <row r="25" customFormat="false" ht="15" hidden="false" customHeight="false" outlineLevel="0" collapsed="false">
      <c r="A25" s="15"/>
      <c r="B25" s="22" t="s">
        <v>28</v>
      </c>
      <c r="C25" s="28" t="n">
        <v>1</v>
      </c>
      <c r="D25" s="24" t="n">
        <f aca="false">11.5/3.281</f>
        <v>3.50502895458702</v>
      </c>
      <c r="E25" s="21" t="n">
        <f aca="false">1.5/3.281</f>
        <v>0.457177689728741</v>
      </c>
      <c r="F25" s="21" t="n">
        <v>0.1</v>
      </c>
      <c r="G25" s="25" t="n">
        <f aca="false">C25*0.032163*D25</f>
        <v>0.112732246266382</v>
      </c>
      <c r="H25" s="19"/>
      <c r="I25" s="20"/>
      <c r="J25" s="27"/>
      <c r="K25" s="21"/>
    </row>
    <row r="26" customFormat="false" ht="15" hidden="false" customHeight="false" outlineLevel="0" collapsed="false">
      <c r="A26" s="15"/>
      <c r="B26" s="22"/>
      <c r="C26" s="28" t="n">
        <v>1</v>
      </c>
      <c r="D26" s="24" t="n">
        <f aca="false">11/3.281</f>
        <v>3.3526363913441</v>
      </c>
      <c r="E26" s="21" t="n">
        <f aca="false">1.5/3.281</f>
        <v>0.457177689728741</v>
      </c>
      <c r="F26" s="21" t="n">
        <v>1.1</v>
      </c>
      <c r="G26" s="25" t="n">
        <f aca="false">C26*0.032163*D26</f>
        <v>0.1078308442548</v>
      </c>
      <c r="H26" s="19"/>
      <c r="I26" s="20"/>
      <c r="J26" s="27"/>
      <c r="K26" s="21"/>
    </row>
    <row r="27" customFormat="false" ht="15" hidden="false" customHeight="false" outlineLevel="0" collapsed="false">
      <c r="A27" s="15"/>
      <c r="B27" s="22"/>
      <c r="C27" s="28" t="n">
        <v>1</v>
      </c>
      <c r="D27" s="24" t="n">
        <f aca="false">12.25/3.281</f>
        <v>3.73361779945139</v>
      </c>
      <c r="E27" s="21" t="n">
        <f aca="false">1.5/3.281</f>
        <v>0.457177689728741</v>
      </c>
      <c r="F27" s="21" t="n">
        <v>2.1</v>
      </c>
      <c r="G27" s="25" t="n">
        <f aca="false">C27*0.032163*D27</f>
        <v>0.120084349283755</v>
      </c>
      <c r="H27" s="19"/>
      <c r="I27" s="20"/>
      <c r="J27" s="27"/>
      <c r="K27" s="21"/>
    </row>
    <row r="28" customFormat="false" ht="15" hidden="false" customHeight="false" outlineLevel="0" collapsed="false">
      <c r="A28" s="15"/>
      <c r="B28" s="22"/>
      <c r="C28" s="28" t="n">
        <v>1</v>
      </c>
      <c r="D28" s="24" t="n">
        <f aca="false">11.25/3.281</f>
        <v>3.42883267296556</v>
      </c>
      <c r="E28" s="21" t="n">
        <f aca="false">1.5/3.281</f>
        <v>0.457177689728741</v>
      </c>
      <c r="F28" s="21" t="n">
        <v>3.1</v>
      </c>
      <c r="G28" s="25" t="n">
        <f aca="false">C28*0.032163*D28</f>
        <v>0.110281545260591</v>
      </c>
      <c r="H28" s="19"/>
      <c r="I28" s="20"/>
      <c r="J28" s="27"/>
      <c r="K28" s="21"/>
    </row>
    <row r="29" customFormat="false" ht="15" hidden="false" customHeight="false" outlineLevel="0" collapsed="false">
      <c r="A29" s="15"/>
      <c r="B29" s="22"/>
      <c r="C29" s="28" t="n">
        <v>1</v>
      </c>
      <c r="D29" s="24" t="n">
        <f aca="false">11/3.281</f>
        <v>3.3526363913441</v>
      </c>
      <c r="E29" s="21" t="n">
        <f aca="false">1.5/3.281</f>
        <v>0.457177689728741</v>
      </c>
      <c r="F29" s="21" t="n">
        <v>4.1</v>
      </c>
      <c r="G29" s="25" t="n">
        <f aca="false">C29*0.032163*D29</f>
        <v>0.1078308442548</v>
      </c>
      <c r="H29" s="19"/>
      <c r="I29" s="20"/>
      <c r="J29" s="27"/>
      <c r="K29" s="21"/>
    </row>
    <row r="30" customFormat="false" ht="15" hidden="false" customHeight="false" outlineLevel="0" collapsed="false">
      <c r="A30" s="15"/>
      <c r="B30" s="22"/>
      <c r="C30" s="28" t="n">
        <v>1</v>
      </c>
      <c r="D30" s="24" t="n">
        <f aca="false">18.5/3.281</f>
        <v>5.63852483998781</v>
      </c>
      <c r="E30" s="21" t="n">
        <f aca="false">1.5/3.281</f>
        <v>0.457177689728741</v>
      </c>
      <c r="F30" s="21" t="n">
        <v>5.1</v>
      </c>
      <c r="G30" s="25" t="n">
        <f aca="false">C30*0.032163*D30</f>
        <v>0.181351874428528</v>
      </c>
      <c r="H30" s="19"/>
      <c r="I30" s="20"/>
      <c r="J30" s="27"/>
      <c r="K30" s="21"/>
    </row>
    <row r="31" customFormat="false" ht="15" hidden="false" customHeight="false" outlineLevel="0" collapsed="false">
      <c r="A31" s="15"/>
      <c r="B31" s="22"/>
      <c r="C31" s="28" t="n">
        <v>1</v>
      </c>
      <c r="D31" s="24" t="n">
        <f aca="false">20/3.281</f>
        <v>6.09570252971655</v>
      </c>
      <c r="E31" s="21" t="n">
        <f aca="false">1.5/3.281</f>
        <v>0.457177689728741</v>
      </c>
      <c r="F31" s="21" t="n">
        <v>6.1</v>
      </c>
      <c r="G31" s="25" t="n">
        <f aca="false">C31*0.032163*D31</f>
        <v>0.196056080463273</v>
      </c>
      <c r="H31" s="19"/>
      <c r="I31" s="20"/>
      <c r="J31" s="27"/>
      <c r="K31" s="21"/>
    </row>
    <row r="32" customFormat="false" ht="15" hidden="false" customHeight="false" outlineLevel="0" collapsed="false">
      <c r="A32" s="15"/>
      <c r="B32" s="26" t="s">
        <v>22</v>
      </c>
      <c r="C32" s="28"/>
      <c r="D32" s="24"/>
      <c r="E32" s="21"/>
      <c r="F32" s="21"/>
      <c r="G32" s="20" t="n">
        <f aca="false">SUM(G25:G31)</f>
        <v>0.93616778421213</v>
      </c>
      <c r="H32" s="19" t="s">
        <v>23</v>
      </c>
      <c r="I32" s="30" t="n">
        <v>11588.17</v>
      </c>
      <c r="J32" s="27" t="n">
        <f aca="false">G32*I32</f>
        <v>10848.4714319735</v>
      </c>
      <c r="K32" s="21"/>
    </row>
    <row r="33" customFormat="false" ht="15" hidden="false" customHeight="false" outlineLevel="0" collapsed="false">
      <c r="A33" s="15"/>
      <c r="B33" s="26" t="s">
        <v>24</v>
      </c>
      <c r="C33" s="28"/>
      <c r="D33" s="24"/>
      <c r="E33" s="21"/>
      <c r="F33" s="21"/>
      <c r="G33" s="20"/>
      <c r="H33" s="19"/>
      <c r="I33" s="20"/>
      <c r="J33" s="31" t="n">
        <f aca="false">0.13*G32*((128662.2+6685.5)/15)</f>
        <v>1098.13735552914</v>
      </c>
      <c r="K33" s="21"/>
    </row>
    <row r="34" customFormat="false" ht="15" hidden="false" customHeight="false" outlineLevel="0" collapsed="false">
      <c r="A34" s="15"/>
      <c r="B34" s="26"/>
      <c r="C34" s="28"/>
      <c r="D34" s="24"/>
      <c r="E34" s="21"/>
      <c r="F34" s="21"/>
      <c r="G34" s="20"/>
      <c r="H34" s="19"/>
      <c r="I34" s="20"/>
      <c r="J34" s="31"/>
      <c r="K34" s="21"/>
    </row>
    <row r="35" customFormat="false" ht="75" hidden="true" customHeight="false" outlineLevel="0" collapsed="false">
      <c r="A35" s="15" t="n">
        <v>5</v>
      </c>
      <c r="B35" s="29" t="s">
        <v>29</v>
      </c>
      <c r="C35" s="28" t="s">
        <v>11</v>
      </c>
      <c r="D35" s="32" t="s">
        <v>30</v>
      </c>
      <c r="E35" s="32" t="s">
        <v>31</v>
      </c>
      <c r="F35" s="32" t="s">
        <v>32</v>
      </c>
      <c r="G35" s="32" t="s">
        <v>33</v>
      </c>
      <c r="H35" s="19"/>
      <c r="I35" s="20"/>
      <c r="J35" s="31"/>
      <c r="K35" s="21"/>
    </row>
    <row r="36" customFormat="false" ht="15" hidden="true" customHeight="false" outlineLevel="0" collapsed="false">
      <c r="A36" s="15"/>
      <c r="B36" s="22" t="str">
        <f aca="false">B25</f>
        <v>-Concrete speed breaker</v>
      </c>
      <c r="C36" s="28" t="n">
        <f aca="false">(TRUNC(((E25-0.1)/0.15),0)+1)+(TRUNC(((F26-0.1)/0.15),0)*2)</f>
        <v>15</v>
      </c>
      <c r="D36" s="24" t="n">
        <f aca="false">D25-0.1</f>
        <v>3.40502895458702</v>
      </c>
      <c r="E36" s="21" t="n">
        <f aca="false">10*10/162</f>
        <v>0.617283950617284</v>
      </c>
      <c r="F36" s="21" t="n">
        <f aca="false">PRODUCT(C36:E36)</f>
        <v>31.5280458758057</v>
      </c>
      <c r="G36" s="25" t="n">
        <f aca="false">F36/1000</f>
        <v>0.0315280458758057</v>
      </c>
      <c r="H36" s="19"/>
      <c r="I36" s="20"/>
      <c r="J36" s="27"/>
      <c r="K36" s="21"/>
      <c r="N36" s="33" t="s">
        <v>34</v>
      </c>
      <c r="O36" s="33" t="s">
        <v>35</v>
      </c>
      <c r="P36" s="33" t="s">
        <v>36</v>
      </c>
      <c r="Q36" s="33" t="s">
        <v>37</v>
      </c>
    </row>
    <row r="37" customFormat="false" ht="15" hidden="true" customHeight="false" outlineLevel="0" collapsed="false">
      <c r="A37" s="15"/>
      <c r="B37" s="22"/>
      <c r="C37" s="28" t="n">
        <f aca="false">TRUNC(((D36-0.1)/0.15),0)</f>
        <v>22</v>
      </c>
      <c r="D37" s="24" t="n">
        <f aca="false">(E25-0.1)+(F26-0.1)*1.9</f>
        <v>2.25717768972874</v>
      </c>
      <c r="E37" s="21" t="n">
        <f aca="false">10*10/162</f>
        <v>0.617283950617284</v>
      </c>
      <c r="F37" s="21" t="n">
        <f aca="false">PRODUCT(C37:E37)</f>
        <v>30.6530303543409</v>
      </c>
      <c r="G37" s="25" t="n">
        <f aca="false">F37/1000</f>
        <v>0.0306530303543409</v>
      </c>
      <c r="H37" s="19"/>
      <c r="I37" s="20"/>
      <c r="J37" s="20"/>
      <c r="K37" s="21"/>
      <c r="N37" s="34" t="s">
        <v>38</v>
      </c>
      <c r="O37" s="35" t="n">
        <f aca="false">Sheet1!K17/5*new!G16</f>
        <v>0</v>
      </c>
      <c r="P37" s="35" t="n">
        <f aca="false">0.13*O37</f>
        <v>0</v>
      </c>
      <c r="Q37" s="35" t="n">
        <f aca="false">O37+P37</f>
        <v>0</v>
      </c>
    </row>
    <row r="38" customFormat="false" ht="15" hidden="true" customHeight="false" outlineLevel="0" collapsed="false">
      <c r="A38" s="15"/>
      <c r="B38" s="22" t="n">
        <f aca="false">B27</f>
        <v>0</v>
      </c>
      <c r="C38" s="28" t="n">
        <f aca="false">(TRUNC(((D39)/0.15),0)+1)*C27</f>
        <v>3</v>
      </c>
      <c r="D38" s="24" t="n">
        <f aca="false">D27-0.1</f>
        <v>3.63361779945139</v>
      </c>
      <c r="E38" s="21" t="n">
        <f aca="false">10*10/162</f>
        <v>0.617283950617284</v>
      </c>
      <c r="F38" s="21" t="n">
        <f aca="false">PRODUCT(C38:E38)</f>
        <v>6.7289218508359</v>
      </c>
      <c r="G38" s="25" t="n">
        <f aca="false">F38/1000</f>
        <v>0.0067289218508359</v>
      </c>
      <c r="H38" s="19"/>
      <c r="I38" s="20"/>
      <c r="J38" s="27"/>
      <c r="K38" s="21"/>
      <c r="N38" s="34" t="s">
        <v>39</v>
      </c>
      <c r="O38" s="35" t="n">
        <f aca="false">(Sheet1!K29/15*new!G21+Sheet1!K45/15*new!G32)</f>
        <v>4627.384364694</v>
      </c>
      <c r="P38" s="35" t="n">
        <f aca="false">0.13*O38</f>
        <v>601.559967410219</v>
      </c>
      <c r="Q38" s="35" t="n">
        <f aca="false">O38+P38</f>
        <v>5228.94433210421</v>
      </c>
    </row>
    <row r="39" customFormat="false" ht="15" hidden="true" customHeight="false" outlineLevel="0" collapsed="false">
      <c r="A39" s="15"/>
      <c r="B39" s="22"/>
      <c r="C39" s="28" t="n">
        <f aca="false">(TRUNC(((D38)/0.15),0)+1)*C27</f>
        <v>25</v>
      </c>
      <c r="D39" s="24" t="n">
        <f aca="false">(E27-0.1)</f>
        <v>0.357177689728741</v>
      </c>
      <c r="E39" s="21" t="n">
        <f aca="false">10*10/162</f>
        <v>0.617283950617284</v>
      </c>
      <c r="F39" s="21" t="n">
        <f aca="false">PRODUCT(C39:E39)</f>
        <v>5.5120013847028</v>
      </c>
      <c r="G39" s="25" t="n">
        <f aca="false">F39/1000</f>
        <v>0.0055120013847028</v>
      </c>
      <c r="H39" s="19"/>
      <c r="I39" s="20"/>
      <c r="J39" s="27"/>
      <c r="K39" s="21"/>
      <c r="N39" s="34" t="s">
        <v>40</v>
      </c>
      <c r="O39" s="35" t="n">
        <f aca="false">Sheet1!K30/15*new!G21+new!G32*Sheet1!K46/15</f>
        <v>1055.24458169278</v>
      </c>
      <c r="P39" s="35" t="n">
        <f aca="false">0.13*O39</f>
        <v>137.181795620061</v>
      </c>
      <c r="Q39" s="35" t="n">
        <f aca="false">O39+P39</f>
        <v>1192.42637731284</v>
      </c>
    </row>
    <row r="40" customFormat="false" ht="15" hidden="true" customHeight="false" outlineLevel="0" collapsed="false">
      <c r="A40" s="15"/>
      <c r="B40" s="22" t="n">
        <f aca="false">B28</f>
        <v>0</v>
      </c>
      <c r="C40" s="28" t="n">
        <f aca="false">(TRUNC(((D41)/0.15),0)+1)*C28</f>
        <v>3</v>
      </c>
      <c r="D40" s="24" t="n">
        <f aca="false">D28-0.1</f>
        <v>3.32883267296556</v>
      </c>
      <c r="E40" s="21" t="n">
        <f aca="false">10*10/162</f>
        <v>0.617283950617284</v>
      </c>
      <c r="F40" s="21" t="n">
        <f aca="false">PRODUCT(C40:E40)</f>
        <v>6.16450494993622</v>
      </c>
      <c r="G40" s="25" t="n">
        <f aca="false">F40/1000</f>
        <v>0.00616450494993622</v>
      </c>
      <c r="H40" s="19"/>
      <c r="I40" s="20"/>
      <c r="J40" s="27"/>
      <c r="K40" s="21"/>
      <c r="N40" s="34" t="s">
        <v>41</v>
      </c>
      <c r="O40" s="35" t="n">
        <f aca="false">(Sheet1!K31+Sheet1!K32+Sheet1!K33)/15*new!G21+(Sheet1!K47+Sheet1!K48)/15*new!G32</f>
        <v>2865.50923028686</v>
      </c>
      <c r="P40" s="35" t="n">
        <f aca="false">0.13*O40</f>
        <v>372.516199937292</v>
      </c>
      <c r="Q40" s="35" t="n">
        <f aca="false">O40+P40</f>
        <v>3238.02543022416</v>
      </c>
    </row>
    <row r="41" customFormat="false" ht="15" hidden="true" customHeight="false" outlineLevel="0" collapsed="false">
      <c r="A41" s="15"/>
      <c r="B41" s="22"/>
      <c r="C41" s="28" t="n">
        <f aca="false">(TRUNC(((D40)/0.15),0)+1)*C28</f>
        <v>23</v>
      </c>
      <c r="D41" s="24" t="n">
        <f aca="false">(E28-0.1)</f>
        <v>0.357177689728741</v>
      </c>
      <c r="E41" s="21" t="n">
        <f aca="false">10*10/162</f>
        <v>0.617283950617284</v>
      </c>
      <c r="F41" s="21" t="n">
        <f aca="false">PRODUCT(C41:E41)</f>
        <v>5.07104127392657</v>
      </c>
      <c r="G41" s="25" t="n">
        <f aca="false">F41/1000</f>
        <v>0.00507104127392657</v>
      </c>
      <c r="H41" s="19"/>
      <c r="I41" s="20"/>
      <c r="J41" s="27"/>
      <c r="K41" s="21"/>
      <c r="N41" s="34" t="s">
        <v>42</v>
      </c>
      <c r="O41" s="35" t="n">
        <f aca="false">Sheet1!K34/15*new!G21+new!G32*Sheet1!K49/15</f>
        <v>48.3686688509601</v>
      </c>
      <c r="P41" s="35" t="n">
        <f aca="false">0.13*O41</f>
        <v>6.28792695062481</v>
      </c>
      <c r="Q41" s="35" t="n">
        <f aca="false">O41+P41</f>
        <v>54.6565958015849</v>
      </c>
    </row>
    <row r="42" customFormat="false" ht="15" hidden="true" customHeight="false" outlineLevel="0" collapsed="false">
      <c r="A42" s="15"/>
      <c r="B42" s="26" t="s">
        <v>22</v>
      </c>
      <c r="C42" s="28"/>
      <c r="D42" s="24"/>
      <c r="E42" s="21"/>
      <c r="F42" s="21"/>
      <c r="G42" s="36" t="n">
        <f aca="false">0*SUM(G36:G41)</f>
        <v>0</v>
      </c>
      <c r="H42" s="19" t="s">
        <v>43</v>
      </c>
      <c r="I42" s="30" t="n">
        <v>122648</v>
      </c>
      <c r="J42" s="27" t="n">
        <f aca="false">G42*I42</f>
        <v>0</v>
      </c>
      <c r="K42" s="21"/>
      <c r="N42" s="34" t="s">
        <v>44</v>
      </c>
      <c r="O42" s="35" t="n">
        <f aca="false">Sheet1!K59/1*new!G42</f>
        <v>0</v>
      </c>
      <c r="P42" s="35" t="n">
        <f aca="false">0.13*O42</f>
        <v>0</v>
      </c>
      <c r="Q42" s="35" t="n">
        <f aca="false">O42+P42</f>
        <v>0</v>
      </c>
    </row>
    <row r="43" customFormat="false" ht="15" hidden="true" customHeight="false" outlineLevel="0" collapsed="false">
      <c r="A43" s="15"/>
      <c r="B43" s="26" t="s">
        <v>24</v>
      </c>
      <c r="C43" s="28"/>
      <c r="D43" s="24"/>
      <c r="E43" s="21"/>
      <c r="F43" s="21"/>
      <c r="G43" s="20"/>
      <c r="H43" s="19"/>
      <c r="I43" s="20"/>
      <c r="J43" s="31" t="n">
        <f aca="false">0.13*G42*(109748)</f>
        <v>0</v>
      </c>
      <c r="K43" s="21"/>
      <c r="N43" s="34" t="s">
        <v>45</v>
      </c>
      <c r="O43" s="35" t="n">
        <f aca="false">Sheet1!K60/1*new!G42</f>
        <v>0</v>
      </c>
      <c r="P43" s="35" t="n">
        <f aca="false">0.13*O43</f>
        <v>0</v>
      </c>
      <c r="Q43" s="35" t="n">
        <f aca="false">O43+P43</f>
        <v>0</v>
      </c>
    </row>
    <row r="44" customFormat="false" ht="15" hidden="true" customHeight="false" outlineLevel="0" collapsed="false">
      <c r="A44" s="15"/>
      <c r="B44" s="26"/>
      <c r="C44" s="28"/>
      <c r="D44" s="24"/>
      <c r="E44" s="21"/>
      <c r="F44" s="21"/>
      <c r="G44" s="20"/>
      <c r="H44" s="19"/>
      <c r="I44" s="20"/>
      <c r="J44" s="31"/>
      <c r="K44" s="21"/>
      <c r="N44" s="37" t="s">
        <v>46</v>
      </c>
      <c r="O44" s="38" t="n">
        <f aca="false">Sheet1!P6/360*new!G11</f>
        <v>0</v>
      </c>
      <c r="P44" s="35" t="n">
        <f aca="false">0.13*O44</f>
        <v>0</v>
      </c>
      <c r="Q44" s="35" t="n">
        <f aca="false">O44+P44</f>
        <v>0</v>
      </c>
    </row>
    <row r="45" customFormat="false" ht="15" hidden="false" customHeight="false" outlineLevel="0" collapsed="false">
      <c r="A45" s="15" t="n">
        <v>2</v>
      </c>
      <c r="B45" s="39" t="s">
        <v>47</v>
      </c>
      <c r="C45" s="28" t="n">
        <v>1</v>
      </c>
      <c r="D45" s="24"/>
      <c r="E45" s="21"/>
      <c r="F45" s="21"/>
      <c r="G45" s="27" t="n">
        <f aca="false">PRODUCT(C45:F45)</f>
        <v>1</v>
      </c>
      <c r="H45" s="19" t="s">
        <v>48</v>
      </c>
      <c r="I45" s="20" t="n">
        <v>500</v>
      </c>
      <c r="J45" s="40" t="n">
        <f aca="false">G45*I45</f>
        <v>500</v>
      </c>
      <c r="K45" s="21"/>
      <c r="N45" s="37" t="s">
        <v>49</v>
      </c>
      <c r="O45" s="38" t="n">
        <f aca="false">Sheet1!U29/15*new!G21+Sheet1!U45/15*new!G32</f>
        <v>437.237393289439</v>
      </c>
      <c r="P45" s="35" t="n">
        <f aca="false">0.13*O45</f>
        <v>56.840861127627</v>
      </c>
      <c r="Q45" s="35" t="n">
        <f aca="false">O45+P45</f>
        <v>494.078254417066</v>
      </c>
    </row>
    <row r="46" customFormat="false" ht="15" hidden="false" customHeight="false" outlineLevel="0" collapsed="false">
      <c r="A46" s="34"/>
      <c r="B46" s="41"/>
      <c r="C46" s="42"/>
      <c r="D46" s="35"/>
      <c r="E46" s="35"/>
      <c r="F46" s="35"/>
      <c r="G46" s="40"/>
      <c r="H46" s="40"/>
      <c r="I46" s="40"/>
      <c r="J46" s="40"/>
      <c r="K46" s="38"/>
      <c r="M46" s="43"/>
    </row>
    <row r="47" customFormat="false" ht="15" hidden="false" customHeight="false" outlineLevel="0" collapsed="false">
      <c r="A47" s="34"/>
      <c r="B47" s="41" t="s">
        <v>50</v>
      </c>
      <c r="C47" s="42"/>
      <c r="D47" s="35"/>
      <c r="E47" s="35"/>
      <c r="F47" s="35"/>
      <c r="G47" s="40"/>
      <c r="H47" s="40"/>
      <c r="I47" s="40"/>
      <c r="J47" s="40" t="n">
        <f aca="false">SUM(J31:J46)</f>
        <v>12446.6087875026</v>
      </c>
      <c r="K47" s="38"/>
      <c r="M47" s="43"/>
      <c r="P47" s="44" t="n">
        <f aca="false">SUM(P37:P45)</f>
        <v>1174.38675104582</v>
      </c>
      <c r="Q47" s="44" t="n">
        <f aca="false">SUM(Q37:Q43)</f>
        <v>9714.05273544279</v>
      </c>
    </row>
    <row r="48" customFormat="false" ht="15" hidden="false" customHeight="false" outlineLevel="0" collapsed="false">
      <c r="M48" s="43"/>
      <c r="N48" s="45"/>
      <c r="O48" s="45"/>
      <c r="P48" s="46" t="n">
        <f aca="false">J43+J33+J17+J22+J12</f>
        <v>1098.13735552914</v>
      </c>
      <c r="R48" s="45"/>
      <c r="S48" s="45"/>
      <c r="T48" s="45"/>
      <c r="U48" s="43"/>
      <c r="V48" s="43"/>
      <c r="W48" s="43"/>
      <c r="X48" s="43"/>
      <c r="Y48" s="43"/>
      <c r="Z48" s="43"/>
      <c r="AA48" s="43"/>
      <c r="AB48" s="43"/>
      <c r="AC48" s="43"/>
      <c r="AD48" s="43"/>
      <c r="AE48" s="43"/>
    </row>
    <row r="49" s="3" customFormat="true" ht="15" hidden="false" customHeight="false" outlineLevel="0" collapsed="false">
      <c r="B49" s="17" t="s">
        <v>51</v>
      </c>
      <c r="C49" s="47" t="n">
        <f aca="false">J47</f>
        <v>12446.6087875026</v>
      </c>
      <c r="D49" s="47"/>
      <c r="E49" s="48" t="n">
        <v>100</v>
      </c>
      <c r="F49" s="49"/>
      <c r="G49" s="50"/>
      <c r="H49" s="49"/>
      <c r="I49" s="51"/>
      <c r="J49" s="52"/>
      <c r="K49" s="53"/>
      <c r="M49" s="49"/>
      <c r="N49" s="45"/>
      <c r="O49" s="45"/>
      <c r="P49" s="45"/>
      <c r="Q49" s="45"/>
      <c r="R49" s="45"/>
      <c r="S49" s="45"/>
      <c r="T49" s="45"/>
      <c r="U49" s="49"/>
      <c r="V49" s="49"/>
      <c r="W49" s="49"/>
      <c r="X49" s="49"/>
      <c r="Y49" s="49"/>
      <c r="Z49" s="49"/>
      <c r="AA49" s="49"/>
      <c r="AB49" s="49"/>
      <c r="AC49" s="49"/>
      <c r="AD49" s="49"/>
      <c r="AE49" s="49"/>
    </row>
    <row r="50" customFormat="false" ht="15" hidden="false" customHeight="false" outlineLevel="0" collapsed="false">
      <c r="B50" s="17" t="s">
        <v>52</v>
      </c>
      <c r="C50" s="54" t="n">
        <v>11000</v>
      </c>
      <c r="D50" s="54"/>
      <c r="E50" s="48"/>
      <c r="M50" s="43"/>
      <c r="N50" s="45"/>
      <c r="O50" s="45" t="n">
        <f aca="false">1000/50</f>
        <v>20</v>
      </c>
      <c r="P50" s="45" t="n">
        <f aca="false">14231</f>
        <v>14231</v>
      </c>
      <c r="Q50" s="45" t="n">
        <f aca="false">P50/O50</f>
        <v>711.55</v>
      </c>
      <c r="R50" s="45"/>
      <c r="S50" s="45"/>
      <c r="T50" s="45"/>
      <c r="U50" s="43"/>
      <c r="V50" s="43"/>
      <c r="W50" s="43"/>
      <c r="X50" s="43"/>
      <c r="Y50" s="43"/>
      <c r="Z50" s="43"/>
      <c r="AA50" s="43"/>
      <c r="AB50" s="43"/>
      <c r="AC50" s="43"/>
      <c r="AD50" s="43"/>
      <c r="AE50" s="43"/>
    </row>
    <row r="51" customFormat="false" ht="15" hidden="false" customHeight="false" outlineLevel="0" collapsed="false">
      <c r="B51" s="17" t="s">
        <v>53</v>
      </c>
      <c r="C51" s="54" t="n">
        <f aca="false">C50-C53-C54</f>
        <v>10450</v>
      </c>
      <c r="D51" s="54"/>
      <c r="E51" s="48" t="n">
        <f aca="false">C51/C49*100</f>
        <v>83.9586121682609</v>
      </c>
      <c r="M51" s="43"/>
      <c r="N51" s="43"/>
      <c r="O51" s="43"/>
      <c r="P51" s="43" t="n">
        <f aca="false">56265.26</f>
        <v>56265.26</v>
      </c>
      <c r="Q51" s="43" t="n">
        <f aca="false">P51/Q50</f>
        <v>79.0742182559202</v>
      </c>
      <c r="R51" s="43"/>
      <c r="S51" s="43"/>
      <c r="T51" s="43"/>
      <c r="U51" s="43"/>
      <c r="V51" s="43"/>
      <c r="W51" s="43"/>
      <c r="X51" s="43"/>
      <c r="Y51" s="43"/>
      <c r="Z51" s="43"/>
      <c r="AA51" s="43"/>
      <c r="AB51" s="43"/>
      <c r="AC51" s="43"/>
      <c r="AD51" s="43"/>
      <c r="AE51" s="43"/>
    </row>
    <row r="52" customFormat="false" ht="15" hidden="false" customHeight="false" outlineLevel="0" collapsed="false">
      <c r="B52" s="17" t="s">
        <v>54</v>
      </c>
      <c r="C52" s="47" t="n">
        <f aca="false">C49-C51</f>
        <v>1996.60878750262</v>
      </c>
      <c r="D52" s="47"/>
      <c r="E52" s="48" t="n">
        <f aca="false">100-E51</f>
        <v>16.0413878317391</v>
      </c>
      <c r="M52" s="43"/>
      <c r="N52" s="43"/>
      <c r="O52" s="43"/>
      <c r="P52" s="43"/>
      <c r="Q52" s="43"/>
      <c r="R52" s="43"/>
      <c r="S52" s="43"/>
      <c r="T52" s="43"/>
      <c r="U52" s="43"/>
      <c r="V52" s="43"/>
      <c r="W52" s="43"/>
      <c r="X52" s="43"/>
      <c r="Y52" s="43"/>
      <c r="Z52" s="43"/>
      <c r="AA52" s="43"/>
      <c r="AB52" s="43"/>
      <c r="AC52" s="43"/>
      <c r="AD52" s="43"/>
      <c r="AE52" s="43"/>
    </row>
    <row r="53" customFormat="false" ht="15" hidden="false" customHeight="false" outlineLevel="0" collapsed="false">
      <c r="B53" s="17" t="s">
        <v>55</v>
      </c>
      <c r="C53" s="47" t="n">
        <f aca="false">C50*0.03</f>
        <v>330</v>
      </c>
      <c r="D53" s="47"/>
      <c r="E53" s="48" t="n">
        <v>3</v>
      </c>
      <c r="M53" s="43"/>
      <c r="N53" s="43"/>
      <c r="O53" s="43"/>
      <c r="P53" s="43"/>
      <c r="Q53" s="43" t="n">
        <f aca="false">600+0.13*600</f>
        <v>678</v>
      </c>
      <c r="R53" s="43"/>
      <c r="S53" s="43"/>
      <c r="T53" s="43"/>
      <c r="U53" s="43"/>
      <c r="V53" s="43"/>
      <c r="W53" s="43"/>
      <c r="X53" s="43"/>
      <c r="Y53" s="43"/>
      <c r="Z53" s="43"/>
      <c r="AA53" s="43"/>
      <c r="AB53" s="43"/>
      <c r="AC53" s="43"/>
      <c r="AD53" s="43"/>
      <c r="AE53" s="43"/>
    </row>
    <row r="54" customFormat="false" ht="15" hidden="false" customHeight="false" outlineLevel="0" collapsed="false">
      <c r="B54" s="17" t="s">
        <v>56</v>
      </c>
      <c r="C54" s="47" t="n">
        <f aca="false">C50*0.02</f>
        <v>220</v>
      </c>
      <c r="D54" s="47"/>
      <c r="E54" s="48" t="n">
        <v>2</v>
      </c>
      <c r="M54" s="43"/>
      <c r="N54" s="43"/>
      <c r="O54" s="43"/>
      <c r="P54" s="43"/>
      <c r="Q54" s="43"/>
      <c r="R54" s="43"/>
      <c r="S54" s="43"/>
      <c r="T54" s="43"/>
      <c r="U54" s="43"/>
      <c r="V54" s="43"/>
      <c r="W54" s="43"/>
      <c r="X54" s="43"/>
      <c r="Y54" s="43"/>
      <c r="Z54" s="43"/>
      <c r="AA54" s="43"/>
      <c r="AB54" s="43"/>
      <c r="AC54" s="43"/>
      <c r="AD54" s="43"/>
      <c r="AE54" s="43"/>
    </row>
    <row r="56" customFormat="false" ht="15" hidden="false" customHeight="false" outlineLevel="0" collapsed="false">
      <c r="O56" s="0" t="n">
        <f aca="false">81/9</f>
        <v>9</v>
      </c>
      <c r="P56" s="0" t="n">
        <f aca="false">9*3</f>
        <v>27</v>
      </c>
    </row>
  </sheetData>
  <mergeCells count="15">
    <mergeCell ref="A1:K1"/>
    <mergeCell ref="A2:K2"/>
    <mergeCell ref="A3:K3"/>
    <mergeCell ref="A4:K4"/>
    <mergeCell ref="A5:K5"/>
    <mergeCell ref="A6:G6"/>
    <mergeCell ref="H6:K6"/>
    <mergeCell ref="A7:F7"/>
    <mergeCell ref="H7:K7"/>
    <mergeCell ref="C49:D49"/>
    <mergeCell ref="C50:D50"/>
    <mergeCell ref="C51:D51"/>
    <mergeCell ref="C52:D52"/>
    <mergeCell ref="C53:D53"/>
    <mergeCell ref="C54:D54"/>
  </mergeCells>
  <printOptions headings="false" gridLines="false" gridLinesSet="true" horizontalCentered="true" verticalCentered="false"/>
  <pageMargins left="0.7" right="0.7" top="0.75" bottom="0.75" header="0.511811023622047" footer="0.3"/>
  <pageSetup paperSize="9" scale="80" fitToWidth="1" fitToHeight="1" pageOrder="downThenOver" orientation="portrait" blackAndWhite="false" draft="false" cellComments="none" horizontalDpi="300" verticalDpi="300" copies="1"/>
  <headerFooter differentFirst="false" differentOddEven="false">
    <oddHeader/>
    <oddFooter>&amp;LPrepared By:
Kristal Suwal&amp;CChecked By:
Er. Milan Phuyal&amp;RApproved By:    
Er. Prakash Singh Saud</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8" activeCellId="0" sqref="I8"/>
    </sheetView>
  </sheetViews>
  <sheetFormatPr defaultColWidth="8.4296875" defaultRowHeight="15" zeroHeight="false" outlineLevelRow="0" outlineLevelCol="0"/>
  <cols>
    <col collapsed="false" customWidth="true" hidden="false" outlineLevel="0" max="1" min="1" style="0" width="6.28"/>
    <col collapsed="false" customWidth="true" hidden="false" outlineLevel="0" max="2" min="2" style="0" width="36.71"/>
    <col collapsed="false" customWidth="true" hidden="false" outlineLevel="0" max="3" min="3" style="0" width="8.85"/>
    <col collapsed="false" customWidth="true" hidden="false" outlineLevel="0" max="4" min="4" style="0" width="9.28"/>
    <col collapsed="false" customWidth="true" hidden="false" outlineLevel="0" max="5" min="5" style="0" width="11.57"/>
    <col collapsed="false" customWidth="true" hidden="false" outlineLevel="0" max="6" min="6" style="0" width="12.28"/>
    <col collapsed="false" customWidth="true" hidden="false" outlineLevel="0" max="7" min="7" style="0" width="9.57"/>
    <col collapsed="false" customWidth="true" hidden="false" outlineLevel="0" max="8" min="8" style="0" width="11.14"/>
    <col collapsed="false" customWidth="true" hidden="false" outlineLevel="0" max="9" min="9" style="0" width="11.85"/>
    <col collapsed="false" customWidth="true" hidden="false" outlineLevel="0" max="10" min="10" style="0" width="12.28"/>
    <col collapsed="false" customWidth="true" hidden="false" outlineLevel="0" max="11" min="11" style="0" width="11"/>
  </cols>
  <sheetData>
    <row r="1" customFormat="false" ht="15" hidden="false" customHeight="false" outlineLevel="0" collapsed="false">
      <c r="A1" s="55" t="s">
        <v>0</v>
      </c>
      <c r="B1" s="55"/>
      <c r="C1" s="55"/>
      <c r="D1" s="55"/>
      <c r="E1" s="55"/>
      <c r="F1" s="55"/>
      <c r="G1" s="55"/>
      <c r="H1" s="55"/>
      <c r="I1" s="55"/>
      <c r="J1" s="55"/>
      <c r="K1" s="55"/>
    </row>
    <row r="2" customFormat="false" ht="25.5" hidden="false" customHeight="false" outlineLevel="0" collapsed="false">
      <c r="A2" s="56" t="s">
        <v>1</v>
      </c>
      <c r="B2" s="56"/>
      <c r="C2" s="56"/>
      <c r="D2" s="56"/>
      <c r="E2" s="56"/>
      <c r="F2" s="56"/>
      <c r="G2" s="56"/>
      <c r="H2" s="56"/>
      <c r="I2" s="56"/>
      <c r="J2" s="56"/>
      <c r="K2" s="56"/>
    </row>
    <row r="3" s="3" customFormat="true" ht="15" hidden="false" customHeight="false" outlineLevel="0" collapsed="false">
      <c r="A3" s="5" t="s">
        <v>2</v>
      </c>
      <c r="B3" s="5"/>
      <c r="C3" s="5"/>
      <c r="D3" s="5"/>
      <c r="E3" s="5"/>
      <c r="F3" s="5"/>
      <c r="G3" s="5"/>
      <c r="H3" s="5"/>
      <c r="I3" s="5"/>
      <c r="J3" s="5"/>
      <c r="K3" s="5"/>
    </row>
    <row r="4" s="3" customFormat="true" ht="15" hidden="false" customHeight="false" outlineLevel="0" collapsed="false">
      <c r="A4" s="5" t="s">
        <v>3</v>
      </c>
      <c r="B4" s="5"/>
      <c r="C4" s="5"/>
      <c r="D4" s="5"/>
      <c r="E4" s="5"/>
      <c r="F4" s="5"/>
      <c r="G4" s="5"/>
      <c r="H4" s="5"/>
      <c r="I4" s="5"/>
      <c r="J4" s="5"/>
      <c r="K4" s="5"/>
    </row>
    <row r="5" customFormat="false" ht="18.75" hidden="false" customHeight="false" outlineLevel="0" collapsed="false">
      <c r="A5" s="57" t="s">
        <v>57</v>
      </c>
      <c r="B5" s="57"/>
      <c r="C5" s="57"/>
      <c r="D5" s="57"/>
      <c r="E5" s="57"/>
      <c r="F5" s="57"/>
      <c r="G5" s="57"/>
      <c r="H5" s="57"/>
      <c r="I5" s="57"/>
      <c r="J5" s="57"/>
      <c r="K5" s="57"/>
    </row>
    <row r="6" customFormat="false" ht="18.75" hidden="false" customHeight="false" outlineLevel="0" collapsed="false">
      <c r="A6" s="58" t="s">
        <v>58</v>
      </c>
      <c r="B6" s="58"/>
      <c r="C6" s="59" t="n">
        <f aca="false">F30</f>
        <v>12446.6087875026</v>
      </c>
      <c r="D6" s="59"/>
      <c r="E6" s="60"/>
      <c r="F6" s="58"/>
      <c r="G6" s="58"/>
      <c r="H6" s="58" t="s">
        <v>59</v>
      </c>
      <c r="I6" s="58"/>
      <c r="J6" s="59" t="n">
        <f aca="false">I30</f>
        <v>238189.742529638</v>
      </c>
      <c r="K6" s="59"/>
    </row>
    <row r="7" customFormat="false" ht="15" hidden="false" customHeight="false" outlineLevel="0" collapsed="false">
      <c r="A7" s="61" t="s">
        <v>60</v>
      </c>
      <c r="B7" s="61"/>
      <c r="C7" s="61"/>
      <c r="D7" s="61"/>
      <c r="F7" s="62"/>
      <c r="G7" s="62"/>
      <c r="I7" s="63" t="s">
        <v>61</v>
      </c>
      <c r="J7" s="63"/>
      <c r="K7" s="63"/>
    </row>
    <row r="8" customFormat="false" ht="15.75" hidden="false" customHeight="false" outlineLevel="0" collapsed="false">
      <c r="A8" s="64" t="str">
        <f aca="false">V!A6</f>
        <v>Project:- कालिका मन्दिर मुनि ढल व्यवस्थापन स्तरोन्नति</v>
      </c>
      <c r="B8" s="64"/>
      <c r="C8" s="64"/>
      <c r="D8" s="64"/>
      <c r="E8" s="64"/>
      <c r="F8" s="64"/>
      <c r="I8" s="65" t="s">
        <v>62</v>
      </c>
      <c r="J8" s="65"/>
      <c r="K8" s="65"/>
    </row>
    <row r="9" customFormat="false" ht="15.75" hidden="false" customHeight="false" outlineLevel="0" collapsed="false">
      <c r="A9" s="64" t="str">
        <f aca="false">V!A7</f>
        <v>Location:- Shankharapur Municipality 9</v>
      </c>
      <c r="B9" s="64"/>
      <c r="C9" s="64"/>
      <c r="D9" s="64"/>
      <c r="E9" s="64"/>
      <c r="F9" s="64"/>
      <c r="I9" s="65" t="s">
        <v>63</v>
      </c>
      <c r="J9" s="65"/>
      <c r="K9" s="65"/>
    </row>
    <row r="11" customFormat="false" ht="15" hidden="false" customHeight="true" outlineLevel="0" collapsed="false">
      <c r="A11" s="66" t="s">
        <v>64</v>
      </c>
      <c r="B11" s="66" t="s">
        <v>65</v>
      </c>
      <c r="C11" s="66" t="s">
        <v>16</v>
      </c>
      <c r="D11" s="67" t="s">
        <v>66</v>
      </c>
      <c r="E11" s="67"/>
      <c r="F11" s="67"/>
      <c r="G11" s="67" t="s">
        <v>67</v>
      </c>
      <c r="H11" s="67"/>
      <c r="I11" s="67"/>
      <c r="J11" s="66" t="s">
        <v>68</v>
      </c>
      <c r="K11" s="68" t="s">
        <v>19</v>
      </c>
    </row>
    <row r="12" customFormat="false" ht="15" hidden="false" customHeight="false" outlineLevel="0" collapsed="false">
      <c r="A12" s="66"/>
      <c r="B12" s="66"/>
      <c r="C12" s="66"/>
      <c r="D12" s="69" t="s">
        <v>69</v>
      </c>
      <c r="E12" s="69" t="s">
        <v>17</v>
      </c>
      <c r="F12" s="69" t="s">
        <v>18</v>
      </c>
      <c r="G12" s="69" t="s">
        <v>69</v>
      </c>
      <c r="H12" s="69" t="s">
        <v>17</v>
      </c>
      <c r="I12" s="69" t="s">
        <v>18</v>
      </c>
      <c r="J12" s="66"/>
      <c r="K12" s="68"/>
    </row>
    <row r="13" s="3" customFormat="true" ht="120" hidden="false" customHeight="false" outlineLevel="0" collapsed="false">
      <c r="A13" s="70" t="n">
        <f aca="false">new!A9</f>
        <v>1</v>
      </c>
      <c r="B13" s="71" t="str">
        <f aca="false">new!B9</f>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
      <c r="C13" s="48" t="str">
        <f aca="false">new!H11</f>
        <v>cum</v>
      </c>
      <c r="D13" s="48" t="n">
        <f aca="false">new!G11</f>
        <v>0</v>
      </c>
      <c r="E13" s="48" t="n">
        <f aca="false">new!I11</f>
        <v>62.02</v>
      </c>
      <c r="F13" s="48" t="n">
        <f aca="false">D13*E13</f>
        <v>0</v>
      </c>
      <c r="G13" s="48" t="n">
        <f aca="false">V!G11</f>
        <v>15.6789545870162</v>
      </c>
      <c r="H13" s="48" t="n">
        <f aca="false">V!I11</f>
        <v>62.02</v>
      </c>
      <c r="I13" s="48" t="n">
        <f aca="false">G13*H13</f>
        <v>972.408763486742</v>
      </c>
      <c r="J13" s="72" t="n">
        <f aca="false">I13-F13</f>
        <v>972.408763486742</v>
      </c>
      <c r="K13" s="73"/>
      <c r="M13" s="3" t="n">
        <f aca="false">1.25*F13</f>
        <v>0</v>
      </c>
    </row>
    <row r="14" s="3" customFormat="true" ht="15" hidden="false" customHeight="false" outlineLevel="0" collapsed="false">
      <c r="A14" s="70"/>
      <c r="B14" s="22" t="str">
        <f aca="false">new!B12</f>
        <v>VAT 13% for material</v>
      </c>
      <c r="C14" s="48"/>
      <c r="D14" s="48"/>
      <c r="E14" s="48"/>
      <c r="F14" s="48" t="n">
        <f aca="false">new!J12</f>
        <v>0</v>
      </c>
      <c r="G14" s="48"/>
      <c r="H14" s="48"/>
      <c r="I14" s="48" t="n">
        <f aca="false">V!J12</f>
        <v>104.325150662908</v>
      </c>
      <c r="J14" s="72" t="n">
        <f aca="false">I14-F14</f>
        <v>104.325150662908</v>
      </c>
      <c r="K14" s="73"/>
      <c r="M14" s="3" t="n">
        <f aca="false">1.25*F14</f>
        <v>0</v>
      </c>
    </row>
    <row r="15" s="3" customFormat="true" ht="15" hidden="false" customHeight="false" outlineLevel="0" collapsed="false">
      <c r="A15" s="70"/>
      <c r="B15" s="71"/>
      <c r="C15" s="48"/>
      <c r="D15" s="48"/>
      <c r="E15" s="48"/>
      <c r="F15" s="48"/>
      <c r="G15" s="48"/>
      <c r="H15" s="48"/>
      <c r="I15" s="48"/>
      <c r="J15" s="72"/>
      <c r="K15" s="73"/>
    </row>
    <row r="16" s="3" customFormat="true" ht="75" hidden="false" customHeight="false" outlineLevel="0" collapsed="false">
      <c r="A16" s="70" t="n">
        <f aca="false">new!A14</f>
        <v>2</v>
      </c>
      <c r="B16" s="71" t="str">
        <f aca="false">new!B14</f>
        <v>Providing and laying of hand pack locally available Stone soling with 150 to 200 mm thick stones and packing with smaller stone on prepared surface as per Drawing and Technical Specifications.</v>
      </c>
      <c r="C16" s="48" t="str">
        <f aca="false">new!H16</f>
        <v>cum</v>
      </c>
      <c r="D16" s="48" t="n">
        <f aca="false">new!G16</f>
        <v>0</v>
      </c>
      <c r="E16" s="48" t="n">
        <f aca="false">new!I16</f>
        <v>4403.52</v>
      </c>
      <c r="F16" s="48" t="n">
        <f aca="false">D16*E16</f>
        <v>0</v>
      </c>
      <c r="G16" s="48" t="n">
        <f aca="false">V!G16</f>
        <v>3.3075</v>
      </c>
      <c r="H16" s="48" t="n">
        <f aca="false">V!I16</f>
        <v>4403.52</v>
      </c>
      <c r="I16" s="48" t="n">
        <f aca="false">G16*H16</f>
        <v>14564.6424</v>
      </c>
      <c r="J16" s="72" t="n">
        <f aca="false">I16-F16</f>
        <v>14564.6424</v>
      </c>
      <c r="K16" s="73"/>
    </row>
    <row r="17" s="3" customFormat="true" ht="15" hidden="false" customHeight="false" outlineLevel="0" collapsed="false">
      <c r="A17" s="70"/>
      <c r="B17" s="22" t="str">
        <f aca="false">new!B17</f>
        <v>VAT 13% for material</v>
      </c>
      <c r="C17" s="48"/>
      <c r="D17" s="48"/>
      <c r="E17" s="48"/>
      <c r="F17" s="48" t="n">
        <f aca="false">new!J17</f>
        <v>0</v>
      </c>
      <c r="G17" s="48"/>
      <c r="H17" s="48"/>
      <c r="I17" s="48" t="n">
        <f aca="false">V!J17</f>
        <v>1274.239512</v>
      </c>
      <c r="J17" s="72" t="n">
        <f aca="false">I17-F17</f>
        <v>1274.239512</v>
      </c>
      <c r="K17" s="73"/>
    </row>
    <row r="18" s="3" customFormat="true" ht="15" hidden="false" customHeight="false" outlineLevel="0" collapsed="false">
      <c r="A18" s="70"/>
      <c r="B18" s="71"/>
      <c r="C18" s="48"/>
      <c r="D18" s="48"/>
      <c r="E18" s="48"/>
      <c r="F18" s="48"/>
      <c r="G18" s="48"/>
      <c r="H18" s="48"/>
      <c r="I18" s="48"/>
      <c r="J18" s="72"/>
      <c r="K18" s="73"/>
      <c r="M18" s="3" t="n">
        <f aca="false">1.25*F18</f>
        <v>0</v>
      </c>
    </row>
    <row r="19" s="3" customFormat="true" ht="60" hidden="false" customHeight="false" outlineLevel="0" collapsed="false">
      <c r="A19" s="70" t="n">
        <f aca="false">new!A19</f>
        <v>3</v>
      </c>
      <c r="B19" s="71" t="str">
        <f aca="false">new!B19</f>
        <v>Providing and laying of Plain/Reinforced Cement Concrete in Foundation complete as per Drawing and Technical Specifications, PCC Grade M 15</v>
      </c>
      <c r="C19" s="48" t="str">
        <f aca="false">new!H21</f>
        <v>cum</v>
      </c>
      <c r="D19" s="48" t="n">
        <f aca="false">new!G21</f>
        <v>0</v>
      </c>
      <c r="E19" s="48" t="n">
        <f aca="false">new!I21</f>
        <v>11126.38</v>
      </c>
      <c r="F19" s="48" t="n">
        <f aca="false">D19*E19</f>
        <v>0</v>
      </c>
      <c r="G19" s="48" t="n">
        <f aca="false">V!G21</f>
        <v>0.700053337397135</v>
      </c>
      <c r="H19" s="48" t="n">
        <f aca="false">V!I21</f>
        <v>11126.38</v>
      </c>
      <c r="I19" s="48" t="n">
        <f aca="false">G19*H19</f>
        <v>7789.05945214874</v>
      </c>
      <c r="J19" s="72" t="n">
        <f aca="false">I19-F19</f>
        <v>7789.05945214874</v>
      </c>
      <c r="K19" s="73"/>
    </row>
    <row r="20" s="3" customFormat="true" ht="15" hidden="false" customHeight="false" outlineLevel="0" collapsed="false">
      <c r="A20" s="70"/>
      <c r="B20" s="22" t="str">
        <f aca="false">new!B22</f>
        <v>VAT 13% for material</v>
      </c>
      <c r="C20" s="48"/>
      <c r="D20" s="48"/>
      <c r="E20" s="48"/>
      <c r="F20" s="48" t="n">
        <f aca="false">new!J22</f>
        <v>0</v>
      </c>
      <c r="G20" s="48"/>
      <c r="H20" s="48"/>
      <c r="I20" s="48" t="n">
        <f aca="false">V!J22</f>
        <v>785.370424413289</v>
      </c>
      <c r="J20" s="72" t="n">
        <f aca="false">I20-F20</f>
        <v>785.370424413289</v>
      </c>
      <c r="K20" s="73"/>
    </row>
    <row r="21" s="3" customFormat="true" ht="15" hidden="false" customHeight="false" outlineLevel="0" collapsed="false">
      <c r="A21" s="70"/>
      <c r="B21" s="71"/>
      <c r="C21" s="48"/>
      <c r="D21" s="48"/>
      <c r="E21" s="48"/>
      <c r="F21" s="48"/>
      <c r="G21" s="48"/>
      <c r="H21" s="48"/>
      <c r="I21" s="48"/>
      <c r="J21" s="72"/>
      <c r="K21" s="73"/>
      <c r="M21" s="3" t="n">
        <f aca="false">1.25*F21</f>
        <v>0</v>
      </c>
    </row>
    <row r="22" s="3" customFormat="true" ht="60" hidden="false" customHeight="false" outlineLevel="0" collapsed="false">
      <c r="A22" s="70" t="n">
        <f aca="false">new!A24</f>
        <v>1</v>
      </c>
      <c r="B22" s="71" t="str">
        <f aca="false">new!B24</f>
        <v>Providing and laying of Plain/Reinforced Cement Concrete in Foundation complete as per Drawing and Technical Specifications., RCC Grade M20</v>
      </c>
      <c r="C22" s="48" t="str">
        <f aca="false">new!H32</f>
        <v>cum</v>
      </c>
      <c r="D22" s="48" t="n">
        <f aca="false">new!G32</f>
        <v>0.93616778421213</v>
      </c>
      <c r="E22" s="48" t="n">
        <f aca="false">new!I32</f>
        <v>11588.17</v>
      </c>
      <c r="F22" s="48" t="n">
        <f aca="false">D22*E22</f>
        <v>10848.4714319735</v>
      </c>
      <c r="G22" s="48" t="n">
        <f aca="false">V!G45</f>
        <v>9.44087980345997</v>
      </c>
      <c r="H22" s="48" t="n">
        <f aca="false">V!I45</f>
        <v>12143.3</v>
      </c>
      <c r="I22" s="48" t="n">
        <f aca="false">G22*H22</f>
        <v>114643.435717356</v>
      </c>
      <c r="J22" s="72" t="n">
        <f aca="false">I22-F22</f>
        <v>103794.964285382</v>
      </c>
      <c r="K22" s="73"/>
    </row>
    <row r="23" s="3" customFormat="true" ht="15" hidden="false" customHeight="false" outlineLevel="0" collapsed="false">
      <c r="A23" s="70"/>
      <c r="B23" s="22" t="str">
        <f aca="false">new!B33</f>
        <v>VAT 13% for material</v>
      </c>
      <c r="C23" s="48"/>
      <c r="D23" s="48"/>
      <c r="E23" s="48"/>
      <c r="F23" s="48" t="n">
        <f aca="false">new!J33</f>
        <v>1098.13735552914</v>
      </c>
      <c r="G23" s="48"/>
      <c r="H23" s="48"/>
      <c r="I23" s="48" t="n">
        <f aca="false">V!J46</f>
        <v>11843.223701224</v>
      </c>
      <c r="J23" s="72" t="n">
        <f aca="false">I23-F23</f>
        <v>10745.0863456949</v>
      </c>
      <c r="K23" s="73"/>
    </row>
    <row r="24" s="3" customFormat="true" ht="15" hidden="false" customHeight="false" outlineLevel="0" collapsed="false">
      <c r="A24" s="70"/>
      <c r="B24" s="71"/>
      <c r="C24" s="48"/>
      <c r="D24" s="48"/>
      <c r="E24" s="48"/>
      <c r="F24" s="48"/>
      <c r="G24" s="48"/>
      <c r="H24" s="48"/>
      <c r="I24" s="48"/>
      <c r="J24" s="72"/>
      <c r="K24" s="73"/>
      <c r="M24" s="3" t="n">
        <f aca="false">1.25*F24</f>
        <v>0</v>
      </c>
    </row>
    <row r="25" s="3" customFormat="true" ht="60" hidden="false" customHeight="false" outlineLevel="0" collapsed="false">
      <c r="A25" s="70" t="n">
        <f aca="false">new!A35</f>
        <v>5</v>
      </c>
      <c r="B25" s="71" t="str">
        <f aca="false">new!B35</f>
        <v>Providing and laying , fitting and placing HYSD bar reinforcement in sub-structure complete as per Drawing and Technical Specifications</v>
      </c>
      <c r="C25" s="48" t="str">
        <f aca="false">new!H42</f>
        <v>tonne</v>
      </c>
      <c r="D25" s="48" t="n">
        <f aca="false">new!G42</f>
        <v>0</v>
      </c>
      <c r="E25" s="48" t="n">
        <f aca="false">new!I42</f>
        <v>122648</v>
      </c>
      <c r="F25" s="48" t="n">
        <f aca="false">D25*E25</f>
        <v>0</v>
      </c>
      <c r="G25" s="48" t="n">
        <f aca="false">V!G55</f>
        <v>0.626029924852389</v>
      </c>
      <c r="H25" s="48" t="n">
        <f aca="false">V!I55</f>
        <v>122648</v>
      </c>
      <c r="I25" s="48" t="n">
        <f aca="false">G25*H25</f>
        <v>76781.3182232958</v>
      </c>
      <c r="J25" s="72" t="n">
        <f aca="false">I25-F25</f>
        <v>76781.3182232958</v>
      </c>
      <c r="K25" s="73"/>
    </row>
    <row r="26" s="3" customFormat="true" ht="15" hidden="false" customHeight="false" outlineLevel="0" collapsed="false">
      <c r="A26" s="70"/>
      <c r="B26" s="71" t="str">
        <f aca="false">new!B43</f>
        <v>VAT 13% for material</v>
      </c>
      <c r="C26" s="48"/>
      <c r="D26" s="48"/>
      <c r="E26" s="48"/>
      <c r="F26" s="48" t="n">
        <f aca="false">new!J43</f>
        <v>0</v>
      </c>
      <c r="G26" s="48"/>
      <c r="H26" s="48"/>
      <c r="I26" s="48" t="n">
        <f aca="false">V!J56</f>
        <v>8931.71918505099</v>
      </c>
      <c r="J26" s="72" t="n">
        <f aca="false">I26-F26</f>
        <v>8931.71918505099</v>
      </c>
      <c r="K26" s="73"/>
    </row>
    <row r="27" s="3" customFormat="true" ht="15" hidden="false" customHeight="false" outlineLevel="0" collapsed="false">
      <c r="A27" s="70"/>
      <c r="B27" s="71"/>
      <c r="C27" s="48"/>
      <c r="D27" s="48"/>
      <c r="E27" s="48"/>
      <c r="F27" s="48"/>
      <c r="G27" s="48"/>
      <c r="H27" s="48"/>
      <c r="I27" s="48"/>
      <c r="J27" s="72"/>
      <c r="K27" s="73"/>
      <c r="M27" s="3" t="n">
        <f aca="false">1.25*F27</f>
        <v>0</v>
      </c>
    </row>
    <row r="28" s="3" customFormat="true" ht="15" hidden="false" customHeight="false" outlineLevel="0" collapsed="false">
      <c r="A28" s="71" t="n">
        <f aca="false">new!A45</f>
        <v>2</v>
      </c>
      <c r="B28" s="71" t="str">
        <f aca="false">new!B45</f>
        <v>Information board</v>
      </c>
      <c r="C28" s="48" t="str">
        <f aca="false">new!H45</f>
        <v>no.</v>
      </c>
      <c r="D28" s="48" t="n">
        <f aca="false">new!G45</f>
        <v>1</v>
      </c>
      <c r="E28" s="48" t="n">
        <f aca="false">V!I58</f>
        <v>500</v>
      </c>
      <c r="F28" s="48" t="n">
        <f aca="false">D28*E28</f>
        <v>500</v>
      </c>
      <c r="G28" s="48" t="n">
        <f aca="false">new!G45</f>
        <v>1</v>
      </c>
      <c r="H28" s="48" t="n">
        <f aca="false">V!I58</f>
        <v>500</v>
      </c>
      <c r="I28" s="48" t="n">
        <f aca="false">G28*H28</f>
        <v>500</v>
      </c>
      <c r="J28" s="72" t="n">
        <f aca="false">I28-F28</f>
        <v>0</v>
      </c>
      <c r="K28" s="73"/>
    </row>
    <row r="29" s="3" customFormat="true" ht="15" hidden="false" customHeight="false" outlineLevel="0" collapsed="false">
      <c r="A29" s="74"/>
      <c r="B29" s="74"/>
      <c r="C29" s="48"/>
      <c r="D29" s="48"/>
      <c r="E29" s="48"/>
      <c r="F29" s="48"/>
      <c r="G29" s="48"/>
      <c r="H29" s="48"/>
      <c r="I29" s="48"/>
      <c r="J29" s="72"/>
      <c r="K29" s="73"/>
    </row>
    <row r="30" customFormat="false" ht="15" hidden="false" customHeight="false" outlineLevel="0" collapsed="false">
      <c r="A30" s="38"/>
      <c r="B30" s="75" t="s">
        <v>37</v>
      </c>
      <c r="C30" s="75"/>
      <c r="D30" s="40"/>
      <c r="E30" s="40"/>
      <c r="F30" s="40" t="n">
        <f aca="false">SUM(F13:F29)</f>
        <v>12446.6087875026</v>
      </c>
      <c r="G30" s="40"/>
      <c r="H30" s="40"/>
      <c r="I30" s="40" t="n">
        <f aca="false">SUM(I13:I29)</f>
        <v>238189.742529638</v>
      </c>
      <c r="J30" s="76" t="n">
        <f aca="false">I30-F30</f>
        <v>225743.133742135</v>
      </c>
      <c r="K30" s="38"/>
    </row>
  </sheetData>
  <mergeCells count="20">
    <mergeCell ref="A1:K1"/>
    <mergeCell ref="A2:K2"/>
    <mergeCell ref="A3:K3"/>
    <mergeCell ref="A4:K4"/>
    <mergeCell ref="A5:K5"/>
    <mergeCell ref="C6:D6"/>
    <mergeCell ref="J6:K6"/>
    <mergeCell ref="F7:G7"/>
    <mergeCell ref="I7:K7"/>
    <mergeCell ref="A8:F8"/>
    <mergeCell ref="I8:K8"/>
    <mergeCell ref="A9:F9"/>
    <mergeCell ref="I9:K9"/>
    <mergeCell ref="A11:A12"/>
    <mergeCell ref="B11:B12"/>
    <mergeCell ref="C11:C12"/>
    <mergeCell ref="D11:F11"/>
    <mergeCell ref="G11:I11"/>
    <mergeCell ref="J11:J12"/>
    <mergeCell ref="K11:K12"/>
  </mergeCells>
  <printOptions headings="false" gridLines="false" gridLinesSet="true" horizontalCentered="true" verticalCentered="false"/>
  <pageMargins left="0.7" right="0.7" top="0.75" bottom="0.75" header="0.511811023622047" footer="0.3"/>
  <pageSetup paperSize="1" scale="85" fitToWidth="1" fitToHeight="1" pageOrder="downThenOver" orientation="landscape" blackAndWhite="false" draft="false" cellComments="none" horizontalDpi="300" verticalDpi="300" copies="1"/>
  <headerFooter differentFirst="false" differentOddEven="false">
    <oddHeader/>
    <oddFooter>&amp;LPrepared By:
Kristal Suwal&amp;CChecked By:
Er. Milan Phuyal&amp;RApproved By:
Er. Prakash Singh Saud</oddFooter>
  </headerFooter>
  <rowBreaks count="1" manualBreakCount="1">
    <brk id="21" man="true" max="16383" min="0"/>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I67"/>
  <sheetViews>
    <sheetView showFormulas="false" showGridLines="true" showRowColHeaders="true" showZeros="true" rightToLeft="false" tabSelected="false" showOutlineSymbols="true" defaultGridColor="true" view="normal" topLeftCell="A1" colorId="64" zoomScale="100" zoomScaleNormal="100" zoomScalePageLayoutView="80" workbookViewId="0">
      <selection pane="topLeft" activeCell="A6" activeCellId="0" sqref="A6"/>
    </sheetView>
  </sheetViews>
  <sheetFormatPr defaultColWidth="8.4296875" defaultRowHeight="15" zeroHeight="false" outlineLevelRow="0" outlineLevelCol="0"/>
  <cols>
    <col collapsed="false" customWidth="true" hidden="false" outlineLevel="0" max="1" min="1" style="1" width="5.14"/>
    <col collapsed="false" customWidth="true" hidden="false" outlineLevel="0" max="2" min="2" style="0" width="29.57"/>
    <col collapsed="false" customWidth="true" hidden="false" outlineLevel="0" max="3" min="3" style="0" width="5.57"/>
    <col collapsed="false" customWidth="true" hidden="false" outlineLevel="0" max="4" min="4" style="0" width="6.71"/>
    <col collapsed="false" customWidth="true" hidden="false" outlineLevel="0" max="5" min="5" style="0" width="7.85"/>
    <col collapsed="false" customWidth="true" hidden="false" outlineLevel="0" max="6" min="6" style="0" width="7.14"/>
    <col collapsed="false" customWidth="true" hidden="false" outlineLevel="0" max="7" min="7" style="1" width="9.28"/>
    <col collapsed="false" customWidth="true" hidden="false" outlineLevel="0" max="8" min="8" style="1" width="6.28"/>
    <col collapsed="false" customWidth="true" hidden="false" outlineLevel="0" max="9" min="9" style="1" width="10.71"/>
    <col collapsed="false" customWidth="true" hidden="false" outlineLevel="0" max="10" min="10" style="1" width="10.57"/>
    <col collapsed="false" customWidth="true" hidden="false" outlineLevel="0" max="11" min="11" style="0" width="9.85"/>
    <col collapsed="false" customWidth="true" hidden="false" outlineLevel="0" max="13" min="13" style="0" width="5"/>
    <col collapsed="false" customWidth="true" hidden="false" outlineLevel="0" max="14" min="14" style="0" width="6"/>
    <col collapsed="false" customWidth="true" hidden="false" outlineLevel="0" max="15" min="15" style="0" width="10.57"/>
    <col collapsed="false" customWidth="true" hidden="false" outlineLevel="0" max="17" min="16" style="0" width="8"/>
    <col collapsed="false" customWidth="true" hidden="false" outlineLevel="0" max="18" min="18" style="0" width="6.71"/>
    <col collapsed="false" customWidth="true" hidden="false" outlineLevel="0" max="19" min="19" style="0" width="7"/>
    <col collapsed="false" customWidth="true" hidden="false" outlineLevel="0" max="20" min="20" style="0" width="5.43"/>
    <col collapsed="false" customWidth="true" hidden="false" outlineLevel="0" max="21" min="21" style="0" width="17.85"/>
  </cols>
  <sheetData>
    <row r="1" s="3" customFormat="true" ht="15" hidden="false" customHeight="false" outlineLevel="0" collapsed="false">
      <c r="A1" s="2" t="s">
        <v>0</v>
      </c>
      <c r="B1" s="2"/>
      <c r="C1" s="2"/>
      <c r="D1" s="2"/>
      <c r="E1" s="2"/>
      <c r="F1" s="2"/>
      <c r="G1" s="2"/>
      <c r="H1" s="2"/>
      <c r="I1" s="2"/>
      <c r="J1" s="2"/>
      <c r="K1" s="2"/>
    </row>
    <row r="2" s="3" customFormat="true" ht="22.5" hidden="false" customHeight="false" outlineLevel="0" collapsed="false">
      <c r="A2" s="4" t="s">
        <v>1</v>
      </c>
      <c r="B2" s="4"/>
      <c r="C2" s="4"/>
      <c r="D2" s="4"/>
      <c r="E2" s="4"/>
      <c r="F2" s="4"/>
      <c r="G2" s="4"/>
      <c r="H2" s="4"/>
      <c r="I2" s="4"/>
      <c r="J2" s="4"/>
      <c r="K2" s="4"/>
    </row>
    <row r="3" s="3" customFormat="true" ht="15" hidden="false" customHeight="false" outlineLevel="0" collapsed="false">
      <c r="A3" s="5" t="s">
        <v>2</v>
      </c>
      <c r="B3" s="5"/>
      <c r="C3" s="5"/>
      <c r="D3" s="5"/>
      <c r="E3" s="5"/>
      <c r="F3" s="5"/>
      <c r="G3" s="5"/>
      <c r="H3" s="5"/>
      <c r="I3" s="5"/>
      <c r="J3" s="5"/>
      <c r="K3" s="5"/>
    </row>
    <row r="4" s="3" customFormat="true" ht="15" hidden="false" customHeight="false" outlineLevel="0" collapsed="false">
      <c r="A4" s="5" t="s">
        <v>3</v>
      </c>
      <c r="B4" s="5"/>
      <c r="C4" s="5"/>
      <c r="D4" s="5"/>
      <c r="E4" s="5"/>
      <c r="F4" s="5"/>
      <c r="G4" s="5"/>
      <c r="H4" s="5"/>
      <c r="I4" s="5"/>
      <c r="J4" s="5"/>
      <c r="K4" s="5"/>
    </row>
    <row r="5" customFormat="false" ht="18.75" hidden="false" customHeight="false" outlineLevel="0" collapsed="false">
      <c r="A5" s="6" t="s">
        <v>70</v>
      </c>
      <c r="B5" s="6"/>
      <c r="C5" s="6"/>
      <c r="D5" s="6"/>
      <c r="E5" s="6"/>
      <c r="F5" s="6"/>
      <c r="G5" s="6"/>
      <c r="H5" s="6"/>
      <c r="I5" s="6"/>
      <c r="J5" s="6"/>
      <c r="K5" s="6"/>
    </row>
    <row r="6" customFormat="false" ht="18.75" hidden="false" customHeight="false" outlineLevel="0" collapsed="false">
      <c r="A6" s="7" t="s">
        <v>71</v>
      </c>
      <c r="B6" s="7"/>
      <c r="C6" s="7"/>
      <c r="D6" s="7"/>
      <c r="E6" s="7"/>
      <c r="F6" s="7"/>
      <c r="G6" s="7"/>
      <c r="H6" s="8" t="s">
        <v>72</v>
      </c>
      <c r="I6" s="8"/>
      <c r="J6" s="8"/>
      <c r="K6" s="8"/>
    </row>
    <row r="7" customFormat="false" ht="15.75" hidden="false" customHeight="false" outlineLevel="0" collapsed="false">
      <c r="A7" s="9" t="s">
        <v>7</v>
      </c>
      <c r="B7" s="9"/>
      <c r="C7" s="9"/>
      <c r="D7" s="9"/>
      <c r="E7" s="9"/>
      <c r="F7" s="9"/>
      <c r="G7" s="10"/>
      <c r="H7" s="8" t="s">
        <v>73</v>
      </c>
      <c r="I7" s="8"/>
      <c r="J7" s="8"/>
      <c r="K7" s="8"/>
    </row>
    <row r="8" customFormat="false" ht="15" hidden="false" customHeight="true" outlineLevel="0" collapsed="false">
      <c r="A8" s="11" t="s">
        <v>9</v>
      </c>
      <c r="B8" s="12" t="s">
        <v>74</v>
      </c>
      <c r="C8" s="11" t="s">
        <v>11</v>
      </c>
      <c r="D8" s="13" t="s">
        <v>12</v>
      </c>
      <c r="E8" s="13" t="s">
        <v>13</v>
      </c>
      <c r="F8" s="13" t="s">
        <v>14</v>
      </c>
      <c r="G8" s="13" t="s">
        <v>15</v>
      </c>
      <c r="H8" s="11" t="s">
        <v>16</v>
      </c>
      <c r="I8" s="13" t="s">
        <v>17</v>
      </c>
      <c r="J8" s="13" t="s">
        <v>18</v>
      </c>
      <c r="K8" s="14" t="s">
        <v>19</v>
      </c>
    </row>
    <row r="9" customFormat="false" ht="156" hidden="false" customHeight="true" outlineLevel="0" collapsed="false">
      <c r="A9" s="15" t="n">
        <v>1</v>
      </c>
      <c r="B9" s="16" t="s">
        <v>20</v>
      </c>
      <c r="C9" s="17"/>
      <c r="D9" s="17"/>
      <c r="E9" s="17"/>
      <c r="F9" s="17"/>
      <c r="G9" s="18"/>
      <c r="H9" s="19"/>
      <c r="I9" s="20"/>
      <c r="J9" s="20"/>
      <c r="K9" s="21"/>
      <c r="N9" s="0" t="s">
        <v>75</v>
      </c>
      <c r="O9" s="0" t="s">
        <v>76</v>
      </c>
      <c r="P9" s="0" t="s">
        <v>77</v>
      </c>
      <c r="Q9" s="77" t="s">
        <v>13</v>
      </c>
      <c r="R9" s="0" t="s">
        <v>78</v>
      </c>
      <c r="S9" s="77" t="s">
        <v>14</v>
      </c>
      <c r="T9" s="0" t="s">
        <v>79</v>
      </c>
      <c r="U9" s="78" t="s">
        <v>80</v>
      </c>
    </row>
    <row r="10" customFormat="false" ht="15" hidden="false" customHeight="false" outlineLevel="0" collapsed="false">
      <c r="A10" s="18"/>
      <c r="B10" s="22" t="s">
        <v>21</v>
      </c>
      <c r="C10" s="23" t="n">
        <v>1</v>
      </c>
      <c r="D10" s="24" t="n">
        <f aca="false">5+4+3.8+5+5+5+5+3.95</f>
        <v>36.75</v>
      </c>
      <c r="E10" s="21" t="n">
        <v>0.6</v>
      </c>
      <c r="F10" s="21" t="n">
        <f aca="false">(1.5+0.333+0.5)/3.281</f>
        <v>0.711063700091436</v>
      </c>
      <c r="G10" s="25" t="n">
        <f aca="false">PRODUCT(C10:F10)</f>
        <v>15.6789545870162</v>
      </c>
      <c r="H10" s="19"/>
      <c r="I10" s="20"/>
      <c r="J10" s="20"/>
      <c r="K10" s="21"/>
      <c r="M10" s="0" t="n">
        <v>0</v>
      </c>
      <c r="N10" s="0" t="n">
        <v>0.1</v>
      </c>
      <c r="O10" s="0" t="n">
        <v>0.12</v>
      </c>
      <c r="P10" s="0" t="n">
        <f aca="false">(N10+O10)/2</f>
        <v>0.11</v>
      </c>
      <c r="R10" s="0" t="n">
        <v>0.45</v>
      </c>
      <c r="T10" s="0" t="n">
        <v>0.6</v>
      </c>
    </row>
    <row r="11" customFormat="false" ht="15" hidden="false" customHeight="false" outlineLevel="0" collapsed="false">
      <c r="A11" s="15"/>
      <c r="B11" s="26" t="s">
        <v>22</v>
      </c>
      <c r="C11" s="21"/>
      <c r="D11" s="24"/>
      <c r="E11" s="21"/>
      <c r="F11" s="21"/>
      <c r="G11" s="20" t="n">
        <f aca="false">SUM(G10:G10)</f>
        <v>15.6789545870162</v>
      </c>
      <c r="H11" s="19" t="s">
        <v>23</v>
      </c>
      <c r="I11" s="20" t="n">
        <v>62.02</v>
      </c>
      <c r="J11" s="27" t="n">
        <f aca="false">G11*I11</f>
        <v>972.408763486742</v>
      </c>
      <c r="K11" s="21"/>
      <c r="M11" s="0" t="n">
        <v>5</v>
      </c>
      <c r="N11" s="0" t="n">
        <v>0.12</v>
      </c>
      <c r="O11" s="0" t="n">
        <v>0.11</v>
      </c>
      <c r="P11" s="0" t="n">
        <f aca="false">(N11+O11)/2</f>
        <v>0.115</v>
      </c>
      <c r="Q11" s="0" t="n">
        <f aca="false">(P10+P11)/2</f>
        <v>0.1125</v>
      </c>
      <c r="R11" s="0" t="n">
        <v>0.48</v>
      </c>
      <c r="S11" s="0" t="n">
        <f aca="false">(R10+R11)/2</f>
        <v>0.465</v>
      </c>
      <c r="T11" s="0" t="n">
        <v>0.6</v>
      </c>
      <c r="U11" s="0" t="n">
        <f aca="false">(T10+T11)/2</f>
        <v>0.6</v>
      </c>
    </row>
    <row r="12" customFormat="false" ht="15" hidden="false" customHeight="false" outlineLevel="0" collapsed="false">
      <c r="A12" s="15"/>
      <c r="B12" s="26" t="s">
        <v>24</v>
      </c>
      <c r="C12" s="21"/>
      <c r="D12" s="24"/>
      <c r="E12" s="21"/>
      <c r="F12" s="21"/>
      <c r="G12" s="20"/>
      <c r="H12" s="19"/>
      <c r="I12" s="20"/>
      <c r="J12" s="27" t="n">
        <f aca="false">0.13*G11*18426/360</f>
        <v>104.325150662908</v>
      </c>
      <c r="K12" s="21"/>
      <c r="M12" s="0" t="n">
        <v>4.02</v>
      </c>
      <c r="N12" s="0" t="n">
        <v>0.11</v>
      </c>
      <c r="O12" s="0" t="n">
        <v>0.12</v>
      </c>
      <c r="P12" s="0" t="n">
        <f aca="false">(N12+O12)/2</f>
        <v>0.115</v>
      </c>
      <c r="Q12" s="0" t="n">
        <f aca="false">(P11+P12)/2</f>
        <v>0.115</v>
      </c>
      <c r="R12" s="0" t="n">
        <v>0.46</v>
      </c>
      <c r="S12" s="0" t="n">
        <f aca="false">(R11+R12)/2</f>
        <v>0.47</v>
      </c>
      <c r="T12" s="0" t="n">
        <v>0.6</v>
      </c>
      <c r="U12" s="0" t="n">
        <f aca="false">(T11+T12)/2</f>
        <v>0.6</v>
      </c>
    </row>
    <row r="13" customFormat="false" ht="15" hidden="false" customHeight="false" outlineLevel="0" collapsed="false">
      <c r="A13" s="15"/>
      <c r="B13" s="26"/>
      <c r="C13" s="21"/>
      <c r="D13" s="24"/>
      <c r="E13" s="21"/>
      <c r="F13" s="21"/>
      <c r="G13" s="20"/>
      <c r="H13" s="19"/>
      <c r="I13" s="20"/>
      <c r="J13" s="27"/>
      <c r="K13" s="21"/>
      <c r="M13" s="0" t="n">
        <v>3.8</v>
      </c>
      <c r="N13" s="0" t="n">
        <v>0.11</v>
      </c>
      <c r="O13" s="0" t="n">
        <v>0.1</v>
      </c>
      <c r="P13" s="0" t="n">
        <f aca="false">(N13+O13)/2</f>
        <v>0.105</v>
      </c>
      <c r="Q13" s="0" t="n">
        <f aca="false">(P12+P13)/2</f>
        <v>0.11</v>
      </c>
      <c r="R13" s="0" t="n">
        <f aca="false">(0.46+0.48)/2</f>
        <v>0.47</v>
      </c>
      <c r="S13" s="0" t="n">
        <f aca="false">(R12+R13)/2</f>
        <v>0.465</v>
      </c>
      <c r="T13" s="0" t="n">
        <v>0.61</v>
      </c>
      <c r="U13" s="0" t="n">
        <f aca="false">(T12+T13)/2</f>
        <v>0.605</v>
      </c>
    </row>
    <row r="14" s="3" customFormat="true" ht="105" hidden="false" customHeight="false" outlineLevel="0" collapsed="false">
      <c r="A14" s="15" t="n">
        <v>2</v>
      </c>
      <c r="B14" s="16" t="s">
        <v>25</v>
      </c>
      <c r="C14" s="21"/>
      <c r="D14" s="24"/>
      <c r="E14" s="21"/>
      <c r="F14" s="21"/>
      <c r="G14" s="20"/>
      <c r="H14" s="19"/>
      <c r="I14" s="20"/>
      <c r="J14" s="27"/>
      <c r="K14" s="21"/>
      <c r="M14" s="3" t="n">
        <v>5</v>
      </c>
      <c r="N14" s="3" t="n">
        <v>0.1</v>
      </c>
      <c r="O14" s="3" t="n">
        <v>0.115</v>
      </c>
      <c r="P14" s="3" t="n">
        <f aca="false">(N14+O14)/2</f>
        <v>0.1075</v>
      </c>
      <c r="Q14" s="3" t="n">
        <f aca="false">(P13+P14)/2</f>
        <v>0.10625</v>
      </c>
      <c r="R14" s="3" t="n">
        <v>0.46</v>
      </c>
      <c r="S14" s="3" t="n">
        <f aca="false">(R13+R14)/2</f>
        <v>0.465</v>
      </c>
      <c r="T14" s="3" t="n">
        <v>0.61</v>
      </c>
      <c r="U14" s="3" t="n">
        <f aca="false">(T13+T14)/2</f>
        <v>0.61</v>
      </c>
    </row>
    <row r="15" customFormat="false" ht="15" hidden="false" customHeight="false" outlineLevel="0" collapsed="false">
      <c r="A15" s="15"/>
      <c r="B15" s="26" t="str">
        <f aca="false">B10</f>
        <v>-For roadside drain</v>
      </c>
      <c r="C15" s="28" t="n">
        <v>1</v>
      </c>
      <c r="D15" s="24" t="n">
        <f aca="false">D10</f>
        <v>36.75</v>
      </c>
      <c r="E15" s="21" t="n">
        <f aca="false">E10</f>
        <v>0.6</v>
      </c>
      <c r="F15" s="21" t="n">
        <v>0.15</v>
      </c>
      <c r="G15" s="25" t="n">
        <f aca="false">PRODUCT(C15:F15)</f>
        <v>3.3075</v>
      </c>
      <c r="H15" s="19"/>
      <c r="I15" s="20"/>
      <c r="J15" s="27"/>
      <c r="K15" s="21"/>
      <c r="M15" s="0" t="n">
        <v>5</v>
      </c>
      <c r="N15" s="0" t="n">
        <v>0.1</v>
      </c>
      <c r="O15" s="0" t="n">
        <v>0.1</v>
      </c>
      <c r="P15" s="0" t="n">
        <f aca="false">(N15+O15)/2</f>
        <v>0.1</v>
      </c>
      <c r="Q15" s="0" t="n">
        <f aca="false">(P14+P15)/2</f>
        <v>0.10375</v>
      </c>
      <c r="R15" s="0" t="n">
        <v>0.475</v>
      </c>
      <c r="S15" s="0" t="n">
        <f aca="false">(R14+R15)/2</f>
        <v>0.4675</v>
      </c>
      <c r="T15" s="0" t="n">
        <v>0.61</v>
      </c>
      <c r="U15" s="0" t="n">
        <f aca="false">(T14+T15)/2</f>
        <v>0.61</v>
      </c>
    </row>
    <row r="16" customFormat="false" ht="15" hidden="false" customHeight="false" outlineLevel="0" collapsed="false">
      <c r="A16" s="15"/>
      <c r="B16" s="26" t="s">
        <v>22</v>
      </c>
      <c r="C16" s="28"/>
      <c r="D16" s="24"/>
      <c r="E16" s="21"/>
      <c r="F16" s="21"/>
      <c r="G16" s="20" t="n">
        <f aca="false">SUM(G15:G15)</f>
        <v>3.3075</v>
      </c>
      <c r="H16" s="19" t="s">
        <v>23</v>
      </c>
      <c r="I16" s="20" t="n">
        <v>4403.52</v>
      </c>
      <c r="J16" s="27" t="n">
        <f aca="false">G16*I16</f>
        <v>14564.6424</v>
      </c>
      <c r="K16" s="21"/>
      <c r="M16" s="0" t="n">
        <v>5</v>
      </c>
      <c r="N16" s="0" t="n">
        <v>0.11</v>
      </c>
      <c r="O16" s="0" t="n">
        <v>0.11</v>
      </c>
      <c r="P16" s="0" t="n">
        <f aca="false">(N16+O16)/2</f>
        <v>0.11</v>
      </c>
      <c r="Q16" s="0" t="n">
        <f aca="false">(P15+P16)/2</f>
        <v>0.105</v>
      </c>
      <c r="R16" s="0" t="n">
        <v>0.455</v>
      </c>
      <c r="S16" s="0" t="n">
        <f aca="false">(R15+R16)/2</f>
        <v>0.465</v>
      </c>
      <c r="T16" s="0" t="n">
        <v>0.63</v>
      </c>
      <c r="U16" s="0" t="n">
        <f aca="false">(T15+T16)/2</f>
        <v>0.62</v>
      </c>
    </row>
    <row r="17" customFormat="false" ht="15" hidden="false" customHeight="false" outlineLevel="0" collapsed="false">
      <c r="A17" s="15"/>
      <c r="B17" s="26" t="s">
        <v>24</v>
      </c>
      <c r="C17" s="28"/>
      <c r="D17" s="24"/>
      <c r="E17" s="21"/>
      <c r="F17" s="21"/>
      <c r="G17" s="20"/>
      <c r="H17" s="19"/>
      <c r="I17" s="20"/>
      <c r="J17" s="27" t="n">
        <f aca="false">G16*0.13*(14817.6/5)</f>
        <v>1274.239512</v>
      </c>
      <c r="K17" s="21"/>
      <c r="M17" s="0" t="n">
        <v>5</v>
      </c>
      <c r="N17" s="0" t="n">
        <v>0.11</v>
      </c>
      <c r="O17" s="0" t="n">
        <v>0.12</v>
      </c>
      <c r="P17" s="0" t="n">
        <f aca="false">(N17+O17)/2</f>
        <v>0.115</v>
      </c>
      <c r="Q17" s="0" t="n">
        <f aca="false">(P16+P17)/2</f>
        <v>0.1125</v>
      </c>
      <c r="R17" s="0" t="n">
        <v>0.45</v>
      </c>
      <c r="S17" s="0" t="n">
        <f aca="false">(R16+R17)/2</f>
        <v>0.4525</v>
      </c>
      <c r="T17" s="0" t="n">
        <v>0.62</v>
      </c>
      <c r="U17" s="0" t="n">
        <f aca="false">(T16+T17)/2</f>
        <v>0.625</v>
      </c>
    </row>
    <row r="18" customFormat="false" ht="15" hidden="false" customHeight="false" outlineLevel="0" collapsed="false">
      <c r="A18" s="15"/>
      <c r="B18" s="26"/>
      <c r="C18" s="28"/>
      <c r="D18" s="24"/>
      <c r="E18" s="21"/>
      <c r="F18" s="21"/>
      <c r="G18" s="20"/>
      <c r="H18" s="19"/>
      <c r="I18" s="20"/>
      <c r="J18" s="27"/>
      <c r="K18" s="21"/>
      <c r="M18" s="0" t="n">
        <v>3.95</v>
      </c>
      <c r="N18" s="0" t="n">
        <v>0.11</v>
      </c>
      <c r="O18" s="0" t="n">
        <v>0.12</v>
      </c>
      <c r="P18" s="0" t="n">
        <f aca="false">(N18+O18)/2</f>
        <v>0.115</v>
      </c>
      <c r="Q18" s="0" t="n">
        <f aca="false">(P17+P18)/2</f>
        <v>0.115</v>
      </c>
      <c r="R18" s="0" t="n">
        <v>0.475</v>
      </c>
      <c r="S18" s="0" t="n">
        <f aca="false">(R17+R18)/2</f>
        <v>0.4625</v>
      </c>
      <c r="T18" s="0" t="n">
        <v>0.67</v>
      </c>
      <c r="U18" s="0" t="n">
        <f aca="false">(T17+T18)/2</f>
        <v>0.645</v>
      </c>
    </row>
    <row r="19" customFormat="false" ht="83.25" hidden="false" customHeight="true" outlineLevel="0" collapsed="false">
      <c r="A19" s="15" t="n">
        <v>3</v>
      </c>
      <c r="B19" s="29" t="s">
        <v>26</v>
      </c>
      <c r="C19" s="28"/>
      <c r="D19" s="24"/>
      <c r="E19" s="21"/>
      <c r="F19" s="21"/>
      <c r="G19" s="20"/>
      <c r="H19" s="19"/>
      <c r="I19" s="20"/>
      <c r="J19" s="27"/>
      <c r="K19" s="21"/>
      <c r="N19" s="0" t="e">
        <f aca="false">#REF!/#REF!</f>
        <v>#REF!</v>
      </c>
    </row>
    <row r="20" customFormat="false" ht="15" hidden="false" customHeight="false" outlineLevel="0" collapsed="false">
      <c r="A20" s="15"/>
      <c r="B20" s="22" t="str">
        <f aca="false">B25</f>
        <v>-For roadside drain</v>
      </c>
      <c r="C20" s="28" t="n">
        <v>1</v>
      </c>
      <c r="D20" s="24" t="n">
        <f aca="false">D15</f>
        <v>36.75</v>
      </c>
      <c r="E20" s="21" t="n">
        <f aca="false">E15</f>
        <v>0.6</v>
      </c>
      <c r="F20" s="21" t="n">
        <f aca="false">1.25/12/3.281</f>
        <v>0.031748450675607</v>
      </c>
      <c r="G20" s="25" t="n">
        <f aca="false">PRODUCT(C20:F20)</f>
        <v>0.700053337397135</v>
      </c>
      <c r="H20" s="19"/>
      <c r="I20" s="20"/>
      <c r="J20" s="27"/>
      <c r="K20" s="21"/>
    </row>
    <row r="21" customFormat="false" ht="15" hidden="false" customHeight="false" outlineLevel="0" collapsed="false">
      <c r="A21" s="15"/>
      <c r="B21" s="26" t="s">
        <v>22</v>
      </c>
      <c r="C21" s="28"/>
      <c r="D21" s="24"/>
      <c r="E21" s="21"/>
      <c r="F21" s="21"/>
      <c r="G21" s="20" t="n">
        <f aca="false">SUM(G20)</f>
        <v>0.700053337397135</v>
      </c>
      <c r="H21" s="19" t="s">
        <v>23</v>
      </c>
      <c r="I21" s="30" t="n">
        <v>11126.38</v>
      </c>
      <c r="J21" s="27" t="n">
        <f aca="false">G21*I21</f>
        <v>7789.05945214874</v>
      </c>
      <c r="K21" s="21"/>
    </row>
    <row r="22" customFormat="false" ht="15" hidden="false" customHeight="false" outlineLevel="0" collapsed="false">
      <c r="A22" s="15"/>
      <c r="B22" s="26" t="s">
        <v>24</v>
      </c>
      <c r="C22" s="28"/>
      <c r="D22" s="24"/>
      <c r="E22" s="21"/>
      <c r="F22" s="21"/>
      <c r="G22" s="20"/>
      <c r="H22" s="19"/>
      <c r="I22" s="20"/>
      <c r="J22" s="31" t="n">
        <f aca="false">0.13*G21*((123027.7+6419.1)/15)</f>
        <v>785.370424413289</v>
      </c>
      <c r="K22" s="21"/>
    </row>
    <row r="23" customFormat="false" ht="15" hidden="false" customHeight="false" outlineLevel="0" collapsed="false">
      <c r="A23" s="15"/>
      <c r="B23" s="26"/>
      <c r="C23" s="28"/>
      <c r="D23" s="24"/>
      <c r="E23" s="21"/>
      <c r="F23" s="21"/>
      <c r="G23" s="20"/>
      <c r="H23" s="19"/>
      <c r="I23" s="20"/>
      <c r="J23" s="31"/>
      <c r="K23" s="21"/>
    </row>
    <row r="24" customFormat="false" ht="78" hidden="false" customHeight="true" outlineLevel="0" collapsed="false">
      <c r="A24" s="15" t="n">
        <v>4</v>
      </c>
      <c r="B24" s="29" t="s">
        <v>81</v>
      </c>
      <c r="C24" s="28"/>
      <c r="D24" s="24"/>
      <c r="E24" s="21"/>
      <c r="F24" s="21"/>
      <c r="G24" s="20"/>
      <c r="H24" s="19"/>
      <c r="I24" s="20"/>
      <c r="J24" s="27"/>
      <c r="K24" s="21"/>
    </row>
    <row r="25" customFormat="false" ht="15" hidden="false" customHeight="false" outlineLevel="0" collapsed="false">
      <c r="A25" s="15"/>
      <c r="B25" s="22" t="str">
        <f aca="false">B10</f>
        <v>-For roadside drain</v>
      </c>
      <c r="C25" s="28" t="n">
        <v>1</v>
      </c>
      <c r="D25" s="24" t="n">
        <f aca="false">D34</f>
        <v>5</v>
      </c>
      <c r="E25" s="21" t="n">
        <f aca="false">T11</f>
        <v>0.6</v>
      </c>
      <c r="F25" s="21" t="n">
        <f aca="false">3.5/12/3.281</f>
        <v>0.0888956618916997</v>
      </c>
      <c r="G25" s="25" t="n">
        <f aca="false">PRODUCT(C25:F25)</f>
        <v>0.266686985675099</v>
      </c>
      <c r="H25" s="19"/>
      <c r="I25" s="20"/>
      <c r="J25" s="27"/>
      <c r="K25" s="21"/>
      <c r="Q25" s="77"/>
      <c r="S25" s="77"/>
      <c r="U25" s="79"/>
    </row>
    <row r="26" customFormat="false" ht="15" hidden="false" customHeight="false" outlineLevel="0" collapsed="false">
      <c r="A26" s="15"/>
      <c r="B26" s="22"/>
      <c r="C26" s="28" t="n">
        <v>1</v>
      </c>
      <c r="D26" s="24" t="n">
        <f aca="false">D35</f>
        <v>4.02</v>
      </c>
      <c r="E26" s="21" t="n">
        <f aca="false">T12</f>
        <v>0.6</v>
      </c>
      <c r="F26" s="21" t="n">
        <f aca="false">3.5/12/3.281</f>
        <v>0.0888956618916997</v>
      </c>
      <c r="G26" s="25" t="n">
        <f aca="false">PRODUCT(C26:F26)</f>
        <v>0.21441633648278</v>
      </c>
      <c r="H26" s="19"/>
      <c r="I26" s="20"/>
      <c r="J26" s="27"/>
      <c r="K26" s="21"/>
      <c r="Q26" s="77"/>
      <c r="S26" s="77"/>
      <c r="U26" s="79"/>
    </row>
    <row r="27" customFormat="false" ht="15" hidden="false" customHeight="false" outlineLevel="0" collapsed="false">
      <c r="A27" s="15"/>
      <c r="B27" s="22"/>
      <c r="C27" s="28" t="n">
        <v>1</v>
      </c>
      <c r="D27" s="24" t="n">
        <f aca="false">D36</f>
        <v>3.8</v>
      </c>
      <c r="E27" s="21" t="n">
        <f aca="false">T13</f>
        <v>0.61</v>
      </c>
      <c r="F27" s="21" t="n">
        <f aca="false">3.5/12/3.281</f>
        <v>0.0888956618916997</v>
      </c>
      <c r="G27" s="25" t="n">
        <f aca="false">PRODUCT(C27:F27)</f>
        <v>0.20606014426496</v>
      </c>
      <c r="H27" s="19"/>
      <c r="I27" s="20"/>
      <c r="J27" s="27"/>
      <c r="K27" s="21"/>
      <c r="Q27" s="77"/>
      <c r="S27" s="77"/>
      <c r="U27" s="79"/>
    </row>
    <row r="28" customFormat="false" ht="15" hidden="false" customHeight="false" outlineLevel="0" collapsed="false">
      <c r="A28" s="15"/>
      <c r="B28" s="22"/>
      <c r="C28" s="28" t="n">
        <v>1</v>
      </c>
      <c r="D28" s="24" t="n">
        <f aca="false">D37</f>
        <v>5</v>
      </c>
      <c r="E28" s="21" t="n">
        <f aca="false">T14</f>
        <v>0.61</v>
      </c>
      <c r="F28" s="21" t="n">
        <f aca="false">3.5/12/3.281</f>
        <v>0.0888956618916997</v>
      </c>
      <c r="G28" s="25" t="n">
        <f aca="false">PRODUCT(C28:F28)</f>
        <v>0.271131768769684</v>
      </c>
      <c r="H28" s="19"/>
      <c r="I28" s="20"/>
      <c r="J28" s="27"/>
      <c r="K28" s="21"/>
      <c r="Q28" s="77"/>
      <c r="S28" s="77"/>
      <c r="U28" s="79"/>
    </row>
    <row r="29" customFormat="false" ht="15" hidden="false" customHeight="false" outlineLevel="0" collapsed="false">
      <c r="A29" s="15"/>
      <c r="B29" s="22"/>
      <c r="C29" s="28" t="n">
        <v>1</v>
      </c>
      <c r="D29" s="24" t="n">
        <f aca="false">D38</f>
        <v>5</v>
      </c>
      <c r="E29" s="21" t="n">
        <f aca="false">T15</f>
        <v>0.61</v>
      </c>
      <c r="F29" s="21" t="n">
        <f aca="false">3.5/12/3.281</f>
        <v>0.0888956618916997</v>
      </c>
      <c r="G29" s="25" t="n">
        <f aca="false">PRODUCT(C29:F29)</f>
        <v>0.271131768769684</v>
      </c>
      <c r="H29" s="19"/>
      <c r="I29" s="20"/>
      <c r="J29" s="27"/>
      <c r="K29" s="21"/>
      <c r="Q29" s="77"/>
      <c r="S29" s="77"/>
      <c r="U29" s="79"/>
    </row>
    <row r="30" customFormat="false" ht="15" hidden="false" customHeight="false" outlineLevel="0" collapsed="false">
      <c r="A30" s="15"/>
      <c r="B30" s="22"/>
      <c r="C30" s="28" t="n">
        <v>1</v>
      </c>
      <c r="D30" s="24" t="n">
        <f aca="false">D39</f>
        <v>5</v>
      </c>
      <c r="E30" s="21" t="n">
        <f aca="false">T16</f>
        <v>0.63</v>
      </c>
      <c r="F30" s="21" t="n">
        <f aca="false">3.5/12/3.281</f>
        <v>0.0888956618916997</v>
      </c>
      <c r="G30" s="25" t="n">
        <f aca="false">PRODUCT(C30:F30)</f>
        <v>0.280021334958854</v>
      </c>
      <c r="H30" s="19"/>
      <c r="I30" s="20"/>
      <c r="J30" s="27"/>
      <c r="K30" s="21"/>
      <c r="O30" s="46"/>
      <c r="Q30" s="77"/>
      <c r="S30" s="77"/>
      <c r="U30" s="79"/>
    </row>
    <row r="31" customFormat="false" ht="15" hidden="false" customHeight="false" outlineLevel="0" collapsed="false">
      <c r="A31" s="15"/>
      <c r="B31" s="22"/>
      <c r="C31" s="28" t="n">
        <v>1</v>
      </c>
      <c r="D31" s="24" t="n">
        <f aca="false">D40</f>
        <v>5</v>
      </c>
      <c r="E31" s="21" t="n">
        <f aca="false">T17</f>
        <v>0.62</v>
      </c>
      <c r="F31" s="21" t="n">
        <f aca="false">3.5/12/3.281</f>
        <v>0.0888956618916997</v>
      </c>
      <c r="G31" s="25" t="n">
        <f aca="false">PRODUCT(C31:F31)</f>
        <v>0.275576551864269</v>
      </c>
      <c r="H31" s="19"/>
      <c r="I31" s="20"/>
      <c r="J31" s="27"/>
      <c r="K31" s="21"/>
      <c r="O31" s="46"/>
      <c r="Q31" s="77"/>
      <c r="S31" s="77"/>
      <c r="U31" s="79"/>
    </row>
    <row r="32" customFormat="false" ht="15" hidden="false" customHeight="false" outlineLevel="0" collapsed="false">
      <c r="A32" s="15"/>
      <c r="B32" s="22"/>
      <c r="C32" s="28" t="n">
        <v>1</v>
      </c>
      <c r="D32" s="24" t="n">
        <f aca="false">D41</f>
        <v>3.95</v>
      </c>
      <c r="E32" s="21" t="n">
        <f aca="false">T18</f>
        <v>0.67</v>
      </c>
      <c r="F32" s="21" t="n">
        <f aca="false">3.5/12/3.281</f>
        <v>0.0888956618916997</v>
      </c>
      <c r="G32" s="25" t="n">
        <f aca="false">PRODUCT(C32:F32)</f>
        <v>0.235262369196383</v>
      </c>
      <c r="H32" s="19"/>
      <c r="I32" s="20"/>
      <c r="J32" s="27"/>
      <c r="K32" s="21"/>
      <c r="Q32" s="77"/>
      <c r="S32" s="77"/>
      <c r="U32" s="79"/>
    </row>
    <row r="33" customFormat="false" ht="15" hidden="false" customHeight="false" outlineLevel="0" collapsed="false">
      <c r="A33" s="15"/>
      <c r="B33" s="22" t="s">
        <v>82</v>
      </c>
      <c r="C33" s="28"/>
      <c r="D33" s="24"/>
      <c r="E33" s="21"/>
      <c r="F33" s="21"/>
      <c r="G33" s="25"/>
      <c r="H33" s="19"/>
      <c r="I33" s="20"/>
      <c r="J33" s="27"/>
      <c r="K33" s="21"/>
    </row>
    <row r="34" customFormat="false" ht="15" hidden="false" customHeight="false" outlineLevel="0" collapsed="false">
      <c r="A34" s="15"/>
      <c r="B34" s="22"/>
      <c r="C34" s="28" t="n">
        <v>2</v>
      </c>
      <c r="D34" s="24" t="n">
        <f aca="false">M11</f>
        <v>5</v>
      </c>
      <c r="E34" s="21" t="n">
        <f aca="false">Q11</f>
        <v>0.1125</v>
      </c>
      <c r="F34" s="21" t="n">
        <f aca="false">S11</f>
        <v>0.465</v>
      </c>
      <c r="G34" s="25" t="n">
        <f aca="false">PRODUCT(C34:F34)</f>
        <v>0.523125</v>
      </c>
      <c r="H34" s="19"/>
      <c r="I34" s="20"/>
      <c r="J34" s="27"/>
      <c r="K34" s="21"/>
    </row>
    <row r="35" customFormat="false" ht="15" hidden="false" customHeight="false" outlineLevel="0" collapsed="false">
      <c r="A35" s="15"/>
      <c r="B35" s="22"/>
      <c r="C35" s="28" t="n">
        <v>2</v>
      </c>
      <c r="D35" s="24" t="n">
        <f aca="false">M12</f>
        <v>4.02</v>
      </c>
      <c r="E35" s="21" t="n">
        <f aca="false">Q12</f>
        <v>0.115</v>
      </c>
      <c r="F35" s="21" t="n">
        <f aca="false">S12</f>
        <v>0.47</v>
      </c>
      <c r="G35" s="25" t="n">
        <f aca="false">PRODUCT(C35:F35)</f>
        <v>0.434562</v>
      </c>
      <c r="H35" s="19"/>
      <c r="I35" s="20"/>
      <c r="J35" s="27"/>
      <c r="K35" s="21"/>
    </row>
    <row r="36" customFormat="false" ht="15" hidden="false" customHeight="false" outlineLevel="0" collapsed="false">
      <c r="A36" s="15"/>
      <c r="B36" s="22"/>
      <c r="C36" s="28" t="n">
        <v>2</v>
      </c>
      <c r="D36" s="24" t="n">
        <f aca="false">M13</f>
        <v>3.8</v>
      </c>
      <c r="E36" s="21" t="n">
        <f aca="false">Q13</f>
        <v>0.11</v>
      </c>
      <c r="F36" s="21" t="n">
        <f aca="false">S13</f>
        <v>0.465</v>
      </c>
      <c r="G36" s="25" t="n">
        <f aca="false">PRODUCT(C36:F36)</f>
        <v>0.38874</v>
      </c>
      <c r="H36" s="19"/>
      <c r="I36" s="20"/>
      <c r="J36" s="27"/>
      <c r="K36" s="21"/>
    </row>
    <row r="37" customFormat="false" ht="15" hidden="false" customHeight="false" outlineLevel="0" collapsed="false">
      <c r="A37" s="15"/>
      <c r="B37" s="22"/>
      <c r="C37" s="28" t="n">
        <v>2</v>
      </c>
      <c r="D37" s="24" t="n">
        <f aca="false">M14</f>
        <v>5</v>
      </c>
      <c r="E37" s="21" t="n">
        <f aca="false">Q14</f>
        <v>0.10625</v>
      </c>
      <c r="F37" s="21" t="n">
        <f aca="false">S14</f>
        <v>0.465</v>
      </c>
      <c r="G37" s="25" t="n">
        <f aca="false">PRODUCT(C37:F37)</f>
        <v>0.4940625</v>
      </c>
      <c r="H37" s="19"/>
      <c r="I37" s="20"/>
      <c r="J37" s="27"/>
      <c r="K37" s="21"/>
    </row>
    <row r="38" customFormat="false" ht="15" hidden="false" customHeight="false" outlineLevel="0" collapsed="false">
      <c r="A38" s="15"/>
      <c r="B38" s="22"/>
      <c r="C38" s="28" t="n">
        <v>2</v>
      </c>
      <c r="D38" s="24" t="n">
        <f aca="false">M15</f>
        <v>5</v>
      </c>
      <c r="E38" s="21" t="n">
        <f aca="false">Q15</f>
        <v>0.10375</v>
      </c>
      <c r="F38" s="21" t="n">
        <f aca="false">S15</f>
        <v>0.4675</v>
      </c>
      <c r="G38" s="25" t="n">
        <f aca="false">PRODUCT(C38:F38)</f>
        <v>0.48503125</v>
      </c>
      <c r="H38" s="19"/>
      <c r="I38" s="20"/>
      <c r="J38" s="27"/>
      <c r="K38" s="21"/>
    </row>
    <row r="39" customFormat="false" ht="15" hidden="false" customHeight="false" outlineLevel="0" collapsed="false">
      <c r="A39" s="15"/>
      <c r="B39" s="22"/>
      <c r="C39" s="28" t="n">
        <v>2</v>
      </c>
      <c r="D39" s="24" t="n">
        <f aca="false">M16</f>
        <v>5</v>
      </c>
      <c r="E39" s="21" t="n">
        <f aca="false">Q16</f>
        <v>0.105</v>
      </c>
      <c r="F39" s="21" t="n">
        <f aca="false">S16</f>
        <v>0.465</v>
      </c>
      <c r="G39" s="25" t="n">
        <f aca="false">PRODUCT(C39:F39)</f>
        <v>0.48825</v>
      </c>
      <c r="H39" s="19"/>
      <c r="I39" s="20"/>
      <c r="J39" s="27"/>
      <c r="K39" s="21"/>
    </row>
    <row r="40" customFormat="false" ht="15" hidden="false" customHeight="false" outlineLevel="0" collapsed="false">
      <c r="A40" s="15"/>
      <c r="B40" s="22"/>
      <c r="C40" s="28" t="n">
        <v>2</v>
      </c>
      <c r="D40" s="24" t="n">
        <f aca="false">M17</f>
        <v>5</v>
      </c>
      <c r="E40" s="21" t="n">
        <f aca="false">Q17</f>
        <v>0.1125</v>
      </c>
      <c r="F40" s="21" t="n">
        <f aca="false">S17</f>
        <v>0.4525</v>
      </c>
      <c r="G40" s="25" t="n">
        <f aca="false">PRODUCT(C40:F40)</f>
        <v>0.5090625</v>
      </c>
      <c r="H40" s="19"/>
      <c r="I40" s="20"/>
      <c r="J40" s="27"/>
      <c r="K40" s="21"/>
    </row>
    <row r="41" customFormat="false" ht="15" hidden="false" customHeight="false" outlineLevel="0" collapsed="false">
      <c r="A41" s="15"/>
      <c r="B41" s="22"/>
      <c r="C41" s="28" t="n">
        <v>2</v>
      </c>
      <c r="D41" s="24" t="n">
        <f aca="false">M18</f>
        <v>3.95</v>
      </c>
      <c r="E41" s="21" t="n">
        <f aca="false">Q18</f>
        <v>0.115</v>
      </c>
      <c r="F41" s="21" t="n">
        <f aca="false">S18</f>
        <v>0.4625</v>
      </c>
      <c r="G41" s="25" t="n">
        <f aca="false">PRODUCT(C41:F41)</f>
        <v>0.42018125</v>
      </c>
      <c r="H41" s="19"/>
      <c r="I41" s="20"/>
      <c r="J41" s="27"/>
      <c r="K41" s="21"/>
    </row>
    <row r="42" customFormat="false" ht="15" hidden="false" customHeight="false" outlineLevel="0" collapsed="false">
      <c r="A42" s="15"/>
      <c r="B42" s="22"/>
      <c r="C42" s="28"/>
      <c r="D42" s="24"/>
      <c r="E42" s="21"/>
      <c r="F42" s="21"/>
      <c r="G42" s="25"/>
      <c r="H42" s="19"/>
      <c r="I42" s="20"/>
      <c r="J42" s="27"/>
      <c r="K42" s="21"/>
      <c r="M42" s="0" t="n">
        <f aca="false">3.8*1.2*0.1</f>
        <v>0.456</v>
      </c>
    </row>
    <row r="43" customFormat="false" ht="15" hidden="false" customHeight="false" outlineLevel="0" collapsed="false">
      <c r="A43" s="15"/>
      <c r="B43" s="22" t="s">
        <v>83</v>
      </c>
      <c r="C43" s="28" t="n">
        <v>1</v>
      </c>
      <c r="D43" s="24" t="n">
        <f aca="false">(1.21+1.12+1.28+1.18+1.2+1.22+1.2+1.2+1.17+1.09+1.1+1.1+1.07+1.09+1.08+1.1+1.18+1.06+1.09+1.11+1.07+1.29+1.11+1.12+1.08+1.09+1.05+1.07+1.14+1.08+1.07+1.06+1.07+1.07+1.12+1.07+1.06+1.23+1.09+1.11+1.17+1.16+1.19+1.17+1.14+1.14)</f>
        <v>51.87</v>
      </c>
      <c r="E43" s="21" t="n">
        <f aca="false">(0.63+0.64+0.61+0.64+0.63+0.65+0.63+0.66+0.63+0.6+0.6+0.6+0.61+0.61+0.63+0.63+0.59+0.62+0.58+0.61+0.61+0.59+0.67+0.79+0.84+0.84+0.8+0.61+0.6+0.63+0.62+0.61+0.61+0.62+0.61+0.62+0.62+0.62+0.63+0.62+0.61+0.6+0.6+0.6+0.6)/46</f>
        <v>0.621086956521739</v>
      </c>
      <c r="F43" s="21" t="n">
        <v>0.1</v>
      </c>
      <c r="G43" s="25" t="n">
        <f aca="false">PRODUCT(C43:F43)</f>
        <v>3.22157804347826</v>
      </c>
      <c r="H43" s="19"/>
      <c r="I43" s="20"/>
      <c r="J43" s="27"/>
      <c r="K43" s="21"/>
      <c r="M43" s="0" t="n">
        <f aca="false">D43*E43*0.1</f>
        <v>3.22157804347826</v>
      </c>
    </row>
    <row r="44" customFormat="false" ht="15" hidden="false" customHeight="false" outlineLevel="0" collapsed="false">
      <c r="A44" s="15"/>
      <c r="B44" s="22" t="s">
        <v>84</v>
      </c>
      <c r="C44" s="28" t="n">
        <v>1</v>
      </c>
      <c r="D44" s="24" t="n">
        <v>3.8</v>
      </c>
      <c r="E44" s="21" t="n">
        <v>1.2</v>
      </c>
      <c r="F44" s="21" t="n">
        <v>0.1</v>
      </c>
      <c r="G44" s="25" t="n">
        <f aca="false">PRODUCT(C44:F44)</f>
        <v>0.456</v>
      </c>
      <c r="H44" s="19"/>
      <c r="I44" s="20"/>
      <c r="J44" s="27"/>
      <c r="K44" s="21"/>
      <c r="M44" s="0" t="n">
        <f aca="false">SUM(M42:M43)</f>
        <v>3.67757804347826</v>
      </c>
    </row>
    <row r="45" customFormat="false" ht="15" hidden="false" customHeight="false" outlineLevel="0" collapsed="false">
      <c r="A45" s="15"/>
      <c r="B45" s="26" t="s">
        <v>22</v>
      </c>
      <c r="C45" s="28"/>
      <c r="D45" s="24"/>
      <c r="E45" s="21"/>
      <c r="F45" s="21"/>
      <c r="G45" s="20" t="n">
        <f aca="false">SUM(G25:G44)</f>
        <v>9.44087980345997</v>
      </c>
      <c r="H45" s="19" t="s">
        <v>23</v>
      </c>
      <c r="I45" s="30" t="n">
        <v>12143.3</v>
      </c>
      <c r="J45" s="27" t="n">
        <f aca="false">G45*I45</f>
        <v>114643.435717356</v>
      </c>
      <c r="K45" s="21"/>
    </row>
    <row r="46" customFormat="false" ht="15" hidden="false" customHeight="false" outlineLevel="0" collapsed="false">
      <c r="A46" s="15"/>
      <c r="B46" s="26" t="s">
        <v>24</v>
      </c>
      <c r="C46" s="28"/>
      <c r="D46" s="24"/>
      <c r="E46" s="21"/>
      <c r="F46" s="21"/>
      <c r="G46" s="20"/>
      <c r="H46" s="19"/>
      <c r="I46" s="20"/>
      <c r="J46" s="31" t="n">
        <f aca="false">0.13*G45*((137739.8+7005.8)/15)</f>
        <v>11843.223701224</v>
      </c>
      <c r="K46" s="21"/>
    </row>
    <row r="47" customFormat="false" ht="15" hidden="false" customHeight="false" outlineLevel="0" collapsed="false">
      <c r="A47" s="15"/>
      <c r="B47" s="26"/>
      <c r="C47" s="28"/>
      <c r="D47" s="24"/>
      <c r="E47" s="21"/>
      <c r="F47" s="21"/>
      <c r="G47" s="20"/>
      <c r="H47" s="19"/>
      <c r="I47" s="20"/>
      <c r="J47" s="31"/>
      <c r="K47" s="21"/>
    </row>
    <row r="48" customFormat="false" ht="75" hidden="false" customHeight="false" outlineLevel="0" collapsed="false">
      <c r="A48" s="15" t="n">
        <v>5</v>
      </c>
      <c r="B48" s="29" t="s">
        <v>29</v>
      </c>
      <c r="C48" s="28" t="s">
        <v>11</v>
      </c>
      <c r="D48" s="32" t="s">
        <v>30</v>
      </c>
      <c r="E48" s="32" t="s">
        <v>31</v>
      </c>
      <c r="F48" s="32" t="s">
        <v>32</v>
      </c>
      <c r="G48" s="32" t="s">
        <v>33</v>
      </c>
      <c r="H48" s="19"/>
      <c r="I48" s="20"/>
      <c r="J48" s="31"/>
      <c r="K48" s="21"/>
    </row>
    <row r="49" customFormat="false" ht="15" hidden="false" customHeight="false" outlineLevel="0" collapsed="false">
      <c r="A49" s="15"/>
      <c r="B49" s="22" t="str">
        <f aca="false">B25</f>
        <v>-For roadside drain</v>
      </c>
      <c r="C49" s="28" t="n">
        <f aca="false">(TRUNC(((0.6-0.1)/0.15),0)+1)+(TRUNC(((0.45-0.1)/0.15),0)*2)+2</f>
        <v>10</v>
      </c>
      <c r="D49" s="24" t="n">
        <f aca="false">SUM(V!D34:D41)-0.1</f>
        <v>36.67</v>
      </c>
      <c r="E49" s="21" t="n">
        <f aca="false">10*10/162</f>
        <v>0.617283950617284</v>
      </c>
      <c r="F49" s="21" t="n">
        <f aca="false">PRODUCT(C49:E49)</f>
        <v>226.358024691358</v>
      </c>
      <c r="G49" s="25" t="n">
        <f aca="false">F49/1000</f>
        <v>0.226358024691358</v>
      </c>
      <c r="H49" s="19"/>
      <c r="I49" s="20"/>
      <c r="J49" s="27"/>
      <c r="K49" s="21"/>
    </row>
    <row r="50" customFormat="false" ht="15" hidden="false" customHeight="false" outlineLevel="0" collapsed="false">
      <c r="A50" s="15"/>
      <c r="B50" s="22"/>
      <c r="C50" s="28" t="n">
        <f aca="false">TRUNC(((D49-0.1)/0.15),0)</f>
        <v>243</v>
      </c>
      <c r="D50" s="24" t="n">
        <f aca="false">(0.6-0.1)+(0.45-0.1)*1.9</f>
        <v>1.165</v>
      </c>
      <c r="E50" s="21" t="n">
        <f aca="false">10*10/162</f>
        <v>0.617283950617284</v>
      </c>
      <c r="F50" s="21" t="n">
        <f aca="false">PRODUCT(C50:E50)</f>
        <v>174.75</v>
      </c>
      <c r="G50" s="25" t="n">
        <f aca="false">F50/1000</f>
        <v>0.17475</v>
      </c>
      <c r="H50" s="19"/>
      <c r="I50" s="20"/>
      <c r="J50" s="20"/>
      <c r="K50" s="21"/>
    </row>
    <row r="51" customFormat="false" ht="15" hidden="false" customHeight="false" outlineLevel="0" collapsed="false">
      <c r="A51" s="15"/>
      <c r="B51" s="22" t="str">
        <f aca="false">B43</f>
        <v>-Drain slab 1</v>
      </c>
      <c r="C51" s="28" t="n">
        <f aca="false">(TRUNC(((D52)/0.15),0)+1)*C43</f>
        <v>4</v>
      </c>
      <c r="D51" s="24" t="n">
        <f aca="false">D43-0.1-(46*0.1)</f>
        <v>47.17</v>
      </c>
      <c r="E51" s="21" t="n">
        <f aca="false">10*10/162</f>
        <v>0.617283950617284</v>
      </c>
      <c r="F51" s="21" t="n">
        <f aca="false">PRODUCT(C51:E51)</f>
        <v>116.469135802469</v>
      </c>
      <c r="G51" s="25" t="n">
        <f aca="false">F51/1000</f>
        <v>0.116469135802469</v>
      </c>
      <c r="H51" s="19"/>
      <c r="I51" s="20"/>
      <c r="J51" s="27"/>
      <c r="K51" s="21"/>
    </row>
    <row r="52" customFormat="false" ht="15" hidden="false" customHeight="false" outlineLevel="0" collapsed="false">
      <c r="A52" s="15"/>
      <c r="B52" s="22"/>
      <c r="C52" s="28" t="n">
        <f aca="false">(TRUNC(((D51)/0.175),0)+1)</f>
        <v>270</v>
      </c>
      <c r="D52" s="24" t="n">
        <f aca="false">(E43-0.1)</f>
        <v>0.521086956521739</v>
      </c>
      <c r="E52" s="21" t="n">
        <f aca="false">10*10/162</f>
        <v>0.617283950617284</v>
      </c>
      <c r="F52" s="21" t="n">
        <f aca="false">PRODUCT(C52:E52)</f>
        <v>86.8478260869566</v>
      </c>
      <c r="G52" s="25" t="n">
        <f aca="false">F52/1000</f>
        <v>0.0868478260869566</v>
      </c>
      <c r="H52" s="19"/>
      <c r="I52" s="20"/>
      <c r="J52" s="27"/>
      <c r="K52" s="21"/>
    </row>
    <row r="53" customFormat="false" ht="15" hidden="false" customHeight="false" outlineLevel="0" collapsed="false">
      <c r="A53" s="15"/>
      <c r="B53" s="22" t="str">
        <f aca="false">B44</f>
        <v>-Drain slab 2</v>
      </c>
      <c r="C53" s="28" t="n">
        <f aca="false">(TRUNC(((D54)/0.15),0)+1)-3</f>
        <v>5</v>
      </c>
      <c r="D53" s="24" t="n">
        <f aca="false">D44-0.1</f>
        <v>3.7</v>
      </c>
      <c r="E53" s="21" t="n">
        <f aca="false">10*10/162</f>
        <v>0.617283950617284</v>
      </c>
      <c r="F53" s="21" t="n">
        <f aca="false">PRODUCT(C53:E53)</f>
        <v>11.4197530864198</v>
      </c>
      <c r="G53" s="25" t="n">
        <f aca="false">F53/1000</f>
        <v>0.0114197530864198</v>
      </c>
      <c r="H53" s="19"/>
      <c r="I53" s="20"/>
      <c r="J53" s="27"/>
      <c r="K53" s="21"/>
    </row>
    <row r="54" customFormat="false" ht="15" hidden="false" customHeight="false" outlineLevel="0" collapsed="false">
      <c r="A54" s="15"/>
      <c r="B54" s="22"/>
      <c r="C54" s="28" t="n">
        <f aca="false">(TRUNC(((D53)/0.15),0)+1)-10</f>
        <v>15</v>
      </c>
      <c r="D54" s="24" t="n">
        <f aca="false">(E44-0.1)</f>
        <v>1.1</v>
      </c>
      <c r="E54" s="21" t="n">
        <f aca="false">10*10/162</f>
        <v>0.617283950617284</v>
      </c>
      <c r="F54" s="21" t="n">
        <f aca="false">PRODUCT(C54:E54)</f>
        <v>10.1851851851852</v>
      </c>
      <c r="G54" s="25" t="n">
        <f aca="false">F54/1000</f>
        <v>0.0101851851851852</v>
      </c>
      <c r="H54" s="19"/>
      <c r="I54" s="20"/>
      <c r="J54" s="27"/>
      <c r="K54" s="21"/>
    </row>
    <row r="55" customFormat="false" ht="15" hidden="false" customHeight="false" outlineLevel="0" collapsed="false">
      <c r="A55" s="15"/>
      <c r="B55" s="26" t="s">
        <v>22</v>
      </c>
      <c r="C55" s="28"/>
      <c r="D55" s="24"/>
      <c r="E55" s="21"/>
      <c r="F55" s="21"/>
      <c r="G55" s="36" t="n">
        <f aca="false">SUM(G49:G54)</f>
        <v>0.626029924852389</v>
      </c>
      <c r="H55" s="19" t="s">
        <v>43</v>
      </c>
      <c r="I55" s="30" t="n">
        <v>122648</v>
      </c>
      <c r="J55" s="27" t="n">
        <f aca="false">G55*I55</f>
        <v>76781.3182232958</v>
      </c>
      <c r="K55" s="21"/>
    </row>
    <row r="56" customFormat="false" ht="15" hidden="false" customHeight="false" outlineLevel="0" collapsed="false">
      <c r="A56" s="15"/>
      <c r="B56" s="26" t="s">
        <v>24</v>
      </c>
      <c r="C56" s="28"/>
      <c r="D56" s="24"/>
      <c r="E56" s="21"/>
      <c r="F56" s="21"/>
      <c r="G56" s="20"/>
      <c r="H56" s="19"/>
      <c r="I56" s="20"/>
      <c r="J56" s="31" t="n">
        <f aca="false">0.13*G55*(109748)</f>
        <v>8931.71918505099</v>
      </c>
      <c r="K56" s="21"/>
    </row>
    <row r="57" customFormat="false" ht="15" hidden="false" customHeight="false" outlineLevel="0" collapsed="false">
      <c r="A57" s="15"/>
      <c r="B57" s="26"/>
      <c r="C57" s="28"/>
      <c r="D57" s="24"/>
      <c r="E57" s="21"/>
      <c r="F57" s="21"/>
      <c r="G57" s="20"/>
      <c r="H57" s="19"/>
      <c r="I57" s="20"/>
      <c r="J57" s="31"/>
      <c r="K57" s="21"/>
    </row>
    <row r="58" customFormat="false" ht="15" hidden="false" customHeight="false" outlineLevel="0" collapsed="false">
      <c r="A58" s="18" t="n">
        <v>6</v>
      </c>
      <c r="B58" s="39" t="s">
        <v>47</v>
      </c>
      <c r="C58" s="28" t="n">
        <v>1</v>
      </c>
      <c r="D58" s="24"/>
      <c r="E58" s="21"/>
      <c r="F58" s="21"/>
      <c r="G58" s="27" t="n">
        <f aca="false">PRODUCT(C58:F58)</f>
        <v>1</v>
      </c>
      <c r="H58" s="19" t="s">
        <v>48</v>
      </c>
      <c r="I58" s="20" t="n">
        <v>500</v>
      </c>
      <c r="J58" s="40" t="n">
        <f aca="false">G58*I58</f>
        <v>500</v>
      </c>
      <c r="K58" s="21"/>
    </row>
    <row r="59" customFormat="false" ht="15" hidden="false" customHeight="false" outlineLevel="0" collapsed="false">
      <c r="A59" s="34"/>
      <c r="B59" s="41"/>
      <c r="C59" s="42"/>
      <c r="D59" s="35"/>
      <c r="E59" s="35"/>
      <c r="F59" s="35"/>
      <c r="G59" s="40"/>
      <c r="H59" s="40"/>
      <c r="I59" s="40"/>
      <c r="J59" s="40"/>
      <c r="K59" s="38"/>
      <c r="M59" s="43"/>
    </row>
    <row r="60" customFormat="false" ht="15" hidden="false" customHeight="false" outlineLevel="0" collapsed="false">
      <c r="A60" s="34"/>
      <c r="B60" s="41" t="s">
        <v>50</v>
      </c>
      <c r="C60" s="42"/>
      <c r="D60" s="35"/>
      <c r="E60" s="35"/>
      <c r="F60" s="35"/>
      <c r="G60" s="40"/>
      <c r="H60" s="40"/>
      <c r="I60" s="40"/>
      <c r="J60" s="40" t="n">
        <f aca="false">SUM(J9:J59)</f>
        <v>238189.742529638</v>
      </c>
      <c r="K60" s="38"/>
      <c r="M60" s="43"/>
    </row>
    <row r="61" customFormat="false" ht="15" hidden="false" customHeight="false" outlineLevel="0" collapsed="false">
      <c r="M61" s="43"/>
      <c r="N61" s="45"/>
      <c r="O61" s="45"/>
      <c r="P61" s="45"/>
      <c r="Q61" s="45"/>
      <c r="R61" s="45"/>
      <c r="S61" s="45"/>
      <c r="T61" s="45"/>
      <c r="U61" s="45"/>
      <c r="V61" s="45"/>
      <c r="W61" s="45"/>
      <c r="X61" s="45"/>
      <c r="Y61" s="43"/>
      <c r="Z61" s="43"/>
      <c r="AA61" s="43"/>
      <c r="AB61" s="43"/>
      <c r="AC61" s="43"/>
      <c r="AD61" s="43"/>
      <c r="AE61" s="43"/>
      <c r="AF61" s="43"/>
      <c r="AG61" s="43"/>
      <c r="AH61" s="43"/>
      <c r="AI61" s="43"/>
    </row>
    <row r="62" s="3" customFormat="true" ht="15" hidden="false" customHeight="false" outlineLevel="0" collapsed="false">
      <c r="B62" s="17" t="s">
        <v>85</v>
      </c>
      <c r="C62" s="47" t="n">
        <f aca="false">J60</f>
        <v>238189.742529638</v>
      </c>
      <c r="D62" s="47"/>
      <c r="E62" s="48" t="n">
        <v>100</v>
      </c>
      <c r="F62" s="49"/>
      <c r="G62" s="50"/>
      <c r="H62" s="49"/>
      <c r="I62" s="51"/>
      <c r="J62" s="52"/>
      <c r="K62" s="53"/>
      <c r="M62" s="49"/>
      <c r="N62" s="45"/>
      <c r="O62" s="45"/>
      <c r="P62" s="45"/>
      <c r="Q62" s="45"/>
      <c r="R62" s="45"/>
      <c r="S62" s="45"/>
      <c r="T62" s="45"/>
      <c r="U62" s="45"/>
      <c r="V62" s="45"/>
      <c r="W62" s="45"/>
      <c r="X62" s="45"/>
      <c r="Y62" s="49"/>
      <c r="Z62" s="49"/>
      <c r="AA62" s="49"/>
      <c r="AB62" s="49"/>
      <c r="AC62" s="49"/>
      <c r="AD62" s="49"/>
      <c r="AE62" s="49"/>
      <c r="AF62" s="49"/>
      <c r="AG62" s="49"/>
      <c r="AH62" s="49"/>
      <c r="AI62" s="49"/>
    </row>
    <row r="63" customFormat="false" ht="15" hidden="false" customHeight="false" outlineLevel="0" collapsed="false">
      <c r="B63" s="17" t="s">
        <v>52</v>
      </c>
      <c r="C63" s="54" t="n">
        <v>210000</v>
      </c>
      <c r="D63" s="54"/>
      <c r="E63" s="48"/>
      <c r="M63" s="43"/>
      <c r="N63" s="45"/>
      <c r="O63" s="45"/>
      <c r="P63" s="45"/>
      <c r="Q63" s="45"/>
      <c r="R63" s="45"/>
      <c r="S63" s="45"/>
      <c r="T63" s="45"/>
      <c r="U63" s="45"/>
      <c r="V63" s="45"/>
      <c r="W63" s="45"/>
      <c r="X63" s="45"/>
      <c r="Y63" s="43"/>
      <c r="Z63" s="43"/>
      <c r="AA63" s="43"/>
      <c r="AB63" s="43"/>
      <c r="AC63" s="43"/>
      <c r="AD63" s="43"/>
      <c r="AE63" s="43"/>
      <c r="AF63" s="43"/>
      <c r="AG63" s="43"/>
      <c r="AH63" s="43"/>
      <c r="AI63" s="43"/>
    </row>
    <row r="64" customFormat="false" ht="15" hidden="false" customHeight="false" outlineLevel="0" collapsed="false">
      <c r="B64" s="17" t="s">
        <v>53</v>
      </c>
      <c r="C64" s="54" t="n">
        <f aca="false">C63-C66-C67</f>
        <v>199500</v>
      </c>
      <c r="D64" s="54"/>
      <c r="E64" s="48" t="n">
        <f aca="false">C64/C62*100</f>
        <v>83.7567553838622</v>
      </c>
      <c r="M64" s="43"/>
      <c r="N64" s="43"/>
      <c r="O64" s="43"/>
      <c r="P64" s="43"/>
      <c r="Q64" s="43"/>
      <c r="R64" s="43"/>
      <c r="S64" s="43"/>
      <c r="T64" s="43"/>
      <c r="U64" s="43"/>
      <c r="V64" s="43"/>
      <c r="W64" s="43"/>
      <c r="X64" s="43"/>
      <c r="Y64" s="43"/>
      <c r="Z64" s="43"/>
      <c r="AA64" s="43"/>
      <c r="AB64" s="43"/>
      <c r="AC64" s="43"/>
      <c r="AD64" s="43"/>
      <c r="AE64" s="43"/>
      <c r="AF64" s="43"/>
      <c r="AG64" s="43"/>
      <c r="AH64" s="43"/>
      <c r="AI64" s="43"/>
    </row>
    <row r="65" customFormat="false" ht="15" hidden="false" customHeight="false" outlineLevel="0" collapsed="false">
      <c r="B65" s="17" t="s">
        <v>54</v>
      </c>
      <c r="C65" s="47" t="n">
        <f aca="false">C62-C64</f>
        <v>38689.7425296379</v>
      </c>
      <c r="D65" s="47"/>
      <c r="E65" s="48" t="n">
        <f aca="false">100-E64</f>
        <v>16.2432446161378</v>
      </c>
      <c r="M65" s="43"/>
      <c r="N65" s="43"/>
      <c r="O65" s="43"/>
      <c r="P65" s="43"/>
      <c r="Q65" s="43"/>
      <c r="R65" s="43"/>
      <c r="S65" s="43"/>
      <c r="T65" s="43"/>
      <c r="U65" s="43"/>
      <c r="V65" s="43"/>
      <c r="W65" s="43"/>
      <c r="X65" s="43"/>
      <c r="Y65" s="43"/>
      <c r="Z65" s="43"/>
      <c r="AA65" s="43"/>
      <c r="AB65" s="43"/>
      <c r="AC65" s="43"/>
      <c r="AD65" s="43"/>
      <c r="AE65" s="43"/>
      <c r="AF65" s="43"/>
      <c r="AG65" s="43"/>
      <c r="AH65" s="43"/>
      <c r="AI65" s="43"/>
    </row>
    <row r="66" customFormat="false" ht="15" hidden="false" customHeight="false" outlineLevel="0" collapsed="false">
      <c r="B66" s="17" t="s">
        <v>55</v>
      </c>
      <c r="C66" s="47" t="n">
        <f aca="false">C63*0.03</f>
        <v>6300</v>
      </c>
      <c r="D66" s="47"/>
      <c r="E66" s="48" t="n">
        <v>3</v>
      </c>
      <c r="M66" s="43"/>
      <c r="N66" s="43"/>
      <c r="O66" s="43"/>
      <c r="P66" s="43"/>
      <c r="Q66" s="43"/>
      <c r="R66" s="43"/>
      <c r="S66" s="43"/>
      <c r="T66" s="43"/>
      <c r="U66" s="43"/>
      <c r="V66" s="43"/>
      <c r="W66" s="43"/>
      <c r="X66" s="43"/>
      <c r="Y66" s="43"/>
      <c r="Z66" s="43"/>
      <c r="AA66" s="43"/>
      <c r="AB66" s="43"/>
      <c r="AC66" s="43"/>
      <c r="AD66" s="43"/>
      <c r="AE66" s="43"/>
      <c r="AF66" s="43"/>
      <c r="AG66" s="43"/>
      <c r="AH66" s="43"/>
      <c r="AI66" s="43"/>
    </row>
    <row r="67" customFormat="false" ht="15" hidden="false" customHeight="false" outlineLevel="0" collapsed="false">
      <c r="B67" s="17" t="s">
        <v>56</v>
      </c>
      <c r="C67" s="47" t="n">
        <f aca="false">C63*0.02</f>
        <v>4200</v>
      </c>
      <c r="D67" s="47"/>
      <c r="E67" s="48" t="n">
        <v>2</v>
      </c>
      <c r="M67" s="43"/>
      <c r="N67" s="43"/>
      <c r="O67" s="43"/>
      <c r="P67" s="43"/>
      <c r="Q67" s="43"/>
      <c r="R67" s="43"/>
      <c r="S67" s="43"/>
      <c r="T67" s="43"/>
      <c r="U67" s="43"/>
      <c r="V67" s="43"/>
      <c r="W67" s="43"/>
      <c r="X67" s="43"/>
      <c r="Y67" s="43"/>
      <c r="Z67" s="43"/>
      <c r="AA67" s="43"/>
      <c r="AB67" s="43"/>
      <c r="AC67" s="43"/>
      <c r="AD67" s="43"/>
      <c r="AE67" s="43"/>
      <c r="AF67" s="43"/>
      <c r="AG67" s="43"/>
      <c r="AH67" s="43"/>
      <c r="AI67" s="43"/>
    </row>
  </sheetData>
  <mergeCells count="15">
    <mergeCell ref="A1:K1"/>
    <mergeCell ref="A2:K2"/>
    <mergeCell ref="A3:K3"/>
    <mergeCell ref="A4:K4"/>
    <mergeCell ref="A5:K5"/>
    <mergeCell ref="A6:G6"/>
    <mergeCell ref="H6:K6"/>
    <mergeCell ref="A7:F7"/>
    <mergeCell ref="H7:K7"/>
    <mergeCell ref="C62:D62"/>
    <mergeCell ref="C63:D63"/>
    <mergeCell ref="C64:D64"/>
    <mergeCell ref="C65:D65"/>
    <mergeCell ref="C66:D66"/>
    <mergeCell ref="C67:D67"/>
  </mergeCells>
  <printOptions headings="false" gridLines="false" gridLinesSet="true" horizontalCentered="true" verticalCentered="false"/>
  <pageMargins left="0.7" right="0.7" top="0.75" bottom="0.75" header="0.511811023622047" footer="0.3"/>
  <pageSetup paperSize="9" scale="80" fitToWidth="1" fitToHeight="1" pageOrder="downThenOver" orientation="portrait" blackAndWhite="false" draft="false" cellComments="none" horizontalDpi="300" verticalDpi="300" copies="1"/>
  <headerFooter differentFirst="false" differentOddEven="false">
    <oddHeader/>
    <oddFooter>&amp;LPrepared By:
Kristal Suwal&amp;CChecked By:
Er. Milan Phuyal&amp;RApproved By:    
Er. Prakash Singh Saud</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63"/>
  <sheetViews>
    <sheetView showFormulas="false" showGridLines="true" showRowColHeaders="true" showZeros="true" rightToLeft="false" tabSelected="false" showOutlineSymbols="true" defaultGridColor="true" view="normal" topLeftCell="A37" colorId="64" zoomScale="90" zoomScaleNormal="90" zoomScalePageLayoutView="100" workbookViewId="0">
      <selection pane="topLeft" activeCell="A54" activeCellId="0" sqref="A54"/>
    </sheetView>
  </sheetViews>
  <sheetFormatPr defaultColWidth="8.4296875" defaultRowHeight="15" zeroHeight="false" outlineLevelRow="0" outlineLevelCol="0"/>
  <sheetData>
    <row r="1" customFormat="false" ht="15" hidden="false" customHeight="true" outlineLevel="0" collapsed="false">
      <c r="A1" s="80" t="s">
        <v>86</v>
      </c>
      <c r="B1" s="80"/>
      <c r="C1" s="81" t="s">
        <v>20</v>
      </c>
      <c r="D1" s="81"/>
      <c r="E1" s="81"/>
      <c r="F1" s="81"/>
      <c r="G1" s="81"/>
      <c r="H1" s="81"/>
      <c r="I1" s="81"/>
      <c r="J1" s="81"/>
      <c r="K1" s="81"/>
      <c r="L1" s="81"/>
      <c r="M1" s="81"/>
      <c r="N1" s="81"/>
      <c r="O1" s="81"/>
      <c r="P1" s="81"/>
      <c r="Q1" s="81"/>
      <c r="R1" s="81"/>
      <c r="S1" s="81"/>
      <c r="T1" s="81"/>
      <c r="U1" s="82" t="s">
        <v>87</v>
      </c>
    </row>
    <row r="2" customFormat="false" ht="15" hidden="false" customHeight="false" outlineLevel="0" collapsed="false">
      <c r="A2" s="80"/>
      <c r="B2" s="80"/>
      <c r="C2" s="81"/>
      <c r="D2" s="81"/>
      <c r="E2" s="81"/>
      <c r="F2" s="81"/>
      <c r="G2" s="81"/>
      <c r="H2" s="81"/>
      <c r="I2" s="81"/>
      <c r="J2" s="81"/>
      <c r="K2" s="81"/>
      <c r="L2" s="81"/>
      <c r="M2" s="81"/>
      <c r="N2" s="81"/>
      <c r="O2" s="81"/>
      <c r="P2" s="81"/>
      <c r="Q2" s="81"/>
      <c r="R2" s="81"/>
      <c r="S2" s="81"/>
      <c r="T2" s="81"/>
      <c r="U2" s="82"/>
    </row>
    <row r="3" customFormat="false" ht="15.75" hidden="false" customHeight="true" outlineLevel="0" collapsed="false">
      <c r="A3" s="83" t="s">
        <v>88</v>
      </c>
      <c r="B3" s="83"/>
      <c r="C3" s="81"/>
      <c r="D3" s="81"/>
      <c r="E3" s="81"/>
      <c r="F3" s="81"/>
      <c r="G3" s="81"/>
      <c r="H3" s="81"/>
      <c r="I3" s="81"/>
      <c r="J3" s="81"/>
      <c r="K3" s="81"/>
      <c r="L3" s="81"/>
      <c r="M3" s="81"/>
      <c r="N3" s="81"/>
      <c r="O3" s="81"/>
      <c r="P3" s="81"/>
      <c r="Q3" s="81"/>
      <c r="R3" s="81"/>
      <c r="S3" s="81"/>
      <c r="T3" s="81"/>
      <c r="U3" s="82"/>
    </row>
    <row r="4" customFormat="false" ht="15.75" hidden="false" customHeight="true" outlineLevel="0" collapsed="false">
      <c r="A4" s="84" t="s">
        <v>89</v>
      </c>
      <c r="B4" s="85" t="s">
        <v>90</v>
      </c>
      <c r="C4" s="85"/>
      <c r="D4" s="85"/>
      <c r="E4" s="85"/>
      <c r="F4" s="85"/>
      <c r="G4" s="85" t="s">
        <v>91</v>
      </c>
      <c r="H4" s="85"/>
      <c r="I4" s="85"/>
      <c r="J4" s="85"/>
      <c r="K4" s="85"/>
      <c r="L4" s="85" t="s">
        <v>92</v>
      </c>
      <c r="M4" s="85"/>
      <c r="N4" s="85"/>
      <c r="O4" s="85"/>
      <c r="P4" s="85"/>
      <c r="Q4" s="85" t="s">
        <v>93</v>
      </c>
      <c r="R4" s="85"/>
      <c r="S4" s="85"/>
      <c r="T4" s="85"/>
      <c r="U4" s="85"/>
    </row>
    <row r="5" customFormat="false" ht="15.75" hidden="false" customHeight="false" outlineLevel="0" collapsed="false">
      <c r="A5" s="84"/>
      <c r="B5" s="86" t="s">
        <v>94</v>
      </c>
      <c r="C5" s="86" t="s">
        <v>16</v>
      </c>
      <c r="D5" s="86" t="s">
        <v>15</v>
      </c>
      <c r="E5" s="86" t="s">
        <v>17</v>
      </c>
      <c r="F5" s="86" t="s">
        <v>18</v>
      </c>
      <c r="G5" s="86" t="s">
        <v>94</v>
      </c>
      <c r="H5" s="87" t="s">
        <v>16</v>
      </c>
      <c r="I5" s="86" t="s">
        <v>15</v>
      </c>
      <c r="J5" s="86" t="s">
        <v>17</v>
      </c>
      <c r="K5" s="86" t="s">
        <v>18</v>
      </c>
      <c r="L5" s="86" t="s">
        <v>94</v>
      </c>
      <c r="M5" s="86" t="s">
        <v>16</v>
      </c>
      <c r="N5" s="86" t="s">
        <v>15</v>
      </c>
      <c r="O5" s="86" t="s">
        <v>17</v>
      </c>
      <c r="P5" s="86" t="s">
        <v>18</v>
      </c>
      <c r="Q5" s="86" t="s">
        <v>94</v>
      </c>
      <c r="R5" s="86" t="s">
        <v>16</v>
      </c>
      <c r="S5" s="86" t="s">
        <v>15</v>
      </c>
      <c r="T5" s="86" t="s">
        <v>17</v>
      </c>
      <c r="U5" s="88" t="s">
        <v>18</v>
      </c>
    </row>
    <row r="6" customFormat="false" ht="63" hidden="false" customHeight="false" outlineLevel="0" collapsed="false">
      <c r="A6" s="84" t="s">
        <v>95</v>
      </c>
      <c r="B6" s="86" t="s">
        <v>96</v>
      </c>
      <c r="C6" s="86" t="s">
        <v>97</v>
      </c>
      <c r="D6" s="86" t="n">
        <v>1</v>
      </c>
      <c r="E6" s="86" t="n">
        <f aca="false">skilled</f>
        <v>1200</v>
      </c>
      <c r="F6" s="89" t="n">
        <f aca="false">(D6*E6)</f>
        <v>1200</v>
      </c>
      <c r="G6" s="90"/>
      <c r="H6" s="91"/>
      <c r="I6" s="90"/>
      <c r="J6" s="90"/>
      <c r="K6" s="90"/>
      <c r="L6" s="86" t="s">
        <v>98</v>
      </c>
      <c r="M6" s="86" t="s">
        <v>99</v>
      </c>
      <c r="N6" s="86" t="n">
        <v>6</v>
      </c>
      <c r="O6" s="86" t="n">
        <f aca="false">excavator</f>
        <v>3071</v>
      </c>
      <c r="P6" s="89" t="n">
        <f aca="false">(N6*O6)</f>
        <v>18426</v>
      </c>
      <c r="Q6" s="90"/>
      <c r="R6" s="90"/>
      <c r="S6" s="90"/>
      <c r="T6" s="90"/>
      <c r="U6" s="92"/>
    </row>
    <row r="7" customFormat="false" ht="15.75" hidden="false" customHeight="false" outlineLevel="0" collapsed="false">
      <c r="A7" s="90"/>
      <c r="B7" s="86" t="s">
        <v>100</v>
      </c>
      <c r="C7" s="86" t="s">
        <v>97</v>
      </c>
      <c r="D7" s="86" t="n">
        <v>3</v>
      </c>
      <c r="E7" s="86" t="n">
        <f aca="false">unskilled</f>
        <v>900</v>
      </c>
      <c r="F7" s="89" t="n">
        <f aca="false">(D7*E7)</f>
        <v>2700</v>
      </c>
      <c r="G7" s="90"/>
      <c r="H7" s="91"/>
      <c r="I7" s="90"/>
      <c r="J7" s="90"/>
      <c r="K7" s="90"/>
      <c r="L7" s="90"/>
      <c r="M7" s="90"/>
      <c r="N7" s="90"/>
      <c r="O7" s="90"/>
      <c r="P7" s="90"/>
      <c r="Q7" s="90"/>
      <c r="R7" s="90"/>
      <c r="S7" s="90"/>
      <c r="T7" s="90"/>
      <c r="U7" s="92"/>
    </row>
    <row r="8" customFormat="false" ht="15.75" hidden="false" customHeight="true" outlineLevel="0" collapsed="false">
      <c r="A8" s="93" t="s">
        <v>101</v>
      </c>
      <c r="B8" s="93"/>
      <c r="C8" s="93"/>
      <c r="D8" s="93"/>
      <c r="E8" s="93"/>
      <c r="F8" s="89" t="n">
        <f aca="false">SUM(F5:F7)</f>
        <v>3900</v>
      </c>
      <c r="G8" s="93" t="s">
        <v>102</v>
      </c>
      <c r="H8" s="93"/>
      <c r="I8" s="93"/>
      <c r="J8" s="93"/>
      <c r="K8" s="89" t="n">
        <f aca="false">SUM(K5:K7)</f>
        <v>0</v>
      </c>
      <c r="L8" s="93" t="s">
        <v>103</v>
      </c>
      <c r="M8" s="93"/>
      <c r="N8" s="93"/>
      <c r="O8" s="93"/>
      <c r="P8" s="89" t="n">
        <f aca="false">SUM(P5:P7)</f>
        <v>18426</v>
      </c>
      <c r="Q8" s="93" t="s">
        <v>104</v>
      </c>
      <c r="R8" s="93"/>
      <c r="S8" s="93"/>
      <c r="T8" s="93"/>
      <c r="U8" s="94" t="n">
        <f aca="false">SUM(U5:U7)</f>
        <v>0</v>
      </c>
    </row>
    <row r="9" customFormat="false" ht="15.75" hidden="false" customHeight="true" outlineLevel="0" collapsed="false">
      <c r="A9" s="93" t="s">
        <v>105</v>
      </c>
      <c r="B9" s="93"/>
      <c r="C9" s="93"/>
      <c r="D9" s="93"/>
      <c r="E9" s="93"/>
      <c r="F9" s="89" t="n">
        <f aca="false">SUM(F8+K8+P8)</f>
        <v>22326</v>
      </c>
      <c r="G9" s="93" t="s">
        <v>106</v>
      </c>
      <c r="H9" s="93"/>
      <c r="I9" s="93"/>
      <c r="J9" s="93"/>
      <c r="K9" s="89" t="n">
        <f aca="false">SUM(F8+K8+P8+U8)</f>
        <v>22326</v>
      </c>
      <c r="L9" s="93" t="s">
        <v>107</v>
      </c>
      <c r="M9" s="93"/>
      <c r="N9" s="93"/>
      <c r="O9" s="93"/>
      <c r="P9" s="89" t="n">
        <f aca="false">SUM(K9*0.15)</f>
        <v>3348.9</v>
      </c>
      <c r="Q9" s="93" t="s">
        <v>108</v>
      </c>
      <c r="R9" s="93"/>
      <c r="S9" s="93"/>
      <c r="T9" s="93"/>
      <c r="U9" s="94" t="n">
        <f aca="false">SUM(K9+P9)</f>
        <v>25674.9</v>
      </c>
    </row>
    <row r="10" customFormat="false" ht="15.75" hidden="false" customHeight="true" outlineLevel="0" collapsed="false">
      <c r="A10" s="90"/>
      <c r="B10" s="90"/>
      <c r="C10" s="90"/>
      <c r="D10" s="90"/>
      <c r="E10" s="90"/>
      <c r="F10" s="90"/>
      <c r="G10" s="90"/>
      <c r="H10" s="91"/>
      <c r="I10" s="90"/>
      <c r="J10" s="90"/>
      <c r="K10" s="90"/>
      <c r="L10" s="90"/>
      <c r="M10" s="90"/>
      <c r="N10" s="90"/>
      <c r="O10" s="90"/>
      <c r="P10" s="90"/>
      <c r="Q10" s="93" t="s">
        <v>109</v>
      </c>
      <c r="R10" s="93"/>
      <c r="S10" s="93"/>
      <c r="T10" s="93"/>
      <c r="U10" s="95" t="n">
        <f aca="false">ROUND((U9/360),2)</f>
        <v>71.32</v>
      </c>
    </row>
    <row r="11" customFormat="false" ht="15.75" hidden="false" customHeight="false" outlineLevel="0" collapsed="false">
      <c r="A11" s="96"/>
      <c r="B11" s="96"/>
      <c r="C11" s="96"/>
      <c r="D11" s="96"/>
      <c r="E11" s="96"/>
      <c r="F11" s="96"/>
      <c r="G11" s="96"/>
      <c r="H11" s="96"/>
      <c r="I11" s="96"/>
      <c r="J11" s="96"/>
      <c r="K11" s="96"/>
      <c r="L11" s="96"/>
      <c r="M11" s="96"/>
      <c r="N11" s="96"/>
      <c r="O11" s="96"/>
      <c r="P11" s="96"/>
      <c r="Q11" s="96"/>
      <c r="R11" s="96"/>
      <c r="S11" s="96"/>
      <c r="T11" s="96"/>
      <c r="U11" s="96"/>
    </row>
    <row r="12" customFormat="false" ht="15" hidden="false" customHeight="true" outlineLevel="0" collapsed="false">
      <c r="A12" s="97" t="s">
        <v>86</v>
      </c>
      <c r="B12" s="97"/>
      <c r="C12" s="98" t="s">
        <v>25</v>
      </c>
      <c r="D12" s="98"/>
      <c r="E12" s="98"/>
      <c r="F12" s="98"/>
      <c r="G12" s="98"/>
      <c r="H12" s="98"/>
      <c r="I12" s="98"/>
      <c r="J12" s="98"/>
      <c r="K12" s="98"/>
      <c r="L12" s="98"/>
      <c r="M12" s="98"/>
      <c r="N12" s="98"/>
      <c r="O12" s="98"/>
      <c r="P12" s="98"/>
      <c r="Q12" s="98"/>
      <c r="R12" s="98"/>
      <c r="S12" s="98"/>
      <c r="T12" s="98"/>
      <c r="U12" s="99" t="s">
        <v>110</v>
      </c>
    </row>
    <row r="13" customFormat="false" ht="15" hidden="false" customHeight="false" outlineLevel="0" collapsed="false">
      <c r="A13" s="97"/>
      <c r="B13" s="97"/>
      <c r="C13" s="98"/>
      <c r="D13" s="98"/>
      <c r="E13" s="98"/>
      <c r="F13" s="98"/>
      <c r="G13" s="98"/>
      <c r="H13" s="98"/>
      <c r="I13" s="98"/>
      <c r="J13" s="98"/>
      <c r="K13" s="98"/>
      <c r="L13" s="98"/>
      <c r="M13" s="98"/>
      <c r="N13" s="98"/>
      <c r="O13" s="98"/>
      <c r="P13" s="98"/>
      <c r="Q13" s="98"/>
      <c r="R13" s="98"/>
      <c r="S13" s="98"/>
      <c r="T13" s="98"/>
      <c r="U13" s="99"/>
    </row>
    <row r="14" customFormat="false" ht="15.75" hidden="false" customHeight="true" outlineLevel="0" collapsed="false">
      <c r="A14" s="100" t="s">
        <v>111</v>
      </c>
      <c r="B14" s="100"/>
      <c r="C14" s="98"/>
      <c r="D14" s="98"/>
      <c r="E14" s="98"/>
      <c r="F14" s="98"/>
      <c r="G14" s="98"/>
      <c r="H14" s="98"/>
      <c r="I14" s="98"/>
      <c r="J14" s="98"/>
      <c r="K14" s="98"/>
      <c r="L14" s="98"/>
      <c r="M14" s="98"/>
      <c r="N14" s="98"/>
      <c r="O14" s="98"/>
      <c r="P14" s="98"/>
      <c r="Q14" s="98"/>
      <c r="R14" s="98"/>
      <c r="S14" s="98"/>
      <c r="T14" s="98"/>
      <c r="U14" s="99"/>
    </row>
    <row r="15" customFormat="false" ht="15.75" hidden="false" customHeight="true" outlineLevel="0" collapsed="false">
      <c r="A15" s="101" t="s">
        <v>89</v>
      </c>
      <c r="B15" s="102" t="s">
        <v>90</v>
      </c>
      <c r="C15" s="102"/>
      <c r="D15" s="102"/>
      <c r="E15" s="102"/>
      <c r="F15" s="102"/>
      <c r="G15" s="102" t="s">
        <v>91</v>
      </c>
      <c r="H15" s="102"/>
      <c r="I15" s="102"/>
      <c r="J15" s="102"/>
      <c r="K15" s="102"/>
      <c r="L15" s="102" t="s">
        <v>92</v>
      </c>
      <c r="M15" s="102"/>
      <c r="N15" s="102"/>
      <c r="O15" s="102"/>
      <c r="P15" s="102"/>
      <c r="Q15" s="102" t="s">
        <v>93</v>
      </c>
      <c r="R15" s="102"/>
      <c r="S15" s="102"/>
      <c r="T15" s="102"/>
      <c r="U15" s="102"/>
    </row>
    <row r="16" customFormat="false" ht="15.75" hidden="false" customHeight="false" outlineLevel="0" collapsed="false">
      <c r="A16" s="101"/>
      <c r="B16" s="103" t="s">
        <v>94</v>
      </c>
      <c r="C16" s="103" t="s">
        <v>16</v>
      </c>
      <c r="D16" s="103" t="s">
        <v>15</v>
      </c>
      <c r="E16" s="103" t="s">
        <v>17</v>
      </c>
      <c r="F16" s="103" t="s">
        <v>18</v>
      </c>
      <c r="G16" s="103" t="s">
        <v>94</v>
      </c>
      <c r="H16" s="104" t="s">
        <v>16</v>
      </c>
      <c r="I16" s="103" t="s">
        <v>15</v>
      </c>
      <c r="J16" s="103" t="s">
        <v>17</v>
      </c>
      <c r="K16" s="103" t="s">
        <v>18</v>
      </c>
      <c r="L16" s="103" t="s">
        <v>94</v>
      </c>
      <c r="M16" s="103" t="s">
        <v>16</v>
      </c>
      <c r="N16" s="103" t="s">
        <v>15</v>
      </c>
      <c r="O16" s="103" t="s">
        <v>17</v>
      </c>
      <c r="P16" s="103" t="s">
        <v>18</v>
      </c>
      <c r="Q16" s="103" t="s">
        <v>94</v>
      </c>
      <c r="R16" s="103" t="s">
        <v>16</v>
      </c>
      <c r="S16" s="103" t="s">
        <v>15</v>
      </c>
      <c r="T16" s="103" t="s">
        <v>17</v>
      </c>
      <c r="U16" s="105" t="s">
        <v>18</v>
      </c>
    </row>
    <row r="17" customFormat="false" ht="15.75" hidden="false" customHeight="false" outlineLevel="0" collapsed="false">
      <c r="A17" s="101" t="s">
        <v>112</v>
      </c>
      <c r="B17" s="103" t="s">
        <v>96</v>
      </c>
      <c r="C17" s="103" t="s">
        <v>97</v>
      </c>
      <c r="D17" s="103" t="n">
        <v>3</v>
      </c>
      <c r="E17" s="103" t="n">
        <f aca="false">skilled</f>
        <v>1200</v>
      </c>
      <c r="F17" s="106" t="n">
        <f aca="false">(D17*E17)</f>
        <v>3600</v>
      </c>
      <c r="G17" s="103" t="s">
        <v>113</v>
      </c>
      <c r="H17" s="104" t="s">
        <v>23</v>
      </c>
      <c r="I17" s="103" t="n">
        <v>6</v>
      </c>
      <c r="J17" s="107" t="n">
        <v>2469.6</v>
      </c>
      <c r="K17" s="103" t="n">
        <f aca="false">(I17*J17)</f>
        <v>14817.6</v>
      </c>
      <c r="L17" s="108"/>
      <c r="M17" s="108"/>
      <c r="N17" s="108"/>
      <c r="O17" s="108"/>
      <c r="P17" s="108"/>
      <c r="Q17" s="108"/>
      <c r="R17" s="108"/>
      <c r="S17" s="108"/>
      <c r="T17" s="108"/>
      <c r="U17" s="109"/>
    </row>
    <row r="18" customFormat="false" ht="15.75" hidden="false" customHeight="false" outlineLevel="0" collapsed="false">
      <c r="A18" s="108"/>
      <c r="B18" s="103" t="s">
        <v>100</v>
      </c>
      <c r="C18" s="103" t="s">
        <v>97</v>
      </c>
      <c r="D18" s="103" t="n">
        <v>4</v>
      </c>
      <c r="E18" s="103" t="n">
        <f aca="false">unskilled</f>
        <v>900</v>
      </c>
      <c r="F18" s="106" t="n">
        <f aca="false">(D18*E18)</f>
        <v>3600</v>
      </c>
      <c r="G18" s="103"/>
      <c r="H18" s="104"/>
      <c r="I18" s="103" t="n">
        <v>0</v>
      </c>
      <c r="J18" s="108"/>
      <c r="K18" s="108"/>
      <c r="L18" s="108"/>
      <c r="M18" s="108"/>
      <c r="N18" s="108"/>
      <c r="O18" s="108"/>
      <c r="P18" s="108"/>
      <c r="Q18" s="108"/>
      <c r="R18" s="108"/>
      <c r="S18" s="108"/>
      <c r="T18" s="108"/>
      <c r="U18" s="109"/>
    </row>
    <row r="19" customFormat="false" ht="15.75" hidden="false" customHeight="true" outlineLevel="0" collapsed="false">
      <c r="A19" s="99" t="s">
        <v>101</v>
      </c>
      <c r="B19" s="99"/>
      <c r="C19" s="99"/>
      <c r="D19" s="99"/>
      <c r="E19" s="99"/>
      <c r="F19" s="106" t="n">
        <f aca="false">SUM(F16:F18)</f>
        <v>7200</v>
      </c>
      <c r="G19" s="99" t="s">
        <v>102</v>
      </c>
      <c r="H19" s="99"/>
      <c r="I19" s="99"/>
      <c r="J19" s="99"/>
      <c r="K19" s="106" t="n">
        <f aca="false">SUM(K16:K18)</f>
        <v>14817.6</v>
      </c>
      <c r="L19" s="99" t="s">
        <v>103</v>
      </c>
      <c r="M19" s="99"/>
      <c r="N19" s="99"/>
      <c r="O19" s="99"/>
      <c r="P19" s="106" t="n">
        <f aca="false">SUM(P16:P18)</f>
        <v>0</v>
      </c>
      <c r="Q19" s="99" t="s">
        <v>104</v>
      </c>
      <c r="R19" s="99"/>
      <c r="S19" s="99"/>
      <c r="T19" s="99"/>
      <c r="U19" s="110" t="n">
        <f aca="false">SUM(U16:U18)</f>
        <v>0</v>
      </c>
    </row>
    <row r="20" customFormat="false" ht="15.75" hidden="false" customHeight="true" outlineLevel="0" collapsed="false">
      <c r="A20" s="99" t="s">
        <v>105</v>
      </c>
      <c r="B20" s="99"/>
      <c r="C20" s="99"/>
      <c r="D20" s="99"/>
      <c r="E20" s="99"/>
      <c r="F20" s="106" t="n">
        <f aca="false">SUM(F19+K19+P19)</f>
        <v>22017.6</v>
      </c>
      <c r="G20" s="99" t="s">
        <v>106</v>
      </c>
      <c r="H20" s="99"/>
      <c r="I20" s="99"/>
      <c r="J20" s="99"/>
      <c r="K20" s="106" t="n">
        <f aca="false">SUM(F19+K19+P19+U19)</f>
        <v>22017.6</v>
      </c>
      <c r="L20" s="99" t="s">
        <v>107</v>
      </c>
      <c r="M20" s="99"/>
      <c r="N20" s="99"/>
      <c r="O20" s="99"/>
      <c r="P20" s="106" t="n">
        <f aca="false">SUM(K20*0.15)</f>
        <v>3302.64</v>
      </c>
      <c r="Q20" s="99" t="s">
        <v>108</v>
      </c>
      <c r="R20" s="99"/>
      <c r="S20" s="99"/>
      <c r="T20" s="99"/>
      <c r="U20" s="110" t="n">
        <f aca="false">SUM(K20+P20)</f>
        <v>25320.24</v>
      </c>
    </row>
    <row r="21" customFormat="false" ht="15.75" hidden="false" customHeight="true" outlineLevel="0" collapsed="false">
      <c r="A21" s="108"/>
      <c r="B21" s="108"/>
      <c r="C21" s="108"/>
      <c r="D21" s="108"/>
      <c r="E21" s="108"/>
      <c r="F21" s="108"/>
      <c r="G21" s="108"/>
      <c r="H21" s="111"/>
      <c r="I21" s="108"/>
      <c r="J21" s="108"/>
      <c r="K21" s="108"/>
      <c r="L21" s="108"/>
      <c r="M21" s="108"/>
      <c r="N21" s="108"/>
      <c r="O21" s="108"/>
      <c r="P21" s="108"/>
      <c r="Q21" s="99" t="s">
        <v>109</v>
      </c>
      <c r="R21" s="99"/>
      <c r="S21" s="99"/>
      <c r="T21" s="99"/>
      <c r="U21" s="112" t="n">
        <f aca="false">ROUND((U20/5),2)</f>
        <v>5064.05</v>
      </c>
    </row>
    <row r="22" customFormat="false" ht="15.75" hidden="false" customHeight="false" outlineLevel="0" collapsed="false">
      <c r="A22" s="108"/>
      <c r="B22" s="108"/>
      <c r="C22" s="108"/>
      <c r="D22" s="108"/>
      <c r="E22" s="108"/>
      <c r="F22" s="108"/>
      <c r="G22" s="108"/>
      <c r="H22" s="111"/>
      <c r="I22" s="108"/>
      <c r="J22" s="108"/>
      <c r="K22" s="108"/>
      <c r="L22" s="108"/>
      <c r="M22" s="108"/>
      <c r="N22" s="108"/>
      <c r="O22" s="108"/>
      <c r="P22" s="108"/>
      <c r="Q22" s="113"/>
      <c r="R22" s="114"/>
      <c r="S22" s="114"/>
      <c r="T22" s="115"/>
      <c r="U22" s="112"/>
    </row>
    <row r="24" customFormat="false" ht="15" hidden="false" customHeight="true" outlineLevel="0" collapsed="false">
      <c r="A24" s="80" t="s">
        <v>86</v>
      </c>
      <c r="B24" s="80"/>
      <c r="C24" s="81" t="s">
        <v>26</v>
      </c>
      <c r="D24" s="81"/>
      <c r="E24" s="81"/>
      <c r="F24" s="81"/>
      <c r="G24" s="81"/>
      <c r="H24" s="81"/>
      <c r="I24" s="81"/>
      <c r="J24" s="81"/>
      <c r="K24" s="81"/>
      <c r="L24" s="81"/>
      <c r="M24" s="81"/>
      <c r="N24" s="81"/>
      <c r="O24" s="81"/>
      <c r="P24" s="81"/>
      <c r="Q24" s="81"/>
      <c r="R24" s="81"/>
      <c r="S24" s="81"/>
      <c r="T24" s="81"/>
      <c r="U24" s="82" t="s">
        <v>114</v>
      </c>
    </row>
    <row r="25" customFormat="false" ht="15" hidden="false" customHeight="false" outlineLevel="0" collapsed="false">
      <c r="A25" s="80"/>
      <c r="B25" s="80"/>
      <c r="C25" s="81"/>
      <c r="D25" s="81"/>
      <c r="E25" s="81"/>
      <c r="F25" s="81"/>
      <c r="G25" s="81"/>
      <c r="H25" s="81"/>
      <c r="I25" s="81"/>
      <c r="J25" s="81"/>
      <c r="K25" s="81"/>
      <c r="L25" s="81"/>
      <c r="M25" s="81"/>
      <c r="N25" s="81"/>
      <c r="O25" s="81"/>
      <c r="P25" s="81"/>
      <c r="Q25" s="81"/>
      <c r="R25" s="81"/>
      <c r="S25" s="81"/>
      <c r="T25" s="81"/>
      <c r="U25" s="82"/>
    </row>
    <row r="26" customFormat="false" ht="15.75" hidden="false" customHeight="true" outlineLevel="0" collapsed="false">
      <c r="A26" s="83" t="s">
        <v>115</v>
      </c>
      <c r="B26" s="83"/>
      <c r="C26" s="81"/>
      <c r="D26" s="81"/>
      <c r="E26" s="81"/>
      <c r="F26" s="81"/>
      <c r="G26" s="81"/>
      <c r="H26" s="81"/>
      <c r="I26" s="81"/>
      <c r="J26" s="81"/>
      <c r="K26" s="81"/>
      <c r="L26" s="81"/>
      <c r="M26" s="81"/>
      <c r="N26" s="81"/>
      <c r="O26" s="81"/>
      <c r="P26" s="81"/>
      <c r="Q26" s="81"/>
      <c r="R26" s="81"/>
      <c r="S26" s="81"/>
      <c r="T26" s="81"/>
      <c r="U26" s="82"/>
    </row>
    <row r="27" customFormat="false" ht="15.75" hidden="false" customHeight="true" outlineLevel="0" collapsed="false">
      <c r="A27" s="116" t="s">
        <v>89</v>
      </c>
      <c r="B27" s="117" t="s">
        <v>90</v>
      </c>
      <c r="C27" s="117"/>
      <c r="D27" s="117"/>
      <c r="E27" s="117"/>
      <c r="F27" s="117"/>
      <c r="G27" s="117" t="s">
        <v>91</v>
      </c>
      <c r="H27" s="117"/>
      <c r="I27" s="117"/>
      <c r="J27" s="117"/>
      <c r="K27" s="117"/>
      <c r="L27" s="117" t="s">
        <v>92</v>
      </c>
      <c r="M27" s="117"/>
      <c r="N27" s="117"/>
      <c r="O27" s="117"/>
      <c r="P27" s="117"/>
      <c r="Q27" s="117" t="s">
        <v>93</v>
      </c>
      <c r="R27" s="117"/>
      <c r="S27" s="117"/>
      <c r="T27" s="117"/>
      <c r="U27" s="117"/>
    </row>
    <row r="28" customFormat="false" ht="15.75" hidden="false" customHeight="false" outlineLevel="0" collapsed="false">
      <c r="A28" s="116"/>
      <c r="B28" s="118" t="s">
        <v>94</v>
      </c>
      <c r="C28" s="118" t="s">
        <v>16</v>
      </c>
      <c r="D28" s="118" t="s">
        <v>15</v>
      </c>
      <c r="E28" s="118" t="s">
        <v>17</v>
      </c>
      <c r="F28" s="118" t="s">
        <v>18</v>
      </c>
      <c r="G28" s="118" t="s">
        <v>94</v>
      </c>
      <c r="H28" s="119" t="s">
        <v>16</v>
      </c>
      <c r="I28" s="118" t="s">
        <v>15</v>
      </c>
      <c r="J28" s="118" t="s">
        <v>17</v>
      </c>
      <c r="K28" s="118" t="s">
        <v>18</v>
      </c>
      <c r="L28" s="118" t="s">
        <v>94</v>
      </c>
      <c r="M28" s="118" t="s">
        <v>16</v>
      </c>
      <c r="N28" s="118" t="s">
        <v>15</v>
      </c>
      <c r="O28" s="118" t="s">
        <v>17</v>
      </c>
      <c r="P28" s="118" t="s">
        <v>18</v>
      </c>
      <c r="Q28" s="118" t="s">
        <v>94</v>
      </c>
      <c r="R28" s="118" t="s">
        <v>16</v>
      </c>
      <c r="S28" s="118" t="s">
        <v>15</v>
      </c>
      <c r="T28" s="118" t="s">
        <v>17</v>
      </c>
      <c r="U28" s="120" t="s">
        <v>18</v>
      </c>
    </row>
    <row r="29" customFormat="false" ht="173.25" hidden="false" customHeight="false" outlineLevel="0" collapsed="false">
      <c r="A29" s="116" t="s">
        <v>116</v>
      </c>
      <c r="B29" s="118" t="s">
        <v>96</v>
      </c>
      <c r="C29" s="118" t="s">
        <v>97</v>
      </c>
      <c r="D29" s="118" t="n">
        <v>3</v>
      </c>
      <c r="E29" s="118" t="n">
        <f aca="false">skilled</f>
        <v>1200</v>
      </c>
      <c r="F29" s="121" t="n">
        <f aca="false">(D29*E29)</f>
        <v>3600</v>
      </c>
      <c r="G29" s="118" t="s">
        <v>39</v>
      </c>
      <c r="H29" s="119" t="s">
        <v>43</v>
      </c>
      <c r="I29" s="118" t="n">
        <v>4.13</v>
      </c>
      <c r="J29" s="118" t="n">
        <f aca="false">adopted_rate_cement</f>
        <v>14231</v>
      </c>
      <c r="K29" s="118" t="n">
        <f aca="false">(I29*J29)</f>
        <v>58774.03</v>
      </c>
      <c r="L29" s="118" t="s">
        <v>117</v>
      </c>
      <c r="M29" s="118" t="s">
        <v>99</v>
      </c>
      <c r="N29" s="118" t="n">
        <v>6</v>
      </c>
      <c r="O29" s="118" t="n">
        <f aca="false">concrete_mixer</f>
        <v>293</v>
      </c>
      <c r="P29" s="121" t="n">
        <f aca="false">(N29*O29)</f>
        <v>1758</v>
      </c>
      <c r="Q29" s="118" t="s">
        <v>118</v>
      </c>
      <c r="R29" s="118"/>
      <c r="S29" s="122"/>
      <c r="T29" s="122"/>
      <c r="U29" s="123" t="n">
        <f aca="false">F36*4/100</f>
        <v>6419.06664</v>
      </c>
    </row>
    <row r="30" customFormat="false" ht="31.5" hidden="false" customHeight="false" outlineLevel="0" collapsed="false">
      <c r="A30" s="122"/>
      <c r="B30" s="118" t="s">
        <v>100</v>
      </c>
      <c r="C30" s="118" t="s">
        <v>97</v>
      </c>
      <c r="D30" s="118" t="n">
        <v>30</v>
      </c>
      <c r="E30" s="118" t="n">
        <f aca="false">unskilled</f>
        <v>900</v>
      </c>
      <c r="F30" s="121" t="n">
        <f aca="false">(D30*E30)</f>
        <v>27000</v>
      </c>
      <c r="G30" s="118" t="s">
        <v>119</v>
      </c>
      <c r="H30" s="119" t="s">
        <v>23</v>
      </c>
      <c r="I30" s="118" t="n">
        <v>6.75</v>
      </c>
      <c r="J30" s="118" t="n">
        <f aca="false">adopted_rate_sand</f>
        <v>2504.88</v>
      </c>
      <c r="K30" s="118" t="n">
        <f aca="false">(I30*J30)</f>
        <v>16907.94</v>
      </c>
      <c r="L30" s="118" t="s">
        <v>120</v>
      </c>
      <c r="M30" s="118" t="s">
        <v>99</v>
      </c>
      <c r="N30" s="118" t="n">
        <v>6</v>
      </c>
      <c r="O30" s="118" t="n">
        <f aca="false">generator</f>
        <v>841</v>
      </c>
      <c r="P30" s="121" t="n">
        <f aca="false">(N30*O30)</f>
        <v>5046</v>
      </c>
      <c r="Q30" s="122"/>
      <c r="R30" s="122"/>
      <c r="S30" s="122"/>
      <c r="T30" s="122"/>
      <c r="U30" s="124"/>
    </row>
    <row r="31" customFormat="false" ht="31.5" hidden="false" customHeight="false" outlineLevel="0" collapsed="false">
      <c r="A31" s="122"/>
      <c r="B31" s="122"/>
      <c r="C31" s="122"/>
      <c r="D31" s="122"/>
      <c r="E31" s="122"/>
      <c r="F31" s="122"/>
      <c r="G31" s="118" t="s">
        <v>121</v>
      </c>
      <c r="H31" s="119" t="s">
        <v>23</v>
      </c>
      <c r="I31" s="118" t="n">
        <v>8.1</v>
      </c>
      <c r="J31" s="118" t="n">
        <f aca="false">adopted_rate_aggregate_20_40_mm</f>
        <v>3457.44</v>
      </c>
      <c r="K31" s="118" t="n">
        <f aca="false">(I31*J31)</f>
        <v>28005.264</v>
      </c>
      <c r="L31" s="122"/>
      <c r="M31" s="122"/>
      <c r="N31" s="122"/>
      <c r="O31" s="122"/>
      <c r="P31" s="122"/>
      <c r="Q31" s="122"/>
      <c r="R31" s="122"/>
      <c r="S31" s="122"/>
      <c r="T31" s="122"/>
      <c r="U31" s="124"/>
    </row>
    <row r="32" customFormat="false" ht="31.5" hidden="false" customHeight="false" outlineLevel="0" collapsed="false">
      <c r="A32" s="122"/>
      <c r="B32" s="122"/>
      <c r="C32" s="122"/>
      <c r="D32" s="122"/>
      <c r="E32" s="122"/>
      <c r="F32" s="122"/>
      <c r="G32" s="118" t="s">
        <v>122</v>
      </c>
      <c r="H32" s="119" t="s">
        <v>23</v>
      </c>
      <c r="I32" s="118" t="n">
        <v>4.05</v>
      </c>
      <c r="J32" s="118" t="n">
        <f aca="false">adopted_rate_aggregate_10_20_mm</f>
        <v>3598.56</v>
      </c>
      <c r="K32" s="118" t="n">
        <f aca="false">(I32*J32)</f>
        <v>14574.168</v>
      </c>
      <c r="L32" s="122"/>
      <c r="M32" s="122"/>
      <c r="N32" s="122"/>
      <c r="O32" s="122"/>
      <c r="P32" s="122"/>
      <c r="Q32" s="122"/>
      <c r="R32" s="122"/>
      <c r="S32" s="122"/>
      <c r="T32" s="122"/>
      <c r="U32" s="124"/>
    </row>
    <row r="33" customFormat="false" ht="31.5" hidden="false" customHeight="false" outlineLevel="0" collapsed="false">
      <c r="A33" s="122"/>
      <c r="B33" s="122"/>
      <c r="C33" s="122"/>
      <c r="D33" s="122"/>
      <c r="E33" s="122"/>
      <c r="F33" s="122"/>
      <c r="G33" s="118" t="s">
        <v>123</v>
      </c>
      <c r="H33" s="119" t="s">
        <v>23</v>
      </c>
      <c r="I33" s="118" t="n">
        <v>1.35</v>
      </c>
      <c r="J33" s="118" t="n">
        <f aca="false">adopted_rate_aggregate_10_mm</f>
        <v>3104.64</v>
      </c>
      <c r="K33" s="118" t="n">
        <f aca="false">(I33*J33)</f>
        <v>4191.264</v>
      </c>
      <c r="L33" s="122"/>
      <c r="M33" s="122"/>
      <c r="N33" s="122"/>
      <c r="O33" s="122"/>
      <c r="P33" s="122"/>
      <c r="Q33" s="122"/>
      <c r="R33" s="122"/>
      <c r="S33" s="122"/>
      <c r="T33" s="122"/>
      <c r="U33" s="124"/>
    </row>
    <row r="34" customFormat="false" ht="15.75" hidden="false" customHeight="false" outlineLevel="0" collapsed="false">
      <c r="A34" s="122"/>
      <c r="B34" s="122"/>
      <c r="C34" s="122"/>
      <c r="D34" s="122"/>
      <c r="E34" s="122"/>
      <c r="F34" s="122"/>
      <c r="G34" s="118" t="s">
        <v>124</v>
      </c>
      <c r="H34" s="119" t="s">
        <v>125</v>
      </c>
      <c r="I34" s="118" t="n">
        <v>2</v>
      </c>
      <c r="J34" s="118" t="n">
        <f aca="false">adopted_rate_water</f>
        <v>310</v>
      </c>
      <c r="K34" s="118" t="n">
        <f aca="false">(I34*J34)</f>
        <v>620</v>
      </c>
      <c r="L34" s="122"/>
      <c r="M34" s="122"/>
      <c r="N34" s="122"/>
      <c r="O34" s="122"/>
      <c r="P34" s="122"/>
      <c r="Q34" s="122"/>
      <c r="R34" s="122"/>
      <c r="S34" s="122"/>
      <c r="T34" s="122"/>
      <c r="U34" s="124"/>
    </row>
    <row r="35" customFormat="false" ht="15.75" hidden="false" customHeight="true" outlineLevel="0" collapsed="false">
      <c r="A35" s="125" t="s">
        <v>101</v>
      </c>
      <c r="B35" s="125"/>
      <c r="C35" s="125"/>
      <c r="D35" s="125"/>
      <c r="E35" s="125"/>
      <c r="F35" s="121" t="n">
        <f aca="false">SUM(F28:F34)</f>
        <v>30600</v>
      </c>
      <c r="G35" s="125" t="s">
        <v>102</v>
      </c>
      <c r="H35" s="125"/>
      <c r="I35" s="125"/>
      <c r="J35" s="125"/>
      <c r="K35" s="121" t="n">
        <f aca="false">SUM(K28:K34)</f>
        <v>123072.666</v>
      </c>
      <c r="L35" s="125" t="s">
        <v>103</v>
      </c>
      <c r="M35" s="125"/>
      <c r="N35" s="125"/>
      <c r="O35" s="125"/>
      <c r="P35" s="121" t="n">
        <f aca="false">SUM(P28:P34)</f>
        <v>6804</v>
      </c>
      <c r="Q35" s="125" t="s">
        <v>104</v>
      </c>
      <c r="R35" s="125"/>
      <c r="S35" s="125"/>
      <c r="T35" s="125"/>
      <c r="U35" s="123" t="n">
        <f aca="false">SUM(U28:U34)</f>
        <v>6419.06664</v>
      </c>
    </row>
    <row r="36" customFormat="false" ht="15.75" hidden="false" customHeight="true" outlineLevel="0" collapsed="false">
      <c r="A36" s="125" t="s">
        <v>105</v>
      </c>
      <c r="B36" s="125"/>
      <c r="C36" s="125"/>
      <c r="D36" s="125"/>
      <c r="E36" s="125"/>
      <c r="F36" s="121" t="n">
        <f aca="false">SUM(F35+K35+P35)</f>
        <v>160476.666</v>
      </c>
      <c r="G36" s="125" t="s">
        <v>106</v>
      </c>
      <c r="H36" s="125"/>
      <c r="I36" s="125"/>
      <c r="J36" s="125"/>
      <c r="K36" s="121" t="n">
        <f aca="false">SUM(F35+K35+P35+U35)</f>
        <v>166895.73264</v>
      </c>
      <c r="L36" s="125" t="s">
        <v>107</v>
      </c>
      <c r="M36" s="125"/>
      <c r="N36" s="125"/>
      <c r="O36" s="125"/>
      <c r="P36" s="121" t="n">
        <f aca="false">SUM(K36*0.15)</f>
        <v>25034.359896</v>
      </c>
      <c r="Q36" s="125" t="s">
        <v>108</v>
      </c>
      <c r="R36" s="125"/>
      <c r="S36" s="125"/>
      <c r="T36" s="125"/>
      <c r="U36" s="123" t="n">
        <f aca="false">SUM(K36+P36)</f>
        <v>191930.092536</v>
      </c>
    </row>
    <row r="37" customFormat="false" ht="15.75" hidden="false" customHeight="true" outlineLevel="0" collapsed="false">
      <c r="A37" s="122"/>
      <c r="B37" s="122"/>
      <c r="C37" s="122"/>
      <c r="D37" s="122"/>
      <c r="E37" s="122"/>
      <c r="F37" s="122"/>
      <c r="G37" s="122"/>
      <c r="H37" s="126"/>
      <c r="I37" s="122"/>
      <c r="J37" s="122"/>
      <c r="K37" s="122"/>
      <c r="L37" s="122"/>
      <c r="M37" s="122"/>
      <c r="N37" s="122"/>
      <c r="O37" s="122"/>
      <c r="P37" s="122"/>
      <c r="Q37" s="125" t="s">
        <v>109</v>
      </c>
      <c r="R37" s="125"/>
      <c r="S37" s="125"/>
      <c r="T37" s="125"/>
      <c r="U37" s="95" t="n">
        <f aca="false">ROUND((U36/15),2)</f>
        <v>12795.34</v>
      </c>
    </row>
    <row r="38" customFormat="false" ht="15.75" hidden="false" customHeight="false" outlineLevel="0" collapsed="false">
      <c r="A38" s="127"/>
      <c r="B38" s="127"/>
      <c r="C38" s="127"/>
      <c r="D38" s="127"/>
      <c r="E38" s="127"/>
      <c r="F38" s="127"/>
      <c r="G38" s="127"/>
      <c r="H38" s="127"/>
      <c r="I38" s="127"/>
      <c r="J38" s="127"/>
      <c r="K38" s="127"/>
      <c r="L38" s="127"/>
      <c r="M38" s="127"/>
      <c r="N38" s="127"/>
      <c r="O38" s="127"/>
      <c r="P38" s="127"/>
      <c r="Q38" s="127"/>
      <c r="R38" s="127"/>
      <c r="S38" s="127"/>
      <c r="T38" s="127"/>
      <c r="U38" s="127"/>
    </row>
    <row r="40" customFormat="false" ht="15" hidden="false" customHeight="true" outlineLevel="0" collapsed="false">
      <c r="A40" s="80" t="s">
        <v>86</v>
      </c>
      <c r="B40" s="80"/>
      <c r="C40" s="81" t="s">
        <v>81</v>
      </c>
      <c r="D40" s="81"/>
      <c r="E40" s="81"/>
      <c r="F40" s="81"/>
      <c r="G40" s="81"/>
      <c r="H40" s="81"/>
      <c r="I40" s="81"/>
      <c r="J40" s="81"/>
      <c r="K40" s="81"/>
      <c r="L40" s="81"/>
      <c r="M40" s="81"/>
      <c r="N40" s="81"/>
      <c r="O40" s="81"/>
      <c r="P40" s="81"/>
      <c r="Q40" s="81"/>
      <c r="R40" s="81"/>
      <c r="S40" s="81"/>
      <c r="T40" s="81"/>
      <c r="U40" s="82" t="s">
        <v>114</v>
      </c>
    </row>
    <row r="41" customFormat="false" ht="15" hidden="false" customHeight="false" outlineLevel="0" collapsed="false">
      <c r="A41" s="80"/>
      <c r="B41" s="80"/>
      <c r="C41" s="81"/>
      <c r="D41" s="81"/>
      <c r="E41" s="81"/>
      <c r="F41" s="81"/>
      <c r="G41" s="81"/>
      <c r="H41" s="81"/>
      <c r="I41" s="81"/>
      <c r="J41" s="81"/>
      <c r="K41" s="81"/>
      <c r="L41" s="81"/>
      <c r="M41" s="81"/>
      <c r="N41" s="81"/>
      <c r="O41" s="81"/>
      <c r="P41" s="81"/>
      <c r="Q41" s="81"/>
      <c r="R41" s="81"/>
      <c r="S41" s="81"/>
      <c r="T41" s="81"/>
      <c r="U41" s="82"/>
    </row>
    <row r="42" customFormat="false" ht="15.75" hidden="false" customHeight="true" outlineLevel="0" collapsed="false">
      <c r="A42" s="83" t="s">
        <v>115</v>
      </c>
      <c r="B42" s="83"/>
      <c r="C42" s="81"/>
      <c r="D42" s="81"/>
      <c r="E42" s="81"/>
      <c r="F42" s="81"/>
      <c r="G42" s="81"/>
      <c r="H42" s="81"/>
      <c r="I42" s="81"/>
      <c r="J42" s="81"/>
      <c r="K42" s="81"/>
      <c r="L42" s="81"/>
      <c r="M42" s="81"/>
      <c r="N42" s="81"/>
      <c r="O42" s="81"/>
      <c r="P42" s="81"/>
      <c r="Q42" s="81"/>
      <c r="R42" s="81"/>
      <c r="S42" s="81"/>
      <c r="T42" s="81"/>
      <c r="U42" s="82"/>
    </row>
    <row r="43" customFormat="false" ht="15.75" hidden="false" customHeight="true" outlineLevel="0" collapsed="false">
      <c r="A43" s="116" t="s">
        <v>89</v>
      </c>
      <c r="B43" s="117" t="s">
        <v>90</v>
      </c>
      <c r="C43" s="117"/>
      <c r="D43" s="117"/>
      <c r="E43" s="117"/>
      <c r="F43" s="117"/>
      <c r="G43" s="117" t="s">
        <v>91</v>
      </c>
      <c r="H43" s="117"/>
      <c r="I43" s="117"/>
      <c r="J43" s="117"/>
      <c r="K43" s="117"/>
      <c r="L43" s="117" t="s">
        <v>92</v>
      </c>
      <c r="M43" s="117"/>
      <c r="N43" s="117"/>
      <c r="O43" s="117"/>
      <c r="P43" s="117"/>
      <c r="Q43" s="117" t="s">
        <v>93</v>
      </c>
      <c r="R43" s="117"/>
      <c r="S43" s="117"/>
      <c r="T43" s="117"/>
      <c r="U43" s="117"/>
    </row>
    <row r="44" customFormat="false" ht="15.75" hidden="false" customHeight="false" outlineLevel="0" collapsed="false">
      <c r="A44" s="116"/>
      <c r="B44" s="118" t="s">
        <v>94</v>
      </c>
      <c r="C44" s="118" t="s">
        <v>16</v>
      </c>
      <c r="D44" s="118" t="s">
        <v>15</v>
      </c>
      <c r="E44" s="118" t="s">
        <v>17</v>
      </c>
      <c r="F44" s="118" t="s">
        <v>18</v>
      </c>
      <c r="G44" s="118" t="s">
        <v>94</v>
      </c>
      <c r="H44" s="119" t="s">
        <v>16</v>
      </c>
      <c r="I44" s="118" t="s">
        <v>15</v>
      </c>
      <c r="J44" s="118" t="s">
        <v>17</v>
      </c>
      <c r="K44" s="118" t="s">
        <v>18</v>
      </c>
      <c r="L44" s="118" t="s">
        <v>94</v>
      </c>
      <c r="M44" s="118" t="s">
        <v>16</v>
      </c>
      <c r="N44" s="118" t="s">
        <v>15</v>
      </c>
      <c r="O44" s="118" t="s">
        <v>17</v>
      </c>
      <c r="P44" s="118" t="s">
        <v>18</v>
      </c>
      <c r="Q44" s="118" t="s">
        <v>94</v>
      </c>
      <c r="R44" s="118" t="s">
        <v>16</v>
      </c>
      <c r="S44" s="118" t="s">
        <v>15</v>
      </c>
      <c r="T44" s="118" t="s">
        <v>17</v>
      </c>
      <c r="U44" s="120" t="s">
        <v>18</v>
      </c>
    </row>
    <row r="45" customFormat="false" ht="47.25" hidden="false" customHeight="false" outlineLevel="0" collapsed="false">
      <c r="A45" s="116" t="s">
        <v>126</v>
      </c>
      <c r="B45" s="118" t="s">
        <v>96</v>
      </c>
      <c r="C45" s="118" t="s">
        <v>97</v>
      </c>
      <c r="D45" s="118" t="n">
        <v>3</v>
      </c>
      <c r="E45" s="118" t="n">
        <f aca="false">skilled</f>
        <v>1200</v>
      </c>
      <c r="F45" s="121" t="n">
        <f aca="false">(D45*E45)</f>
        <v>3600</v>
      </c>
      <c r="G45" s="118" t="s">
        <v>39</v>
      </c>
      <c r="H45" s="119" t="s">
        <v>43</v>
      </c>
      <c r="I45" s="118" t="n">
        <v>5.21</v>
      </c>
      <c r="J45" s="118" t="n">
        <f aca="false">adopted_rate_cement</f>
        <v>14231</v>
      </c>
      <c r="K45" s="118" t="n">
        <f aca="false">(I45*J45)</f>
        <v>74143.51</v>
      </c>
      <c r="L45" s="118" t="s">
        <v>117</v>
      </c>
      <c r="M45" s="118" t="s">
        <v>99</v>
      </c>
      <c r="N45" s="118" t="n">
        <v>6</v>
      </c>
      <c r="O45" s="118" t="n">
        <f aca="false">concrete_mixer</f>
        <v>293</v>
      </c>
      <c r="P45" s="121" t="n">
        <f aca="false">(N45*O45)</f>
        <v>1758</v>
      </c>
      <c r="Q45" s="118" t="s">
        <v>127</v>
      </c>
      <c r="R45" s="118"/>
      <c r="S45" s="122"/>
      <c r="T45" s="122"/>
      <c r="U45" s="123" t="n">
        <f aca="false">F51*4/100</f>
        <v>7005.75368</v>
      </c>
    </row>
    <row r="46" customFormat="false" ht="31.5" hidden="false" customHeight="false" outlineLevel="0" collapsed="false">
      <c r="A46" s="122"/>
      <c r="B46" s="118" t="s">
        <v>100</v>
      </c>
      <c r="C46" s="118" t="s">
        <v>97</v>
      </c>
      <c r="D46" s="118" t="n">
        <v>30</v>
      </c>
      <c r="E46" s="118" t="n">
        <f aca="false">unskilled</f>
        <v>900</v>
      </c>
      <c r="F46" s="121" t="n">
        <f aca="false">(D46*E46)</f>
        <v>27000</v>
      </c>
      <c r="G46" s="118" t="s">
        <v>119</v>
      </c>
      <c r="H46" s="119" t="s">
        <v>23</v>
      </c>
      <c r="I46" s="118" t="n">
        <v>6.75</v>
      </c>
      <c r="J46" s="118" t="n">
        <f aca="false">adopted_rate_sand</f>
        <v>2504.88</v>
      </c>
      <c r="K46" s="118" t="n">
        <f aca="false">(I46*J46)</f>
        <v>16907.94</v>
      </c>
      <c r="L46" s="118" t="s">
        <v>120</v>
      </c>
      <c r="M46" s="118" t="s">
        <v>99</v>
      </c>
      <c r="N46" s="118" t="n">
        <v>6</v>
      </c>
      <c r="O46" s="118" t="n">
        <f aca="false">generator</f>
        <v>841</v>
      </c>
      <c r="P46" s="121" t="n">
        <f aca="false">(N46*O46)</f>
        <v>5046</v>
      </c>
      <c r="Q46" s="122"/>
      <c r="R46" s="122"/>
      <c r="S46" s="122"/>
      <c r="T46" s="122"/>
      <c r="U46" s="124"/>
    </row>
    <row r="47" customFormat="false" ht="31.5" hidden="false" customHeight="false" outlineLevel="0" collapsed="false">
      <c r="A47" s="122"/>
      <c r="B47" s="122"/>
      <c r="C47" s="122"/>
      <c r="D47" s="122"/>
      <c r="E47" s="122"/>
      <c r="F47" s="122"/>
      <c r="G47" s="118" t="s">
        <v>122</v>
      </c>
      <c r="H47" s="119" t="s">
        <v>23</v>
      </c>
      <c r="I47" s="118" t="n">
        <v>8.1</v>
      </c>
      <c r="J47" s="118" t="n">
        <f aca="false">adopted_rate_aggregate_10_20_mm</f>
        <v>3598.56</v>
      </c>
      <c r="K47" s="118" t="n">
        <f aca="false">(I47*J47)</f>
        <v>29148.336</v>
      </c>
      <c r="L47" s="122"/>
      <c r="M47" s="122"/>
      <c r="N47" s="122"/>
      <c r="O47" s="122"/>
      <c r="P47" s="122"/>
      <c r="Q47" s="122"/>
      <c r="R47" s="122"/>
      <c r="S47" s="122"/>
      <c r="T47" s="122"/>
      <c r="U47" s="124"/>
    </row>
    <row r="48" customFormat="false" ht="31.5" hidden="false" customHeight="false" outlineLevel="0" collapsed="false">
      <c r="A48" s="122"/>
      <c r="B48" s="122"/>
      <c r="C48" s="122"/>
      <c r="D48" s="122"/>
      <c r="E48" s="122"/>
      <c r="F48" s="122"/>
      <c r="G48" s="118" t="s">
        <v>123</v>
      </c>
      <c r="H48" s="119" t="s">
        <v>23</v>
      </c>
      <c r="I48" s="118" t="n">
        <v>5.4</v>
      </c>
      <c r="J48" s="118" t="n">
        <f aca="false">adopted_rate_aggregate_10_mm</f>
        <v>3104.64</v>
      </c>
      <c r="K48" s="118" t="n">
        <f aca="false">(I48*J48)</f>
        <v>16765.056</v>
      </c>
      <c r="L48" s="122"/>
      <c r="M48" s="122"/>
      <c r="N48" s="122"/>
      <c r="O48" s="122"/>
      <c r="P48" s="122"/>
      <c r="Q48" s="122"/>
      <c r="R48" s="122"/>
      <c r="S48" s="122"/>
      <c r="T48" s="122"/>
      <c r="U48" s="124"/>
    </row>
    <row r="49" customFormat="false" ht="15.75" hidden="false" customHeight="false" outlineLevel="0" collapsed="false">
      <c r="A49" s="122"/>
      <c r="B49" s="122"/>
      <c r="C49" s="122"/>
      <c r="D49" s="122"/>
      <c r="E49" s="122"/>
      <c r="F49" s="122"/>
      <c r="G49" s="118" t="s">
        <v>124</v>
      </c>
      <c r="H49" s="119" t="s">
        <v>125</v>
      </c>
      <c r="I49" s="118" t="n">
        <v>2.5</v>
      </c>
      <c r="J49" s="118" t="n">
        <f aca="false">adopted_rate_water</f>
        <v>310</v>
      </c>
      <c r="K49" s="118" t="n">
        <f aca="false">(I49*J49)</f>
        <v>775</v>
      </c>
      <c r="L49" s="122"/>
      <c r="M49" s="122"/>
      <c r="N49" s="122"/>
      <c r="O49" s="122"/>
      <c r="P49" s="122"/>
      <c r="Q49" s="122"/>
      <c r="R49" s="122"/>
      <c r="S49" s="122"/>
      <c r="T49" s="122"/>
      <c r="U49" s="124"/>
    </row>
    <row r="50" customFormat="false" ht="15.75" hidden="false" customHeight="true" outlineLevel="0" collapsed="false">
      <c r="A50" s="125" t="s">
        <v>101</v>
      </c>
      <c r="B50" s="125"/>
      <c r="C50" s="125"/>
      <c r="D50" s="125"/>
      <c r="E50" s="125"/>
      <c r="F50" s="121" t="n">
        <f aca="false">SUM(F44:F49)</f>
        <v>30600</v>
      </c>
      <c r="G50" s="125" t="s">
        <v>102</v>
      </c>
      <c r="H50" s="125"/>
      <c r="I50" s="125"/>
      <c r="J50" s="125"/>
      <c r="K50" s="121" t="n">
        <f aca="false">SUM(K44:K49)</f>
        <v>137739.842</v>
      </c>
      <c r="L50" s="125" t="s">
        <v>103</v>
      </c>
      <c r="M50" s="125"/>
      <c r="N50" s="125"/>
      <c r="O50" s="125"/>
      <c r="P50" s="121" t="n">
        <f aca="false">SUM(P44:P49)</f>
        <v>6804</v>
      </c>
      <c r="Q50" s="125" t="s">
        <v>104</v>
      </c>
      <c r="R50" s="125"/>
      <c r="S50" s="125"/>
      <c r="T50" s="125"/>
      <c r="U50" s="123" t="n">
        <f aca="false">SUM(U44:U49)</f>
        <v>7005.75368</v>
      </c>
    </row>
    <row r="51" customFormat="false" ht="15.75" hidden="false" customHeight="true" outlineLevel="0" collapsed="false">
      <c r="A51" s="125" t="s">
        <v>105</v>
      </c>
      <c r="B51" s="125"/>
      <c r="C51" s="125"/>
      <c r="D51" s="125"/>
      <c r="E51" s="125"/>
      <c r="F51" s="121" t="n">
        <f aca="false">SUM(F50+K50+P50)</f>
        <v>175143.842</v>
      </c>
      <c r="G51" s="125" t="s">
        <v>106</v>
      </c>
      <c r="H51" s="125"/>
      <c r="I51" s="125"/>
      <c r="J51" s="125"/>
      <c r="K51" s="121" t="n">
        <f aca="false">SUM(F50+K50+P50+U50)</f>
        <v>182149.59568</v>
      </c>
      <c r="L51" s="125" t="s">
        <v>107</v>
      </c>
      <c r="M51" s="125"/>
      <c r="N51" s="125"/>
      <c r="O51" s="125"/>
      <c r="P51" s="121" t="n">
        <f aca="false">SUM(K51*0.15)</f>
        <v>27322.439352</v>
      </c>
      <c r="Q51" s="125" t="s">
        <v>108</v>
      </c>
      <c r="R51" s="125"/>
      <c r="S51" s="125"/>
      <c r="T51" s="125"/>
      <c r="U51" s="123" t="n">
        <f aca="false">SUM(K51+P51)</f>
        <v>209472.035032</v>
      </c>
    </row>
    <row r="52" customFormat="false" ht="15.75" hidden="false" customHeight="true" outlineLevel="0" collapsed="false">
      <c r="A52" s="122"/>
      <c r="B52" s="122"/>
      <c r="C52" s="122"/>
      <c r="D52" s="122"/>
      <c r="E52" s="122"/>
      <c r="F52" s="122"/>
      <c r="G52" s="122"/>
      <c r="H52" s="126"/>
      <c r="I52" s="122"/>
      <c r="J52" s="122"/>
      <c r="K52" s="122"/>
      <c r="L52" s="122"/>
      <c r="M52" s="122"/>
      <c r="N52" s="122"/>
      <c r="O52" s="122"/>
      <c r="P52" s="122"/>
      <c r="Q52" s="125" t="s">
        <v>109</v>
      </c>
      <c r="R52" s="125"/>
      <c r="S52" s="125"/>
      <c r="T52" s="125"/>
      <c r="U52" s="95" t="n">
        <f aca="false">ROUND((U51/15),2)</f>
        <v>13964.8</v>
      </c>
    </row>
    <row r="54" customFormat="false" ht="15" hidden="false" customHeight="true" outlineLevel="0" collapsed="false">
      <c r="A54" s="80" t="s">
        <v>86</v>
      </c>
      <c r="B54" s="80"/>
      <c r="C54" s="81" t="s">
        <v>29</v>
      </c>
      <c r="D54" s="81"/>
      <c r="E54" s="81"/>
      <c r="F54" s="81"/>
      <c r="G54" s="81"/>
      <c r="H54" s="81"/>
      <c r="I54" s="81"/>
      <c r="J54" s="81"/>
      <c r="K54" s="81"/>
      <c r="L54" s="81"/>
      <c r="M54" s="81"/>
      <c r="N54" s="81"/>
      <c r="O54" s="81"/>
      <c r="P54" s="81"/>
      <c r="Q54" s="81"/>
      <c r="R54" s="81"/>
      <c r="S54" s="81"/>
      <c r="T54" s="81"/>
      <c r="U54" s="82" t="s">
        <v>128</v>
      </c>
    </row>
    <row r="55" customFormat="false" ht="15" hidden="false" customHeight="false" outlineLevel="0" collapsed="false">
      <c r="A55" s="80"/>
      <c r="B55" s="80"/>
      <c r="C55" s="81"/>
      <c r="D55" s="81"/>
      <c r="E55" s="81"/>
      <c r="F55" s="81"/>
      <c r="G55" s="81"/>
      <c r="H55" s="81"/>
      <c r="I55" s="81"/>
      <c r="J55" s="81"/>
      <c r="K55" s="81"/>
      <c r="L55" s="81"/>
      <c r="M55" s="81"/>
      <c r="N55" s="81"/>
      <c r="O55" s="81"/>
      <c r="P55" s="81"/>
      <c r="Q55" s="81"/>
      <c r="R55" s="81"/>
      <c r="S55" s="81"/>
      <c r="T55" s="81"/>
      <c r="U55" s="82"/>
    </row>
    <row r="56" customFormat="false" ht="15.75" hidden="false" customHeight="true" outlineLevel="0" collapsed="false">
      <c r="A56" s="83" t="s">
        <v>129</v>
      </c>
      <c r="B56" s="83"/>
      <c r="C56" s="81"/>
      <c r="D56" s="81"/>
      <c r="E56" s="81"/>
      <c r="F56" s="81"/>
      <c r="G56" s="81"/>
      <c r="H56" s="81"/>
      <c r="I56" s="81"/>
      <c r="J56" s="81"/>
      <c r="K56" s="81"/>
      <c r="L56" s="81"/>
      <c r="M56" s="81"/>
      <c r="N56" s="81"/>
      <c r="O56" s="81"/>
      <c r="P56" s="81"/>
      <c r="Q56" s="81"/>
      <c r="R56" s="81"/>
      <c r="S56" s="81"/>
      <c r="T56" s="81"/>
      <c r="U56" s="82"/>
    </row>
    <row r="57" customFormat="false" ht="15.75" hidden="false" customHeight="true" outlineLevel="0" collapsed="false">
      <c r="A57" s="116" t="s">
        <v>89</v>
      </c>
      <c r="B57" s="117" t="s">
        <v>90</v>
      </c>
      <c r="C57" s="117"/>
      <c r="D57" s="117"/>
      <c r="E57" s="117"/>
      <c r="F57" s="117"/>
      <c r="G57" s="117" t="s">
        <v>91</v>
      </c>
      <c r="H57" s="117"/>
      <c r="I57" s="117"/>
      <c r="J57" s="117"/>
      <c r="K57" s="117"/>
      <c r="L57" s="117" t="s">
        <v>92</v>
      </c>
      <c r="M57" s="117"/>
      <c r="N57" s="117"/>
      <c r="O57" s="117"/>
      <c r="P57" s="117"/>
      <c r="Q57" s="117" t="s">
        <v>93</v>
      </c>
      <c r="R57" s="117"/>
      <c r="S57" s="117"/>
      <c r="T57" s="117"/>
      <c r="U57" s="117"/>
    </row>
    <row r="58" customFormat="false" ht="15.75" hidden="false" customHeight="false" outlineLevel="0" collapsed="false">
      <c r="A58" s="116"/>
      <c r="B58" s="118" t="s">
        <v>94</v>
      </c>
      <c r="C58" s="118" t="s">
        <v>16</v>
      </c>
      <c r="D58" s="118" t="s">
        <v>15</v>
      </c>
      <c r="E58" s="118" t="s">
        <v>17</v>
      </c>
      <c r="F58" s="118" t="s">
        <v>18</v>
      </c>
      <c r="G58" s="118" t="s">
        <v>94</v>
      </c>
      <c r="H58" s="119" t="s">
        <v>16</v>
      </c>
      <c r="I58" s="118" t="s">
        <v>15</v>
      </c>
      <c r="J58" s="118" t="s">
        <v>17</v>
      </c>
      <c r="K58" s="118" t="s">
        <v>18</v>
      </c>
      <c r="L58" s="118" t="s">
        <v>94</v>
      </c>
      <c r="M58" s="118" t="s">
        <v>16</v>
      </c>
      <c r="N58" s="118" t="s">
        <v>15</v>
      </c>
      <c r="O58" s="118" t="s">
        <v>17</v>
      </c>
      <c r="P58" s="118" t="s">
        <v>18</v>
      </c>
      <c r="Q58" s="118" t="s">
        <v>94</v>
      </c>
      <c r="R58" s="118" t="s">
        <v>16</v>
      </c>
      <c r="S58" s="118" t="s">
        <v>15</v>
      </c>
      <c r="T58" s="118" t="s">
        <v>17</v>
      </c>
      <c r="U58" s="120" t="s">
        <v>18</v>
      </c>
    </row>
    <row r="59" customFormat="false" ht="47.25" hidden="false" customHeight="false" outlineLevel="0" collapsed="false">
      <c r="A59" s="116" t="s">
        <v>130</v>
      </c>
      <c r="B59" s="118" t="s">
        <v>131</v>
      </c>
      <c r="C59" s="118" t="s">
        <v>97</v>
      </c>
      <c r="D59" s="118" t="n">
        <v>4</v>
      </c>
      <c r="E59" s="118" t="n">
        <f aca="false">skilled_blacksmith</f>
        <v>1200</v>
      </c>
      <c r="F59" s="121" t="n">
        <f aca="false">(D59*E59)</f>
        <v>4800</v>
      </c>
      <c r="G59" s="118" t="s">
        <v>132</v>
      </c>
      <c r="H59" s="119" t="s">
        <v>43</v>
      </c>
      <c r="I59" s="118" t="n">
        <v>1.1</v>
      </c>
      <c r="J59" s="118" t="n">
        <f aca="false">adopted_rate_HYSD_bar</f>
        <v>99000</v>
      </c>
      <c r="K59" s="118" t="n">
        <f aca="false">(I59*J59)</f>
        <v>108900</v>
      </c>
      <c r="L59" s="122"/>
      <c r="M59" s="122"/>
      <c r="N59" s="122"/>
      <c r="O59" s="122"/>
      <c r="P59" s="122"/>
      <c r="Q59" s="122"/>
      <c r="R59" s="122"/>
      <c r="S59" s="122"/>
      <c r="T59" s="122"/>
      <c r="U59" s="124"/>
    </row>
    <row r="60" customFormat="false" ht="31.5" hidden="false" customHeight="false" outlineLevel="0" collapsed="false">
      <c r="A60" s="122"/>
      <c r="B60" s="118" t="s">
        <v>100</v>
      </c>
      <c r="C60" s="118" t="s">
        <v>97</v>
      </c>
      <c r="D60" s="118" t="n">
        <v>9</v>
      </c>
      <c r="E60" s="118" t="n">
        <f aca="false">unskilled</f>
        <v>900</v>
      </c>
      <c r="F60" s="121" t="n">
        <f aca="false">(D60*E60)</f>
        <v>8100</v>
      </c>
      <c r="G60" s="118" t="s">
        <v>133</v>
      </c>
      <c r="H60" s="119" t="s">
        <v>134</v>
      </c>
      <c r="I60" s="118" t="n">
        <v>8</v>
      </c>
      <c r="J60" s="118" t="n">
        <f aca="false">adopted_rate_binding_wire</f>
        <v>106</v>
      </c>
      <c r="K60" s="118" t="n">
        <f aca="false">(I60*J60)</f>
        <v>848</v>
      </c>
      <c r="L60" s="122"/>
      <c r="M60" s="122"/>
      <c r="N60" s="122"/>
      <c r="O60" s="122"/>
      <c r="P60" s="122"/>
      <c r="Q60" s="122"/>
      <c r="R60" s="122"/>
      <c r="S60" s="122"/>
      <c r="T60" s="122"/>
      <c r="U60" s="124"/>
    </row>
    <row r="61" customFormat="false" ht="15.75" hidden="false" customHeight="true" outlineLevel="0" collapsed="false">
      <c r="A61" s="125" t="s">
        <v>101</v>
      </c>
      <c r="B61" s="125"/>
      <c r="C61" s="125"/>
      <c r="D61" s="125"/>
      <c r="E61" s="125"/>
      <c r="F61" s="121" t="n">
        <f aca="false">SUM(F58:F60)</f>
        <v>12900</v>
      </c>
      <c r="G61" s="125" t="s">
        <v>102</v>
      </c>
      <c r="H61" s="125"/>
      <c r="I61" s="125"/>
      <c r="J61" s="125"/>
      <c r="K61" s="121" t="n">
        <f aca="false">SUM(K58:K60)</f>
        <v>109748</v>
      </c>
      <c r="L61" s="125" t="s">
        <v>103</v>
      </c>
      <c r="M61" s="125"/>
      <c r="N61" s="125"/>
      <c r="O61" s="125"/>
      <c r="P61" s="121" t="n">
        <f aca="false">SUM(P58:P60)</f>
        <v>0</v>
      </c>
      <c r="Q61" s="125" t="s">
        <v>104</v>
      </c>
      <c r="R61" s="125"/>
      <c r="S61" s="125"/>
      <c r="T61" s="125"/>
      <c r="U61" s="123" t="n">
        <f aca="false">SUM(U58:U60)</f>
        <v>0</v>
      </c>
    </row>
    <row r="62" customFormat="false" ht="15.75" hidden="false" customHeight="true" outlineLevel="0" collapsed="false">
      <c r="A62" s="125" t="s">
        <v>105</v>
      </c>
      <c r="B62" s="125"/>
      <c r="C62" s="125"/>
      <c r="D62" s="125"/>
      <c r="E62" s="125"/>
      <c r="F62" s="121" t="n">
        <f aca="false">SUM(F61+K61+P61)</f>
        <v>122648</v>
      </c>
      <c r="G62" s="125" t="s">
        <v>106</v>
      </c>
      <c r="H62" s="125"/>
      <c r="I62" s="125"/>
      <c r="J62" s="125"/>
      <c r="K62" s="121" t="n">
        <f aca="false">SUM(F61+K61+P61+U61)</f>
        <v>122648</v>
      </c>
      <c r="L62" s="125" t="s">
        <v>107</v>
      </c>
      <c r="M62" s="125"/>
      <c r="N62" s="125"/>
      <c r="O62" s="125"/>
      <c r="P62" s="121" t="n">
        <f aca="false">SUM(K62*0.15)</f>
        <v>18397.2</v>
      </c>
      <c r="Q62" s="125" t="s">
        <v>108</v>
      </c>
      <c r="R62" s="125"/>
      <c r="S62" s="125"/>
      <c r="T62" s="125"/>
      <c r="U62" s="123" t="n">
        <f aca="false">SUM(K62+P62)</f>
        <v>141045.2</v>
      </c>
    </row>
    <row r="63" customFormat="false" ht="15.75" hidden="false" customHeight="true" outlineLevel="0" collapsed="false">
      <c r="A63" s="122"/>
      <c r="B63" s="122"/>
      <c r="C63" s="122"/>
      <c r="D63" s="122"/>
      <c r="E63" s="122"/>
      <c r="F63" s="122"/>
      <c r="G63" s="122"/>
      <c r="H63" s="126"/>
      <c r="I63" s="122"/>
      <c r="J63" s="122"/>
      <c r="K63" s="122"/>
      <c r="L63" s="122"/>
      <c r="M63" s="122"/>
      <c r="N63" s="122"/>
      <c r="O63" s="122"/>
      <c r="P63" s="122"/>
      <c r="Q63" s="125" t="s">
        <v>109</v>
      </c>
      <c r="R63" s="125"/>
      <c r="S63" s="125"/>
      <c r="T63" s="125"/>
      <c r="U63" s="95" t="n">
        <f aca="false">ROUND((U62/1),2)</f>
        <v>141045.2</v>
      </c>
    </row>
  </sheetData>
  <mergeCells count="92">
    <mergeCell ref="A1:B2"/>
    <mergeCell ref="C1:T3"/>
    <mergeCell ref="U1:U3"/>
    <mergeCell ref="A3:B3"/>
    <mergeCell ref="A4:A5"/>
    <mergeCell ref="B4:F4"/>
    <mergeCell ref="G4:K4"/>
    <mergeCell ref="L4:P4"/>
    <mergeCell ref="Q4:U4"/>
    <mergeCell ref="A8:E8"/>
    <mergeCell ref="G8:J8"/>
    <mergeCell ref="L8:O8"/>
    <mergeCell ref="Q8:T8"/>
    <mergeCell ref="A9:E9"/>
    <mergeCell ref="G9:J9"/>
    <mergeCell ref="L9:O9"/>
    <mergeCell ref="Q9:T9"/>
    <mergeCell ref="Q10:T10"/>
    <mergeCell ref="A11:U11"/>
    <mergeCell ref="A12:B13"/>
    <mergeCell ref="C12:T14"/>
    <mergeCell ref="U12:U14"/>
    <mergeCell ref="A14:B14"/>
    <mergeCell ref="A15:A16"/>
    <mergeCell ref="B15:F15"/>
    <mergeCell ref="G15:K15"/>
    <mergeCell ref="L15:P15"/>
    <mergeCell ref="Q15:U15"/>
    <mergeCell ref="A19:E19"/>
    <mergeCell ref="G19:J19"/>
    <mergeCell ref="L19:O19"/>
    <mergeCell ref="Q19:T19"/>
    <mergeCell ref="A20:E20"/>
    <mergeCell ref="G20:J20"/>
    <mergeCell ref="L20:O20"/>
    <mergeCell ref="Q20:T20"/>
    <mergeCell ref="Q21:T21"/>
    <mergeCell ref="A24:B25"/>
    <mergeCell ref="C24:T26"/>
    <mergeCell ref="U24:U26"/>
    <mergeCell ref="A26:B26"/>
    <mergeCell ref="A27:A28"/>
    <mergeCell ref="B27:F27"/>
    <mergeCell ref="G27:K27"/>
    <mergeCell ref="L27:P27"/>
    <mergeCell ref="Q27:U27"/>
    <mergeCell ref="A35:E35"/>
    <mergeCell ref="G35:J35"/>
    <mergeCell ref="L35:O35"/>
    <mergeCell ref="Q35:T35"/>
    <mergeCell ref="A36:E36"/>
    <mergeCell ref="G36:J36"/>
    <mergeCell ref="L36:O36"/>
    <mergeCell ref="Q36:T36"/>
    <mergeCell ref="Q37:T37"/>
    <mergeCell ref="A38:U38"/>
    <mergeCell ref="A40:B41"/>
    <mergeCell ref="C40:T42"/>
    <mergeCell ref="U40:U42"/>
    <mergeCell ref="A42:B42"/>
    <mergeCell ref="A43:A44"/>
    <mergeCell ref="B43:F43"/>
    <mergeCell ref="G43:K43"/>
    <mergeCell ref="L43:P43"/>
    <mergeCell ref="Q43:U43"/>
    <mergeCell ref="A50:E50"/>
    <mergeCell ref="G50:J50"/>
    <mergeCell ref="L50:O50"/>
    <mergeCell ref="Q50:T50"/>
    <mergeCell ref="A51:E51"/>
    <mergeCell ref="G51:J51"/>
    <mergeCell ref="L51:O51"/>
    <mergeCell ref="Q51:T51"/>
    <mergeCell ref="Q52:T52"/>
    <mergeCell ref="A54:B55"/>
    <mergeCell ref="C54:T56"/>
    <mergeCell ref="U54:U56"/>
    <mergeCell ref="A56:B56"/>
    <mergeCell ref="A57:A58"/>
    <mergeCell ref="B57:F57"/>
    <mergeCell ref="G57:K57"/>
    <mergeCell ref="L57:P57"/>
    <mergeCell ref="Q57:U57"/>
    <mergeCell ref="A61:E61"/>
    <mergeCell ref="G61:J61"/>
    <mergeCell ref="L61:O61"/>
    <mergeCell ref="Q61:T61"/>
    <mergeCell ref="A62:E62"/>
    <mergeCell ref="G62:J62"/>
    <mergeCell ref="L62:O62"/>
    <mergeCell ref="Q62:T62"/>
    <mergeCell ref="Q63:T63"/>
  </mergeCells>
  <conditionalFormatting sqref="A54:U63">
    <cfRule type="expression" priority="2" aboveAverage="0" equalAverage="0" bottom="0" percent="0" rank="0" text="" dxfId="0">
      <formula>LEN(TRIM(A54))=0</formula>
    </cfRule>
  </conditionalFormatting>
  <conditionalFormatting sqref="A1:U10">
    <cfRule type="expression" priority="3" aboveAverage="0" equalAverage="0" bottom="0" percent="0" rank="0" text="" dxfId="1">
      <formula>LEN(TRIM(A1))=0</formula>
    </cfRule>
  </conditionalFormatting>
  <conditionalFormatting sqref="A12:U22">
    <cfRule type="expression" priority="4" aboveAverage="0" equalAverage="0" bottom="0" percent="0" rank="0" text="" dxfId="2">
      <formula>LEN(TRIM(A12))=0</formula>
    </cfRule>
  </conditionalFormatting>
  <conditionalFormatting sqref="A24:U37">
    <cfRule type="expression" priority="5" aboveAverage="0" equalAverage="0" bottom="0" percent="0" rank="0" text="" dxfId="3">
      <formula>LEN(TRIM(A24))=0</formula>
    </cfRule>
  </conditionalFormatting>
  <conditionalFormatting sqref="A40:U52">
    <cfRule type="expression" priority="6" aboveAverage="0" equalAverage="0" bottom="0" percent="0" rank="0" text="" dxfId="4">
      <formula>LEN(TRIM(A40))=0</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I67"/>
  <sheetViews>
    <sheetView showFormulas="false" showGridLines="true" showRowColHeaders="true" showZeros="true" rightToLeft="false" tabSelected="false" showOutlineSymbols="true" defaultGridColor="true" view="normal" topLeftCell="A31" colorId="64" zoomScale="100" zoomScaleNormal="100" zoomScalePageLayoutView="80" workbookViewId="0">
      <selection pane="topLeft" activeCell="B39" activeCellId="0" sqref="B39"/>
    </sheetView>
  </sheetViews>
  <sheetFormatPr defaultColWidth="8.4296875" defaultRowHeight="15" zeroHeight="false" outlineLevelRow="0" outlineLevelCol="0"/>
  <cols>
    <col collapsed="false" customWidth="true" hidden="false" outlineLevel="0" max="1" min="1" style="1" width="5.14"/>
    <col collapsed="false" customWidth="true" hidden="false" outlineLevel="0" max="2" min="2" style="0" width="29.57"/>
    <col collapsed="false" customWidth="true" hidden="false" outlineLevel="0" max="3" min="3" style="0" width="5.57"/>
    <col collapsed="false" customWidth="true" hidden="false" outlineLevel="0" max="4" min="4" style="0" width="6.71"/>
    <col collapsed="false" customWidth="true" hidden="false" outlineLevel="0" max="5" min="5" style="0" width="7.85"/>
    <col collapsed="false" customWidth="true" hidden="false" outlineLevel="0" max="6" min="6" style="0" width="7.14"/>
    <col collapsed="false" customWidth="true" hidden="false" outlineLevel="0" max="7" min="7" style="1" width="9.28"/>
    <col collapsed="false" customWidth="true" hidden="false" outlineLevel="0" max="8" min="8" style="1" width="6.28"/>
    <col collapsed="false" customWidth="true" hidden="true" outlineLevel="0" max="9" min="9" style="1" width="10.71"/>
    <col collapsed="false" customWidth="true" hidden="true" outlineLevel="0" max="10" min="10" style="1" width="10.57"/>
    <col collapsed="false" customWidth="true" hidden="false" outlineLevel="0" max="11" min="11" style="0" width="9.85"/>
    <col collapsed="false" customWidth="true" hidden="false" outlineLevel="0" max="13" min="13" style="0" width="5"/>
    <col collapsed="false" customWidth="true" hidden="false" outlineLevel="0" max="14" min="14" style="0" width="6"/>
    <col collapsed="false" customWidth="true" hidden="false" outlineLevel="0" max="15" min="15" style="0" width="10.57"/>
    <col collapsed="false" customWidth="true" hidden="false" outlineLevel="0" max="17" min="16" style="0" width="8"/>
    <col collapsed="false" customWidth="true" hidden="false" outlineLevel="0" max="18" min="18" style="0" width="6.71"/>
    <col collapsed="false" customWidth="true" hidden="false" outlineLevel="0" max="19" min="19" style="0" width="7"/>
    <col collapsed="false" customWidth="true" hidden="false" outlineLevel="0" max="20" min="20" style="0" width="5.43"/>
    <col collapsed="false" customWidth="true" hidden="false" outlineLevel="0" max="21" min="21" style="0" width="17.85"/>
  </cols>
  <sheetData>
    <row r="1" s="3" customFormat="true" ht="15" hidden="false" customHeight="false" outlineLevel="0" collapsed="false">
      <c r="A1" s="2" t="s">
        <v>0</v>
      </c>
      <c r="B1" s="2"/>
      <c r="C1" s="2"/>
      <c r="D1" s="2"/>
      <c r="E1" s="2"/>
      <c r="F1" s="2"/>
      <c r="G1" s="2"/>
      <c r="H1" s="2"/>
      <c r="I1" s="2"/>
      <c r="J1" s="2"/>
      <c r="K1" s="2"/>
    </row>
    <row r="2" s="3" customFormat="true" ht="22.5" hidden="false" customHeight="false" outlineLevel="0" collapsed="false">
      <c r="A2" s="4" t="s">
        <v>1</v>
      </c>
      <c r="B2" s="4"/>
      <c r="C2" s="4"/>
      <c r="D2" s="4"/>
      <c r="E2" s="4"/>
      <c r="F2" s="4"/>
      <c r="G2" s="4"/>
      <c r="H2" s="4"/>
      <c r="I2" s="4"/>
      <c r="J2" s="4"/>
      <c r="K2" s="4"/>
    </row>
    <row r="3" s="3" customFormat="true" ht="15" hidden="false" customHeight="false" outlineLevel="0" collapsed="false">
      <c r="A3" s="5" t="s">
        <v>2</v>
      </c>
      <c r="B3" s="5"/>
      <c r="C3" s="5"/>
      <c r="D3" s="5"/>
      <c r="E3" s="5"/>
      <c r="F3" s="5"/>
      <c r="G3" s="5"/>
      <c r="H3" s="5"/>
      <c r="I3" s="5"/>
      <c r="J3" s="5"/>
      <c r="K3" s="5"/>
    </row>
    <row r="4" s="3" customFormat="true" ht="15" hidden="false" customHeight="false" outlineLevel="0" collapsed="false">
      <c r="A4" s="5" t="s">
        <v>3</v>
      </c>
      <c r="B4" s="5"/>
      <c r="C4" s="5"/>
      <c r="D4" s="5"/>
      <c r="E4" s="5"/>
      <c r="F4" s="5"/>
      <c r="G4" s="5"/>
      <c r="H4" s="5"/>
      <c r="I4" s="5"/>
      <c r="J4" s="5"/>
      <c r="K4" s="5"/>
    </row>
    <row r="5" customFormat="false" ht="18.75" hidden="false" customHeight="false" outlineLevel="0" collapsed="false">
      <c r="A5" s="6" t="s">
        <v>135</v>
      </c>
      <c r="B5" s="6"/>
      <c r="C5" s="6"/>
      <c r="D5" s="6"/>
      <c r="E5" s="6"/>
      <c r="F5" s="6"/>
      <c r="G5" s="6"/>
      <c r="H5" s="6"/>
      <c r="I5" s="6"/>
      <c r="J5" s="6"/>
      <c r="K5" s="6"/>
    </row>
    <row r="6" customFormat="false" ht="18.75" hidden="false" customHeight="false" outlineLevel="0" collapsed="false">
      <c r="A6" s="7" t="s">
        <v>71</v>
      </c>
      <c r="B6" s="7"/>
      <c r="C6" s="7"/>
      <c r="D6" s="7"/>
      <c r="E6" s="7"/>
      <c r="F6" s="7"/>
      <c r="G6" s="7"/>
      <c r="H6" s="8" t="s">
        <v>72</v>
      </c>
      <c r="I6" s="8"/>
      <c r="J6" s="8"/>
      <c r="K6" s="8"/>
    </row>
    <row r="7" customFormat="false" ht="15.75" hidden="false" customHeight="false" outlineLevel="0" collapsed="false">
      <c r="A7" s="9" t="s">
        <v>7</v>
      </c>
      <c r="B7" s="9"/>
      <c r="C7" s="9"/>
      <c r="D7" s="9"/>
      <c r="E7" s="9"/>
      <c r="F7" s="9"/>
      <c r="G7" s="10"/>
      <c r="H7" s="8" t="s">
        <v>73</v>
      </c>
      <c r="I7" s="8"/>
      <c r="J7" s="8"/>
      <c r="K7" s="8"/>
    </row>
    <row r="8" customFormat="false" ht="15" hidden="false" customHeight="true" outlineLevel="0" collapsed="false">
      <c r="A8" s="11" t="s">
        <v>9</v>
      </c>
      <c r="B8" s="12" t="s">
        <v>74</v>
      </c>
      <c r="C8" s="11" t="s">
        <v>11</v>
      </c>
      <c r="D8" s="13" t="s">
        <v>12</v>
      </c>
      <c r="E8" s="13" t="s">
        <v>13</v>
      </c>
      <c r="F8" s="13" t="s">
        <v>14</v>
      </c>
      <c r="G8" s="13" t="s">
        <v>15</v>
      </c>
      <c r="H8" s="11" t="s">
        <v>16</v>
      </c>
      <c r="I8" s="13" t="s">
        <v>17</v>
      </c>
      <c r="J8" s="13" t="s">
        <v>18</v>
      </c>
      <c r="K8" s="14" t="s">
        <v>19</v>
      </c>
    </row>
    <row r="9" customFormat="false" ht="156" hidden="false" customHeight="true" outlineLevel="0" collapsed="false">
      <c r="A9" s="15" t="n">
        <v>1</v>
      </c>
      <c r="B9" s="16" t="s">
        <v>20</v>
      </c>
      <c r="C9" s="17"/>
      <c r="D9" s="17"/>
      <c r="E9" s="17"/>
      <c r="F9" s="17"/>
      <c r="G9" s="18"/>
      <c r="H9" s="19"/>
      <c r="I9" s="20"/>
      <c r="J9" s="20"/>
      <c r="K9" s="21"/>
      <c r="N9" s="0" t="s">
        <v>75</v>
      </c>
      <c r="O9" s="0" t="s">
        <v>76</v>
      </c>
      <c r="P9" s="0" t="s">
        <v>77</v>
      </c>
      <c r="Q9" s="77" t="s">
        <v>13</v>
      </c>
      <c r="R9" s="0" t="s">
        <v>78</v>
      </c>
      <c r="S9" s="77" t="s">
        <v>14</v>
      </c>
      <c r="T9" s="0" t="s">
        <v>79</v>
      </c>
      <c r="U9" s="78" t="s">
        <v>80</v>
      </c>
    </row>
    <row r="10" customFormat="false" ht="15" hidden="false" customHeight="false" outlineLevel="0" collapsed="false">
      <c r="A10" s="18"/>
      <c r="B10" s="22" t="s">
        <v>21</v>
      </c>
      <c r="C10" s="23" t="n">
        <v>1</v>
      </c>
      <c r="D10" s="24" t="n">
        <f aca="false">5+4+3.8+5+5+5+5+3.95</f>
        <v>36.75</v>
      </c>
      <c r="E10" s="21" t="n">
        <v>0.6</v>
      </c>
      <c r="F10" s="21" t="n">
        <f aca="false">(1.5+0.333+0.5)/3.281</f>
        <v>0.711063700091436</v>
      </c>
      <c r="G10" s="25" t="n">
        <f aca="false">PRODUCT(C10:F10)</f>
        <v>15.6789545870162</v>
      </c>
      <c r="H10" s="19"/>
      <c r="I10" s="20"/>
      <c r="J10" s="20"/>
      <c r="K10" s="21"/>
      <c r="M10" s="0" t="n">
        <v>0</v>
      </c>
      <c r="N10" s="0" t="n">
        <v>0.1</v>
      </c>
      <c r="O10" s="0" t="n">
        <v>0.12</v>
      </c>
      <c r="P10" s="0" t="n">
        <f aca="false">(N10+O10)/2</f>
        <v>0.11</v>
      </c>
      <c r="R10" s="0" t="n">
        <v>0.45</v>
      </c>
      <c r="T10" s="0" t="n">
        <v>0.6</v>
      </c>
    </row>
    <row r="11" customFormat="false" ht="15" hidden="false" customHeight="false" outlineLevel="0" collapsed="false">
      <c r="A11" s="15"/>
      <c r="B11" s="26" t="s">
        <v>22</v>
      </c>
      <c r="C11" s="21"/>
      <c r="D11" s="24"/>
      <c r="E11" s="21"/>
      <c r="F11" s="21"/>
      <c r="G11" s="20" t="n">
        <f aca="false">SUM(G10:G10)</f>
        <v>15.6789545870162</v>
      </c>
      <c r="H11" s="19" t="s">
        <v>23</v>
      </c>
      <c r="I11" s="20" t="n">
        <v>62.02</v>
      </c>
      <c r="J11" s="27" t="n">
        <f aca="false">G11*I11</f>
        <v>972.408763486742</v>
      </c>
      <c r="K11" s="21"/>
      <c r="M11" s="0" t="n">
        <v>5</v>
      </c>
      <c r="N11" s="0" t="n">
        <v>0.12</v>
      </c>
      <c r="O11" s="0" t="n">
        <v>0.11</v>
      </c>
      <c r="P11" s="0" t="n">
        <f aca="false">(N11+O11)/2</f>
        <v>0.115</v>
      </c>
      <c r="Q11" s="0" t="n">
        <f aca="false">(P10+P11)/2</f>
        <v>0.1125</v>
      </c>
      <c r="R11" s="0" t="n">
        <v>0.48</v>
      </c>
      <c r="S11" s="0" t="n">
        <f aca="false">(R10+R11)/2</f>
        <v>0.465</v>
      </c>
      <c r="T11" s="0" t="n">
        <v>0.6</v>
      </c>
      <c r="U11" s="0" t="n">
        <f aca="false">(T10+T11)/2</f>
        <v>0.6</v>
      </c>
    </row>
    <row r="12" customFormat="false" ht="15" hidden="false" customHeight="false" outlineLevel="0" collapsed="false">
      <c r="A12" s="15"/>
      <c r="B12" s="26" t="s">
        <v>24</v>
      </c>
      <c r="C12" s="21"/>
      <c r="D12" s="24"/>
      <c r="E12" s="21"/>
      <c r="F12" s="21"/>
      <c r="G12" s="20"/>
      <c r="H12" s="19"/>
      <c r="I12" s="20"/>
      <c r="J12" s="27" t="n">
        <f aca="false">0.13*G11*18426/360</f>
        <v>104.325150662908</v>
      </c>
      <c r="K12" s="21"/>
      <c r="M12" s="0" t="n">
        <v>4.02</v>
      </c>
      <c r="N12" s="0" t="n">
        <v>0.11</v>
      </c>
      <c r="O12" s="0" t="n">
        <v>0.12</v>
      </c>
      <c r="P12" s="0" t="n">
        <f aca="false">(N12+O12)/2</f>
        <v>0.115</v>
      </c>
      <c r="Q12" s="0" t="n">
        <f aca="false">(P11+P12)/2</f>
        <v>0.115</v>
      </c>
      <c r="R12" s="0" t="n">
        <v>0.46</v>
      </c>
      <c r="S12" s="0" t="n">
        <f aca="false">(R11+R12)/2</f>
        <v>0.47</v>
      </c>
      <c r="T12" s="0" t="n">
        <v>0.6</v>
      </c>
      <c r="U12" s="0" t="n">
        <f aca="false">(T11+T12)/2</f>
        <v>0.6</v>
      </c>
    </row>
    <row r="13" customFormat="false" ht="15" hidden="false" customHeight="false" outlineLevel="0" collapsed="false">
      <c r="A13" s="15"/>
      <c r="B13" s="26"/>
      <c r="C13" s="21"/>
      <c r="D13" s="24"/>
      <c r="E13" s="21"/>
      <c r="F13" s="21"/>
      <c r="G13" s="20"/>
      <c r="H13" s="19"/>
      <c r="I13" s="20"/>
      <c r="J13" s="27"/>
      <c r="K13" s="21"/>
      <c r="M13" s="0" t="n">
        <v>3.8</v>
      </c>
      <c r="N13" s="0" t="n">
        <v>0.11</v>
      </c>
      <c r="O13" s="0" t="n">
        <v>0.1</v>
      </c>
      <c r="P13" s="0" t="n">
        <f aca="false">(N13+O13)/2</f>
        <v>0.105</v>
      </c>
      <c r="Q13" s="0" t="n">
        <f aca="false">(P12+P13)/2</f>
        <v>0.11</v>
      </c>
      <c r="R13" s="0" t="n">
        <f aca="false">(0.46+0.48)/2</f>
        <v>0.47</v>
      </c>
      <c r="S13" s="0" t="n">
        <f aca="false">(R12+R13)/2</f>
        <v>0.465</v>
      </c>
      <c r="T13" s="0" t="n">
        <v>0.61</v>
      </c>
      <c r="U13" s="0" t="n">
        <f aca="false">(T12+T13)/2</f>
        <v>0.605</v>
      </c>
    </row>
    <row r="14" s="3" customFormat="true" ht="105" hidden="false" customHeight="false" outlineLevel="0" collapsed="false">
      <c r="A14" s="15" t="n">
        <v>2</v>
      </c>
      <c r="B14" s="16" t="s">
        <v>25</v>
      </c>
      <c r="C14" s="21"/>
      <c r="D14" s="24"/>
      <c r="E14" s="21"/>
      <c r="F14" s="21"/>
      <c r="G14" s="20"/>
      <c r="H14" s="19"/>
      <c r="I14" s="20"/>
      <c r="J14" s="27"/>
      <c r="K14" s="21"/>
      <c r="M14" s="3" t="n">
        <v>5</v>
      </c>
      <c r="N14" s="3" t="n">
        <v>0.1</v>
      </c>
      <c r="O14" s="3" t="n">
        <v>0.115</v>
      </c>
      <c r="P14" s="3" t="n">
        <f aca="false">(N14+O14)/2</f>
        <v>0.1075</v>
      </c>
      <c r="Q14" s="3" t="n">
        <f aca="false">(P13+P14)/2</f>
        <v>0.10625</v>
      </c>
      <c r="R14" s="3" t="n">
        <v>0.46</v>
      </c>
      <c r="S14" s="3" t="n">
        <f aca="false">(R13+R14)/2</f>
        <v>0.465</v>
      </c>
      <c r="T14" s="3" t="n">
        <v>0.61</v>
      </c>
      <c r="U14" s="3" t="n">
        <f aca="false">(T13+T14)/2</f>
        <v>0.61</v>
      </c>
    </row>
    <row r="15" customFormat="false" ht="15" hidden="false" customHeight="false" outlineLevel="0" collapsed="false">
      <c r="A15" s="15"/>
      <c r="B15" s="26" t="str">
        <f aca="false">B10</f>
        <v>-For roadside drain</v>
      </c>
      <c r="C15" s="28" t="n">
        <v>1</v>
      </c>
      <c r="D15" s="24" t="n">
        <f aca="false">D10</f>
        <v>36.75</v>
      </c>
      <c r="E15" s="21" t="n">
        <f aca="false">E10</f>
        <v>0.6</v>
      </c>
      <c r="F15" s="21" t="n">
        <v>0.15</v>
      </c>
      <c r="G15" s="25" t="n">
        <f aca="false">PRODUCT(C15:F15)</f>
        <v>3.3075</v>
      </c>
      <c r="H15" s="19"/>
      <c r="I15" s="20"/>
      <c r="J15" s="27"/>
      <c r="K15" s="21"/>
      <c r="M15" s="0" t="n">
        <v>5</v>
      </c>
      <c r="N15" s="0" t="n">
        <v>0.1</v>
      </c>
      <c r="O15" s="0" t="n">
        <v>0.1</v>
      </c>
      <c r="P15" s="0" t="n">
        <f aca="false">(N15+O15)/2</f>
        <v>0.1</v>
      </c>
      <c r="Q15" s="0" t="n">
        <f aca="false">(P14+P15)/2</f>
        <v>0.10375</v>
      </c>
      <c r="R15" s="0" t="n">
        <v>0.475</v>
      </c>
      <c r="S15" s="0" t="n">
        <f aca="false">(R14+R15)/2</f>
        <v>0.4675</v>
      </c>
      <c r="T15" s="0" t="n">
        <v>0.61</v>
      </c>
      <c r="U15" s="0" t="n">
        <f aca="false">(T14+T15)/2</f>
        <v>0.61</v>
      </c>
    </row>
    <row r="16" customFormat="false" ht="15" hidden="false" customHeight="false" outlineLevel="0" collapsed="false">
      <c r="A16" s="15"/>
      <c r="B16" s="26" t="s">
        <v>22</v>
      </c>
      <c r="C16" s="28"/>
      <c r="D16" s="24"/>
      <c r="E16" s="21"/>
      <c r="F16" s="21"/>
      <c r="G16" s="20" t="n">
        <f aca="false">SUM(G15:G15)</f>
        <v>3.3075</v>
      </c>
      <c r="H16" s="19" t="s">
        <v>23</v>
      </c>
      <c r="I16" s="20" t="n">
        <v>4403.52</v>
      </c>
      <c r="J16" s="27" t="n">
        <f aca="false">G16*I16</f>
        <v>14564.6424</v>
      </c>
      <c r="K16" s="21"/>
      <c r="M16" s="0" t="n">
        <v>5</v>
      </c>
      <c r="N16" s="0" t="n">
        <v>0.11</v>
      </c>
      <c r="O16" s="0" t="n">
        <v>0.11</v>
      </c>
      <c r="P16" s="0" t="n">
        <f aca="false">(N16+O16)/2</f>
        <v>0.11</v>
      </c>
      <c r="Q16" s="0" t="n">
        <f aca="false">(P15+P16)/2</f>
        <v>0.105</v>
      </c>
      <c r="R16" s="0" t="n">
        <v>0.455</v>
      </c>
      <c r="S16" s="0" t="n">
        <f aca="false">(R15+R16)/2</f>
        <v>0.465</v>
      </c>
      <c r="T16" s="0" t="n">
        <v>0.63</v>
      </c>
      <c r="U16" s="0" t="n">
        <f aca="false">(T15+T16)/2</f>
        <v>0.62</v>
      </c>
    </row>
    <row r="17" customFormat="false" ht="15" hidden="true" customHeight="false" outlineLevel="0" collapsed="false">
      <c r="A17" s="15"/>
      <c r="B17" s="26" t="s">
        <v>24</v>
      </c>
      <c r="C17" s="28"/>
      <c r="D17" s="24"/>
      <c r="E17" s="21"/>
      <c r="F17" s="21"/>
      <c r="G17" s="20"/>
      <c r="H17" s="19"/>
      <c r="I17" s="20"/>
      <c r="J17" s="27" t="n">
        <f aca="false">G16*0.13*(14817.6/5)</f>
        <v>1274.239512</v>
      </c>
      <c r="K17" s="21"/>
      <c r="M17" s="0" t="n">
        <v>5</v>
      </c>
      <c r="N17" s="0" t="n">
        <v>0.11</v>
      </c>
      <c r="O17" s="0" t="n">
        <v>0.12</v>
      </c>
      <c r="P17" s="0" t="n">
        <f aca="false">(N17+O17)/2</f>
        <v>0.115</v>
      </c>
      <c r="Q17" s="0" t="n">
        <f aca="false">(P16+P17)/2</f>
        <v>0.1125</v>
      </c>
      <c r="R17" s="0" t="n">
        <v>0.45</v>
      </c>
      <c r="S17" s="0" t="n">
        <f aca="false">(R16+R17)/2</f>
        <v>0.4525</v>
      </c>
      <c r="T17" s="0" t="n">
        <v>0.62</v>
      </c>
      <c r="U17" s="0" t="n">
        <f aca="false">(T16+T17)/2</f>
        <v>0.625</v>
      </c>
    </row>
    <row r="18" customFormat="false" ht="15" hidden="false" customHeight="false" outlineLevel="0" collapsed="false">
      <c r="A18" s="15"/>
      <c r="B18" s="26"/>
      <c r="C18" s="28"/>
      <c r="D18" s="24"/>
      <c r="E18" s="21"/>
      <c r="F18" s="21"/>
      <c r="G18" s="20"/>
      <c r="H18" s="19"/>
      <c r="I18" s="20"/>
      <c r="J18" s="27"/>
      <c r="K18" s="21"/>
      <c r="M18" s="0" t="n">
        <v>3.95</v>
      </c>
      <c r="N18" s="0" t="n">
        <v>0.11</v>
      </c>
      <c r="O18" s="0" t="n">
        <v>0.12</v>
      </c>
      <c r="P18" s="0" t="n">
        <f aca="false">(N18+O18)/2</f>
        <v>0.115</v>
      </c>
      <c r="Q18" s="0" t="n">
        <f aca="false">(P17+P18)/2</f>
        <v>0.115</v>
      </c>
      <c r="R18" s="0" t="n">
        <v>0.475</v>
      </c>
      <c r="S18" s="0" t="n">
        <f aca="false">(R17+R18)/2</f>
        <v>0.4625</v>
      </c>
      <c r="T18" s="0" t="n">
        <v>0.67</v>
      </c>
      <c r="U18" s="0" t="n">
        <f aca="false">(T17+T18)/2</f>
        <v>0.645</v>
      </c>
    </row>
    <row r="19" customFormat="false" ht="83.25" hidden="false" customHeight="true" outlineLevel="0" collapsed="false">
      <c r="A19" s="15" t="n">
        <v>3</v>
      </c>
      <c r="B19" s="29" t="s">
        <v>26</v>
      </c>
      <c r="C19" s="28"/>
      <c r="D19" s="24"/>
      <c r="E19" s="21"/>
      <c r="F19" s="21"/>
      <c r="G19" s="20"/>
      <c r="H19" s="19"/>
      <c r="I19" s="20"/>
      <c r="J19" s="27"/>
      <c r="K19" s="21"/>
      <c r="N19" s="0" t="e">
        <f aca="false">#REF!/#REF!</f>
        <v>#REF!</v>
      </c>
    </row>
    <row r="20" customFormat="false" ht="15" hidden="false" customHeight="false" outlineLevel="0" collapsed="false">
      <c r="A20" s="15"/>
      <c r="B20" s="22" t="str">
        <f aca="false">B25</f>
        <v>-For roadside drain</v>
      </c>
      <c r="C20" s="28" t="n">
        <v>1</v>
      </c>
      <c r="D20" s="24" t="n">
        <f aca="false">D15</f>
        <v>36.75</v>
      </c>
      <c r="E20" s="21" t="n">
        <f aca="false">E15</f>
        <v>0.6</v>
      </c>
      <c r="F20" s="21" t="n">
        <f aca="false">1.25/12/3.281</f>
        <v>0.031748450675607</v>
      </c>
      <c r="G20" s="25" t="n">
        <f aca="false">PRODUCT(C20:F20)</f>
        <v>0.700053337397135</v>
      </c>
      <c r="H20" s="19"/>
      <c r="I20" s="20"/>
      <c r="J20" s="27"/>
      <c r="K20" s="21"/>
    </row>
    <row r="21" customFormat="false" ht="15" hidden="false" customHeight="false" outlineLevel="0" collapsed="false">
      <c r="A21" s="15"/>
      <c r="B21" s="26" t="s">
        <v>22</v>
      </c>
      <c r="C21" s="28"/>
      <c r="D21" s="24"/>
      <c r="E21" s="21"/>
      <c r="F21" s="21"/>
      <c r="G21" s="20" t="n">
        <f aca="false">SUM(G20)</f>
        <v>0.700053337397135</v>
      </c>
      <c r="H21" s="19" t="s">
        <v>23</v>
      </c>
      <c r="I21" s="30" t="n">
        <v>11126.38</v>
      </c>
      <c r="J21" s="27" t="n">
        <f aca="false">G21*I21</f>
        <v>7789.05945214874</v>
      </c>
      <c r="K21" s="21"/>
    </row>
    <row r="22" customFormat="false" ht="15" hidden="true" customHeight="false" outlineLevel="0" collapsed="false">
      <c r="A22" s="15"/>
      <c r="B22" s="26" t="s">
        <v>24</v>
      </c>
      <c r="C22" s="28"/>
      <c r="D22" s="24"/>
      <c r="E22" s="21"/>
      <c r="F22" s="21"/>
      <c r="G22" s="20"/>
      <c r="H22" s="19"/>
      <c r="I22" s="20"/>
      <c r="J22" s="31" t="n">
        <f aca="false">0.13*G21*((123027.7+6419.1)/15)</f>
        <v>785.370424413289</v>
      </c>
      <c r="K22" s="21"/>
    </row>
    <row r="23" customFormat="false" ht="15" hidden="false" customHeight="false" outlineLevel="0" collapsed="false">
      <c r="A23" s="15"/>
      <c r="B23" s="26"/>
      <c r="C23" s="28"/>
      <c r="D23" s="24"/>
      <c r="E23" s="21"/>
      <c r="F23" s="21"/>
      <c r="G23" s="20"/>
      <c r="H23" s="19"/>
      <c r="I23" s="20"/>
      <c r="J23" s="31"/>
      <c r="K23" s="21"/>
    </row>
    <row r="24" customFormat="false" ht="78" hidden="false" customHeight="true" outlineLevel="0" collapsed="false">
      <c r="A24" s="15" t="n">
        <v>4</v>
      </c>
      <c r="B24" s="29" t="s">
        <v>81</v>
      </c>
      <c r="C24" s="28"/>
      <c r="D24" s="24"/>
      <c r="E24" s="21"/>
      <c r="F24" s="21"/>
      <c r="G24" s="20"/>
      <c r="H24" s="19"/>
      <c r="I24" s="20"/>
      <c r="J24" s="27"/>
      <c r="K24" s="21"/>
    </row>
    <row r="25" customFormat="false" ht="15" hidden="false" customHeight="false" outlineLevel="0" collapsed="false">
      <c r="A25" s="15"/>
      <c r="B25" s="22" t="str">
        <f aca="false">B10</f>
        <v>-For roadside drain</v>
      </c>
      <c r="C25" s="28" t="n">
        <v>1</v>
      </c>
      <c r="D25" s="24" t="n">
        <f aca="false">D34</f>
        <v>5</v>
      </c>
      <c r="E25" s="21" t="n">
        <f aca="false">T11</f>
        <v>0.6</v>
      </c>
      <c r="F25" s="21" t="n">
        <f aca="false">3.5/12/3.281</f>
        <v>0.0888956618916997</v>
      </c>
      <c r="G25" s="25" t="n">
        <f aca="false">PRODUCT(C25:F25)</f>
        <v>0.266686985675099</v>
      </c>
      <c r="H25" s="19"/>
      <c r="I25" s="20"/>
      <c r="J25" s="27"/>
      <c r="K25" s="21"/>
      <c r="Q25" s="77"/>
      <c r="S25" s="77"/>
      <c r="U25" s="79"/>
    </row>
    <row r="26" customFormat="false" ht="15" hidden="false" customHeight="false" outlineLevel="0" collapsed="false">
      <c r="A26" s="15"/>
      <c r="B26" s="22"/>
      <c r="C26" s="28" t="n">
        <v>1</v>
      </c>
      <c r="D26" s="24" t="n">
        <f aca="false">D35</f>
        <v>4.02</v>
      </c>
      <c r="E26" s="21" t="n">
        <f aca="false">T12</f>
        <v>0.6</v>
      </c>
      <c r="F26" s="21" t="n">
        <f aca="false">3.5/12/3.281</f>
        <v>0.0888956618916997</v>
      </c>
      <c r="G26" s="25" t="n">
        <f aca="false">PRODUCT(C26:F26)</f>
        <v>0.21441633648278</v>
      </c>
      <c r="H26" s="19"/>
      <c r="I26" s="20"/>
      <c r="J26" s="27"/>
      <c r="K26" s="21"/>
      <c r="Q26" s="77"/>
      <c r="S26" s="77"/>
      <c r="U26" s="79"/>
    </row>
    <row r="27" customFormat="false" ht="15" hidden="false" customHeight="false" outlineLevel="0" collapsed="false">
      <c r="A27" s="15"/>
      <c r="B27" s="22"/>
      <c r="C27" s="28" t="n">
        <v>1</v>
      </c>
      <c r="D27" s="24" t="n">
        <f aca="false">D36</f>
        <v>3.8</v>
      </c>
      <c r="E27" s="21" t="n">
        <f aca="false">T13</f>
        <v>0.61</v>
      </c>
      <c r="F27" s="21" t="n">
        <f aca="false">3.5/12/3.281</f>
        <v>0.0888956618916997</v>
      </c>
      <c r="G27" s="25" t="n">
        <f aca="false">PRODUCT(C27:F27)</f>
        <v>0.20606014426496</v>
      </c>
      <c r="H27" s="19"/>
      <c r="I27" s="20"/>
      <c r="J27" s="27"/>
      <c r="K27" s="21"/>
      <c r="Q27" s="77"/>
      <c r="S27" s="77"/>
      <c r="U27" s="79"/>
    </row>
    <row r="28" customFormat="false" ht="15" hidden="false" customHeight="false" outlineLevel="0" collapsed="false">
      <c r="A28" s="15"/>
      <c r="B28" s="22"/>
      <c r="C28" s="28" t="n">
        <v>1</v>
      </c>
      <c r="D28" s="24" t="n">
        <f aca="false">D37</f>
        <v>5</v>
      </c>
      <c r="E28" s="21" t="n">
        <f aca="false">T14</f>
        <v>0.61</v>
      </c>
      <c r="F28" s="21" t="n">
        <f aca="false">3.5/12/3.281</f>
        <v>0.0888956618916997</v>
      </c>
      <c r="G28" s="25" t="n">
        <f aca="false">PRODUCT(C28:F28)</f>
        <v>0.271131768769684</v>
      </c>
      <c r="H28" s="19"/>
      <c r="I28" s="20"/>
      <c r="J28" s="27"/>
      <c r="K28" s="21"/>
      <c r="Q28" s="77"/>
      <c r="S28" s="77"/>
      <c r="U28" s="79"/>
    </row>
    <row r="29" customFormat="false" ht="15" hidden="false" customHeight="false" outlineLevel="0" collapsed="false">
      <c r="A29" s="15"/>
      <c r="B29" s="22"/>
      <c r="C29" s="28" t="n">
        <v>1</v>
      </c>
      <c r="D29" s="24" t="n">
        <f aca="false">D38</f>
        <v>5</v>
      </c>
      <c r="E29" s="21" t="n">
        <f aca="false">T15</f>
        <v>0.61</v>
      </c>
      <c r="F29" s="21" t="n">
        <f aca="false">3.5/12/3.281</f>
        <v>0.0888956618916997</v>
      </c>
      <c r="G29" s="25" t="n">
        <f aca="false">PRODUCT(C29:F29)</f>
        <v>0.271131768769684</v>
      </c>
      <c r="H29" s="19"/>
      <c r="I29" s="20"/>
      <c r="J29" s="27"/>
      <c r="K29" s="21"/>
      <c r="Q29" s="77"/>
      <c r="S29" s="77"/>
      <c r="U29" s="79"/>
    </row>
    <row r="30" customFormat="false" ht="15" hidden="false" customHeight="false" outlineLevel="0" collapsed="false">
      <c r="A30" s="15"/>
      <c r="B30" s="22"/>
      <c r="C30" s="28" t="n">
        <v>1</v>
      </c>
      <c r="D30" s="24" t="n">
        <f aca="false">D39</f>
        <v>5</v>
      </c>
      <c r="E30" s="21" t="n">
        <f aca="false">T16</f>
        <v>0.63</v>
      </c>
      <c r="F30" s="21" t="n">
        <f aca="false">3.5/12/3.281</f>
        <v>0.0888956618916997</v>
      </c>
      <c r="G30" s="25" t="n">
        <f aca="false">PRODUCT(C30:F30)</f>
        <v>0.280021334958854</v>
      </c>
      <c r="H30" s="19"/>
      <c r="I30" s="20"/>
      <c r="J30" s="27"/>
      <c r="K30" s="21"/>
      <c r="O30" s="46"/>
      <c r="Q30" s="77"/>
      <c r="S30" s="77"/>
      <c r="U30" s="79"/>
    </row>
    <row r="31" customFormat="false" ht="15" hidden="false" customHeight="false" outlineLevel="0" collapsed="false">
      <c r="A31" s="15"/>
      <c r="B31" s="22"/>
      <c r="C31" s="28" t="n">
        <v>1</v>
      </c>
      <c r="D31" s="24" t="n">
        <f aca="false">D40</f>
        <v>5</v>
      </c>
      <c r="E31" s="21" t="n">
        <f aca="false">T17</f>
        <v>0.62</v>
      </c>
      <c r="F31" s="21" t="n">
        <f aca="false">3.5/12/3.281</f>
        <v>0.0888956618916997</v>
      </c>
      <c r="G31" s="25" t="n">
        <f aca="false">PRODUCT(C31:F31)</f>
        <v>0.275576551864269</v>
      </c>
      <c r="H31" s="19"/>
      <c r="I31" s="20"/>
      <c r="J31" s="27"/>
      <c r="K31" s="21"/>
      <c r="O31" s="46"/>
      <c r="Q31" s="77"/>
      <c r="S31" s="77"/>
      <c r="U31" s="79"/>
    </row>
    <row r="32" customFormat="false" ht="15" hidden="false" customHeight="false" outlineLevel="0" collapsed="false">
      <c r="A32" s="15"/>
      <c r="B32" s="22"/>
      <c r="C32" s="28" t="n">
        <v>1</v>
      </c>
      <c r="D32" s="24" t="n">
        <f aca="false">D41</f>
        <v>3.95</v>
      </c>
      <c r="E32" s="21" t="n">
        <f aca="false">T18</f>
        <v>0.67</v>
      </c>
      <c r="F32" s="21" t="n">
        <f aca="false">3.5/12/3.281</f>
        <v>0.0888956618916997</v>
      </c>
      <c r="G32" s="25" t="n">
        <f aca="false">PRODUCT(C32:F32)</f>
        <v>0.235262369196383</v>
      </c>
      <c r="H32" s="19"/>
      <c r="I32" s="20"/>
      <c r="J32" s="27"/>
      <c r="K32" s="21"/>
      <c r="Q32" s="77"/>
      <c r="S32" s="77"/>
      <c r="U32" s="79"/>
    </row>
    <row r="33" customFormat="false" ht="15" hidden="false" customHeight="false" outlineLevel="0" collapsed="false">
      <c r="A33" s="15"/>
      <c r="B33" s="22" t="s">
        <v>82</v>
      </c>
      <c r="C33" s="28"/>
      <c r="D33" s="24"/>
      <c r="E33" s="21"/>
      <c r="F33" s="21"/>
      <c r="G33" s="25"/>
      <c r="H33" s="19"/>
      <c r="I33" s="20"/>
      <c r="J33" s="27"/>
      <c r="K33" s="21"/>
    </row>
    <row r="34" customFormat="false" ht="15" hidden="false" customHeight="false" outlineLevel="0" collapsed="false">
      <c r="A34" s="15"/>
      <c r="B34" s="22"/>
      <c r="C34" s="28" t="n">
        <v>2</v>
      </c>
      <c r="D34" s="24" t="n">
        <f aca="false">M11</f>
        <v>5</v>
      </c>
      <c r="E34" s="21" t="n">
        <f aca="false">Q11</f>
        <v>0.1125</v>
      </c>
      <c r="F34" s="21" t="n">
        <f aca="false">S11</f>
        <v>0.465</v>
      </c>
      <c r="G34" s="25" t="n">
        <f aca="false">PRODUCT(C34:F34)</f>
        <v>0.523125</v>
      </c>
      <c r="H34" s="19"/>
      <c r="I34" s="20"/>
      <c r="J34" s="27"/>
      <c r="K34" s="21"/>
    </row>
    <row r="35" customFormat="false" ht="15" hidden="false" customHeight="false" outlineLevel="0" collapsed="false">
      <c r="A35" s="15"/>
      <c r="B35" s="22"/>
      <c r="C35" s="28" t="n">
        <v>2</v>
      </c>
      <c r="D35" s="24" t="n">
        <f aca="false">M12</f>
        <v>4.02</v>
      </c>
      <c r="E35" s="21" t="n">
        <f aca="false">Q12</f>
        <v>0.115</v>
      </c>
      <c r="F35" s="21" t="n">
        <f aca="false">S12</f>
        <v>0.47</v>
      </c>
      <c r="G35" s="25" t="n">
        <f aca="false">PRODUCT(C35:F35)</f>
        <v>0.434562</v>
      </c>
      <c r="H35" s="19"/>
      <c r="I35" s="20"/>
      <c r="J35" s="27"/>
      <c r="K35" s="21"/>
    </row>
    <row r="36" customFormat="false" ht="15" hidden="false" customHeight="false" outlineLevel="0" collapsed="false">
      <c r="A36" s="15"/>
      <c r="B36" s="22"/>
      <c r="C36" s="28" t="n">
        <v>2</v>
      </c>
      <c r="D36" s="24" t="n">
        <f aca="false">M13</f>
        <v>3.8</v>
      </c>
      <c r="E36" s="21" t="n">
        <f aca="false">Q13</f>
        <v>0.11</v>
      </c>
      <c r="F36" s="21" t="n">
        <f aca="false">S13</f>
        <v>0.465</v>
      </c>
      <c r="G36" s="25" t="n">
        <f aca="false">PRODUCT(C36:F36)</f>
        <v>0.38874</v>
      </c>
      <c r="H36" s="19"/>
      <c r="I36" s="20"/>
      <c r="J36" s="27"/>
      <c r="K36" s="21"/>
    </row>
    <row r="37" customFormat="false" ht="15" hidden="false" customHeight="false" outlineLevel="0" collapsed="false">
      <c r="A37" s="15"/>
      <c r="B37" s="22"/>
      <c r="C37" s="28" t="n">
        <v>2</v>
      </c>
      <c r="D37" s="24" t="n">
        <f aca="false">M14</f>
        <v>5</v>
      </c>
      <c r="E37" s="21" t="n">
        <f aca="false">Q14</f>
        <v>0.10625</v>
      </c>
      <c r="F37" s="21" t="n">
        <f aca="false">S14</f>
        <v>0.465</v>
      </c>
      <c r="G37" s="25" t="n">
        <f aca="false">PRODUCT(C37:F37)</f>
        <v>0.4940625</v>
      </c>
      <c r="H37" s="19"/>
      <c r="I37" s="20"/>
      <c r="J37" s="27"/>
      <c r="K37" s="21"/>
    </row>
    <row r="38" customFormat="false" ht="15" hidden="false" customHeight="false" outlineLevel="0" collapsed="false">
      <c r="A38" s="15"/>
      <c r="B38" s="22"/>
      <c r="C38" s="28" t="n">
        <v>2</v>
      </c>
      <c r="D38" s="24" t="n">
        <f aca="false">M15</f>
        <v>5</v>
      </c>
      <c r="E38" s="21" t="n">
        <f aca="false">Q15</f>
        <v>0.10375</v>
      </c>
      <c r="F38" s="21" t="n">
        <f aca="false">S15</f>
        <v>0.4675</v>
      </c>
      <c r="G38" s="25" t="n">
        <f aca="false">PRODUCT(C38:F38)</f>
        <v>0.48503125</v>
      </c>
      <c r="H38" s="19"/>
      <c r="I38" s="20"/>
      <c r="J38" s="27"/>
      <c r="K38" s="21"/>
    </row>
    <row r="39" customFormat="false" ht="15" hidden="false" customHeight="false" outlineLevel="0" collapsed="false">
      <c r="A39" s="15"/>
      <c r="B39" s="22"/>
      <c r="C39" s="28" t="n">
        <v>2</v>
      </c>
      <c r="D39" s="24" t="n">
        <f aca="false">M16</f>
        <v>5</v>
      </c>
      <c r="E39" s="21" t="n">
        <f aca="false">Q16</f>
        <v>0.105</v>
      </c>
      <c r="F39" s="21" t="n">
        <f aca="false">S16</f>
        <v>0.465</v>
      </c>
      <c r="G39" s="25" t="n">
        <f aca="false">PRODUCT(C39:F39)</f>
        <v>0.48825</v>
      </c>
      <c r="H39" s="19"/>
      <c r="I39" s="20"/>
      <c r="J39" s="27"/>
      <c r="K39" s="21"/>
    </row>
    <row r="40" customFormat="false" ht="15" hidden="false" customHeight="false" outlineLevel="0" collapsed="false">
      <c r="A40" s="15"/>
      <c r="B40" s="22"/>
      <c r="C40" s="28" t="n">
        <v>2</v>
      </c>
      <c r="D40" s="24" t="n">
        <f aca="false">M17</f>
        <v>5</v>
      </c>
      <c r="E40" s="21" t="n">
        <f aca="false">Q17</f>
        <v>0.1125</v>
      </c>
      <c r="F40" s="21" t="n">
        <f aca="false">S17</f>
        <v>0.4525</v>
      </c>
      <c r="G40" s="25" t="n">
        <f aca="false">PRODUCT(C40:F40)</f>
        <v>0.5090625</v>
      </c>
      <c r="H40" s="19"/>
      <c r="I40" s="20"/>
      <c r="J40" s="27"/>
      <c r="K40" s="21"/>
    </row>
    <row r="41" customFormat="false" ht="15" hidden="false" customHeight="false" outlineLevel="0" collapsed="false">
      <c r="A41" s="15"/>
      <c r="B41" s="22"/>
      <c r="C41" s="28" t="n">
        <v>2</v>
      </c>
      <c r="D41" s="24" t="n">
        <f aca="false">M18</f>
        <v>3.95</v>
      </c>
      <c r="E41" s="21" t="n">
        <f aca="false">Q18</f>
        <v>0.115</v>
      </c>
      <c r="F41" s="21" t="n">
        <f aca="false">S18</f>
        <v>0.4625</v>
      </c>
      <c r="G41" s="25" t="n">
        <f aca="false">PRODUCT(C41:F41)</f>
        <v>0.42018125</v>
      </c>
      <c r="H41" s="19"/>
      <c r="I41" s="20"/>
      <c r="J41" s="27"/>
      <c r="K41" s="21"/>
    </row>
    <row r="42" customFormat="false" ht="15" hidden="false" customHeight="false" outlineLevel="0" collapsed="false">
      <c r="A42" s="15"/>
      <c r="B42" s="22"/>
      <c r="C42" s="28"/>
      <c r="D42" s="24"/>
      <c r="E42" s="21"/>
      <c r="F42" s="21"/>
      <c r="G42" s="25"/>
      <c r="H42" s="19"/>
      <c r="I42" s="20"/>
      <c r="J42" s="27"/>
      <c r="K42" s="21"/>
      <c r="M42" s="0" t="n">
        <f aca="false">3.8*1.2*0.1</f>
        <v>0.456</v>
      </c>
    </row>
    <row r="43" customFormat="false" ht="15" hidden="false" customHeight="false" outlineLevel="0" collapsed="false">
      <c r="A43" s="15"/>
      <c r="B43" s="22" t="s">
        <v>83</v>
      </c>
      <c r="C43" s="28" t="n">
        <v>1</v>
      </c>
      <c r="D43" s="24" t="n">
        <f aca="false">(1.21+1.12+1.28+1.18+1.2+1.22+1.2+1.2+1.17+1.09+1.1+1.1+1.07+1.09+1.08+1.1+1.18+1.06+1.09+1.11+1.07+1.29+1.11+1.12+1.08+1.09+1.05+1.07+1.14+1.08+1.07+1.06+1.07+1.07+1.12+1.07+1.06+1.23+1.09+1.11+1.17+1.16+1.19+1.17+1.14+1.14)</f>
        <v>51.87</v>
      </c>
      <c r="E43" s="21" t="n">
        <f aca="false">(0.63+0.64+0.61+0.64+0.63+0.65+0.63+0.66+0.63+0.6+0.6+0.6+0.61+0.61+0.63+0.63+0.59+0.62+0.58+0.61+0.61+0.59+0.67+0.79+0.84+0.84+0.8+0.61+0.6+0.63+0.62+0.61+0.61+0.62+0.61+0.62+0.62+0.62+0.63+0.62+0.61+0.6+0.6+0.6+0.6)/46</f>
        <v>0.621086956521739</v>
      </c>
      <c r="F43" s="21" t="n">
        <v>0.1</v>
      </c>
      <c r="G43" s="25" t="n">
        <f aca="false">PRODUCT(C43:F43)</f>
        <v>3.22157804347826</v>
      </c>
      <c r="H43" s="19"/>
      <c r="I43" s="20"/>
      <c r="J43" s="27"/>
      <c r="K43" s="21"/>
      <c r="M43" s="0" t="n">
        <f aca="false">D43*E43*0.1</f>
        <v>3.22157804347826</v>
      </c>
    </row>
    <row r="44" customFormat="false" ht="15" hidden="false" customHeight="false" outlineLevel="0" collapsed="false">
      <c r="A44" s="15"/>
      <c r="B44" s="22" t="s">
        <v>84</v>
      </c>
      <c r="C44" s="28" t="n">
        <v>1</v>
      </c>
      <c r="D44" s="24" t="n">
        <v>3.8</v>
      </c>
      <c r="E44" s="21" t="n">
        <v>1.2</v>
      </c>
      <c r="F44" s="21" t="n">
        <v>0.1</v>
      </c>
      <c r="G44" s="25" t="n">
        <f aca="false">PRODUCT(C44:F44)</f>
        <v>0.456</v>
      </c>
      <c r="H44" s="19"/>
      <c r="I44" s="20"/>
      <c r="J44" s="27"/>
      <c r="K44" s="21"/>
      <c r="M44" s="0" t="n">
        <f aca="false">SUM(M42:M43)</f>
        <v>3.67757804347826</v>
      </c>
    </row>
    <row r="45" customFormat="false" ht="15" hidden="false" customHeight="false" outlineLevel="0" collapsed="false">
      <c r="A45" s="15"/>
      <c r="B45" s="26" t="s">
        <v>22</v>
      </c>
      <c r="C45" s="28"/>
      <c r="D45" s="24"/>
      <c r="E45" s="21"/>
      <c r="F45" s="21"/>
      <c r="G45" s="20" t="n">
        <f aca="false">SUM(G25:G44)</f>
        <v>9.44087980345997</v>
      </c>
      <c r="H45" s="19" t="s">
        <v>23</v>
      </c>
      <c r="I45" s="30" t="n">
        <v>12143.3</v>
      </c>
      <c r="J45" s="27" t="n">
        <f aca="false">G45*I45</f>
        <v>114643.435717356</v>
      </c>
      <c r="K45" s="21"/>
    </row>
    <row r="46" customFormat="false" ht="15" hidden="true" customHeight="false" outlineLevel="0" collapsed="false">
      <c r="A46" s="15"/>
      <c r="B46" s="26" t="s">
        <v>24</v>
      </c>
      <c r="C46" s="28"/>
      <c r="D46" s="24"/>
      <c r="E46" s="21"/>
      <c r="F46" s="21"/>
      <c r="G46" s="20"/>
      <c r="H46" s="19"/>
      <c r="I46" s="20"/>
      <c r="J46" s="31" t="n">
        <f aca="false">0.13*G45*((137739.8+7005.8)/15)</f>
        <v>11843.223701224</v>
      </c>
      <c r="K46" s="21"/>
    </row>
    <row r="47" customFormat="false" ht="15" hidden="false" customHeight="false" outlineLevel="0" collapsed="false">
      <c r="A47" s="15"/>
      <c r="B47" s="26"/>
      <c r="C47" s="28"/>
      <c r="D47" s="24"/>
      <c r="E47" s="21"/>
      <c r="F47" s="21"/>
      <c r="G47" s="20"/>
      <c r="H47" s="19"/>
      <c r="I47" s="20"/>
      <c r="J47" s="31"/>
      <c r="K47" s="21"/>
    </row>
    <row r="48" customFormat="false" ht="75" hidden="false" customHeight="false" outlineLevel="0" collapsed="false">
      <c r="A48" s="15" t="n">
        <v>5</v>
      </c>
      <c r="B48" s="29" t="s">
        <v>29</v>
      </c>
      <c r="C48" s="28" t="s">
        <v>11</v>
      </c>
      <c r="D48" s="32" t="s">
        <v>30</v>
      </c>
      <c r="E48" s="32" t="s">
        <v>31</v>
      </c>
      <c r="F48" s="32" t="s">
        <v>32</v>
      </c>
      <c r="G48" s="32" t="s">
        <v>33</v>
      </c>
      <c r="H48" s="19"/>
      <c r="I48" s="20"/>
      <c r="J48" s="31"/>
      <c r="K48" s="21"/>
    </row>
    <row r="49" customFormat="false" ht="15" hidden="false" customHeight="false" outlineLevel="0" collapsed="false">
      <c r="A49" s="15"/>
      <c r="B49" s="22" t="str">
        <f aca="false">B25</f>
        <v>-For roadside drain</v>
      </c>
      <c r="C49" s="28" t="n">
        <f aca="false">(TRUNC(((0.6-0.1)/0.15),0)+1)+(TRUNC(((0.45-0.1)/0.15),0)*2)+2</f>
        <v>10</v>
      </c>
      <c r="D49" s="24" t="n">
        <f aca="false">SUM(M!D34:D41)-0.1</f>
        <v>36.67</v>
      </c>
      <c r="E49" s="21" t="n">
        <f aca="false">10*10/162</f>
        <v>0.617283950617284</v>
      </c>
      <c r="F49" s="21" t="n">
        <f aca="false">PRODUCT(C49:E49)</f>
        <v>226.358024691358</v>
      </c>
      <c r="G49" s="25" t="n">
        <f aca="false">F49/1000</f>
        <v>0.226358024691358</v>
      </c>
      <c r="H49" s="19"/>
      <c r="I49" s="20"/>
      <c r="J49" s="27"/>
      <c r="K49" s="21"/>
    </row>
    <row r="50" customFormat="false" ht="15" hidden="false" customHeight="false" outlineLevel="0" collapsed="false">
      <c r="A50" s="15"/>
      <c r="B50" s="22"/>
      <c r="C50" s="28" t="n">
        <f aca="false">TRUNC(((D49-0.1)/0.15),0)</f>
        <v>243</v>
      </c>
      <c r="D50" s="24" t="n">
        <f aca="false">(0.6-0.1)+(0.45-0.1)*1.9</f>
        <v>1.165</v>
      </c>
      <c r="E50" s="21" t="n">
        <f aca="false">10*10/162</f>
        <v>0.617283950617284</v>
      </c>
      <c r="F50" s="21" t="n">
        <f aca="false">PRODUCT(C50:E50)</f>
        <v>174.75</v>
      </c>
      <c r="G50" s="25" t="n">
        <f aca="false">F50/1000</f>
        <v>0.17475</v>
      </c>
      <c r="H50" s="19"/>
      <c r="I50" s="20"/>
      <c r="J50" s="20"/>
      <c r="K50" s="21"/>
    </row>
    <row r="51" customFormat="false" ht="15" hidden="false" customHeight="false" outlineLevel="0" collapsed="false">
      <c r="A51" s="15"/>
      <c r="B51" s="22" t="str">
        <f aca="false">B43</f>
        <v>-Drain slab 1</v>
      </c>
      <c r="C51" s="28" t="n">
        <f aca="false">(TRUNC(((D52)/0.15),0)+1)*C43</f>
        <v>4</v>
      </c>
      <c r="D51" s="24" t="n">
        <f aca="false">D43-0.1-(46*0.1)</f>
        <v>47.17</v>
      </c>
      <c r="E51" s="21" t="n">
        <f aca="false">10*10/162</f>
        <v>0.617283950617284</v>
      </c>
      <c r="F51" s="21" t="n">
        <f aca="false">PRODUCT(C51:E51)</f>
        <v>116.469135802469</v>
      </c>
      <c r="G51" s="25" t="n">
        <f aca="false">F51/1000</f>
        <v>0.116469135802469</v>
      </c>
      <c r="H51" s="19"/>
      <c r="I51" s="20"/>
      <c r="J51" s="27"/>
      <c r="K51" s="21"/>
    </row>
    <row r="52" customFormat="false" ht="15" hidden="false" customHeight="false" outlineLevel="0" collapsed="false">
      <c r="A52" s="15"/>
      <c r="B52" s="22"/>
      <c r="C52" s="28" t="n">
        <f aca="false">(TRUNC(((D51)/0.175),0)+1)</f>
        <v>270</v>
      </c>
      <c r="D52" s="24" t="n">
        <f aca="false">(E43-0.1)</f>
        <v>0.521086956521739</v>
      </c>
      <c r="E52" s="21" t="n">
        <f aca="false">10*10/162</f>
        <v>0.617283950617284</v>
      </c>
      <c r="F52" s="21" t="n">
        <f aca="false">PRODUCT(C52:E52)</f>
        <v>86.8478260869566</v>
      </c>
      <c r="G52" s="25" t="n">
        <f aca="false">F52/1000</f>
        <v>0.0868478260869566</v>
      </c>
      <c r="H52" s="19"/>
      <c r="I52" s="20"/>
      <c r="J52" s="27"/>
      <c r="K52" s="21"/>
    </row>
    <row r="53" customFormat="false" ht="15" hidden="false" customHeight="false" outlineLevel="0" collapsed="false">
      <c r="A53" s="15"/>
      <c r="B53" s="22" t="str">
        <f aca="false">B44</f>
        <v>-Drain slab 2</v>
      </c>
      <c r="C53" s="28" t="n">
        <f aca="false">(TRUNC(((D54)/0.15),0)+1)-3</f>
        <v>5</v>
      </c>
      <c r="D53" s="24" t="n">
        <f aca="false">D44-0.1</f>
        <v>3.7</v>
      </c>
      <c r="E53" s="21" t="n">
        <f aca="false">10*10/162</f>
        <v>0.617283950617284</v>
      </c>
      <c r="F53" s="21" t="n">
        <f aca="false">PRODUCT(C53:E53)</f>
        <v>11.4197530864198</v>
      </c>
      <c r="G53" s="25" t="n">
        <f aca="false">F53/1000</f>
        <v>0.0114197530864198</v>
      </c>
      <c r="H53" s="19"/>
      <c r="I53" s="20"/>
      <c r="J53" s="27"/>
      <c r="K53" s="21"/>
    </row>
    <row r="54" customFormat="false" ht="15" hidden="false" customHeight="false" outlineLevel="0" collapsed="false">
      <c r="A54" s="15"/>
      <c r="B54" s="22"/>
      <c r="C54" s="28" t="n">
        <f aca="false">(TRUNC(((D53)/0.15),0)+1)-10</f>
        <v>15</v>
      </c>
      <c r="D54" s="24" t="n">
        <f aca="false">(E44-0.1)</f>
        <v>1.1</v>
      </c>
      <c r="E54" s="21" t="n">
        <f aca="false">10*10/162</f>
        <v>0.617283950617284</v>
      </c>
      <c r="F54" s="21" t="n">
        <f aca="false">PRODUCT(C54:E54)</f>
        <v>10.1851851851852</v>
      </c>
      <c r="G54" s="25" t="n">
        <f aca="false">F54/1000</f>
        <v>0.0101851851851852</v>
      </c>
      <c r="H54" s="19"/>
      <c r="I54" s="20"/>
      <c r="J54" s="27"/>
      <c r="K54" s="21"/>
    </row>
    <row r="55" customFormat="false" ht="15" hidden="false" customHeight="false" outlineLevel="0" collapsed="false">
      <c r="A55" s="15"/>
      <c r="B55" s="26" t="s">
        <v>22</v>
      </c>
      <c r="C55" s="28"/>
      <c r="D55" s="24"/>
      <c r="E55" s="21"/>
      <c r="F55" s="21"/>
      <c r="G55" s="36" t="n">
        <f aca="false">0*SUM(G49:G54)</f>
        <v>0</v>
      </c>
      <c r="H55" s="19" t="s">
        <v>43</v>
      </c>
      <c r="I55" s="30" t="n">
        <v>122648</v>
      </c>
      <c r="J55" s="27" t="n">
        <f aca="false">G55*I55</f>
        <v>0</v>
      </c>
      <c r="K55" s="21"/>
    </row>
    <row r="56" customFormat="false" ht="15" hidden="true" customHeight="false" outlineLevel="0" collapsed="false">
      <c r="A56" s="15"/>
      <c r="B56" s="26" t="s">
        <v>24</v>
      </c>
      <c r="C56" s="28"/>
      <c r="D56" s="24"/>
      <c r="E56" s="21"/>
      <c r="F56" s="21"/>
      <c r="G56" s="20"/>
      <c r="H56" s="19"/>
      <c r="I56" s="20"/>
      <c r="J56" s="31" t="n">
        <f aca="false">0.13*G55*(109748)</f>
        <v>0</v>
      </c>
      <c r="K56" s="21"/>
    </row>
    <row r="57" customFormat="false" ht="15" hidden="false" customHeight="false" outlineLevel="0" collapsed="false">
      <c r="A57" s="15"/>
      <c r="B57" s="26"/>
      <c r="C57" s="28"/>
      <c r="D57" s="24"/>
      <c r="E57" s="21"/>
      <c r="F57" s="21"/>
      <c r="G57" s="20"/>
      <c r="H57" s="19"/>
      <c r="I57" s="20"/>
      <c r="J57" s="31"/>
      <c r="K57" s="21"/>
    </row>
    <row r="58" customFormat="false" ht="15" hidden="false" customHeight="false" outlineLevel="0" collapsed="false">
      <c r="A58" s="18" t="n">
        <v>6</v>
      </c>
      <c r="B58" s="39" t="s">
        <v>47</v>
      </c>
      <c r="C58" s="28" t="n">
        <v>1</v>
      </c>
      <c r="D58" s="24"/>
      <c r="E58" s="21"/>
      <c r="F58" s="21"/>
      <c r="G58" s="27" t="n">
        <f aca="false">PRODUCT(C58:F58)</f>
        <v>1</v>
      </c>
      <c r="H58" s="19" t="s">
        <v>48</v>
      </c>
      <c r="I58" s="20" t="n">
        <v>500</v>
      </c>
      <c r="J58" s="40" t="n">
        <f aca="false">G58*I58</f>
        <v>500</v>
      </c>
      <c r="K58" s="21"/>
    </row>
    <row r="59" customFormat="false" ht="15" hidden="false" customHeight="false" outlineLevel="0" collapsed="false">
      <c r="A59" s="34"/>
      <c r="B59" s="41"/>
      <c r="C59" s="42"/>
      <c r="D59" s="35"/>
      <c r="E59" s="35"/>
      <c r="F59" s="35"/>
      <c r="G59" s="40"/>
      <c r="H59" s="40"/>
      <c r="I59" s="40"/>
      <c r="J59" s="40"/>
      <c r="K59" s="38"/>
      <c r="M59" s="43"/>
    </row>
    <row r="60" customFormat="false" ht="15" hidden="false" customHeight="false" outlineLevel="0" collapsed="false">
      <c r="A60" s="34"/>
      <c r="B60" s="41" t="s">
        <v>50</v>
      </c>
      <c r="C60" s="42"/>
      <c r="D60" s="35"/>
      <c r="E60" s="35"/>
      <c r="F60" s="35"/>
      <c r="G60" s="40"/>
      <c r="H60" s="40"/>
      <c r="I60" s="40"/>
      <c r="J60" s="40" t="n">
        <f aca="false">SUM(J9:J59)</f>
        <v>152476.705121291</v>
      </c>
      <c r="K60" s="38"/>
      <c r="M60" s="43"/>
    </row>
    <row r="61" customFormat="false" ht="15" hidden="false" customHeight="false" outlineLevel="0" collapsed="false">
      <c r="M61" s="43"/>
      <c r="N61" s="45"/>
      <c r="O61" s="45"/>
      <c r="P61" s="45"/>
      <c r="Q61" s="45"/>
      <c r="R61" s="45"/>
      <c r="S61" s="45"/>
      <c r="T61" s="45"/>
      <c r="U61" s="45"/>
      <c r="V61" s="45"/>
      <c r="W61" s="45"/>
      <c r="X61" s="45"/>
      <c r="Y61" s="43"/>
      <c r="Z61" s="43"/>
      <c r="AA61" s="43"/>
      <c r="AB61" s="43"/>
      <c r="AC61" s="43"/>
      <c r="AD61" s="43"/>
      <c r="AE61" s="43"/>
      <c r="AF61" s="43"/>
      <c r="AG61" s="43"/>
      <c r="AH61" s="43"/>
      <c r="AI61" s="43"/>
    </row>
    <row r="62" s="3" customFormat="true" ht="15" hidden="true" customHeight="false" outlineLevel="0" collapsed="false">
      <c r="B62" s="17" t="s">
        <v>51</v>
      </c>
      <c r="C62" s="47" t="n">
        <f aca="false">J60</f>
        <v>152476.705121291</v>
      </c>
      <c r="D62" s="47"/>
      <c r="E62" s="48" t="n">
        <v>100</v>
      </c>
      <c r="F62" s="49"/>
      <c r="G62" s="50"/>
      <c r="H62" s="49"/>
      <c r="I62" s="51"/>
      <c r="J62" s="52"/>
      <c r="K62" s="53"/>
      <c r="M62" s="49"/>
      <c r="N62" s="45"/>
      <c r="O62" s="45"/>
      <c r="P62" s="45"/>
      <c r="Q62" s="45"/>
      <c r="R62" s="45"/>
      <c r="S62" s="45"/>
      <c r="T62" s="45"/>
      <c r="U62" s="45"/>
      <c r="V62" s="45"/>
      <c r="W62" s="45"/>
      <c r="X62" s="45"/>
      <c r="Y62" s="49"/>
      <c r="Z62" s="49"/>
      <c r="AA62" s="49"/>
      <c r="AB62" s="49"/>
      <c r="AC62" s="49"/>
      <c r="AD62" s="49"/>
      <c r="AE62" s="49"/>
      <c r="AF62" s="49"/>
      <c r="AG62" s="49"/>
      <c r="AH62" s="49"/>
      <c r="AI62" s="49"/>
    </row>
    <row r="63" customFormat="false" ht="15" hidden="true" customHeight="false" outlineLevel="0" collapsed="false">
      <c r="B63" s="17" t="s">
        <v>52</v>
      </c>
      <c r="C63" s="54" t="n">
        <v>210000</v>
      </c>
      <c r="D63" s="54"/>
      <c r="E63" s="48"/>
      <c r="M63" s="43"/>
      <c r="N63" s="45"/>
      <c r="O63" s="45"/>
      <c r="P63" s="45"/>
      <c r="Q63" s="45"/>
      <c r="R63" s="45"/>
      <c r="S63" s="45"/>
      <c r="T63" s="45"/>
      <c r="U63" s="45"/>
      <c r="V63" s="45"/>
      <c r="W63" s="45"/>
      <c r="X63" s="45"/>
      <c r="Y63" s="43"/>
      <c r="Z63" s="43"/>
      <c r="AA63" s="43"/>
      <c r="AB63" s="43"/>
      <c r="AC63" s="43"/>
      <c r="AD63" s="43"/>
      <c r="AE63" s="43"/>
      <c r="AF63" s="43"/>
      <c r="AG63" s="43"/>
      <c r="AH63" s="43"/>
      <c r="AI63" s="43"/>
    </row>
    <row r="64" customFormat="false" ht="15" hidden="true" customHeight="false" outlineLevel="0" collapsed="false">
      <c r="B64" s="17" t="s">
        <v>53</v>
      </c>
      <c r="C64" s="54" t="n">
        <f aca="false">C63-C66-C67</f>
        <v>199500</v>
      </c>
      <c r="D64" s="54"/>
      <c r="E64" s="48" t="n">
        <f aca="false">C64/C62*100</f>
        <v>130.839658321121</v>
      </c>
      <c r="M64" s="43"/>
      <c r="N64" s="43"/>
      <c r="O64" s="43"/>
      <c r="P64" s="43"/>
      <c r="Q64" s="43"/>
      <c r="R64" s="43"/>
      <c r="S64" s="43"/>
      <c r="T64" s="43"/>
      <c r="U64" s="43"/>
      <c r="V64" s="43"/>
      <c r="W64" s="43"/>
      <c r="X64" s="43"/>
      <c r="Y64" s="43"/>
      <c r="Z64" s="43"/>
      <c r="AA64" s="43"/>
      <c r="AB64" s="43"/>
      <c r="AC64" s="43"/>
      <c r="AD64" s="43"/>
      <c r="AE64" s="43"/>
      <c r="AF64" s="43"/>
      <c r="AG64" s="43"/>
      <c r="AH64" s="43"/>
      <c r="AI64" s="43"/>
    </row>
    <row r="65" customFormat="false" ht="15" hidden="true" customHeight="false" outlineLevel="0" collapsed="false">
      <c r="B65" s="17" t="s">
        <v>54</v>
      </c>
      <c r="C65" s="47" t="n">
        <f aca="false">C62-C64</f>
        <v>-47023.2948787088</v>
      </c>
      <c r="D65" s="47"/>
      <c r="E65" s="48" t="n">
        <f aca="false">100-E64</f>
        <v>-30.8396583211206</v>
      </c>
      <c r="M65" s="43"/>
      <c r="N65" s="43"/>
      <c r="O65" s="43"/>
      <c r="P65" s="43"/>
      <c r="Q65" s="43"/>
      <c r="R65" s="43"/>
      <c r="S65" s="43"/>
      <c r="T65" s="43"/>
      <c r="U65" s="43"/>
      <c r="V65" s="43"/>
      <c r="W65" s="43"/>
      <c r="X65" s="43"/>
      <c r="Y65" s="43"/>
      <c r="Z65" s="43"/>
      <c r="AA65" s="43"/>
      <c r="AB65" s="43"/>
      <c r="AC65" s="43"/>
      <c r="AD65" s="43"/>
      <c r="AE65" s="43"/>
      <c r="AF65" s="43"/>
      <c r="AG65" s="43"/>
      <c r="AH65" s="43"/>
      <c r="AI65" s="43"/>
    </row>
    <row r="66" customFormat="false" ht="15" hidden="true" customHeight="false" outlineLevel="0" collapsed="false">
      <c r="B66" s="17" t="s">
        <v>55</v>
      </c>
      <c r="C66" s="47" t="n">
        <f aca="false">C63*0.03</f>
        <v>6300</v>
      </c>
      <c r="D66" s="47"/>
      <c r="E66" s="48" t="n">
        <v>3</v>
      </c>
      <c r="M66" s="43"/>
      <c r="N66" s="43"/>
      <c r="O66" s="43"/>
      <c r="P66" s="43"/>
      <c r="Q66" s="43"/>
      <c r="R66" s="43"/>
      <c r="S66" s="43"/>
      <c r="T66" s="43"/>
      <c r="U66" s="43"/>
      <c r="V66" s="43"/>
      <c r="W66" s="43"/>
      <c r="X66" s="43"/>
      <c r="Y66" s="43"/>
      <c r="Z66" s="43"/>
      <c r="AA66" s="43"/>
      <c r="AB66" s="43"/>
      <c r="AC66" s="43"/>
      <c r="AD66" s="43"/>
      <c r="AE66" s="43"/>
      <c r="AF66" s="43"/>
      <c r="AG66" s="43"/>
      <c r="AH66" s="43"/>
      <c r="AI66" s="43"/>
    </row>
    <row r="67" customFormat="false" ht="15" hidden="true" customHeight="false" outlineLevel="0" collapsed="false">
      <c r="B67" s="17" t="s">
        <v>56</v>
      </c>
      <c r="C67" s="47" t="n">
        <f aca="false">C63*0.02</f>
        <v>4200</v>
      </c>
      <c r="D67" s="47"/>
      <c r="E67" s="48" t="n">
        <v>2</v>
      </c>
      <c r="M67" s="43"/>
      <c r="N67" s="43"/>
      <c r="O67" s="43"/>
      <c r="P67" s="43"/>
      <c r="Q67" s="43"/>
      <c r="R67" s="43"/>
      <c r="S67" s="43"/>
      <c r="T67" s="43"/>
      <c r="U67" s="43"/>
      <c r="V67" s="43"/>
      <c r="W67" s="43"/>
      <c r="X67" s="43"/>
      <c r="Y67" s="43"/>
      <c r="Z67" s="43"/>
      <c r="AA67" s="43"/>
      <c r="AB67" s="43"/>
      <c r="AC67" s="43"/>
      <c r="AD67" s="43"/>
      <c r="AE67" s="43"/>
      <c r="AF67" s="43"/>
      <c r="AG67" s="43"/>
      <c r="AH67" s="43"/>
      <c r="AI67" s="43"/>
    </row>
  </sheetData>
  <mergeCells count="15">
    <mergeCell ref="A1:K1"/>
    <mergeCell ref="A2:K2"/>
    <mergeCell ref="A3:K3"/>
    <mergeCell ref="A4:K4"/>
    <mergeCell ref="A5:K5"/>
    <mergeCell ref="A6:G6"/>
    <mergeCell ref="H6:K6"/>
    <mergeCell ref="A7:F7"/>
    <mergeCell ref="H7:K7"/>
    <mergeCell ref="C62:D62"/>
    <mergeCell ref="C63:D63"/>
    <mergeCell ref="C64:D64"/>
    <mergeCell ref="C65:D65"/>
    <mergeCell ref="C66:D66"/>
    <mergeCell ref="C67:D67"/>
  </mergeCells>
  <printOptions headings="false" gridLines="false" gridLinesSet="true" horizontalCentered="true" verticalCentered="false"/>
  <pageMargins left="0.7" right="0.7" top="0.75" bottom="0.75" header="0.511811023622047" footer="0.3"/>
  <pageSetup paperSize="9" scale="100" fitToWidth="1" fitToHeight="1" pageOrder="downThenOver" orientation="portrait" blackAndWhite="false" draft="false" cellComments="none" horizontalDpi="300" verticalDpi="300" copies="1"/>
  <headerFooter differentFirst="false" differentOddEven="false">
    <oddHeader/>
    <oddFooter>&amp;LPrepared By:
Kristal Suwal&amp;CChecked By:
Er. Milan Phuyal&amp;RApproved By:    
Er. Prakash Singh Saud</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Info Hub</dc:creator>
  <dc:description/>
  <dc:language>en-US</dc:language>
  <cp:lastModifiedBy/>
  <cp:lastPrinted>2024-06-30T09:07:17Z</cp:lastPrinted>
  <dcterms:modified xsi:type="dcterms:W3CDTF">2024-08-07T20:51:13Z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