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60" windowHeight="4635" activeTab="6"/>
  </bookViews>
  <sheets>
    <sheet name="estimate" sheetId="18" r:id="rId1"/>
    <sheet name="abc" sheetId="25" state="hidden" r:id="rId2"/>
    <sheet name="boq" sheetId="26" state="hidden" r:id="rId3"/>
    <sheet name="COMPARISION" sheetId="27" state="hidden" r:id="rId4"/>
    <sheet name="M" sheetId="24" r:id="rId5"/>
    <sheet name="value" sheetId="28" r:id="rId6"/>
    <sheet name="WCR" sheetId="6" r:id="rId7"/>
  </sheets>
  <externalReferences>
    <externalReference r:id="rId8"/>
    <externalReference r:id="rId9"/>
    <externalReference r:id="rId10"/>
    <externalReference r:id="rId11"/>
    <externalReference r:id="rId12"/>
    <externalReference r:id="rId13"/>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1">abc!$A$1:$G$23</definedName>
    <definedName name="_xlnm.Print_Area" localSheetId="2">boq!$A$1:$G$23</definedName>
    <definedName name="_xlnm.Print_Area" localSheetId="3">COMPARISION!$A$1:$M$26</definedName>
    <definedName name="_xlnm.Print_Area" localSheetId="0">estimate!$A$1:$K$53</definedName>
    <definedName name="_xlnm.Print_Area" localSheetId="4">M!$A$1:$K$51</definedName>
    <definedName name="_xlnm.Print_Area" localSheetId="5">value!$A$1:$G$23</definedName>
    <definedName name="_xlnm.Print_Area" localSheetId="6">WCR!$A$1:$K$36</definedName>
    <definedName name="_xlnm.Print_Titles" localSheetId="1">abc!$1:$8</definedName>
    <definedName name="_xlnm.Print_Titles" localSheetId="2">boq!$1:$8</definedName>
    <definedName name="_xlnm.Print_Titles" localSheetId="3">COMPARISION!$1:$8</definedName>
    <definedName name="_xlnm.Print_Titles" localSheetId="0">estimate!$1:$8</definedName>
    <definedName name="_xlnm.Print_Titles" localSheetId="4">M!$1:$8</definedName>
    <definedName name="_xlnm.Print_Titles" localSheetId="5">value!$1:$8</definedName>
    <definedName name="_xlnm.Print_Titles" localSheetId="6">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6" l="1"/>
  <c r="F36" i="6"/>
  <c r="J35" i="6"/>
  <c r="I35" i="6"/>
  <c r="F35" i="6"/>
  <c r="H31" i="6" l="1"/>
  <c r="G31" i="6"/>
  <c r="H29" i="6"/>
  <c r="G29" i="6"/>
  <c r="H27" i="6"/>
  <c r="H25" i="6"/>
  <c r="G25" i="6"/>
  <c r="H23" i="6"/>
  <c r="G23" i="6"/>
  <c r="H21" i="6"/>
  <c r="G21" i="6"/>
  <c r="H19" i="6"/>
  <c r="G19" i="6"/>
  <c r="H17" i="6"/>
  <c r="G17" i="6"/>
  <c r="H15" i="6"/>
  <c r="G15" i="6"/>
  <c r="H13" i="6"/>
  <c r="G13" i="6"/>
  <c r="E10" i="28" l="1"/>
  <c r="E11" i="28"/>
  <c r="E12" i="28"/>
  <c r="E13" i="28"/>
  <c r="E14" i="28"/>
  <c r="E15" i="28"/>
  <c r="E16" i="28"/>
  <c r="E17" i="28"/>
  <c r="E18" i="28"/>
  <c r="E9" i="28"/>
  <c r="J21" i="27"/>
  <c r="F18" i="28" l="1"/>
  <c r="D18" i="28"/>
  <c r="D17" i="28"/>
  <c r="D16" i="28"/>
  <c r="D15" i="28"/>
  <c r="D14" i="28"/>
  <c r="D13" i="28"/>
  <c r="D12" i="28"/>
  <c r="D11" i="28"/>
  <c r="D10" i="28"/>
  <c r="D9" i="28"/>
  <c r="L26" i="27" l="1"/>
  <c r="J26" i="27"/>
  <c r="H26" i="27"/>
  <c r="H22" i="27" l="1"/>
  <c r="L8" i="27"/>
  <c r="K8" i="27"/>
  <c r="J8" i="27"/>
  <c r="I8" i="27"/>
  <c r="H8" i="27"/>
  <c r="G8" i="27"/>
  <c r="F22" i="27"/>
  <c r="E11" i="27"/>
  <c r="E12" i="27"/>
  <c r="E13" i="27"/>
  <c r="E14" i="27"/>
  <c r="E15" i="27"/>
  <c r="E16" i="27"/>
  <c r="E17" i="27"/>
  <c r="E18" i="27"/>
  <c r="E19" i="27"/>
  <c r="E10" i="27"/>
  <c r="D19" i="27"/>
  <c r="C19" i="27"/>
  <c r="J19" i="27" s="1"/>
  <c r="D18" i="27"/>
  <c r="C18" i="27"/>
  <c r="L18" i="27" s="1"/>
  <c r="D17" i="27"/>
  <c r="C17" i="27"/>
  <c r="J17" i="27" s="1"/>
  <c r="D16" i="27"/>
  <c r="C16" i="27"/>
  <c r="L16" i="27" s="1"/>
  <c r="D15" i="27"/>
  <c r="C15" i="27"/>
  <c r="J15" i="27" s="1"/>
  <c r="D14" i="27"/>
  <c r="C14" i="27"/>
  <c r="L14" i="27" s="1"/>
  <c r="D13" i="27"/>
  <c r="C13" i="27"/>
  <c r="J13" i="27" s="1"/>
  <c r="D12" i="27"/>
  <c r="C12" i="27"/>
  <c r="L12" i="27" s="1"/>
  <c r="D11" i="27"/>
  <c r="C11" i="27"/>
  <c r="J11" i="27" s="1"/>
  <c r="D10" i="27"/>
  <c r="C10" i="27"/>
  <c r="L10" i="27" s="1"/>
  <c r="D18" i="26"/>
  <c r="C18" i="26"/>
  <c r="D17" i="26"/>
  <c r="C17" i="26"/>
  <c r="D16" i="26"/>
  <c r="C16" i="26"/>
  <c r="D15" i="26"/>
  <c r="C15" i="26"/>
  <c r="D14" i="26"/>
  <c r="C14" i="26"/>
  <c r="D13" i="26"/>
  <c r="C13" i="26"/>
  <c r="D12" i="26"/>
  <c r="C12" i="26"/>
  <c r="D11" i="26"/>
  <c r="C11" i="26"/>
  <c r="D10" i="26"/>
  <c r="C10" i="26"/>
  <c r="D9" i="26"/>
  <c r="C9" i="26"/>
  <c r="F10" i="25"/>
  <c r="F11" i="25"/>
  <c r="F12" i="25"/>
  <c r="F13" i="25"/>
  <c r="F14" i="25"/>
  <c r="F15" i="25"/>
  <c r="F16" i="25"/>
  <c r="F17" i="25"/>
  <c r="F18" i="25"/>
  <c r="F9" i="25"/>
  <c r="E18" i="25"/>
  <c r="D18" i="25"/>
  <c r="C18" i="25"/>
  <c r="E17" i="25"/>
  <c r="D17" i="25"/>
  <c r="C17" i="25"/>
  <c r="E16" i="25"/>
  <c r="D16" i="25"/>
  <c r="C16" i="25"/>
  <c r="E15" i="25"/>
  <c r="D15" i="25"/>
  <c r="C15" i="25"/>
  <c r="E14" i="25"/>
  <c r="D14" i="25"/>
  <c r="C14" i="25"/>
  <c r="E13" i="25"/>
  <c r="D13" i="25"/>
  <c r="C13" i="25"/>
  <c r="E12" i="25"/>
  <c r="D12" i="25"/>
  <c r="C12" i="25"/>
  <c r="E11" i="25"/>
  <c r="D11" i="25"/>
  <c r="C11" i="25"/>
  <c r="E10" i="25"/>
  <c r="D10" i="25"/>
  <c r="C10" i="25"/>
  <c r="E9" i="25"/>
  <c r="D9" i="25"/>
  <c r="C9" i="25"/>
  <c r="H19" i="27" l="1"/>
  <c r="H17" i="27"/>
  <c r="H15" i="27"/>
  <c r="H13" i="27"/>
  <c r="H11" i="27"/>
  <c r="J10" i="27"/>
  <c r="J16" i="27"/>
  <c r="J14" i="27"/>
  <c r="J12" i="27"/>
  <c r="J18" i="27"/>
  <c r="L19" i="27"/>
  <c r="L17" i="27"/>
  <c r="L15" i="27"/>
  <c r="L13" i="27"/>
  <c r="L11" i="27"/>
  <c r="L20" i="27" s="1"/>
  <c r="H10" i="27"/>
  <c r="H20" i="27" s="1"/>
  <c r="H18" i="27"/>
  <c r="H16" i="27"/>
  <c r="H14" i="27"/>
  <c r="H12" i="27"/>
  <c r="F10" i="27"/>
  <c r="F18" i="27"/>
  <c r="F16" i="27"/>
  <c r="F14" i="27"/>
  <c r="F12" i="27"/>
  <c r="F19" i="27"/>
  <c r="F17" i="27"/>
  <c r="F15" i="27"/>
  <c r="F13" i="27"/>
  <c r="F11" i="27"/>
  <c r="G49" i="24"/>
  <c r="J49" i="24" s="1"/>
  <c r="I47" i="24"/>
  <c r="G46" i="24"/>
  <c r="G47" i="24" s="1"/>
  <c r="I44" i="24"/>
  <c r="G43" i="24"/>
  <c r="G44" i="24" s="1"/>
  <c r="I40" i="24"/>
  <c r="F39" i="24"/>
  <c r="D39" i="24"/>
  <c r="F38" i="24"/>
  <c r="E38" i="24"/>
  <c r="D38" i="24"/>
  <c r="F37" i="24"/>
  <c r="D37" i="24"/>
  <c r="I34" i="24"/>
  <c r="F33" i="24"/>
  <c r="D33" i="24"/>
  <c r="F32" i="24"/>
  <c r="D32" i="24"/>
  <c r="D31" i="24"/>
  <c r="G31" i="24" s="1"/>
  <c r="I28" i="24"/>
  <c r="F27" i="24"/>
  <c r="G27" i="24" s="1"/>
  <c r="F26" i="24"/>
  <c r="D26" i="24"/>
  <c r="G26" i="24" s="1"/>
  <c r="G28" i="24" s="1"/>
  <c r="I23" i="24"/>
  <c r="M23" i="24" s="1"/>
  <c r="G22" i="24"/>
  <c r="G23" i="24" s="1"/>
  <c r="I19" i="24"/>
  <c r="M19" i="24" s="1"/>
  <c r="G18" i="24"/>
  <c r="G19" i="24" s="1"/>
  <c r="I15" i="24"/>
  <c r="G14" i="24"/>
  <c r="G15" i="24" s="1"/>
  <c r="F14" i="24"/>
  <c r="I11" i="24"/>
  <c r="G10" i="24"/>
  <c r="G11" i="24" s="1"/>
  <c r="A6" i="24"/>
  <c r="I46" i="18"/>
  <c r="I43" i="18"/>
  <c r="I39" i="18"/>
  <c r="I27" i="18"/>
  <c r="I22" i="18"/>
  <c r="I18" i="18"/>
  <c r="I14" i="18"/>
  <c r="I11" i="18"/>
  <c r="J15" i="24" l="1"/>
  <c r="C10" i="28"/>
  <c r="F10" i="28" s="1"/>
  <c r="J19" i="24"/>
  <c r="C11" i="28"/>
  <c r="F11" i="28" s="1"/>
  <c r="J23" i="24"/>
  <c r="C12" i="28"/>
  <c r="F12" i="28" s="1"/>
  <c r="J28" i="24"/>
  <c r="C13" i="28"/>
  <c r="F13" i="28" s="1"/>
  <c r="J44" i="24"/>
  <c r="C16" i="28"/>
  <c r="F16" i="28" s="1"/>
  <c r="J47" i="24"/>
  <c r="C17" i="28"/>
  <c r="F17" i="28" s="1"/>
  <c r="J11" i="24"/>
  <c r="C9" i="28"/>
  <c r="F9" i="28" s="1"/>
  <c r="G38" i="24"/>
  <c r="L21" i="27"/>
  <c r="L23" i="27"/>
  <c r="J20" i="27"/>
  <c r="F20" i="27"/>
  <c r="H28" i="27" s="1"/>
  <c r="H21" i="27"/>
  <c r="H23" i="27" s="1"/>
  <c r="F21" i="27"/>
  <c r="F19" i="25"/>
  <c r="F20" i="25" s="1"/>
  <c r="F21" i="25" s="1"/>
  <c r="F23" i="25" s="1"/>
  <c r="G32" i="24"/>
  <c r="G33" i="24"/>
  <c r="G37" i="24"/>
  <c r="G39" i="24"/>
  <c r="G40" i="24" s="1"/>
  <c r="G34" i="24"/>
  <c r="E31" i="6"/>
  <c r="E29" i="6"/>
  <c r="C29" i="6"/>
  <c r="B29" i="6"/>
  <c r="A29" i="6"/>
  <c r="E27" i="6"/>
  <c r="C27" i="6"/>
  <c r="B27" i="6"/>
  <c r="A27" i="6"/>
  <c r="E25" i="6"/>
  <c r="C25" i="6"/>
  <c r="B25" i="6"/>
  <c r="A25" i="6"/>
  <c r="E23" i="6"/>
  <c r="C23" i="6"/>
  <c r="B23" i="6"/>
  <c r="A23" i="6"/>
  <c r="C21" i="6"/>
  <c r="B21" i="6"/>
  <c r="A21" i="6"/>
  <c r="M22" i="6"/>
  <c r="M24" i="6"/>
  <c r="M26" i="6"/>
  <c r="M28" i="6"/>
  <c r="M30" i="6"/>
  <c r="E19" i="6"/>
  <c r="C19" i="6"/>
  <c r="A19" i="6"/>
  <c r="E17" i="6"/>
  <c r="C17" i="6"/>
  <c r="B19" i="6"/>
  <c r="B17" i="6"/>
  <c r="A17" i="6"/>
  <c r="E15" i="6"/>
  <c r="C15" i="6"/>
  <c r="B15" i="6"/>
  <c r="A15" i="6"/>
  <c r="E13" i="6"/>
  <c r="C13" i="6"/>
  <c r="B13" i="6"/>
  <c r="A13" i="6"/>
  <c r="A9" i="6"/>
  <c r="A8" i="6"/>
  <c r="F26" i="18"/>
  <c r="F25" i="18"/>
  <c r="M22" i="18"/>
  <c r="G21" i="18"/>
  <c r="G22" i="18" s="1"/>
  <c r="G10" i="18"/>
  <c r="G11" i="18" s="1"/>
  <c r="J11" i="18" s="1"/>
  <c r="M18" i="18"/>
  <c r="F38" i="18"/>
  <c r="D38" i="18"/>
  <c r="G45" i="18"/>
  <c r="G46" i="18" s="1"/>
  <c r="D29" i="6" s="1"/>
  <c r="G42" i="18"/>
  <c r="G43" i="18" s="1"/>
  <c r="D27" i="6" s="1"/>
  <c r="F37" i="18"/>
  <c r="F36" i="18"/>
  <c r="D36" i="18"/>
  <c r="D37" i="18"/>
  <c r="E37" i="18"/>
  <c r="D32" i="18"/>
  <c r="F32" i="18"/>
  <c r="D31" i="18"/>
  <c r="F31" i="18"/>
  <c r="J40" i="24" l="1"/>
  <c r="C15" i="28"/>
  <c r="F15" i="28" s="1"/>
  <c r="J34" i="24"/>
  <c r="J51" i="24" s="1"/>
  <c r="C53" i="24" s="1"/>
  <c r="C14" i="28"/>
  <c r="F14" i="28" s="1"/>
  <c r="F19" i="28" s="1"/>
  <c r="F20" i="28" s="1"/>
  <c r="F21" i="28" s="1"/>
  <c r="F23" i="28" s="1"/>
  <c r="L25" i="27"/>
  <c r="H25" i="27"/>
  <c r="F23" i="27"/>
  <c r="J25" i="27"/>
  <c r="J23" i="27"/>
  <c r="C54" i="24"/>
  <c r="C55" i="24" s="1"/>
  <c r="F27" i="6"/>
  <c r="F29" i="6"/>
  <c r="I29" i="6"/>
  <c r="I21" i="6"/>
  <c r="D13" i="6"/>
  <c r="D19" i="6"/>
  <c r="J22" i="18"/>
  <c r="G31" i="18"/>
  <c r="G38" i="18"/>
  <c r="G37" i="18"/>
  <c r="G32" i="18"/>
  <c r="G36" i="18"/>
  <c r="J27" i="6" l="1"/>
  <c r="I23" i="6"/>
  <c r="J29" i="6"/>
  <c r="I25" i="6"/>
  <c r="G39" i="18"/>
  <c r="D25" i="6" s="1"/>
  <c r="F25" i="6" s="1"/>
  <c r="J43" i="18"/>
  <c r="J25" i="6" l="1"/>
  <c r="J39" i="18"/>
  <c r="D30" i="18" l="1"/>
  <c r="D25" i="18"/>
  <c r="E21" i="6"/>
  <c r="G26" i="18"/>
  <c r="G25" i="18" l="1"/>
  <c r="G27" i="18" s="1"/>
  <c r="D21" i="6" s="1"/>
  <c r="F21" i="6" s="1"/>
  <c r="J21" i="6" s="1"/>
  <c r="G30" i="18" l="1"/>
  <c r="G33" i="18" s="1"/>
  <c r="D23" i="6" s="1"/>
  <c r="F23" i="6" s="1"/>
  <c r="J23" i="6" s="1"/>
  <c r="J46" i="18" l="1"/>
  <c r="J33" i="18" l="1"/>
  <c r="G17" i="18"/>
  <c r="G18" i="18" s="1"/>
  <c r="F13" i="18"/>
  <c r="D17" i="6" l="1"/>
  <c r="J27" i="18"/>
  <c r="J18" i="18"/>
  <c r="C31" i="6" l="1"/>
  <c r="B31" i="6"/>
  <c r="A31" i="6"/>
  <c r="M20" i="6"/>
  <c r="M18" i="6"/>
  <c r="I17" i="6" l="1"/>
  <c r="G48" i="18"/>
  <c r="G13" i="18"/>
  <c r="G14" i="18" s="1"/>
  <c r="D15" i="6" l="1"/>
  <c r="J48" i="18"/>
  <c r="D31" i="6"/>
  <c r="J14" i="18"/>
  <c r="J49" i="18" s="1"/>
  <c r="J50" i="18" l="1"/>
  <c r="J51" i="18" s="1"/>
  <c r="J53" i="18" s="1"/>
  <c r="I19" i="6"/>
  <c r="F17" i="6"/>
  <c r="J17" i="6" s="1"/>
  <c r="F19" i="6" l="1"/>
  <c r="J19" i="6" s="1"/>
  <c r="F15" i="6" l="1"/>
  <c r="I15" i="6"/>
  <c r="J15" i="6" l="1"/>
  <c r="M16" i="6" l="1"/>
  <c r="I31" i="6" l="1"/>
  <c r="I13" i="6"/>
  <c r="F31" i="6" l="1"/>
  <c r="J31" i="6" s="1"/>
  <c r="F13" i="6" l="1"/>
  <c r="M13" i="6" l="1"/>
  <c r="J13" i="6"/>
  <c r="I33" i="6" l="1"/>
  <c r="I34" i="6" l="1"/>
  <c r="I36" i="6" s="1"/>
  <c r="J36" i="6" s="1"/>
  <c r="J6" i="6"/>
  <c r="F33" i="6" l="1"/>
  <c r="F34" i="6" l="1"/>
  <c r="J34" i="6" s="1"/>
  <c r="J33" i="6"/>
  <c r="C6" i="6" l="1"/>
</calcChain>
</file>

<file path=xl/sharedStrings.xml><?xml version="1.0" encoding="utf-8"?>
<sst xmlns="http://schemas.openxmlformats.org/spreadsheetml/2006/main" count="286" uniqueCount="76">
  <si>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</si>
  <si>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</si>
  <si>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</si>
  <si>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</si>
  <si>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</si>
  <si>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</si>
  <si>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</si>
  <si>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</si>
  <si>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</si>
  <si>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</si>
  <si>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</si>
  <si>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</si>
  <si>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</si>
  <si>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</si>
  <si>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</si>
  <si>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</si>
  <si>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</si>
  <si>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</si>
  <si>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</si>
  <si>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</si>
  <si>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</si>
  <si>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</si>
  <si>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</si>
  <si>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</si>
  <si>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</si>
  <si>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</si>
  <si>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</si>
  <si>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Location:- Shankharapur Municipality 9</t>
  </si>
  <si>
    <t>cum</t>
  </si>
  <si>
    <t>Information board</t>
  </si>
  <si>
    <t>no.</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</si>
  <si>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</si>
  <si>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</si>
  <si>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</si>
  <si>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</si>
  <si>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Detail Quantity Measurement Sheet</t>
  </si>
  <si>
    <t>Total Valuated</t>
  </si>
  <si>
    <t xml:space="preserve">Work Started : </t>
  </si>
  <si>
    <t xml:space="preserve">Work Finished:       </t>
  </si>
  <si>
    <t xml:space="preserve">F.Y.: 2081/082     </t>
  </si>
  <si>
    <t xml:space="preserve">Date:                     </t>
  </si>
  <si>
    <t>Providing and Laying Reinforced cement concrete NP3 Flush jointed pipe for culverts including fixing with cement mortar 1:2 as per Drawing and Technical Specifications., 450 mm  internal dia.</t>
  </si>
  <si>
    <t>rm</t>
  </si>
  <si>
    <t>-For hume pipe laying</t>
  </si>
  <si>
    <t>e'O{+tNnfdf lrDgL e§fsf] O{+6fsf] uf/f] l;d]G6 d;nf -!M^_ df</t>
  </si>
  <si>
    <t>-For roadside drain mangaal</t>
  </si>
  <si>
    <t>-For road</t>
  </si>
  <si>
    <t>Providing and laying  granular sub-base   without compaction on prepared surface, mixing  , complete as per Drawing and Technical Specifications., By Mechanical means</t>
  </si>
  <si>
    <t xml:space="preserve"> </t>
  </si>
  <si>
    <t>Round manhole cover medium 450mm (22")</t>
  </si>
  <si>
    <t>-deduction for hume pipe opening</t>
  </si>
  <si>
    <t>-Roadside drain wall</t>
  </si>
  <si>
    <t>Random Rubble Masonry, Providing and laying of Stone Masonry Work in Cement Mortar 1:6 in Foundation complete as per Drawing and Technical Specifications.</t>
  </si>
  <si>
    <t>PS</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</si>
  <si>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</si>
  <si>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Providing and Laying Reinforced cement concrete NP3 Flush jointed pipe for culverts including fixing with cement mortar 1:2 as per Drawing and Technical Specifications., 300 mm  internal dia.</t>
  </si>
  <si>
    <t>F.Y:2081/2082</t>
  </si>
  <si>
    <t>Project:- Pasikhel pahiro roktham kaarya</t>
  </si>
  <si>
    <t>VAT 13%</t>
  </si>
  <si>
    <t xml:space="preserve">Date:                  </t>
  </si>
  <si>
    <t>Providing and laying brick masonary work in 1:6 c/s mortar ratio with all work complete</t>
  </si>
  <si>
    <t>13% vat</t>
  </si>
  <si>
    <t>Povisional sum for un foreseen works</t>
  </si>
  <si>
    <t>Grand total</t>
  </si>
  <si>
    <t xml:space="preserve"> Total</t>
  </si>
  <si>
    <t>Abstract Of Cost</t>
  </si>
  <si>
    <t>BOQ</t>
  </si>
  <si>
    <t xml:space="preserve">Rate </t>
  </si>
  <si>
    <t>Rate in words</t>
  </si>
  <si>
    <t>Comparision</t>
  </si>
  <si>
    <t>amount</t>
  </si>
  <si>
    <t>shankharapur indreni</t>
  </si>
  <si>
    <t>oskar nirman</t>
  </si>
  <si>
    <t>rita cons</t>
  </si>
  <si>
    <t>Detail valuation</t>
  </si>
  <si>
    <t>Provisional sum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</si>
</sst>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b/>
      <sz val="12"/>
      <name val="Times New Roman"/>
      <family val="1"/>
    </font>
    <font>
      <sz val="12"/>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12">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0" fontId="17" fillId="3" borderId="1" xfId="0" applyFont="1" applyFill="1" applyBorder="1" applyAlignment="1">
      <alignment wrapText="1"/>
    </xf>
    <xf numFmtId="0" fontId="19" fillId="3" borderId="1" xfId="0" applyFont="1" applyFill="1" applyBorder="1" applyAlignment="1">
      <alignment wrapText="1"/>
    </xf>
    <xf numFmtId="1" fontId="18" fillId="0" borderId="1" xfId="0" applyNumberFormat="1" applyFont="1" applyFill="1" applyBorder="1" applyAlignment="1">
      <alignment vertical="center"/>
    </xf>
    <xf numFmtId="1" fontId="19" fillId="0" borderId="1" xfId="0" applyNumberFormat="1" applyFont="1" applyFill="1" applyBorder="1" applyAlignment="1">
      <alignment vertical="center" wrapText="1"/>
    </xf>
    <xf numFmtId="2" fontId="19"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8" fillId="0" borderId="1" xfId="1" applyNumberFormat="1" applyFont="1" applyFill="1" applyBorder="1" applyAlignment="1">
      <alignment vertical="center"/>
    </xf>
    <xf numFmtId="2" fontId="18" fillId="0" borderId="1" xfId="0" applyNumberFormat="1" applyFont="1" applyFill="1" applyBorder="1" applyAlignment="1">
      <alignment vertical="center"/>
    </xf>
    <xf numFmtId="2" fontId="7" fillId="0" borderId="1" xfId="0" applyNumberFormat="1" applyFont="1" applyBorder="1" applyAlignment="1">
      <alignment vertical="center"/>
    </xf>
    <xf numFmtId="0" fontId="7" fillId="0" borderId="1" xfId="0" applyFont="1" applyBorder="1" applyAlignment="1">
      <alignment vertical="center"/>
    </xf>
    <xf numFmtId="1" fontId="6" fillId="0" borderId="1" xfId="0" quotePrefix="1" applyNumberFormat="1" applyFont="1" applyBorder="1" applyAlignment="1">
      <alignment horizontal="right" vertical="center" wrapText="1"/>
    </xf>
    <xf numFmtId="164" fontId="19" fillId="0" borderId="1" xfId="1" applyNumberFormat="1" applyFont="1" applyFill="1" applyBorder="1" applyAlignment="1">
      <alignment vertical="center"/>
    </xf>
    <xf numFmtId="2" fontId="6" fillId="0" borderId="1" xfId="0" applyNumberFormat="1" applyFont="1" applyBorder="1" applyAlignment="1">
      <alignment vertical="center"/>
    </xf>
    <xf numFmtId="1" fontId="19" fillId="0" borderId="1" xfId="0" applyNumberFormat="1" applyFont="1" applyFill="1" applyBorder="1" applyAlignment="1">
      <alignment horizontal="right" vertical="center" wrapText="1"/>
    </xf>
    <xf numFmtId="0" fontId="6" fillId="0" borderId="1" xfId="0" applyFont="1" applyBorder="1" applyAlignment="1">
      <alignment vertical="center"/>
    </xf>
    <xf numFmtId="0" fontId="6" fillId="0" borderId="1" xfId="0" applyFont="1" applyBorder="1" applyAlignment="1">
      <alignment vertical="center" wrapText="1"/>
    </xf>
    <xf numFmtId="164" fontId="19" fillId="0" borderId="1" xfId="0" applyNumberFormat="1" applyFont="1" applyFill="1" applyBorder="1" applyAlignment="1">
      <alignment vertical="center"/>
    </xf>
    <xf numFmtId="2" fontId="7" fillId="0" borderId="1" xfId="1" applyNumberFormat="1" applyFont="1" applyBorder="1" applyAlignment="1">
      <alignment vertical="center"/>
    </xf>
    <xf numFmtId="0" fontId="6" fillId="0" borderId="1" xfId="0" applyFont="1" applyBorder="1"/>
    <xf numFmtId="1" fontId="19" fillId="0" borderId="1" xfId="0" quotePrefix="1" applyNumberFormat="1" applyFont="1" applyFill="1" applyBorder="1" applyAlignment="1">
      <alignment horizontal="right" vertical="center" wrapText="1"/>
    </xf>
    <xf numFmtId="2" fontId="7" fillId="0" borderId="1" xfId="0" applyNumberFormat="1" applyFont="1" applyBorder="1"/>
    <xf numFmtId="0" fontId="7" fillId="0" borderId="1" xfId="0" applyFont="1" applyBorder="1"/>
    <xf numFmtId="164" fontId="6" fillId="0" borderId="1" xfId="0" applyNumberFormat="1" applyFont="1" applyBorder="1"/>
    <xf numFmtId="2" fontId="6" fillId="0" borderId="1" xfId="0" applyNumberFormat="1" applyFont="1" applyBorder="1"/>
    <xf numFmtId="0" fontId="7" fillId="0" borderId="1" xfId="0" applyFont="1" applyBorder="1" applyAlignment="1">
      <alignment horizontal="right" vertical="center"/>
    </xf>
    <xf numFmtId="43" fontId="7" fillId="0" borderId="1" xfId="1" applyFont="1" applyBorder="1" applyAlignment="1">
      <alignment vertical="center"/>
    </xf>
    <xf numFmtId="1" fontId="19" fillId="0" borderId="1" xfId="0" applyNumberFormat="1" applyFont="1" applyFill="1" applyBorder="1" applyAlignment="1">
      <alignment vertical="center"/>
    </xf>
    <xf numFmtId="0" fontId="6" fillId="0" borderId="1" xfId="0" applyFont="1" applyBorder="1" applyAlignment="1"/>
    <xf numFmtId="0" fontId="6" fillId="0" borderId="1" xfId="0" applyFont="1" applyBorder="1" applyAlignment="1">
      <alignment horizontal="right" wrapText="1"/>
    </xf>
    <xf numFmtId="2" fontId="2" fillId="0" borderId="0" xfId="0" applyNumberFormat="1" applyFont="1"/>
    <xf numFmtId="0" fontId="7" fillId="0" borderId="0" xfId="0" applyFont="1" applyBorder="1"/>
    <xf numFmtId="0" fontId="6" fillId="0" borderId="0" xfId="0" applyFont="1" applyBorder="1"/>
    <xf numFmtId="2" fontId="7" fillId="0" borderId="0" xfId="0" applyNumberFormat="1" applyFont="1" applyBorder="1"/>
    <xf numFmtId="0" fontId="6" fillId="0" borderId="0" xfId="0" applyFont="1"/>
    <xf numFmtId="0" fontId="6" fillId="0" borderId="0" xfId="0" applyFont="1" applyAlignment="1">
      <alignment horizontal="right"/>
    </xf>
    <xf numFmtId="2" fontId="6" fillId="0" borderId="1" xfId="0" applyNumberFormat="1" applyFont="1" applyBorder="1" applyAlignment="1">
      <alignment horizontal="center" vertical="center"/>
    </xf>
    <xf numFmtId="2" fontId="6" fillId="0" borderId="1" xfId="0" applyNumberFormat="1" applyFont="1" applyBorder="1" applyAlignment="1">
      <alignment horizont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7" fillId="0" borderId="2" xfId="1" applyFont="1" applyBorder="1" applyAlignment="1">
      <alignment horizontal="center"/>
    </xf>
    <xf numFmtId="43" fontId="7" fillId="0" borderId="3" xfId="1" applyFont="1" applyBorder="1" applyAlignment="1">
      <alignment horizontal="center"/>
    </xf>
    <xf numFmtId="0" fontId="6" fillId="0" borderId="0" xfId="0" applyFont="1" applyAlignment="1"/>
    <xf numFmtId="2" fontId="0" fillId="0" borderId="1" xfId="0" applyNumberFormat="1" applyBorder="1" applyAlignment="1">
      <alignment horizontal="center" vertical="center"/>
    </xf>
    <xf numFmtId="2" fontId="0" fillId="0" borderId="1" xfId="0" applyNumberFormat="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Fill="1" applyBorder="1"/>
    <xf numFmtId="0" fontId="6" fillId="0" borderId="1" xfId="0" applyFont="1" applyFill="1" applyBorder="1"/>
    <xf numFmtId="2" fontId="7" fillId="0" borderId="1" xfId="0" applyNumberFormat="1" applyFont="1" applyFill="1" applyBorder="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view="pageBreakPreview" topLeftCell="A37" zoomScale="80" zoomScaleNormal="100" zoomScaleSheetLayoutView="80" workbookViewId="0">
      <selection activeCell="B12" sqref="B12"/>
    </sheetView>
  </sheetViews>
  <sheetFormatPr defaultRowHeight="15" x14ac:dyDescent="0.25"/>
  <cols>
    <col min="1" max="1" width="5.42578125" style="6" bestFit="1" customWidth="1"/>
    <col min="2" max="2" width="46.5703125" customWidth="1"/>
    <col min="3" max="3" width="6.7109375" bestFit="1" customWidth="1"/>
    <col min="4" max="4" width="6.7109375" customWidth="1"/>
    <col min="5" max="5" width="7.85546875" customWidth="1"/>
    <col min="6" max="6" width="7.140625" customWidth="1"/>
    <col min="7" max="7" width="9.28515625" style="6" customWidth="1"/>
    <col min="8" max="8" width="6.28515625" style="6" bestFit="1" customWidth="1"/>
    <col min="9" max="9" width="14.28515625" style="6" bestFit="1" customWidth="1"/>
    <col min="10" max="10" width="16" style="6" bestFit="1" customWidth="1"/>
    <col min="11" max="11" width="9.85546875" bestFit="1" customWidth="1"/>
  </cols>
  <sheetData>
    <row r="1" spans="1:11" s="1" customFormat="1" x14ac:dyDescent="0.25">
      <c r="A1" s="88" t="s">
        <v>0</v>
      </c>
      <c r="B1" s="88"/>
      <c r="C1" s="88"/>
      <c r="D1" s="88"/>
      <c r="E1" s="88"/>
      <c r="F1" s="88"/>
      <c r="G1" s="88"/>
      <c r="H1" s="88"/>
      <c r="I1" s="88"/>
      <c r="J1" s="88"/>
      <c r="K1" s="88"/>
    </row>
    <row r="2" spans="1:11" s="1" customFormat="1" ht="22.5" x14ac:dyDescent="0.25">
      <c r="A2" s="89" t="s">
        <v>1</v>
      </c>
      <c r="B2" s="89"/>
      <c r="C2" s="89"/>
      <c r="D2" s="89"/>
      <c r="E2" s="89"/>
      <c r="F2" s="89"/>
      <c r="G2" s="89"/>
      <c r="H2" s="89"/>
      <c r="I2" s="89"/>
      <c r="J2" s="89"/>
      <c r="K2" s="89"/>
    </row>
    <row r="3" spans="1:11" s="1" customFormat="1" x14ac:dyDescent="0.25">
      <c r="A3" s="90" t="s">
        <v>2</v>
      </c>
      <c r="B3" s="90"/>
      <c r="C3" s="90"/>
      <c r="D3" s="90"/>
      <c r="E3" s="90"/>
      <c r="F3" s="90"/>
      <c r="G3" s="90"/>
      <c r="H3" s="90"/>
      <c r="I3" s="90"/>
      <c r="J3" s="90"/>
      <c r="K3" s="90"/>
    </row>
    <row r="4" spans="1:11" s="1" customFormat="1" x14ac:dyDescent="0.25">
      <c r="A4" s="90" t="s">
        <v>3</v>
      </c>
      <c r="B4" s="90"/>
      <c r="C4" s="90"/>
      <c r="D4" s="90"/>
      <c r="E4" s="90"/>
      <c r="F4" s="90"/>
      <c r="G4" s="90"/>
      <c r="H4" s="90"/>
      <c r="I4" s="90"/>
      <c r="J4" s="90"/>
      <c r="K4" s="90"/>
    </row>
    <row r="5" spans="1:11" ht="18.75" x14ac:dyDescent="0.3">
      <c r="A5" s="91" t="s">
        <v>4</v>
      </c>
      <c r="B5" s="91"/>
      <c r="C5" s="91"/>
      <c r="D5" s="91"/>
      <c r="E5" s="91"/>
      <c r="F5" s="91"/>
      <c r="G5" s="91"/>
      <c r="H5" s="91"/>
      <c r="I5" s="91"/>
      <c r="J5" s="91"/>
      <c r="K5" s="91"/>
    </row>
    <row r="6" spans="1:11" ht="18.75" x14ac:dyDescent="0.3">
      <c r="A6" s="87" t="s">
        <v>57</v>
      </c>
      <c r="B6" s="87"/>
      <c r="C6" s="87"/>
      <c r="D6" s="87"/>
      <c r="E6" s="87"/>
      <c r="F6" s="87"/>
      <c r="G6" s="87"/>
      <c r="H6" s="84" t="s">
        <v>39</v>
      </c>
      <c r="I6" s="84"/>
      <c r="J6" s="84"/>
      <c r="K6" s="84"/>
    </row>
    <row r="7" spans="1:11" ht="15.75" x14ac:dyDescent="0.25">
      <c r="A7" s="83" t="s">
        <v>27</v>
      </c>
      <c r="B7" s="83"/>
      <c r="C7" s="83"/>
      <c r="D7" s="83"/>
      <c r="E7" s="83"/>
      <c r="F7" s="83"/>
      <c r="G7" s="2"/>
      <c r="H7" s="84"/>
      <c r="I7" s="84"/>
      <c r="J7" s="84"/>
      <c r="K7" s="84"/>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10.25" x14ac:dyDescent="0.25">
      <c r="A9" s="52">
        <v>1</v>
      </c>
      <c r="B9" s="53" t="s">
        <v>54</v>
      </c>
      <c r="C9" s="54"/>
      <c r="D9" s="55"/>
      <c r="E9" s="54"/>
      <c r="F9" s="54"/>
      <c r="G9" s="56"/>
      <c r="H9" s="57"/>
      <c r="I9" s="56"/>
      <c r="J9" s="58"/>
      <c r="K9" s="54"/>
    </row>
    <row r="10" spans="1:11" ht="15.75" x14ac:dyDescent="0.25">
      <c r="A10" s="59"/>
      <c r="B10" s="60" t="s">
        <v>34</v>
      </c>
      <c r="C10" s="61">
        <v>1</v>
      </c>
      <c r="D10" s="55">
        <v>20</v>
      </c>
      <c r="E10" s="54">
        <v>0.4</v>
      </c>
      <c r="F10" s="54">
        <v>0.2</v>
      </c>
      <c r="G10" s="62">
        <f>PRODUCT(C10:F10)</f>
        <v>1.6</v>
      </c>
      <c r="H10" s="57"/>
      <c r="I10" s="56"/>
      <c r="J10" s="56"/>
      <c r="K10" s="54"/>
    </row>
    <row r="11" spans="1:11" ht="15.75" x14ac:dyDescent="0.25">
      <c r="A11" s="52"/>
      <c r="B11" s="63" t="s">
        <v>31</v>
      </c>
      <c r="C11" s="54"/>
      <c r="D11" s="55"/>
      <c r="E11" s="54"/>
      <c r="F11" s="54"/>
      <c r="G11" s="56">
        <f>SUM(G10:G10)</f>
        <v>1.6</v>
      </c>
      <c r="H11" s="57" t="s">
        <v>28</v>
      </c>
      <c r="I11" s="56">
        <f>736.88*1.15</f>
        <v>847.41199999999992</v>
      </c>
      <c r="J11" s="58">
        <f>G11*I11</f>
        <v>1355.8591999999999</v>
      </c>
      <c r="K11" s="54"/>
    </row>
    <row r="12" spans="1:11" ht="110.25" x14ac:dyDescent="0.25">
      <c r="A12" s="52">
        <v>2</v>
      </c>
      <c r="B12" s="53" t="s">
        <v>33</v>
      </c>
      <c r="C12" s="64"/>
      <c r="D12" s="64"/>
      <c r="E12" s="64"/>
      <c r="F12" s="64"/>
      <c r="G12" s="59"/>
      <c r="H12" s="57"/>
      <c r="I12" s="56"/>
      <c r="J12" s="56"/>
      <c r="K12" s="54"/>
    </row>
    <row r="13" spans="1:11" ht="15.75" x14ac:dyDescent="0.25">
      <c r="A13" s="59"/>
      <c r="B13" s="60" t="s">
        <v>43</v>
      </c>
      <c r="C13" s="61">
        <v>10</v>
      </c>
      <c r="D13" s="55">
        <v>2.5</v>
      </c>
      <c r="E13" s="54">
        <v>0.75</v>
      </c>
      <c r="F13" s="54">
        <f>23/12/3.281</f>
        <v>0.58417149243116939</v>
      </c>
      <c r="G13" s="62">
        <f>PRODUCT(C13:F13)</f>
        <v>10.953215483084426</v>
      </c>
      <c r="H13" s="57"/>
      <c r="I13" s="56"/>
      <c r="J13" s="56"/>
      <c r="K13" s="54"/>
    </row>
    <row r="14" spans="1:11" ht="15.75" x14ac:dyDescent="0.25">
      <c r="A14" s="52"/>
      <c r="B14" s="63" t="s">
        <v>31</v>
      </c>
      <c r="C14" s="54"/>
      <c r="D14" s="55"/>
      <c r="E14" s="54"/>
      <c r="F14" s="54"/>
      <c r="G14" s="56">
        <f>SUM(G13:G13)</f>
        <v>10.953215483084426</v>
      </c>
      <c r="H14" s="57" t="s">
        <v>28</v>
      </c>
      <c r="I14" s="56">
        <f>64.63*1.15</f>
        <v>74.324499999999986</v>
      </c>
      <c r="J14" s="58">
        <f>G14*I14</f>
        <v>814.09226417250829</v>
      </c>
      <c r="K14" s="54"/>
    </row>
    <row r="15" spans="1:11" ht="15.75" x14ac:dyDescent="0.25">
      <c r="A15" s="52"/>
      <c r="B15" s="63"/>
      <c r="C15" s="54"/>
      <c r="D15" s="55"/>
      <c r="E15" s="54"/>
      <c r="F15" s="54"/>
      <c r="G15" s="56"/>
      <c r="H15" s="57"/>
      <c r="I15" s="56"/>
      <c r="J15" s="58"/>
      <c r="K15" s="54"/>
    </row>
    <row r="16" spans="1:11" ht="63" x14ac:dyDescent="0.25">
      <c r="A16" s="52">
        <v>3</v>
      </c>
      <c r="B16" s="65" t="s">
        <v>41</v>
      </c>
      <c r="C16" s="66"/>
      <c r="D16" s="55"/>
      <c r="E16" s="54"/>
      <c r="F16" s="54"/>
      <c r="G16" s="56"/>
      <c r="H16" s="57"/>
      <c r="I16" s="56"/>
      <c r="J16" s="67"/>
      <c r="K16" s="54"/>
    </row>
    <row r="17" spans="1:13" ht="15.75" x14ac:dyDescent="0.25">
      <c r="A17" s="59"/>
      <c r="B17" s="60" t="s">
        <v>34</v>
      </c>
      <c r="C17" s="61">
        <v>10</v>
      </c>
      <c r="D17" s="55">
        <v>2.5</v>
      </c>
      <c r="E17" s="54"/>
      <c r="F17" s="54"/>
      <c r="G17" s="62">
        <f>PRODUCT(C17:F17)</f>
        <v>25</v>
      </c>
      <c r="H17" s="57"/>
      <c r="I17" s="56"/>
      <c r="J17" s="56"/>
      <c r="K17" s="54"/>
    </row>
    <row r="18" spans="1:13" ht="15.75" x14ac:dyDescent="0.25">
      <c r="A18" s="52"/>
      <c r="B18" s="63" t="s">
        <v>31</v>
      </c>
      <c r="C18" s="54"/>
      <c r="D18" s="55"/>
      <c r="E18" s="54"/>
      <c r="F18" s="54"/>
      <c r="G18" s="56">
        <f>SUM(G17:G17)</f>
        <v>25</v>
      </c>
      <c r="H18" s="57" t="s">
        <v>42</v>
      </c>
      <c r="I18" s="56">
        <f>5144.96*1.15</f>
        <v>5916.7039999999997</v>
      </c>
      <c r="J18" s="58">
        <f>G18*I18</f>
        <v>147917.6</v>
      </c>
      <c r="K18" s="54"/>
      <c r="M18">
        <f>I18*2.5</f>
        <v>14791.759999999998</v>
      </c>
    </row>
    <row r="19" spans="1:13" ht="15.75" x14ac:dyDescent="0.25">
      <c r="A19" s="52"/>
      <c r="B19" s="63"/>
      <c r="C19" s="54"/>
      <c r="D19" s="55"/>
      <c r="E19" s="54"/>
      <c r="F19" s="54"/>
      <c r="G19" s="56"/>
      <c r="H19" s="57"/>
      <c r="I19" s="56"/>
      <c r="J19" s="58"/>
      <c r="K19" s="54"/>
    </row>
    <row r="20" spans="1:13" ht="63" x14ac:dyDescent="0.25">
      <c r="A20" s="52">
        <v>4</v>
      </c>
      <c r="B20" s="65" t="s">
        <v>55</v>
      </c>
      <c r="C20" s="66"/>
      <c r="D20" s="55"/>
      <c r="E20" s="54"/>
      <c r="F20" s="54"/>
      <c r="G20" s="56"/>
      <c r="H20" s="57"/>
      <c r="I20" s="56"/>
      <c r="J20" s="67"/>
      <c r="K20" s="54"/>
    </row>
    <row r="21" spans="1:13" ht="15.75" x14ac:dyDescent="0.25">
      <c r="A21" s="59"/>
      <c r="B21" s="60" t="s">
        <v>34</v>
      </c>
      <c r="C21" s="61">
        <v>1</v>
      </c>
      <c r="D21" s="55">
        <v>2.5</v>
      </c>
      <c r="E21" s="54"/>
      <c r="F21" s="54"/>
      <c r="G21" s="62">
        <f>PRODUCT(C21:F21)</f>
        <v>2.5</v>
      </c>
      <c r="H21" s="57"/>
      <c r="I21" s="56"/>
      <c r="J21" s="56"/>
      <c r="K21" s="54"/>
    </row>
    <row r="22" spans="1:13" ht="15.75" x14ac:dyDescent="0.25">
      <c r="A22" s="52"/>
      <c r="B22" s="63" t="s">
        <v>31</v>
      </c>
      <c r="C22" s="54"/>
      <c r="D22" s="55"/>
      <c r="E22" s="54"/>
      <c r="F22" s="54"/>
      <c r="G22" s="56">
        <f>SUM(G21:G21)</f>
        <v>2.5</v>
      </c>
      <c r="H22" s="57" t="s">
        <v>42</v>
      </c>
      <c r="I22" s="56">
        <f>3697.12*1.15</f>
        <v>4251.6879999999992</v>
      </c>
      <c r="J22" s="58">
        <f>G22*I22</f>
        <v>10629.219999999998</v>
      </c>
      <c r="K22" s="54"/>
      <c r="M22">
        <f>I22*2.5</f>
        <v>10629.219999999998</v>
      </c>
    </row>
    <row r="23" spans="1:13" ht="15.75" x14ac:dyDescent="0.25">
      <c r="A23" s="52"/>
      <c r="B23" s="63"/>
      <c r="C23" s="54"/>
      <c r="D23" s="55"/>
      <c r="E23" s="54"/>
      <c r="F23" s="54"/>
      <c r="G23" s="56"/>
      <c r="H23" s="57"/>
      <c r="I23" s="56"/>
      <c r="J23" s="58"/>
      <c r="K23" s="54"/>
    </row>
    <row r="24" spans="1:13" ht="63" x14ac:dyDescent="0.25">
      <c r="A24" s="52">
        <v>5</v>
      </c>
      <c r="B24" s="65" t="s">
        <v>47</v>
      </c>
      <c r="C24" s="54"/>
      <c r="D24" s="55"/>
      <c r="E24" s="54"/>
      <c r="F24" s="54"/>
      <c r="G24" s="56"/>
      <c r="H24" s="57"/>
      <c r="I24" s="56"/>
      <c r="J24" s="58"/>
      <c r="K24" s="54"/>
    </row>
    <row r="25" spans="1:13" ht="15" customHeight="1" x14ac:dyDescent="0.25">
      <c r="A25" s="59"/>
      <c r="B25" s="60" t="s">
        <v>46</v>
      </c>
      <c r="C25" s="61">
        <v>1</v>
      </c>
      <c r="D25" s="55">
        <f>10*2.5-7.5</f>
        <v>17.5</v>
      </c>
      <c r="E25" s="54">
        <v>2</v>
      </c>
      <c r="F25" s="54">
        <f>1/3.2808</f>
        <v>0.30480370641306997</v>
      </c>
      <c r="G25" s="62">
        <f>PRODUCT(C25:F25)</f>
        <v>10.668129724457449</v>
      </c>
      <c r="H25" s="57"/>
      <c r="I25" s="56"/>
      <c r="J25" s="56"/>
      <c r="K25" s="54"/>
    </row>
    <row r="26" spans="1:13" ht="15" customHeight="1" x14ac:dyDescent="0.25">
      <c r="A26" s="59"/>
      <c r="B26" s="60"/>
      <c r="C26" s="61">
        <v>1</v>
      </c>
      <c r="D26" s="55">
        <v>7.5</v>
      </c>
      <c r="E26" s="54">
        <v>1.46</v>
      </c>
      <c r="F26" s="54">
        <f>1/3.2808</f>
        <v>0.30480370641306997</v>
      </c>
      <c r="G26" s="62">
        <f>PRODUCT(C26:F26)</f>
        <v>3.3376005852231159</v>
      </c>
      <c r="H26" s="57"/>
      <c r="I26" s="56"/>
      <c r="J26" s="56"/>
      <c r="K26" s="54"/>
    </row>
    <row r="27" spans="1:13" ht="15.75" x14ac:dyDescent="0.25">
      <c r="A27" s="52"/>
      <c r="B27" s="63" t="s">
        <v>31</v>
      </c>
      <c r="C27" s="54"/>
      <c r="D27" s="55"/>
      <c r="E27" s="54"/>
      <c r="F27" s="54"/>
      <c r="G27" s="56">
        <f>SUM(G25:G26)</f>
        <v>14.005730309680565</v>
      </c>
      <c r="H27" s="57" t="s">
        <v>28</v>
      </c>
      <c r="I27" s="56">
        <f>(3244.12/1.15)*1.15</f>
        <v>3244.12</v>
      </c>
      <c r="J27" s="58">
        <f>G27*I27</f>
        <v>45436.269812240913</v>
      </c>
      <c r="K27" s="54"/>
    </row>
    <row r="28" spans="1:13" ht="15.75" x14ac:dyDescent="0.25">
      <c r="A28" s="52"/>
      <c r="B28" s="63"/>
      <c r="C28" s="54"/>
      <c r="D28" s="55"/>
      <c r="E28" s="54"/>
      <c r="F28" s="54"/>
      <c r="G28" s="56"/>
      <c r="H28" s="57"/>
      <c r="I28" s="56"/>
      <c r="J28" s="58"/>
      <c r="K28" s="54"/>
    </row>
    <row r="29" spans="1:13" ht="31.5" x14ac:dyDescent="0.25">
      <c r="A29" s="52">
        <v>6</v>
      </c>
      <c r="B29" s="51" t="s">
        <v>60</v>
      </c>
      <c r="C29" s="54"/>
      <c r="D29" s="55"/>
      <c r="E29" s="54"/>
      <c r="F29" s="54"/>
      <c r="G29" s="56"/>
      <c r="H29" s="57"/>
      <c r="I29" s="56" t="s">
        <v>48</v>
      </c>
      <c r="J29" s="58"/>
      <c r="K29" s="54"/>
    </row>
    <row r="30" spans="1:13" ht="15.75" x14ac:dyDescent="0.25">
      <c r="A30" s="59"/>
      <c r="B30" s="60" t="s">
        <v>45</v>
      </c>
      <c r="C30" s="61">
        <v>1</v>
      </c>
      <c r="D30" s="55">
        <f>1.03+1.03+(1-0.23*2)*2</f>
        <v>3.14</v>
      </c>
      <c r="E30" s="54">
        <v>0.23</v>
      </c>
      <c r="F30" s="54">
        <v>0.6</v>
      </c>
      <c r="G30" s="62">
        <f>PRODUCT(C30:F30)</f>
        <v>0.43332000000000004</v>
      </c>
      <c r="H30" s="57"/>
      <c r="I30" s="56"/>
      <c r="J30" s="56"/>
      <c r="K30" s="54"/>
    </row>
    <row r="31" spans="1:13" ht="15.75" x14ac:dyDescent="0.25">
      <c r="A31" s="59"/>
      <c r="B31" s="60" t="s">
        <v>50</v>
      </c>
      <c r="C31" s="61">
        <v>-1</v>
      </c>
      <c r="D31" s="55">
        <f>(0.3+5/12/3.281)</f>
        <v>0.42699380270242815</v>
      </c>
      <c r="E31" s="68">
        <v>0.23</v>
      </c>
      <c r="F31" s="54">
        <f>PI()</f>
        <v>3.1415926535897931</v>
      </c>
      <c r="G31" s="62">
        <f>C31*(F31*(D31*D31)/4)*E31</f>
        <v>-3.2935242161652237E-2</v>
      </c>
      <c r="H31" s="57"/>
      <c r="I31" s="56"/>
      <c r="J31" s="56"/>
      <c r="K31" s="54"/>
    </row>
    <row r="32" spans="1:13" ht="15.75" x14ac:dyDescent="0.25">
      <c r="A32" s="59"/>
      <c r="B32" s="60"/>
      <c r="C32" s="61">
        <v>-1</v>
      </c>
      <c r="D32" s="55">
        <f>(0.45+5/12/3.281)</f>
        <v>0.57699380270242817</v>
      </c>
      <c r="E32" s="68">
        <v>0.23</v>
      </c>
      <c r="F32" s="54">
        <f>PI()</f>
        <v>3.1415926535897931</v>
      </c>
      <c r="G32" s="62">
        <f>C32*(F32*(D32*D32)/4)*E32</f>
        <v>-6.0139527898530026E-2</v>
      </c>
      <c r="H32" s="57"/>
      <c r="I32" s="56"/>
      <c r="J32" s="56"/>
      <c r="K32" s="54"/>
    </row>
    <row r="33" spans="1:11" ht="15.75" x14ac:dyDescent="0.25">
      <c r="A33" s="52"/>
      <c r="B33" s="63" t="s">
        <v>31</v>
      </c>
      <c r="C33" s="54"/>
      <c r="D33" s="55" t="s">
        <v>48</v>
      </c>
      <c r="E33" s="68"/>
      <c r="F33" s="54"/>
      <c r="G33" s="56">
        <f>SUM(G30:G32)</f>
        <v>0.34024522993981776</v>
      </c>
      <c r="H33" s="57" t="s">
        <v>28</v>
      </c>
      <c r="I33" s="56">
        <v>16006</v>
      </c>
      <c r="J33" s="58">
        <f>G33*I33</f>
        <v>5445.9651504167232</v>
      </c>
      <c r="K33" s="54"/>
    </row>
    <row r="34" spans="1:11" ht="15.75" x14ac:dyDescent="0.25">
      <c r="A34" s="52"/>
      <c r="B34" s="63"/>
      <c r="C34" s="54"/>
      <c r="D34" s="55"/>
      <c r="E34" s="54"/>
      <c r="F34" s="54"/>
      <c r="G34" s="56"/>
      <c r="H34" s="57"/>
      <c r="I34" s="56"/>
      <c r="J34" s="58"/>
      <c r="K34" s="54"/>
    </row>
    <row r="35" spans="1:11" s="1" customFormat="1" ht="47.25" x14ac:dyDescent="0.25">
      <c r="A35" s="52">
        <v>7</v>
      </c>
      <c r="B35" s="65" t="s">
        <v>32</v>
      </c>
      <c r="C35" s="54"/>
      <c r="D35" s="55"/>
      <c r="E35" s="54"/>
      <c r="F35" s="54"/>
      <c r="G35" s="56"/>
      <c r="H35" s="57"/>
      <c r="I35" s="56"/>
      <c r="J35" s="58"/>
      <c r="K35" s="54"/>
    </row>
    <row r="36" spans="1:11" ht="15.75" x14ac:dyDescent="0.25">
      <c r="A36" s="59"/>
      <c r="B36" s="60" t="s">
        <v>45</v>
      </c>
      <c r="C36" s="61">
        <v>1</v>
      </c>
      <c r="D36" s="55">
        <f>1.03</f>
        <v>1.03</v>
      </c>
      <c r="E36" s="54">
        <v>1</v>
      </c>
      <c r="F36" s="54">
        <f>1.5/12/3.281</f>
        <v>3.8098140810728431E-2</v>
      </c>
      <c r="G36" s="62">
        <f>PRODUCT(C36:F36)</f>
        <v>3.9241085035050284E-2</v>
      </c>
      <c r="H36" s="57"/>
      <c r="I36" s="56"/>
      <c r="J36" s="56"/>
      <c r="K36" s="54"/>
    </row>
    <row r="37" spans="1:11" ht="15.75" x14ac:dyDescent="0.25">
      <c r="A37" s="59"/>
      <c r="B37" s="60" t="s">
        <v>50</v>
      </c>
      <c r="C37" s="61">
        <v>-1</v>
      </c>
      <c r="D37" s="55">
        <f>(23/12/3.281)</f>
        <v>0.58417149243116939</v>
      </c>
      <c r="E37" s="54">
        <f>PI()</f>
        <v>3.1415926535897931</v>
      </c>
      <c r="F37" s="54">
        <f>1.5/12/3.281</f>
        <v>3.8098140810728431E-2</v>
      </c>
      <c r="G37" s="62">
        <f>C37*(E37*(D37*D37)/4)*F37</f>
        <v>-1.021114358608829E-2</v>
      </c>
      <c r="H37" s="57"/>
      <c r="I37" s="56"/>
      <c r="J37" s="56"/>
      <c r="K37" s="54"/>
    </row>
    <row r="38" spans="1:11" ht="15.75" x14ac:dyDescent="0.25">
      <c r="A38" s="59"/>
      <c r="B38" s="60"/>
      <c r="C38" s="61">
        <v>1</v>
      </c>
      <c r="D38" s="55">
        <f>1.03</f>
        <v>1.03</v>
      </c>
      <c r="E38" s="54">
        <v>1</v>
      </c>
      <c r="F38" s="54">
        <f>2/12/3.281</f>
        <v>5.0797521080971242E-2</v>
      </c>
      <c r="G38" s="62">
        <f>PRODUCT(C38:F38)</f>
        <v>5.2321446713400381E-2</v>
      </c>
      <c r="H38" s="57"/>
      <c r="I38" s="56"/>
      <c r="J38" s="56"/>
      <c r="K38" s="54"/>
    </row>
    <row r="39" spans="1:11" ht="15.75" x14ac:dyDescent="0.25">
      <c r="A39" s="52"/>
      <c r="B39" s="63" t="s">
        <v>31</v>
      </c>
      <c r="C39" s="54"/>
      <c r="D39" s="55" t="s">
        <v>48</v>
      </c>
      <c r="E39" s="54"/>
      <c r="F39" s="54"/>
      <c r="G39" s="56">
        <f>SUM(G36:G38)</f>
        <v>8.135138816236237E-2</v>
      </c>
      <c r="H39" s="57" t="s">
        <v>28</v>
      </c>
      <c r="I39" s="56">
        <f>11219.5*1.15</f>
        <v>12902.424999999999</v>
      </c>
      <c r="J39" s="58">
        <f>G39*I39</f>
        <v>1049.6301844107682</v>
      </c>
      <c r="K39" s="54"/>
    </row>
    <row r="40" spans="1:11" ht="15.75" x14ac:dyDescent="0.25">
      <c r="A40" s="52"/>
      <c r="B40" s="63"/>
      <c r="C40" s="54"/>
      <c r="D40" s="55"/>
      <c r="E40" s="54"/>
      <c r="F40" s="54"/>
      <c r="G40" s="56"/>
      <c r="H40" s="57"/>
      <c r="I40" s="56"/>
      <c r="J40" s="58"/>
      <c r="K40" s="54"/>
    </row>
    <row r="41" spans="1:11" s="1" customFormat="1" ht="63" x14ac:dyDescent="0.25">
      <c r="A41" s="52">
        <v>8</v>
      </c>
      <c r="B41" s="65" t="s">
        <v>52</v>
      </c>
      <c r="C41" s="54"/>
      <c r="D41" s="55"/>
      <c r="E41" s="54"/>
      <c r="F41" s="54"/>
      <c r="G41" s="56"/>
      <c r="H41" s="57"/>
      <c r="I41" s="56"/>
      <c r="J41" s="58"/>
      <c r="K41" s="54"/>
    </row>
    <row r="42" spans="1:11" ht="15" customHeight="1" x14ac:dyDescent="0.25">
      <c r="A42" s="52"/>
      <c r="B42" s="69" t="s">
        <v>51</v>
      </c>
      <c r="C42" s="54">
        <v>1</v>
      </c>
      <c r="D42" s="55">
        <v>1.5</v>
      </c>
      <c r="E42" s="54">
        <v>0.35</v>
      </c>
      <c r="F42" s="54">
        <v>0.45</v>
      </c>
      <c r="G42" s="62">
        <f>PRODUCT(C42:F42)</f>
        <v>0.23624999999999996</v>
      </c>
      <c r="H42" s="57"/>
      <c r="I42" s="56"/>
      <c r="J42" s="58"/>
      <c r="K42" s="54"/>
    </row>
    <row r="43" spans="1:11" ht="15" customHeight="1" x14ac:dyDescent="0.25">
      <c r="A43" s="52"/>
      <c r="B43" s="63" t="s">
        <v>31</v>
      </c>
      <c r="C43" s="54"/>
      <c r="D43" s="55" t="s">
        <v>48</v>
      </c>
      <c r="E43" s="54"/>
      <c r="F43" s="54"/>
      <c r="G43" s="56">
        <f>SUM(G42)</f>
        <v>0.23624999999999996</v>
      </c>
      <c r="H43" s="57" t="s">
        <v>28</v>
      </c>
      <c r="I43" s="56">
        <f>9709.43*1.15</f>
        <v>11165.844499999999</v>
      </c>
      <c r="J43" s="58">
        <f>G43*I43</f>
        <v>2637.9307631249994</v>
      </c>
      <c r="K43" s="54"/>
    </row>
    <row r="44" spans="1:11" ht="15.75" x14ac:dyDescent="0.25">
      <c r="A44" s="52"/>
      <c r="B44" s="63"/>
      <c r="C44" s="54"/>
      <c r="D44" s="55"/>
      <c r="E44" s="54"/>
      <c r="F44" s="54"/>
      <c r="G44" s="56"/>
      <c r="H44" s="57"/>
      <c r="I44" s="56"/>
      <c r="J44" s="58"/>
      <c r="K44" s="54"/>
    </row>
    <row r="45" spans="1:11" ht="15.75" x14ac:dyDescent="0.25">
      <c r="A45" s="52">
        <v>9</v>
      </c>
      <c r="B45" s="53" t="s">
        <v>49</v>
      </c>
      <c r="C45" s="54">
        <v>1</v>
      </c>
      <c r="D45" s="55"/>
      <c r="E45" s="54"/>
      <c r="F45" s="54"/>
      <c r="G45" s="62">
        <f>PRODUCT(C45:F45)</f>
        <v>1</v>
      </c>
      <c r="H45" s="57"/>
      <c r="I45" s="56"/>
      <c r="J45" s="58"/>
      <c r="K45" s="54"/>
    </row>
    <row r="46" spans="1:11" ht="15.75" x14ac:dyDescent="0.25">
      <c r="A46" s="52"/>
      <c r="B46" s="63" t="s">
        <v>31</v>
      </c>
      <c r="C46" s="54"/>
      <c r="D46" s="55"/>
      <c r="E46" s="54"/>
      <c r="F46" s="54"/>
      <c r="G46" s="56">
        <f>SUM(G45:G45)</f>
        <v>1</v>
      </c>
      <c r="H46" s="57" t="s">
        <v>30</v>
      </c>
      <c r="I46" s="56">
        <f>4487*1.15</f>
        <v>5160.0499999999993</v>
      </c>
      <c r="J46" s="58">
        <f>G46*I46</f>
        <v>5160.0499999999993</v>
      </c>
      <c r="K46" s="54"/>
    </row>
    <row r="47" spans="1:11" ht="15.75" x14ac:dyDescent="0.25">
      <c r="A47" s="52"/>
      <c r="B47" s="63"/>
      <c r="C47" s="54"/>
      <c r="D47" s="55"/>
      <c r="E47" s="54"/>
      <c r="F47" s="54"/>
      <c r="G47" s="56"/>
      <c r="H47" s="57"/>
      <c r="I47" s="56"/>
      <c r="J47" s="58"/>
      <c r="K47" s="54"/>
    </row>
    <row r="48" spans="1:11" ht="15.75" x14ac:dyDescent="0.25">
      <c r="A48" s="76">
        <v>10</v>
      </c>
      <c r="B48" s="77" t="s">
        <v>29</v>
      </c>
      <c r="C48" s="66">
        <v>1</v>
      </c>
      <c r="D48" s="55"/>
      <c r="E48" s="54"/>
      <c r="F48" s="54"/>
      <c r="G48" s="58">
        <f>PRODUCT(C48:F48)</f>
        <v>1</v>
      </c>
      <c r="H48" s="57" t="s">
        <v>30</v>
      </c>
      <c r="I48" s="56">
        <v>500</v>
      </c>
      <c r="J48" s="70">
        <f>G48*I48</f>
        <v>500</v>
      </c>
      <c r="K48" s="54"/>
    </row>
    <row r="49" spans="1:11" ht="15.75" x14ac:dyDescent="0.25">
      <c r="A49" s="68"/>
      <c r="B49" s="78" t="s">
        <v>64</v>
      </c>
      <c r="C49" s="72"/>
      <c r="D49" s="73"/>
      <c r="E49" s="73"/>
      <c r="F49" s="73"/>
      <c r="G49" s="70"/>
      <c r="H49" s="70"/>
      <c r="I49" s="70"/>
      <c r="J49" s="70">
        <f>SUM(J9:J48)</f>
        <v>220946.61737436592</v>
      </c>
      <c r="K49" s="68"/>
    </row>
    <row r="50" spans="1:11" ht="15.75" x14ac:dyDescent="0.25">
      <c r="A50" s="71"/>
      <c r="B50" s="68" t="s">
        <v>61</v>
      </c>
      <c r="C50" s="68"/>
      <c r="D50" s="68"/>
      <c r="E50" s="68"/>
      <c r="F50" s="68"/>
      <c r="G50" s="71"/>
      <c r="H50" s="71"/>
      <c r="I50" s="71"/>
      <c r="J50" s="71">
        <f>J49*0.13</f>
        <v>28723.06025866757</v>
      </c>
      <c r="K50" s="68"/>
    </row>
    <row r="51" spans="1:11" s="1" customFormat="1" ht="15.75" x14ac:dyDescent="0.25">
      <c r="A51" s="64"/>
      <c r="B51" s="64" t="s">
        <v>16</v>
      </c>
      <c r="C51" s="85"/>
      <c r="D51" s="85"/>
      <c r="E51" s="64"/>
      <c r="F51" s="62"/>
      <c r="G51" s="64"/>
      <c r="H51" s="74"/>
      <c r="I51" s="75"/>
      <c r="J51" s="58">
        <f>SUM(J49:J50)</f>
        <v>249669.67763303348</v>
      </c>
      <c r="K51" s="64"/>
    </row>
    <row r="52" spans="1:11" ht="15.75" x14ac:dyDescent="0.25">
      <c r="A52" s="71"/>
      <c r="B52" s="68" t="s">
        <v>62</v>
      </c>
      <c r="C52" s="85"/>
      <c r="D52" s="85"/>
      <c r="E52" s="68"/>
      <c r="F52" s="68"/>
      <c r="G52" s="71"/>
      <c r="H52" s="71"/>
      <c r="I52" s="71"/>
      <c r="J52" s="71">
        <v>40000</v>
      </c>
      <c r="K52" s="68"/>
    </row>
    <row r="53" spans="1:11" ht="15.75" x14ac:dyDescent="0.25">
      <c r="A53" s="71"/>
      <c r="B53" s="68" t="s">
        <v>63</v>
      </c>
      <c r="C53" s="86"/>
      <c r="D53" s="86"/>
      <c r="E53" s="68"/>
      <c r="F53" s="68"/>
      <c r="G53" s="71"/>
      <c r="H53" s="71"/>
      <c r="I53" s="71"/>
      <c r="J53" s="70">
        <f>SUM(J51:J52)</f>
        <v>289669.67763303348</v>
      </c>
      <c r="K53" s="68"/>
    </row>
  </sheetData>
  <mergeCells count="12">
    <mergeCell ref="A6:G6"/>
    <mergeCell ref="H6:K6"/>
    <mergeCell ref="A1:K1"/>
    <mergeCell ref="A2:K2"/>
    <mergeCell ref="A3:K3"/>
    <mergeCell ref="A4:K4"/>
    <mergeCell ref="A5:K5"/>
    <mergeCell ref="A7:F7"/>
    <mergeCell ref="H7:K7"/>
    <mergeCell ref="C51:D51"/>
    <mergeCell ref="C52:D52"/>
    <mergeCell ref="C53:D53"/>
  </mergeCells>
  <printOptions horizontalCentered="1"/>
  <pageMargins left="0.25" right="0.25" top="0.75" bottom="0.75" header="0.3" footer="0.3"/>
  <pageSetup paperSize="9" scale="74" orientation="portrait" horizontalDpi="300" verticalDpi="300" r:id="rId1"/>
  <headerFooter>
    <oddFooter xml:space="preserve">&amp;LPrepared By:
Kristal Suwal&amp;CChecked By:
Er Nabin K.C&amp;RApproved By:
Er Prakash Singh Saud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view="pageBreakPreview" topLeftCell="A13" zoomScale="80" zoomScaleNormal="100" zoomScaleSheetLayoutView="80" workbookViewId="0">
      <selection activeCell="E14" sqref="E14"/>
    </sheetView>
  </sheetViews>
  <sheetFormatPr defaultRowHeight="15" x14ac:dyDescent="0.25"/>
  <cols>
    <col min="1" max="1" width="5.42578125" style="6" bestFit="1" customWidth="1"/>
    <col min="2" max="2" width="46.5703125" customWidth="1"/>
    <col min="3" max="3" width="12.85546875" style="6" customWidth="1"/>
    <col min="4" max="4" width="11.28515625" style="6" customWidth="1"/>
    <col min="5" max="5" width="16.5703125" style="6" customWidth="1"/>
    <col min="6" max="6" width="16" style="6" bestFit="1" customWidth="1"/>
    <col min="7" max="7" width="9.85546875" bestFit="1" customWidth="1"/>
  </cols>
  <sheetData>
    <row r="1" spans="1:7" s="1" customFormat="1" x14ac:dyDescent="0.25">
      <c r="A1" s="88" t="s">
        <v>0</v>
      </c>
      <c r="B1" s="88"/>
      <c r="C1" s="88"/>
      <c r="D1" s="88"/>
      <c r="E1" s="88"/>
      <c r="F1" s="88"/>
      <c r="G1" s="88"/>
    </row>
    <row r="2" spans="1:7" s="1" customFormat="1" ht="22.5" x14ac:dyDescent="0.25">
      <c r="A2" s="89" t="s">
        <v>1</v>
      </c>
      <c r="B2" s="89"/>
      <c r="C2" s="89"/>
      <c r="D2" s="89"/>
      <c r="E2" s="89"/>
      <c r="F2" s="89"/>
      <c r="G2" s="89"/>
    </row>
    <row r="3" spans="1:7" s="1" customFormat="1" x14ac:dyDescent="0.25">
      <c r="A3" s="90" t="s">
        <v>2</v>
      </c>
      <c r="B3" s="90"/>
      <c r="C3" s="90"/>
      <c r="D3" s="90"/>
      <c r="E3" s="90"/>
      <c r="F3" s="90"/>
      <c r="G3" s="90"/>
    </row>
    <row r="4" spans="1:7" s="1" customFormat="1" x14ac:dyDescent="0.25">
      <c r="A4" s="90" t="s">
        <v>3</v>
      </c>
      <c r="B4" s="90"/>
      <c r="C4" s="90"/>
      <c r="D4" s="90"/>
      <c r="E4" s="90"/>
      <c r="F4" s="90"/>
      <c r="G4" s="90"/>
    </row>
    <row r="5" spans="1:7" ht="18.75" x14ac:dyDescent="0.3">
      <c r="A5" s="91" t="s">
        <v>65</v>
      </c>
      <c r="B5" s="91"/>
      <c r="C5" s="91"/>
      <c r="D5" s="91"/>
      <c r="E5" s="91"/>
      <c r="F5" s="91"/>
      <c r="G5" s="91"/>
    </row>
    <row r="6" spans="1:7" ht="18.75" x14ac:dyDescent="0.3">
      <c r="A6" s="87" t="s">
        <v>57</v>
      </c>
      <c r="B6" s="87"/>
      <c r="C6" s="87"/>
      <c r="D6" s="84" t="s">
        <v>39</v>
      </c>
      <c r="E6" s="84"/>
      <c r="F6" s="84"/>
      <c r="G6" s="84"/>
    </row>
    <row r="7" spans="1:7" ht="15.75" x14ac:dyDescent="0.25">
      <c r="A7" s="83" t="s">
        <v>27</v>
      </c>
      <c r="B7" s="83"/>
      <c r="C7" s="2"/>
      <c r="D7" s="84"/>
      <c r="E7" s="84"/>
      <c r="F7" s="84"/>
      <c r="G7" s="84"/>
    </row>
    <row r="8" spans="1:7" ht="15" customHeight="1" x14ac:dyDescent="0.25">
      <c r="A8" s="3" t="s">
        <v>5</v>
      </c>
      <c r="B8" s="24" t="s">
        <v>6</v>
      </c>
      <c r="C8" s="25" t="s">
        <v>11</v>
      </c>
      <c r="D8" s="3" t="s">
        <v>12</v>
      </c>
      <c r="E8" s="25" t="s">
        <v>13</v>
      </c>
      <c r="F8" s="25" t="s">
        <v>14</v>
      </c>
      <c r="G8" s="26" t="s">
        <v>15</v>
      </c>
    </row>
    <row r="9" spans="1:7" ht="110.25" x14ac:dyDescent="0.25">
      <c r="A9" s="52">
        <v>1</v>
      </c>
      <c r="B9" s="53" t="s">
        <v>54</v>
      </c>
      <c r="C9" s="56">
        <f>estimate!G11</f>
        <v>1.6</v>
      </c>
      <c r="D9" s="57" t="str">
        <f>estimate!H11</f>
        <v>cum</v>
      </c>
      <c r="E9" s="56">
        <f>estimate!I11</f>
        <v>847.41199999999992</v>
      </c>
      <c r="F9" s="58">
        <f>E9*C9</f>
        <v>1355.8591999999999</v>
      </c>
      <c r="G9" s="54"/>
    </row>
    <row r="10" spans="1:7" ht="110.25" x14ac:dyDescent="0.25">
      <c r="A10" s="52">
        <v>2</v>
      </c>
      <c r="B10" s="53" t="s">
        <v>33</v>
      </c>
      <c r="C10" s="58">
        <f>estimate!G14</f>
        <v>10.953215483084426</v>
      </c>
      <c r="D10" s="57" t="str">
        <f>estimate!H14</f>
        <v>cum</v>
      </c>
      <c r="E10" s="56">
        <f>estimate!I14</f>
        <v>74.324499999999986</v>
      </c>
      <c r="F10" s="58">
        <f t="shared" ref="F10:F18" si="0">E10*C10</f>
        <v>814.09226417250829</v>
      </c>
      <c r="G10" s="54"/>
    </row>
    <row r="11" spans="1:7" ht="63" x14ac:dyDescent="0.25">
      <c r="A11" s="52">
        <v>3</v>
      </c>
      <c r="B11" s="65" t="s">
        <v>41</v>
      </c>
      <c r="C11" s="56">
        <f>estimate!G18</f>
        <v>25</v>
      </c>
      <c r="D11" s="57" t="str">
        <f>estimate!H18</f>
        <v>rm</v>
      </c>
      <c r="E11" s="56">
        <f>estimate!I18</f>
        <v>5916.7039999999997</v>
      </c>
      <c r="F11" s="58">
        <f t="shared" si="0"/>
        <v>147917.6</v>
      </c>
      <c r="G11" s="54"/>
    </row>
    <row r="12" spans="1:7" ht="63" x14ac:dyDescent="0.25">
      <c r="A12" s="52">
        <v>4</v>
      </c>
      <c r="B12" s="65" t="s">
        <v>55</v>
      </c>
      <c r="C12" s="56">
        <f>estimate!G22</f>
        <v>2.5</v>
      </c>
      <c r="D12" s="57" t="str">
        <f>estimate!H22</f>
        <v>rm</v>
      </c>
      <c r="E12" s="56">
        <f>estimate!I22</f>
        <v>4251.6879999999992</v>
      </c>
      <c r="F12" s="58">
        <f t="shared" si="0"/>
        <v>10629.219999999998</v>
      </c>
      <c r="G12" s="54"/>
    </row>
    <row r="13" spans="1:7" ht="63" x14ac:dyDescent="0.25">
      <c r="A13" s="52">
        <v>5</v>
      </c>
      <c r="B13" s="65" t="s">
        <v>47</v>
      </c>
      <c r="C13" s="56">
        <f>estimate!G27</f>
        <v>14.005730309680565</v>
      </c>
      <c r="D13" s="57" t="str">
        <f>estimate!H27</f>
        <v>cum</v>
      </c>
      <c r="E13" s="56">
        <f>estimate!I27</f>
        <v>3244.12</v>
      </c>
      <c r="F13" s="58">
        <f t="shared" si="0"/>
        <v>45436.269812240913</v>
      </c>
      <c r="G13" s="54"/>
    </row>
    <row r="14" spans="1:7" ht="31.5" x14ac:dyDescent="0.25">
      <c r="A14" s="52">
        <v>6</v>
      </c>
      <c r="B14" s="51" t="s">
        <v>60</v>
      </c>
      <c r="C14" s="56">
        <f>estimate!G33</f>
        <v>0.34024522993981776</v>
      </c>
      <c r="D14" s="57" t="str">
        <f>estimate!H33</f>
        <v>cum</v>
      </c>
      <c r="E14" s="56">
        <f>estimate!I33</f>
        <v>16006</v>
      </c>
      <c r="F14" s="58">
        <f t="shared" si="0"/>
        <v>5445.9651504167232</v>
      </c>
      <c r="G14" s="54"/>
    </row>
    <row r="15" spans="1:7" s="1" customFormat="1" ht="47.25" x14ac:dyDescent="0.25">
      <c r="A15" s="52">
        <v>7</v>
      </c>
      <c r="B15" s="65" t="s">
        <v>32</v>
      </c>
      <c r="C15" s="56">
        <f>estimate!G39</f>
        <v>8.135138816236237E-2</v>
      </c>
      <c r="D15" s="57" t="str">
        <f>estimate!H39</f>
        <v>cum</v>
      </c>
      <c r="E15" s="56">
        <f>estimate!I39</f>
        <v>12902.424999999999</v>
      </c>
      <c r="F15" s="58">
        <f t="shared" si="0"/>
        <v>1049.6301844107682</v>
      </c>
      <c r="G15" s="54"/>
    </row>
    <row r="16" spans="1:7" s="1" customFormat="1" ht="63" x14ac:dyDescent="0.25">
      <c r="A16" s="52">
        <v>8</v>
      </c>
      <c r="B16" s="65" t="s">
        <v>52</v>
      </c>
      <c r="C16" s="56">
        <f>estimate!G43</f>
        <v>0.23624999999999996</v>
      </c>
      <c r="D16" s="57" t="str">
        <f>estimate!H43</f>
        <v>cum</v>
      </c>
      <c r="E16" s="56">
        <f>estimate!I43</f>
        <v>11165.844499999999</v>
      </c>
      <c r="F16" s="58">
        <f t="shared" si="0"/>
        <v>2637.9307631249994</v>
      </c>
      <c r="G16" s="54"/>
    </row>
    <row r="17" spans="1:7" ht="15.75" x14ac:dyDescent="0.25">
      <c r="A17" s="52">
        <v>9</v>
      </c>
      <c r="B17" s="53" t="s">
        <v>49</v>
      </c>
      <c r="C17" s="62">
        <f>estimate!G46</f>
        <v>1</v>
      </c>
      <c r="D17" s="57" t="str">
        <f>estimate!H46</f>
        <v>no.</v>
      </c>
      <c r="E17" s="56">
        <f>estimate!I46</f>
        <v>5160.0499999999993</v>
      </c>
      <c r="F17" s="58">
        <f t="shared" si="0"/>
        <v>5160.0499999999993</v>
      </c>
      <c r="G17" s="54"/>
    </row>
    <row r="18" spans="1:7" ht="15.75" x14ac:dyDescent="0.25">
      <c r="A18" s="76">
        <v>10</v>
      </c>
      <c r="B18" s="77" t="s">
        <v>29</v>
      </c>
      <c r="C18" s="58">
        <f>estimate!G48</f>
        <v>1</v>
      </c>
      <c r="D18" s="57" t="str">
        <f>estimate!H48</f>
        <v>no.</v>
      </c>
      <c r="E18" s="56">
        <f>estimate!I48</f>
        <v>500</v>
      </c>
      <c r="F18" s="58">
        <f t="shared" si="0"/>
        <v>500</v>
      </c>
      <c r="G18" s="54"/>
    </row>
    <row r="19" spans="1:7" ht="15.75" x14ac:dyDescent="0.25">
      <c r="A19" s="68"/>
      <c r="B19" s="78" t="s">
        <v>64</v>
      </c>
      <c r="C19" s="70"/>
      <c r="D19" s="70"/>
      <c r="E19" s="70"/>
      <c r="F19" s="70">
        <f>SUM(F9:F18)</f>
        <v>220946.61737436592</v>
      </c>
      <c r="G19" s="68"/>
    </row>
    <row r="20" spans="1:7" ht="15.75" x14ac:dyDescent="0.25">
      <c r="A20" s="71"/>
      <c r="B20" s="68" t="s">
        <v>61</v>
      </c>
      <c r="C20" s="71"/>
      <c r="D20" s="71"/>
      <c r="E20" s="71"/>
      <c r="F20" s="71">
        <f>F19*0.13</f>
        <v>28723.06025866757</v>
      </c>
      <c r="G20" s="68"/>
    </row>
    <row r="21" spans="1:7" s="1" customFormat="1" ht="15.75" x14ac:dyDescent="0.25">
      <c r="A21" s="64"/>
      <c r="B21" s="64" t="s">
        <v>16</v>
      </c>
      <c r="C21" s="64"/>
      <c r="D21" s="74"/>
      <c r="E21" s="75"/>
      <c r="F21" s="58">
        <f>SUM(F19:F20)</f>
        <v>249669.67763303348</v>
      </c>
      <c r="G21" s="64"/>
    </row>
    <row r="22" spans="1:7" ht="15.75" x14ac:dyDescent="0.25">
      <c r="A22" s="71"/>
      <c r="B22" s="68" t="s">
        <v>62</v>
      </c>
      <c r="C22" s="71"/>
      <c r="D22" s="71"/>
      <c r="E22" s="71"/>
      <c r="F22" s="71">
        <v>40000</v>
      </c>
      <c r="G22" s="68"/>
    </row>
    <row r="23" spans="1:7" ht="15.75" x14ac:dyDescent="0.25">
      <c r="A23" s="71"/>
      <c r="B23" s="68" t="s">
        <v>63</v>
      </c>
      <c r="C23" s="71"/>
      <c r="D23" s="71"/>
      <c r="E23" s="71"/>
      <c r="F23" s="70">
        <f>SUM(F21:F22)</f>
        <v>289669.67763303348</v>
      </c>
      <c r="G23" s="68"/>
    </row>
  </sheetData>
  <mergeCells count="9">
    <mergeCell ref="A7:B7"/>
    <mergeCell ref="D7:G7"/>
    <mergeCell ref="A1:G1"/>
    <mergeCell ref="A2:G2"/>
    <mergeCell ref="A3:G3"/>
    <mergeCell ref="A4:G4"/>
    <mergeCell ref="A5:G5"/>
    <mergeCell ref="A6:C6"/>
    <mergeCell ref="D6:G6"/>
  </mergeCells>
  <printOptions horizontalCentered="1"/>
  <pageMargins left="0.25" right="0.25" top="0.75" bottom="0.75" header="0.3" footer="0.3"/>
  <pageSetup paperSize="9" scale="74" orientation="portrait" horizontalDpi="300" verticalDpi="300" r:id="rId1"/>
  <headerFooter>
    <oddFooter xml:space="preserve">&amp;LPrepared By:
Kristal Suwal&amp;CChecked By:
Er Nabin K.C&amp;RApproved By:
Er Prakash Singh Saud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9" zoomScaleNormal="100" zoomScaleSheetLayoutView="80" workbookViewId="0">
      <selection activeCell="K11" sqref="K11"/>
    </sheetView>
  </sheetViews>
  <sheetFormatPr defaultRowHeight="15" x14ac:dyDescent="0.25"/>
  <cols>
    <col min="1" max="1" width="5.42578125" style="6" bestFit="1" customWidth="1"/>
    <col min="2" max="2" width="46.5703125" customWidth="1"/>
    <col min="3" max="3" width="12.85546875" style="6" customWidth="1"/>
    <col min="4" max="4" width="11.28515625" style="6" customWidth="1"/>
    <col min="5" max="5" width="16.140625" style="6" customWidth="1"/>
    <col min="6" max="6" width="38.5703125" style="6" customWidth="1"/>
    <col min="7" max="7" width="9.85546875" bestFit="1" customWidth="1"/>
  </cols>
  <sheetData>
    <row r="1" spans="1:7" s="1" customFormat="1" x14ac:dyDescent="0.25">
      <c r="A1" s="88" t="s">
        <v>0</v>
      </c>
      <c r="B1" s="88"/>
      <c r="C1" s="88"/>
      <c r="D1" s="88"/>
      <c r="E1" s="88"/>
      <c r="F1" s="88"/>
      <c r="G1" s="88"/>
    </row>
    <row r="2" spans="1:7" s="1" customFormat="1" ht="22.5" x14ac:dyDescent="0.25">
      <c r="A2" s="89" t="s">
        <v>1</v>
      </c>
      <c r="B2" s="89"/>
      <c r="C2" s="89"/>
      <c r="D2" s="89"/>
      <c r="E2" s="89"/>
      <c r="F2" s="89"/>
      <c r="G2" s="89"/>
    </row>
    <row r="3" spans="1:7" s="1" customFormat="1" x14ac:dyDescent="0.25">
      <c r="A3" s="90" t="s">
        <v>2</v>
      </c>
      <c r="B3" s="90"/>
      <c r="C3" s="90"/>
      <c r="D3" s="90"/>
      <c r="E3" s="90"/>
      <c r="F3" s="90"/>
      <c r="G3" s="90"/>
    </row>
    <row r="4" spans="1:7" s="1" customFormat="1" x14ac:dyDescent="0.25">
      <c r="A4" s="90" t="s">
        <v>3</v>
      </c>
      <c r="B4" s="90"/>
      <c r="C4" s="90"/>
      <c r="D4" s="90"/>
      <c r="E4" s="90"/>
      <c r="F4" s="90"/>
      <c r="G4" s="90"/>
    </row>
    <row r="5" spans="1:7" ht="18.75" x14ac:dyDescent="0.3">
      <c r="A5" s="91" t="s">
        <v>66</v>
      </c>
      <c r="B5" s="91"/>
      <c r="C5" s="91"/>
      <c r="D5" s="91"/>
      <c r="E5" s="91"/>
      <c r="F5" s="91"/>
      <c r="G5" s="91"/>
    </row>
    <row r="6" spans="1:7" ht="18.75" x14ac:dyDescent="0.3">
      <c r="A6" s="87" t="s">
        <v>57</v>
      </c>
      <c r="B6" s="87"/>
      <c r="C6" s="87"/>
      <c r="D6" s="84" t="s">
        <v>39</v>
      </c>
      <c r="E6" s="84"/>
      <c r="F6" s="84"/>
      <c r="G6" s="84"/>
    </row>
    <row r="7" spans="1:7" ht="15.75" x14ac:dyDescent="0.25">
      <c r="A7" s="83" t="s">
        <v>27</v>
      </c>
      <c r="B7" s="83"/>
      <c r="C7" s="2"/>
      <c r="D7" s="84"/>
      <c r="E7" s="84"/>
      <c r="F7" s="84"/>
      <c r="G7" s="84"/>
    </row>
    <row r="8" spans="1:7" ht="15" customHeight="1" x14ac:dyDescent="0.25">
      <c r="A8" s="3" t="s">
        <v>5</v>
      </c>
      <c r="B8" s="24" t="s">
        <v>6</v>
      </c>
      <c r="C8" s="25" t="s">
        <v>11</v>
      </c>
      <c r="D8" s="3" t="s">
        <v>12</v>
      </c>
      <c r="E8" s="3" t="s">
        <v>67</v>
      </c>
      <c r="F8" s="25" t="s">
        <v>68</v>
      </c>
      <c r="G8" s="26" t="s">
        <v>15</v>
      </c>
    </row>
    <row r="9" spans="1:7" ht="110.25" x14ac:dyDescent="0.25">
      <c r="A9" s="52">
        <v>1</v>
      </c>
      <c r="B9" s="53" t="s">
        <v>54</v>
      </c>
      <c r="C9" s="56">
        <f>estimate!G11</f>
        <v>1.6</v>
      </c>
      <c r="D9" s="57" t="str">
        <f>estimate!H11</f>
        <v>cum</v>
      </c>
      <c r="E9" s="57"/>
      <c r="F9" s="56"/>
      <c r="G9" s="54"/>
    </row>
    <row r="10" spans="1:7" ht="110.25" x14ac:dyDescent="0.25">
      <c r="A10" s="52">
        <v>2</v>
      </c>
      <c r="B10" s="53" t="s">
        <v>33</v>
      </c>
      <c r="C10" s="58">
        <f>estimate!G14</f>
        <v>10.953215483084426</v>
      </c>
      <c r="D10" s="57" t="str">
        <f>estimate!H14</f>
        <v>cum</v>
      </c>
      <c r="E10" s="57"/>
      <c r="F10" s="56"/>
      <c r="G10" s="54"/>
    </row>
    <row r="11" spans="1:7" ht="63" x14ac:dyDescent="0.25">
      <c r="A11" s="52">
        <v>3</v>
      </c>
      <c r="B11" s="65" t="s">
        <v>41</v>
      </c>
      <c r="C11" s="56">
        <f>estimate!G18</f>
        <v>25</v>
      </c>
      <c r="D11" s="57" t="str">
        <f>estimate!H18</f>
        <v>rm</v>
      </c>
      <c r="E11" s="57"/>
      <c r="F11" s="56"/>
      <c r="G11" s="54"/>
    </row>
    <row r="12" spans="1:7" ht="63" x14ac:dyDescent="0.25">
      <c r="A12" s="52">
        <v>4</v>
      </c>
      <c r="B12" s="65" t="s">
        <v>55</v>
      </c>
      <c r="C12" s="56">
        <f>estimate!G22</f>
        <v>2.5</v>
      </c>
      <c r="D12" s="57" t="str">
        <f>estimate!H22</f>
        <v>rm</v>
      </c>
      <c r="E12" s="57"/>
      <c r="F12" s="56"/>
      <c r="G12" s="54"/>
    </row>
    <row r="13" spans="1:7" ht="63" x14ac:dyDescent="0.25">
      <c r="A13" s="52">
        <v>5</v>
      </c>
      <c r="B13" s="65" t="s">
        <v>47</v>
      </c>
      <c r="C13" s="56">
        <f>estimate!G27</f>
        <v>14.005730309680565</v>
      </c>
      <c r="D13" s="57" t="str">
        <f>estimate!H27</f>
        <v>cum</v>
      </c>
      <c r="E13" s="57"/>
      <c r="F13" s="56"/>
      <c r="G13" s="54"/>
    </row>
    <row r="14" spans="1:7" ht="31.5" x14ac:dyDescent="0.25">
      <c r="A14" s="52">
        <v>6</v>
      </c>
      <c r="B14" s="51" t="s">
        <v>60</v>
      </c>
      <c r="C14" s="56">
        <f>estimate!G33</f>
        <v>0.34024522993981776</v>
      </c>
      <c r="D14" s="57" t="str">
        <f>estimate!H33</f>
        <v>cum</v>
      </c>
      <c r="E14" s="57"/>
      <c r="F14" s="56"/>
      <c r="G14" s="54"/>
    </row>
    <row r="15" spans="1:7" s="1" customFormat="1" ht="47.25" x14ac:dyDescent="0.25">
      <c r="A15" s="52">
        <v>7</v>
      </c>
      <c r="B15" s="65" t="s">
        <v>32</v>
      </c>
      <c r="C15" s="56">
        <f>estimate!G39</f>
        <v>8.135138816236237E-2</v>
      </c>
      <c r="D15" s="57" t="str">
        <f>estimate!H39</f>
        <v>cum</v>
      </c>
      <c r="E15" s="57"/>
      <c r="F15" s="56"/>
      <c r="G15" s="54"/>
    </row>
    <row r="16" spans="1:7" s="1" customFormat="1" ht="63" x14ac:dyDescent="0.25">
      <c r="A16" s="52">
        <v>8</v>
      </c>
      <c r="B16" s="65" t="s">
        <v>52</v>
      </c>
      <c r="C16" s="56">
        <f>estimate!G43</f>
        <v>0.23624999999999996</v>
      </c>
      <c r="D16" s="57" t="str">
        <f>estimate!H43</f>
        <v>cum</v>
      </c>
      <c r="E16" s="57"/>
      <c r="F16" s="56"/>
      <c r="G16" s="54"/>
    </row>
    <row r="17" spans="1:7" ht="15.75" x14ac:dyDescent="0.25">
      <c r="A17" s="52">
        <v>9</v>
      </c>
      <c r="B17" s="53" t="s">
        <v>49</v>
      </c>
      <c r="C17" s="62">
        <f>estimate!G46</f>
        <v>1</v>
      </c>
      <c r="D17" s="57" t="str">
        <f>estimate!H46</f>
        <v>no.</v>
      </c>
      <c r="E17" s="57"/>
      <c r="F17" s="56"/>
      <c r="G17" s="54"/>
    </row>
    <row r="18" spans="1:7" ht="15.75" x14ac:dyDescent="0.25">
      <c r="A18" s="76">
        <v>10</v>
      </c>
      <c r="B18" s="77" t="s">
        <v>29</v>
      </c>
      <c r="C18" s="58">
        <f>estimate!G48</f>
        <v>1</v>
      </c>
      <c r="D18" s="57" t="str">
        <f>estimate!H48</f>
        <v>no.</v>
      </c>
      <c r="E18" s="57"/>
      <c r="F18" s="56"/>
      <c r="G18" s="54"/>
    </row>
    <row r="19" spans="1:7" ht="15.75" x14ac:dyDescent="0.25">
      <c r="A19" s="68"/>
      <c r="B19" s="78" t="s">
        <v>64</v>
      </c>
      <c r="C19" s="70"/>
      <c r="D19" s="70"/>
      <c r="E19" s="70"/>
      <c r="F19" s="70"/>
      <c r="G19" s="68"/>
    </row>
    <row r="20" spans="1:7" ht="15.75" x14ac:dyDescent="0.25">
      <c r="A20" s="71"/>
      <c r="B20" s="68" t="s">
        <v>61</v>
      </c>
      <c r="C20" s="71"/>
      <c r="D20" s="71"/>
      <c r="E20" s="71"/>
      <c r="F20" s="71"/>
      <c r="G20" s="68"/>
    </row>
    <row r="21" spans="1:7" s="1" customFormat="1" ht="15.75" x14ac:dyDescent="0.25">
      <c r="A21" s="64"/>
      <c r="B21" s="64" t="s">
        <v>16</v>
      </c>
      <c r="C21" s="64"/>
      <c r="D21" s="74"/>
      <c r="E21" s="74"/>
      <c r="F21" s="75"/>
      <c r="G21" s="64"/>
    </row>
    <row r="22" spans="1:7" ht="15.75" x14ac:dyDescent="0.25">
      <c r="A22" s="71"/>
      <c r="B22" s="68" t="s">
        <v>62</v>
      </c>
      <c r="C22" s="71">
        <v>1</v>
      </c>
      <c r="D22" s="71" t="s">
        <v>53</v>
      </c>
      <c r="E22" s="71">
        <v>40000</v>
      </c>
      <c r="F22" s="71"/>
      <c r="G22" s="68"/>
    </row>
    <row r="23" spans="1:7" ht="15.75" x14ac:dyDescent="0.25">
      <c r="A23" s="71"/>
      <c r="B23" s="68" t="s">
        <v>63</v>
      </c>
      <c r="C23" s="71"/>
      <c r="D23" s="71"/>
      <c r="E23" s="71"/>
      <c r="F23" s="71"/>
      <c r="G23" s="68"/>
    </row>
  </sheetData>
  <mergeCells count="9">
    <mergeCell ref="A7:B7"/>
    <mergeCell ref="D7:G7"/>
    <mergeCell ref="A1:G1"/>
    <mergeCell ref="A2:G2"/>
    <mergeCell ref="A3:G3"/>
    <mergeCell ref="A4:G4"/>
    <mergeCell ref="A5:G5"/>
    <mergeCell ref="A6:C6"/>
    <mergeCell ref="D6:G6"/>
  </mergeCells>
  <printOptions horizontalCentered="1"/>
  <pageMargins left="0.25" right="0.25" top="0.75" bottom="0.75" header="0.3" footer="0.3"/>
  <pageSetup paperSize="9" scale="70" orientation="portrait" horizontalDpi="300" verticalDpi="300" r:id="rId1"/>
  <headerFooter>
    <oddFooter xml:space="preserve">&amp;R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view="pageBreakPreview" topLeftCell="A12" zoomScale="70" zoomScaleNormal="100" zoomScaleSheetLayoutView="70" workbookViewId="0">
      <selection activeCell="H19" sqref="H19"/>
    </sheetView>
  </sheetViews>
  <sheetFormatPr defaultRowHeight="15" x14ac:dyDescent="0.25"/>
  <cols>
    <col min="1" max="1" width="5.42578125" style="6" bestFit="1" customWidth="1"/>
    <col min="2" max="2" width="59.140625" customWidth="1"/>
    <col min="3" max="3" width="12.85546875" style="6" customWidth="1"/>
    <col min="4" max="4" width="11.28515625" style="6" customWidth="1"/>
    <col min="5" max="5" width="12.42578125" style="6" customWidth="1"/>
    <col min="6" max="12" width="17.28515625" style="6" customWidth="1"/>
    <col min="13" max="13" width="9.85546875" bestFit="1" customWidth="1"/>
  </cols>
  <sheetData>
    <row r="1" spans="1:13" s="1" customFormat="1" x14ac:dyDescent="0.25">
      <c r="A1" s="88" t="s">
        <v>0</v>
      </c>
      <c r="B1" s="88"/>
      <c r="C1" s="88"/>
      <c r="D1" s="88"/>
      <c r="E1" s="88"/>
      <c r="F1" s="88"/>
      <c r="G1" s="88"/>
      <c r="H1" s="88"/>
      <c r="I1" s="88"/>
      <c r="J1" s="88"/>
      <c r="K1" s="88"/>
      <c r="L1" s="88"/>
      <c r="M1" s="88"/>
    </row>
    <row r="2" spans="1:13" s="1" customFormat="1" ht="22.5" x14ac:dyDescent="0.25">
      <c r="A2" s="89" t="s">
        <v>1</v>
      </c>
      <c r="B2" s="89"/>
      <c r="C2" s="89"/>
      <c r="D2" s="89"/>
      <c r="E2" s="89"/>
      <c r="F2" s="89"/>
      <c r="G2" s="89"/>
      <c r="H2" s="89"/>
      <c r="I2" s="89"/>
      <c r="J2" s="89"/>
      <c r="K2" s="89"/>
      <c r="L2" s="89"/>
      <c r="M2" s="89"/>
    </row>
    <row r="3" spans="1:13" s="1" customFormat="1" x14ac:dyDescent="0.25">
      <c r="A3" s="90" t="s">
        <v>2</v>
      </c>
      <c r="B3" s="90"/>
      <c r="C3" s="90"/>
      <c r="D3" s="90"/>
      <c r="E3" s="90"/>
      <c r="F3" s="90"/>
      <c r="G3" s="90"/>
      <c r="H3" s="90"/>
      <c r="I3" s="90"/>
      <c r="J3" s="90"/>
      <c r="K3" s="90"/>
      <c r="L3" s="90"/>
      <c r="M3" s="90"/>
    </row>
    <row r="4" spans="1:13" s="1" customFormat="1" x14ac:dyDescent="0.25">
      <c r="A4" s="90" t="s">
        <v>3</v>
      </c>
      <c r="B4" s="90"/>
      <c r="C4" s="90"/>
      <c r="D4" s="90"/>
      <c r="E4" s="90"/>
      <c r="F4" s="90"/>
      <c r="G4" s="90"/>
      <c r="H4" s="90"/>
      <c r="I4" s="90"/>
      <c r="J4" s="90"/>
      <c r="K4" s="90"/>
      <c r="L4" s="90"/>
      <c r="M4" s="90"/>
    </row>
    <row r="5" spans="1:13" ht="18.75" x14ac:dyDescent="0.3">
      <c r="A5" s="91" t="s">
        <v>69</v>
      </c>
      <c r="B5" s="91"/>
      <c r="C5" s="91"/>
      <c r="D5" s="91"/>
      <c r="E5" s="91"/>
      <c r="F5" s="91"/>
      <c r="G5" s="91"/>
      <c r="H5" s="91"/>
      <c r="I5" s="91"/>
      <c r="J5" s="91"/>
      <c r="K5" s="91"/>
      <c r="L5" s="91"/>
      <c r="M5" s="91"/>
    </row>
    <row r="6" spans="1:13" ht="18.75" x14ac:dyDescent="0.3">
      <c r="A6" s="87" t="s">
        <v>57</v>
      </c>
      <c r="B6" s="87"/>
      <c r="C6" s="87"/>
      <c r="D6" s="84" t="s">
        <v>39</v>
      </c>
      <c r="E6" s="84"/>
      <c r="F6" s="84"/>
      <c r="G6" s="84"/>
      <c r="H6" s="84"/>
      <c r="I6" s="84"/>
      <c r="J6" s="84"/>
      <c r="K6" s="84"/>
      <c r="L6" s="84"/>
      <c r="M6" s="84"/>
    </row>
    <row r="7" spans="1:13" ht="15.75" x14ac:dyDescent="0.25">
      <c r="A7" s="83" t="s">
        <v>27</v>
      </c>
      <c r="B7" s="83"/>
      <c r="C7" s="2"/>
      <c r="D7" s="84"/>
      <c r="E7" s="84"/>
      <c r="F7" s="84"/>
      <c r="G7" s="84"/>
      <c r="H7" s="84"/>
      <c r="I7" s="84"/>
      <c r="J7" s="84"/>
      <c r="K7" s="84"/>
      <c r="L7" s="84"/>
      <c r="M7" s="84"/>
    </row>
    <row r="8" spans="1:13" ht="15" customHeight="1" x14ac:dyDescent="0.25">
      <c r="A8" s="3" t="s">
        <v>5</v>
      </c>
      <c r="B8" s="24" t="s">
        <v>6</v>
      </c>
      <c r="C8" s="25" t="s">
        <v>11</v>
      </c>
      <c r="D8" s="3" t="s">
        <v>12</v>
      </c>
      <c r="E8" s="3" t="s">
        <v>67</v>
      </c>
      <c r="F8" s="25" t="s">
        <v>70</v>
      </c>
      <c r="G8" s="25" t="str">
        <f>E8</f>
        <v xml:space="preserve">Rate </v>
      </c>
      <c r="H8" s="25" t="str">
        <f>F8</f>
        <v>amount</v>
      </c>
      <c r="I8" s="25" t="str">
        <f>E8</f>
        <v xml:space="preserve">Rate </v>
      </c>
      <c r="J8" s="25" t="str">
        <f>F8</f>
        <v>amount</v>
      </c>
      <c r="K8" s="25" t="str">
        <f>G8</f>
        <v xml:space="preserve">Rate </v>
      </c>
      <c r="L8" s="25" t="str">
        <f>H8</f>
        <v>amount</v>
      </c>
      <c r="M8" s="26" t="s">
        <v>15</v>
      </c>
    </row>
    <row r="9" spans="1:13" ht="15" customHeight="1" x14ac:dyDescent="0.25">
      <c r="A9" s="3"/>
      <c r="B9" s="24"/>
      <c r="C9" s="25"/>
      <c r="D9" s="3"/>
      <c r="E9" s="3"/>
      <c r="F9" s="25"/>
      <c r="G9" s="92" t="s">
        <v>71</v>
      </c>
      <c r="H9" s="93"/>
      <c r="I9" s="92" t="s">
        <v>72</v>
      </c>
      <c r="J9" s="93"/>
      <c r="K9" s="92" t="s">
        <v>73</v>
      </c>
      <c r="L9" s="93"/>
      <c r="M9" s="26"/>
    </row>
    <row r="10" spans="1:13" ht="78.75" x14ac:dyDescent="0.25">
      <c r="A10" s="52">
        <v>1</v>
      </c>
      <c r="B10" s="53" t="s">
        <v>54</v>
      </c>
      <c r="C10" s="56">
        <f>estimate!G11</f>
        <v>1.6</v>
      </c>
      <c r="D10" s="57" t="str">
        <f>estimate!H11</f>
        <v>cum</v>
      </c>
      <c r="E10" s="57">
        <f>abc!E9</f>
        <v>847.41199999999992</v>
      </c>
      <c r="F10" s="56">
        <f>E10*C10</f>
        <v>1355.8591999999999</v>
      </c>
      <c r="G10" s="56">
        <v>825</v>
      </c>
      <c r="H10" s="56">
        <f>G10*C10</f>
        <v>1320</v>
      </c>
      <c r="I10" s="56">
        <v>820</v>
      </c>
      <c r="J10" s="56">
        <f>I10*C10</f>
        <v>1312</v>
      </c>
      <c r="K10" s="56">
        <v>850</v>
      </c>
      <c r="L10" s="56">
        <f>K10*C10</f>
        <v>1360</v>
      </c>
      <c r="M10" s="54"/>
    </row>
    <row r="11" spans="1:13" ht="78.75" x14ac:dyDescent="0.25">
      <c r="A11" s="52">
        <v>2</v>
      </c>
      <c r="B11" s="53" t="s">
        <v>33</v>
      </c>
      <c r="C11" s="58">
        <f>estimate!G14</f>
        <v>10.953215483084426</v>
      </c>
      <c r="D11" s="57" t="str">
        <f>estimate!H14</f>
        <v>cum</v>
      </c>
      <c r="E11" s="57">
        <f>abc!E10</f>
        <v>74.324499999999986</v>
      </c>
      <c r="F11" s="56">
        <f t="shared" ref="F11:F19" si="0">E11*C11</f>
        <v>814.09226417250829</v>
      </c>
      <c r="G11" s="56">
        <v>72</v>
      </c>
      <c r="H11" s="56">
        <f t="shared" ref="H11:H19" si="1">G11*C11</f>
        <v>788.63151478207863</v>
      </c>
      <c r="I11" s="56">
        <v>70</v>
      </c>
      <c r="J11" s="56">
        <f t="shared" ref="J11:J19" si="2">I11*C11</f>
        <v>766.72508381590978</v>
      </c>
      <c r="K11" s="56">
        <v>65</v>
      </c>
      <c r="L11" s="56">
        <f t="shared" ref="L11:L19" si="3">K11*C11</f>
        <v>711.95900640048774</v>
      </c>
      <c r="M11" s="54"/>
    </row>
    <row r="12" spans="1:13" ht="47.25" x14ac:dyDescent="0.25">
      <c r="A12" s="52">
        <v>3</v>
      </c>
      <c r="B12" s="65" t="s">
        <v>41</v>
      </c>
      <c r="C12" s="56">
        <f>estimate!G18</f>
        <v>25</v>
      </c>
      <c r="D12" s="57" t="str">
        <f>estimate!H18</f>
        <v>rm</v>
      </c>
      <c r="E12" s="57">
        <f>abc!E11</f>
        <v>5916.7039999999997</v>
      </c>
      <c r="F12" s="56">
        <f t="shared" si="0"/>
        <v>147917.6</v>
      </c>
      <c r="G12" s="56">
        <v>5800</v>
      </c>
      <c r="H12" s="56">
        <f t="shared" si="1"/>
        <v>145000</v>
      </c>
      <c r="I12" s="56">
        <v>5850</v>
      </c>
      <c r="J12" s="56">
        <f t="shared" si="2"/>
        <v>146250</v>
      </c>
      <c r="K12" s="56">
        <v>5900</v>
      </c>
      <c r="L12" s="56">
        <f t="shared" si="3"/>
        <v>147500</v>
      </c>
      <c r="M12" s="54"/>
    </row>
    <row r="13" spans="1:13" ht="47.25" x14ac:dyDescent="0.25">
      <c r="A13" s="52">
        <v>4</v>
      </c>
      <c r="B13" s="65" t="s">
        <v>55</v>
      </c>
      <c r="C13" s="56">
        <f>estimate!G22</f>
        <v>2.5</v>
      </c>
      <c r="D13" s="57" t="str">
        <f>estimate!H22</f>
        <v>rm</v>
      </c>
      <c r="E13" s="57">
        <f>abc!E12</f>
        <v>4251.6879999999992</v>
      </c>
      <c r="F13" s="56">
        <f t="shared" si="0"/>
        <v>10629.219999999998</v>
      </c>
      <c r="G13" s="56">
        <v>4200</v>
      </c>
      <c r="H13" s="56">
        <f t="shared" si="1"/>
        <v>10500</v>
      </c>
      <c r="I13" s="56">
        <v>4225</v>
      </c>
      <c r="J13" s="56">
        <f t="shared" si="2"/>
        <v>10562.5</v>
      </c>
      <c r="K13" s="56">
        <v>4220</v>
      </c>
      <c r="L13" s="56">
        <f t="shared" si="3"/>
        <v>10550</v>
      </c>
      <c r="M13" s="54"/>
    </row>
    <row r="14" spans="1:13" ht="47.25" x14ac:dyDescent="0.25">
      <c r="A14" s="52">
        <v>5</v>
      </c>
      <c r="B14" s="65" t="s">
        <v>47</v>
      </c>
      <c r="C14" s="56">
        <f>estimate!G27</f>
        <v>14.005730309680565</v>
      </c>
      <c r="D14" s="57" t="str">
        <f>estimate!H27</f>
        <v>cum</v>
      </c>
      <c r="E14" s="57">
        <f>abc!E13</f>
        <v>3244.12</v>
      </c>
      <c r="F14" s="56">
        <f t="shared" si="0"/>
        <v>45436.269812240913</v>
      </c>
      <c r="G14" s="56">
        <v>3200</v>
      </c>
      <c r="H14" s="56">
        <f t="shared" si="1"/>
        <v>44818.336990977812</v>
      </c>
      <c r="I14" s="56">
        <v>3225</v>
      </c>
      <c r="J14" s="56">
        <f t="shared" si="2"/>
        <v>45168.480248719825</v>
      </c>
      <c r="K14" s="56">
        <v>3222</v>
      </c>
      <c r="L14" s="56">
        <f t="shared" si="3"/>
        <v>45126.463057790781</v>
      </c>
      <c r="M14" s="54"/>
    </row>
    <row r="15" spans="1:13" ht="31.5" x14ac:dyDescent="0.25">
      <c r="A15" s="52">
        <v>6</v>
      </c>
      <c r="B15" s="51" t="s">
        <v>60</v>
      </c>
      <c r="C15" s="56">
        <f>estimate!G33</f>
        <v>0.34024522993981776</v>
      </c>
      <c r="D15" s="57" t="str">
        <f>estimate!H33</f>
        <v>cum</v>
      </c>
      <c r="E15" s="57">
        <f>abc!E14</f>
        <v>16006</v>
      </c>
      <c r="F15" s="56">
        <f t="shared" si="0"/>
        <v>5445.9651504167232</v>
      </c>
      <c r="G15" s="56">
        <v>16000</v>
      </c>
      <c r="H15" s="56">
        <f t="shared" si="1"/>
        <v>5443.9236790370842</v>
      </c>
      <c r="I15" s="56">
        <v>16000</v>
      </c>
      <c r="J15" s="56">
        <f t="shared" si="2"/>
        <v>5443.9236790370842</v>
      </c>
      <c r="K15" s="56">
        <v>16005</v>
      </c>
      <c r="L15" s="56">
        <f t="shared" si="3"/>
        <v>5445.6249051867835</v>
      </c>
      <c r="M15" s="54"/>
    </row>
    <row r="16" spans="1:13" s="1" customFormat="1" ht="47.25" x14ac:dyDescent="0.25">
      <c r="A16" s="52">
        <v>7</v>
      </c>
      <c r="B16" s="65" t="s">
        <v>32</v>
      </c>
      <c r="C16" s="56">
        <f>estimate!G39</f>
        <v>8.135138816236237E-2</v>
      </c>
      <c r="D16" s="57" t="str">
        <f>estimate!H39</f>
        <v>cum</v>
      </c>
      <c r="E16" s="57">
        <f>abc!E15</f>
        <v>12902.424999999999</v>
      </c>
      <c r="F16" s="56">
        <f t="shared" si="0"/>
        <v>1049.6301844107682</v>
      </c>
      <c r="G16" s="56">
        <v>12890</v>
      </c>
      <c r="H16" s="56">
        <f t="shared" si="1"/>
        <v>1048.619393412851</v>
      </c>
      <c r="I16" s="56">
        <v>12895</v>
      </c>
      <c r="J16" s="56">
        <f t="shared" si="2"/>
        <v>1049.0261503536628</v>
      </c>
      <c r="K16" s="56">
        <v>12890</v>
      </c>
      <c r="L16" s="56">
        <f t="shared" si="3"/>
        <v>1048.619393412851</v>
      </c>
      <c r="M16" s="54"/>
    </row>
    <row r="17" spans="1:13" s="1" customFormat="1" ht="47.25" x14ac:dyDescent="0.25">
      <c r="A17" s="52">
        <v>8</v>
      </c>
      <c r="B17" s="65" t="s">
        <v>52</v>
      </c>
      <c r="C17" s="56">
        <f>estimate!G43</f>
        <v>0.23624999999999996</v>
      </c>
      <c r="D17" s="57" t="str">
        <f>estimate!H43</f>
        <v>cum</v>
      </c>
      <c r="E17" s="57">
        <f>abc!E16</f>
        <v>11165.844499999999</v>
      </c>
      <c r="F17" s="56">
        <f t="shared" si="0"/>
        <v>2637.9307631249994</v>
      </c>
      <c r="G17" s="56">
        <v>11150</v>
      </c>
      <c r="H17" s="56">
        <f t="shared" si="1"/>
        <v>2634.1874999999995</v>
      </c>
      <c r="I17" s="56">
        <v>11155</v>
      </c>
      <c r="J17" s="56">
        <f t="shared" si="2"/>
        <v>2635.3687499999996</v>
      </c>
      <c r="K17" s="56">
        <v>2634</v>
      </c>
      <c r="L17" s="56">
        <f t="shared" si="3"/>
        <v>622.28249999999991</v>
      </c>
      <c r="M17" s="54"/>
    </row>
    <row r="18" spans="1:13" ht="15.75" x14ac:dyDescent="0.25">
      <c r="A18" s="52">
        <v>9</v>
      </c>
      <c r="B18" s="53" t="s">
        <v>49</v>
      </c>
      <c r="C18" s="62">
        <f>estimate!G46</f>
        <v>1</v>
      </c>
      <c r="D18" s="57" t="str">
        <f>estimate!H46</f>
        <v>no.</v>
      </c>
      <c r="E18" s="57">
        <f>abc!E17</f>
        <v>5160.0499999999993</v>
      </c>
      <c r="F18" s="56">
        <f t="shared" si="0"/>
        <v>5160.0499999999993</v>
      </c>
      <c r="G18" s="56">
        <v>5150</v>
      </c>
      <c r="H18" s="56">
        <f t="shared" si="1"/>
        <v>5150</v>
      </c>
      <c r="I18" s="56">
        <v>5155</v>
      </c>
      <c r="J18" s="56">
        <f t="shared" si="2"/>
        <v>5155</v>
      </c>
      <c r="K18" s="56">
        <v>5155</v>
      </c>
      <c r="L18" s="56">
        <f t="shared" si="3"/>
        <v>5155</v>
      </c>
      <c r="M18" s="54"/>
    </row>
    <row r="19" spans="1:13" ht="15.75" x14ac:dyDescent="0.25">
      <c r="A19" s="76">
        <v>10</v>
      </c>
      <c r="B19" s="77" t="s">
        <v>29</v>
      </c>
      <c r="C19" s="58">
        <f>estimate!G48</f>
        <v>1</v>
      </c>
      <c r="D19" s="57" t="str">
        <f>estimate!H48</f>
        <v>no.</v>
      </c>
      <c r="E19" s="57">
        <f>abc!E18</f>
        <v>500</v>
      </c>
      <c r="F19" s="56">
        <f t="shared" si="0"/>
        <v>500</v>
      </c>
      <c r="G19" s="56">
        <v>500</v>
      </c>
      <c r="H19" s="56">
        <f t="shared" si="1"/>
        <v>500</v>
      </c>
      <c r="I19" s="56">
        <v>500</v>
      </c>
      <c r="J19" s="56">
        <f t="shared" si="2"/>
        <v>500</v>
      </c>
      <c r="K19" s="56">
        <v>500</v>
      </c>
      <c r="L19" s="56">
        <f t="shared" si="3"/>
        <v>500</v>
      </c>
      <c r="M19" s="54"/>
    </row>
    <row r="20" spans="1:13" ht="15.75" x14ac:dyDescent="0.25">
      <c r="A20" s="68"/>
      <c r="B20" s="78" t="s">
        <v>64</v>
      </c>
      <c r="C20" s="70"/>
      <c r="D20" s="70"/>
      <c r="E20" s="70"/>
      <c r="F20" s="70">
        <f>SUM(F10:F19)</f>
        <v>220946.61737436592</v>
      </c>
      <c r="G20" s="70"/>
      <c r="H20" s="70">
        <f>SUM(H10:H19)</f>
        <v>217203.69907820981</v>
      </c>
      <c r="I20" s="70"/>
      <c r="J20" s="70">
        <f>SUM(J10:J19)</f>
        <v>218843.02391192649</v>
      </c>
      <c r="K20" s="70"/>
      <c r="L20" s="70">
        <f>SUM(L10:L19)</f>
        <v>218019.94886279089</v>
      </c>
      <c r="M20" s="68"/>
    </row>
    <row r="21" spans="1:13" ht="15.75" x14ac:dyDescent="0.25">
      <c r="A21" s="71"/>
      <c r="B21" s="68" t="s">
        <v>61</v>
      </c>
      <c r="C21" s="71"/>
      <c r="D21" s="71"/>
      <c r="E21" s="71"/>
      <c r="F21" s="71">
        <f>F20*0.13</f>
        <v>28723.06025866757</v>
      </c>
      <c r="G21" s="71"/>
      <c r="H21" s="71">
        <f>H20*0.13</f>
        <v>28236.480880167277</v>
      </c>
      <c r="I21" s="71"/>
      <c r="J21" s="70">
        <f>J20*0.13</f>
        <v>28449.593108550445</v>
      </c>
      <c r="K21" s="71"/>
      <c r="L21" s="71">
        <f>L20*0.13</f>
        <v>28342.593352162818</v>
      </c>
      <c r="M21" s="68"/>
    </row>
    <row r="22" spans="1:13" ht="15.75" x14ac:dyDescent="0.25">
      <c r="A22" s="71"/>
      <c r="B22" s="68" t="s">
        <v>62</v>
      </c>
      <c r="C22" s="71">
        <v>1</v>
      </c>
      <c r="D22" s="71" t="s">
        <v>53</v>
      </c>
      <c r="E22" s="71">
        <v>40000</v>
      </c>
      <c r="F22" s="71">
        <f>E22*C22</f>
        <v>40000</v>
      </c>
      <c r="G22" s="71"/>
      <c r="H22" s="71">
        <f>F22</f>
        <v>40000</v>
      </c>
      <c r="I22" s="71"/>
      <c r="J22" s="70">
        <v>40000</v>
      </c>
      <c r="K22" s="71"/>
      <c r="L22" s="70">
        <v>40000</v>
      </c>
      <c r="M22" s="68"/>
    </row>
    <row r="23" spans="1:13" ht="15.75" x14ac:dyDescent="0.25">
      <c r="A23" s="71"/>
      <c r="B23" s="68" t="s">
        <v>63</v>
      </c>
      <c r="C23" s="71"/>
      <c r="D23" s="71"/>
      <c r="E23" s="71"/>
      <c r="F23" s="70">
        <f>SUM(F20:F22)</f>
        <v>289669.67763303348</v>
      </c>
      <c r="G23" s="70"/>
      <c r="H23" s="70">
        <f>SUM(H20:H22)</f>
        <v>285440.17995837709</v>
      </c>
      <c r="I23" s="70"/>
      <c r="J23" s="70">
        <f>SUM(J20:J22)</f>
        <v>287292.61702047696</v>
      </c>
      <c r="K23" s="70"/>
      <c r="L23" s="70">
        <f>SUM(L20:L22)</f>
        <v>286362.54221495369</v>
      </c>
      <c r="M23" s="68"/>
    </row>
    <row r="24" spans="1:13" ht="15.75" x14ac:dyDescent="0.25">
      <c r="A24" s="80"/>
      <c r="B24" s="81"/>
      <c r="C24" s="80"/>
      <c r="D24" s="80"/>
      <c r="E24" s="80"/>
      <c r="F24" s="82"/>
      <c r="G24" s="82"/>
      <c r="H24" s="82"/>
      <c r="I24" s="82"/>
      <c r="J24" s="82"/>
      <c r="K24" s="82"/>
      <c r="L24" s="82"/>
      <c r="M24" s="81"/>
    </row>
    <row r="25" spans="1:13" x14ac:dyDescent="0.25">
      <c r="H25" s="79">
        <f>H20-F20</f>
        <v>-3742.9182961561019</v>
      </c>
      <c r="J25" s="79">
        <f>J20-F20</f>
        <v>-2103.5934624394285</v>
      </c>
      <c r="L25" s="79">
        <f>L20-F20</f>
        <v>-2926.6685115750297</v>
      </c>
    </row>
    <row r="26" spans="1:13" x14ac:dyDescent="0.25">
      <c r="H26" s="6">
        <f>100*H25/F20</f>
        <v>-1.6940373836157008</v>
      </c>
      <c r="J26" s="6">
        <f>100*J25/F20</f>
        <v>-0.95208222123408082</v>
      </c>
      <c r="L26" s="6">
        <f>100*L25/F20</f>
        <v>-1.3246043530126386</v>
      </c>
    </row>
    <row r="28" spans="1:13" x14ac:dyDescent="0.25">
      <c r="H28" s="79">
        <f>F20-H20</f>
        <v>3742.9182961561019</v>
      </c>
    </row>
  </sheetData>
  <mergeCells count="12">
    <mergeCell ref="A6:C6"/>
    <mergeCell ref="D6:M6"/>
    <mergeCell ref="A1:M1"/>
    <mergeCell ref="A2:M2"/>
    <mergeCell ref="A3:M3"/>
    <mergeCell ref="A4:M4"/>
    <mergeCell ref="A5:M5"/>
    <mergeCell ref="A7:B7"/>
    <mergeCell ref="D7:M7"/>
    <mergeCell ref="G9:H9"/>
    <mergeCell ref="I9:J9"/>
    <mergeCell ref="K9:L9"/>
  </mergeCells>
  <printOptions horizontalCentered="1"/>
  <pageMargins left="0.25" right="0.25" top="0.75" bottom="0.75" header="0.3" footer="0.3"/>
  <pageSetup paperSize="9" scale="60" orientation="landscape" horizontalDpi="300" verticalDpi="300" r:id="rId1"/>
  <rowBreaks count="1" manualBreakCount="1">
    <brk id="2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view="pageBreakPreview" topLeftCell="A37" zoomScale="80" zoomScaleNormal="100" zoomScaleSheetLayoutView="80" workbookViewId="0">
      <selection activeCell="A50" sqref="A50"/>
    </sheetView>
  </sheetViews>
  <sheetFormatPr defaultRowHeight="15" x14ac:dyDescent="0.25"/>
  <cols>
    <col min="1" max="1" width="5.140625" style="6" bestFit="1" customWidth="1"/>
    <col min="2" max="2" width="31.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s>
  <sheetData>
    <row r="1" spans="1:11" s="1" customFormat="1" x14ac:dyDescent="0.25">
      <c r="A1" s="88" t="s">
        <v>0</v>
      </c>
      <c r="B1" s="88"/>
      <c r="C1" s="88"/>
      <c r="D1" s="88"/>
      <c r="E1" s="88"/>
      <c r="F1" s="88"/>
      <c r="G1" s="88"/>
      <c r="H1" s="88"/>
      <c r="I1" s="88"/>
      <c r="J1" s="88"/>
      <c r="K1" s="88"/>
    </row>
    <row r="2" spans="1:11" s="1" customFormat="1" ht="22.5" x14ac:dyDescent="0.25">
      <c r="A2" s="89" t="s">
        <v>1</v>
      </c>
      <c r="B2" s="89"/>
      <c r="C2" s="89"/>
      <c r="D2" s="89"/>
      <c r="E2" s="89"/>
      <c r="F2" s="89"/>
      <c r="G2" s="89"/>
      <c r="H2" s="89"/>
      <c r="I2" s="89"/>
      <c r="J2" s="89"/>
      <c r="K2" s="89"/>
    </row>
    <row r="3" spans="1:11" s="1" customFormat="1" x14ac:dyDescent="0.25">
      <c r="A3" s="90" t="s">
        <v>2</v>
      </c>
      <c r="B3" s="90"/>
      <c r="C3" s="90"/>
      <c r="D3" s="90"/>
      <c r="E3" s="90"/>
      <c r="F3" s="90"/>
      <c r="G3" s="90"/>
      <c r="H3" s="90"/>
      <c r="I3" s="90"/>
      <c r="J3" s="90"/>
      <c r="K3" s="90"/>
    </row>
    <row r="4" spans="1:11" s="1" customFormat="1" x14ac:dyDescent="0.25">
      <c r="A4" s="90" t="s">
        <v>3</v>
      </c>
      <c r="B4" s="90"/>
      <c r="C4" s="90"/>
      <c r="D4" s="90"/>
      <c r="E4" s="90"/>
      <c r="F4" s="90"/>
      <c r="G4" s="90"/>
      <c r="H4" s="90"/>
      <c r="I4" s="90"/>
      <c r="J4" s="90"/>
      <c r="K4" s="90"/>
    </row>
    <row r="5" spans="1:11" ht="18.75" x14ac:dyDescent="0.3">
      <c r="A5" s="91" t="s">
        <v>35</v>
      </c>
      <c r="B5" s="91"/>
      <c r="C5" s="91"/>
      <c r="D5" s="91"/>
      <c r="E5" s="91"/>
      <c r="F5" s="91"/>
      <c r="G5" s="91"/>
      <c r="H5" s="91"/>
      <c r="I5" s="91"/>
      <c r="J5" s="91"/>
      <c r="K5" s="91"/>
    </row>
    <row r="6" spans="1:11" ht="18.75" x14ac:dyDescent="0.3">
      <c r="A6" s="87" t="str">
        <f>estimate!A6</f>
        <v>Project:- Pasikhel pahiro roktham kaarya</v>
      </c>
      <c r="B6" s="87"/>
      <c r="C6" s="87"/>
      <c r="D6" s="87"/>
      <c r="E6" s="87"/>
      <c r="F6" s="87"/>
      <c r="G6" s="87"/>
      <c r="H6" s="94" t="s">
        <v>39</v>
      </c>
      <c r="I6" s="94"/>
      <c r="J6" s="94"/>
      <c r="K6" s="94"/>
    </row>
    <row r="7" spans="1:11" ht="15.75" x14ac:dyDescent="0.25">
      <c r="A7" s="83" t="s">
        <v>27</v>
      </c>
      <c r="B7" s="83"/>
      <c r="C7" s="83"/>
      <c r="D7" s="83"/>
      <c r="E7" s="83"/>
      <c r="F7" s="83"/>
      <c r="G7" s="2"/>
      <c r="H7" s="94" t="s">
        <v>40</v>
      </c>
      <c r="I7" s="94"/>
      <c r="J7" s="94"/>
      <c r="K7" s="94"/>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45.5" customHeight="1" x14ac:dyDescent="0.25">
      <c r="A9" s="28">
        <v>1</v>
      </c>
      <c r="B9" s="46" t="s">
        <v>54</v>
      </c>
      <c r="C9" s="31"/>
      <c r="D9" s="30"/>
      <c r="E9" s="31"/>
      <c r="F9" s="31"/>
      <c r="G9" s="33"/>
      <c r="H9" s="32"/>
      <c r="I9" s="33"/>
      <c r="J9" s="39"/>
      <c r="K9" s="31"/>
    </row>
    <row r="10" spans="1:11" x14ac:dyDescent="0.25">
      <c r="A10" s="43"/>
      <c r="B10" s="48" t="s">
        <v>34</v>
      </c>
      <c r="C10" s="44">
        <v>1</v>
      </c>
      <c r="D10" s="30">
        <v>20</v>
      </c>
      <c r="E10" s="31">
        <v>0.4</v>
      </c>
      <c r="F10" s="31">
        <v>0.2</v>
      </c>
      <c r="G10" s="40">
        <f>PRODUCT(C10:F10)</f>
        <v>1.6</v>
      </c>
      <c r="H10" s="32"/>
      <c r="I10" s="33"/>
      <c r="J10" s="33"/>
      <c r="K10" s="31"/>
    </row>
    <row r="11" spans="1:11" x14ac:dyDescent="0.25">
      <c r="A11" s="28"/>
      <c r="B11" s="34" t="s">
        <v>31</v>
      </c>
      <c r="C11" s="31"/>
      <c r="D11" s="30"/>
      <c r="E11" s="31"/>
      <c r="F11" s="31"/>
      <c r="G11" s="33">
        <f>SUM(G10:G10)</f>
        <v>1.6</v>
      </c>
      <c r="H11" s="32" t="s">
        <v>28</v>
      </c>
      <c r="I11" s="33">
        <f>736.88*1.15</f>
        <v>847.41199999999992</v>
      </c>
      <c r="J11" s="39">
        <f>G11*I11</f>
        <v>1355.8591999999999</v>
      </c>
      <c r="K11" s="31"/>
    </row>
    <row r="12" spans="1:11" x14ac:dyDescent="0.25">
      <c r="A12" s="28"/>
      <c r="B12" s="46"/>
      <c r="C12" s="31"/>
      <c r="D12" s="30"/>
      <c r="E12" s="31"/>
      <c r="F12" s="31"/>
      <c r="G12" s="33"/>
      <c r="H12" s="32"/>
      <c r="I12" s="33"/>
      <c r="J12" s="39"/>
      <c r="K12" s="31"/>
    </row>
    <row r="13" spans="1:11" ht="150" x14ac:dyDescent="0.25">
      <c r="A13" s="28">
        <v>2</v>
      </c>
      <c r="B13" s="46" t="s">
        <v>33</v>
      </c>
      <c r="C13" s="17"/>
      <c r="D13" s="17"/>
      <c r="E13" s="17"/>
      <c r="F13" s="17"/>
      <c r="G13" s="43"/>
      <c r="H13" s="32"/>
      <c r="I13" s="33"/>
      <c r="J13" s="33"/>
      <c r="K13" s="31"/>
    </row>
    <row r="14" spans="1:11" x14ac:dyDescent="0.25">
      <c r="A14" s="43"/>
      <c r="B14" s="48" t="s">
        <v>43</v>
      </c>
      <c r="C14" s="44">
        <v>10</v>
      </c>
      <c r="D14" s="30">
        <v>2.5</v>
      </c>
      <c r="E14" s="31">
        <v>0.75</v>
      </c>
      <c r="F14" s="31">
        <f>23/12/3.281</f>
        <v>0.58417149243116939</v>
      </c>
      <c r="G14" s="40">
        <f>PRODUCT(C14:F14)</f>
        <v>10.953215483084426</v>
      </c>
      <c r="H14" s="32"/>
      <c r="I14" s="33"/>
      <c r="J14" s="33"/>
      <c r="K14" s="31"/>
    </row>
    <row r="15" spans="1:11" x14ac:dyDescent="0.25">
      <c r="A15" s="28"/>
      <c r="B15" s="34" t="s">
        <v>31</v>
      </c>
      <c r="C15" s="31"/>
      <c r="D15" s="30"/>
      <c r="E15" s="31"/>
      <c r="F15" s="31"/>
      <c r="G15" s="33">
        <f>SUM(G14:G14)</f>
        <v>10.953215483084426</v>
      </c>
      <c r="H15" s="32" t="s">
        <v>28</v>
      </c>
      <c r="I15" s="33">
        <f>64.63*1.15</f>
        <v>74.324499999999986</v>
      </c>
      <c r="J15" s="39">
        <f>G15*I15</f>
        <v>814.09226417250829</v>
      </c>
      <c r="K15" s="31"/>
    </row>
    <row r="16" spans="1:11" x14ac:dyDescent="0.25">
      <c r="A16" s="28"/>
      <c r="B16" s="34"/>
      <c r="C16" s="31"/>
      <c r="D16" s="30"/>
      <c r="E16" s="31"/>
      <c r="F16" s="31"/>
      <c r="G16" s="33"/>
      <c r="H16" s="32"/>
      <c r="I16" s="33"/>
      <c r="J16" s="39"/>
      <c r="K16" s="31"/>
    </row>
    <row r="17" spans="1:13" ht="96" customHeight="1" x14ac:dyDescent="0.25">
      <c r="A17" s="28">
        <v>3</v>
      </c>
      <c r="B17" s="45" t="s">
        <v>41</v>
      </c>
      <c r="C17" s="29"/>
      <c r="D17" s="30"/>
      <c r="E17" s="31"/>
      <c r="F17" s="31"/>
      <c r="G17" s="33"/>
      <c r="H17" s="32"/>
      <c r="I17" s="33"/>
      <c r="J17" s="49"/>
      <c r="K17" s="31"/>
    </row>
    <row r="18" spans="1:13" x14ac:dyDescent="0.25">
      <c r="A18" s="43"/>
      <c r="B18" s="48" t="s">
        <v>34</v>
      </c>
      <c r="C18" s="44">
        <v>10</v>
      </c>
      <c r="D18" s="30">
        <v>2.5</v>
      </c>
      <c r="E18" s="31"/>
      <c r="F18" s="31"/>
      <c r="G18" s="40">
        <f>PRODUCT(C18:F18)</f>
        <v>25</v>
      </c>
      <c r="H18" s="32"/>
      <c r="I18" s="33"/>
      <c r="J18" s="33"/>
      <c r="K18" s="31"/>
    </row>
    <row r="19" spans="1:13" x14ac:dyDescent="0.25">
      <c r="A19" s="28"/>
      <c r="B19" s="34" t="s">
        <v>31</v>
      </c>
      <c r="C19" s="31"/>
      <c r="D19" s="30"/>
      <c r="E19" s="31"/>
      <c r="F19" s="31"/>
      <c r="G19" s="33">
        <f>SUM(G18:G18)</f>
        <v>25</v>
      </c>
      <c r="H19" s="32" t="s">
        <v>42</v>
      </c>
      <c r="I19" s="33">
        <f>5144.96*1.15</f>
        <v>5916.7039999999997</v>
      </c>
      <c r="J19" s="39">
        <f>G19*I19</f>
        <v>147917.6</v>
      </c>
      <c r="K19" s="31"/>
      <c r="M19">
        <f>I19*2.5</f>
        <v>14791.759999999998</v>
      </c>
    </row>
    <row r="20" spans="1:13" x14ac:dyDescent="0.25">
      <c r="A20" s="28"/>
      <c r="B20" s="34"/>
      <c r="C20" s="31"/>
      <c r="D20" s="30"/>
      <c r="E20" s="31"/>
      <c r="F20" s="31"/>
      <c r="G20" s="33"/>
      <c r="H20" s="32"/>
      <c r="I20" s="33"/>
      <c r="J20" s="39"/>
      <c r="K20" s="31"/>
    </row>
    <row r="21" spans="1:13" ht="95.25" customHeight="1" x14ac:dyDescent="0.25">
      <c r="A21" s="28">
        <v>4</v>
      </c>
      <c r="B21" s="45" t="s">
        <v>55</v>
      </c>
      <c r="C21" s="29"/>
      <c r="D21" s="30"/>
      <c r="E21" s="31"/>
      <c r="F21" s="31"/>
      <c r="G21" s="33"/>
      <c r="H21" s="32"/>
      <c r="I21" s="33"/>
      <c r="J21" s="49"/>
      <c r="K21" s="31"/>
    </row>
    <row r="22" spans="1:13" x14ac:dyDescent="0.25">
      <c r="A22" s="43"/>
      <c r="B22" s="48" t="s">
        <v>34</v>
      </c>
      <c r="C22" s="44">
        <v>1</v>
      </c>
      <c r="D22" s="30">
        <v>2.5</v>
      </c>
      <c r="E22" s="31"/>
      <c r="F22" s="31"/>
      <c r="G22" s="40">
        <f>PRODUCT(C22:F22)</f>
        <v>2.5</v>
      </c>
      <c r="H22" s="32"/>
      <c r="I22" s="33"/>
      <c r="J22" s="33"/>
      <c r="K22" s="31"/>
    </row>
    <row r="23" spans="1:13" x14ac:dyDescent="0.25">
      <c r="A23" s="28"/>
      <c r="B23" s="34" t="s">
        <v>31</v>
      </c>
      <c r="C23" s="31"/>
      <c r="D23" s="30"/>
      <c r="E23" s="31"/>
      <c r="F23" s="31"/>
      <c r="G23" s="33">
        <f>SUM(G22:G22)</f>
        <v>2.5</v>
      </c>
      <c r="H23" s="32" t="s">
        <v>42</v>
      </c>
      <c r="I23" s="33">
        <f>3697.12*1.15</f>
        <v>4251.6879999999992</v>
      </c>
      <c r="J23" s="39">
        <f>G23*I23</f>
        <v>10629.219999999998</v>
      </c>
      <c r="K23" s="31"/>
      <c r="M23">
        <f>I23*2.5</f>
        <v>10629.219999999998</v>
      </c>
    </row>
    <row r="24" spans="1:13" x14ac:dyDescent="0.25">
      <c r="A24" s="28"/>
      <c r="B24" s="34"/>
      <c r="C24" s="31"/>
      <c r="D24" s="30"/>
      <c r="E24" s="31"/>
      <c r="F24" s="31"/>
      <c r="G24" s="33"/>
      <c r="H24" s="32"/>
      <c r="I24" s="33"/>
      <c r="J24" s="39"/>
      <c r="K24" s="31"/>
    </row>
    <row r="25" spans="1:13" ht="90" customHeight="1" x14ac:dyDescent="0.25">
      <c r="A25" s="28">
        <v>5</v>
      </c>
      <c r="B25" s="45" t="s">
        <v>47</v>
      </c>
      <c r="C25" s="31"/>
      <c r="D25" s="30"/>
      <c r="E25" s="31"/>
      <c r="F25" s="31"/>
      <c r="G25" s="33"/>
      <c r="H25" s="32"/>
      <c r="I25" s="33"/>
      <c r="J25" s="39"/>
      <c r="K25" s="31"/>
    </row>
    <row r="26" spans="1:13" ht="15" customHeight="1" x14ac:dyDescent="0.25">
      <c r="A26" s="43"/>
      <c r="B26" s="48" t="s">
        <v>46</v>
      </c>
      <c r="C26" s="44">
        <v>1</v>
      </c>
      <c r="D26" s="30">
        <f>10*2.5-7.5</f>
        <v>17.5</v>
      </c>
      <c r="E26" s="31">
        <v>2</v>
      </c>
      <c r="F26" s="31">
        <f>1/3.2808</f>
        <v>0.30480370641306997</v>
      </c>
      <c r="G26" s="40">
        <f>PRODUCT(C26:F26)</f>
        <v>10.668129724457449</v>
      </c>
      <c r="H26" s="32"/>
      <c r="I26" s="33"/>
      <c r="J26" s="33"/>
      <c r="K26" s="31"/>
    </row>
    <row r="27" spans="1:13" ht="15" customHeight="1" x14ac:dyDescent="0.25">
      <c r="A27" s="43"/>
      <c r="B27" s="48"/>
      <c r="C27" s="44">
        <v>1</v>
      </c>
      <c r="D27" s="30">
        <v>7.5</v>
      </c>
      <c r="E27" s="31">
        <v>1.46</v>
      </c>
      <c r="F27" s="31">
        <f>1/3.2808</f>
        <v>0.30480370641306997</v>
      </c>
      <c r="G27" s="40">
        <f>PRODUCT(C27:F27)</f>
        <v>3.3376005852231159</v>
      </c>
      <c r="H27" s="32"/>
      <c r="I27" s="33"/>
      <c r="J27" s="33"/>
      <c r="K27" s="31"/>
    </row>
    <row r="28" spans="1:13" x14ac:dyDescent="0.25">
      <c r="A28" s="28"/>
      <c r="B28" s="34" t="s">
        <v>31</v>
      </c>
      <c r="C28" s="31"/>
      <c r="D28" s="30"/>
      <c r="E28" s="31"/>
      <c r="F28" s="31"/>
      <c r="G28" s="33">
        <f>SUM(G26:G27)</f>
        <v>14.005730309680565</v>
      </c>
      <c r="H28" s="32" t="s">
        <v>28</v>
      </c>
      <c r="I28" s="33">
        <f>(3244.12/1.15)*1.15</f>
        <v>3244.12</v>
      </c>
      <c r="J28" s="39">
        <f>G28*I28</f>
        <v>45436.269812240913</v>
      </c>
      <c r="K28" s="31"/>
    </row>
    <row r="29" spans="1:13" x14ac:dyDescent="0.25">
      <c r="A29" s="28"/>
      <c r="B29" s="34"/>
      <c r="C29" s="31"/>
      <c r="D29" s="30"/>
      <c r="E29" s="31"/>
      <c r="F29" s="31"/>
      <c r="G29" s="33"/>
      <c r="H29" s="32"/>
      <c r="I29" s="33"/>
      <c r="J29" s="39"/>
      <c r="K29" s="31"/>
    </row>
    <row r="30" spans="1:13" ht="30.75" x14ac:dyDescent="0.25">
      <c r="A30" s="28">
        <v>6</v>
      </c>
      <c r="B30" s="50" t="s">
        <v>44</v>
      </c>
      <c r="C30" s="31"/>
      <c r="D30" s="30"/>
      <c r="E30" s="31"/>
      <c r="F30" s="31"/>
      <c r="G30" s="33"/>
      <c r="H30" s="32"/>
      <c r="I30" s="33" t="s">
        <v>48</v>
      </c>
      <c r="J30" s="39"/>
      <c r="K30" s="31"/>
    </row>
    <row r="31" spans="1:13" x14ac:dyDescent="0.25">
      <c r="A31" s="43"/>
      <c r="B31" s="48" t="s">
        <v>45</v>
      </c>
      <c r="C31" s="44">
        <v>1</v>
      </c>
      <c r="D31" s="30">
        <f>1.03+1.03+(1-0.23*2)*2</f>
        <v>3.14</v>
      </c>
      <c r="E31" s="31">
        <v>0.23</v>
      </c>
      <c r="F31" s="31">
        <v>0.6</v>
      </c>
      <c r="G31" s="40">
        <f>PRODUCT(C31:F31)</f>
        <v>0.43332000000000004</v>
      </c>
      <c r="H31" s="32"/>
      <c r="I31" s="33"/>
      <c r="J31" s="33"/>
      <c r="K31" s="31"/>
    </row>
    <row r="32" spans="1:13" x14ac:dyDescent="0.25">
      <c r="A32" s="43"/>
      <c r="B32" s="48" t="s">
        <v>50</v>
      </c>
      <c r="C32" s="44">
        <v>-1</v>
      </c>
      <c r="D32" s="30">
        <f>(0.3+5/12/3.281)</f>
        <v>0.42699380270242815</v>
      </c>
      <c r="E32" s="4">
        <v>0.23</v>
      </c>
      <c r="F32" s="31">
        <f>PI()</f>
        <v>3.1415926535897931</v>
      </c>
      <c r="G32" s="40">
        <f>C32*(F32*(D32*D32)/4)*E32</f>
        <v>-3.2935242161652237E-2</v>
      </c>
      <c r="H32" s="32"/>
      <c r="I32" s="33"/>
      <c r="J32" s="33"/>
      <c r="K32" s="31"/>
    </row>
    <row r="33" spans="1:11" x14ac:dyDescent="0.25">
      <c r="A33" s="43"/>
      <c r="B33" s="48"/>
      <c r="C33" s="44">
        <v>-1</v>
      </c>
      <c r="D33" s="30">
        <f>(0.45+5/12/3.281)</f>
        <v>0.57699380270242817</v>
      </c>
      <c r="E33" s="4">
        <v>0.23</v>
      </c>
      <c r="F33" s="31">
        <f>PI()</f>
        <v>3.1415926535897931</v>
      </c>
      <c r="G33" s="40">
        <f>C33*(F33*(D33*D33)/4)*E33</f>
        <v>-6.0139527898530026E-2</v>
      </c>
      <c r="H33" s="32"/>
      <c r="I33" s="33"/>
      <c r="J33" s="33"/>
      <c r="K33" s="31"/>
    </row>
    <row r="34" spans="1:11" x14ac:dyDescent="0.25">
      <c r="A34" s="28"/>
      <c r="B34" s="34" t="s">
        <v>31</v>
      </c>
      <c r="C34" s="31"/>
      <c r="D34" s="30" t="s">
        <v>48</v>
      </c>
      <c r="E34" s="4"/>
      <c r="F34" s="31"/>
      <c r="G34" s="33">
        <f>SUM(G31:G33)</f>
        <v>0.34024522993981776</v>
      </c>
      <c r="H34" s="32" t="s">
        <v>28</v>
      </c>
      <c r="I34" s="33">
        <f>14362.76*1.15</f>
        <v>16517.173999999999</v>
      </c>
      <c r="J34" s="39">
        <f>G34*I34</f>
        <v>5619.8896655859789</v>
      </c>
      <c r="K34" s="31"/>
    </row>
    <row r="35" spans="1:11" x14ac:dyDescent="0.25">
      <c r="A35" s="28"/>
      <c r="B35" s="34"/>
      <c r="C35" s="31"/>
      <c r="D35" s="30"/>
      <c r="E35" s="31"/>
      <c r="F35" s="31"/>
      <c r="G35" s="33"/>
      <c r="H35" s="32"/>
      <c r="I35" s="33"/>
      <c r="J35" s="39"/>
      <c r="K35" s="31"/>
    </row>
    <row r="36" spans="1:11" s="1" customFormat="1" ht="77.25" customHeight="1" x14ac:dyDescent="0.25">
      <c r="A36" s="28">
        <v>7</v>
      </c>
      <c r="B36" s="45" t="s">
        <v>32</v>
      </c>
      <c r="C36" s="31"/>
      <c r="D36" s="30"/>
      <c r="E36" s="31"/>
      <c r="F36" s="31"/>
      <c r="G36" s="33"/>
      <c r="H36" s="32"/>
      <c r="I36" s="33"/>
      <c r="J36" s="39"/>
      <c r="K36" s="31"/>
    </row>
    <row r="37" spans="1:11" x14ac:dyDescent="0.25">
      <c r="A37" s="43"/>
      <c r="B37" s="48" t="s">
        <v>45</v>
      </c>
      <c r="C37" s="44">
        <v>1</v>
      </c>
      <c r="D37" s="30">
        <f>1.03</f>
        <v>1.03</v>
      </c>
      <c r="E37" s="31">
        <v>1</v>
      </c>
      <c r="F37" s="31">
        <f>1.5/12/3.281</f>
        <v>3.8098140810728431E-2</v>
      </c>
      <c r="G37" s="40">
        <f>PRODUCT(C37:F37)</f>
        <v>3.9241085035050284E-2</v>
      </c>
      <c r="H37" s="32"/>
      <c r="I37" s="33"/>
      <c r="J37" s="33"/>
      <c r="K37" s="31"/>
    </row>
    <row r="38" spans="1:11" x14ac:dyDescent="0.25">
      <c r="A38" s="43"/>
      <c r="B38" s="48" t="s">
        <v>50</v>
      </c>
      <c r="C38" s="44">
        <v>-1</v>
      </c>
      <c r="D38" s="30">
        <f>(23/12/3.281)</f>
        <v>0.58417149243116939</v>
      </c>
      <c r="E38" s="31">
        <f>PI()</f>
        <v>3.1415926535897931</v>
      </c>
      <c r="F38" s="31">
        <f>1.5/12/3.281</f>
        <v>3.8098140810728431E-2</v>
      </c>
      <c r="G38" s="40">
        <f>C38*(E38*(D38*D38)/4)*F38</f>
        <v>-1.021114358608829E-2</v>
      </c>
      <c r="H38" s="32"/>
      <c r="I38" s="33"/>
      <c r="J38" s="33"/>
      <c r="K38" s="31"/>
    </row>
    <row r="39" spans="1:11" x14ac:dyDescent="0.25">
      <c r="A39" s="43"/>
      <c r="B39" s="48"/>
      <c r="C39" s="44">
        <v>1</v>
      </c>
      <c r="D39" s="30">
        <f>1.03</f>
        <v>1.03</v>
      </c>
      <c r="E39" s="31">
        <v>1</v>
      </c>
      <c r="F39" s="31">
        <f>2/12/3.281</f>
        <v>5.0797521080971242E-2</v>
      </c>
      <c r="G39" s="40">
        <f>PRODUCT(C39:F39)</f>
        <v>5.2321446713400381E-2</v>
      </c>
      <c r="H39" s="32"/>
      <c r="I39" s="33"/>
      <c r="J39" s="33"/>
      <c r="K39" s="31"/>
    </row>
    <row r="40" spans="1:11" x14ac:dyDescent="0.25">
      <c r="A40" s="28"/>
      <c r="B40" s="34" t="s">
        <v>31</v>
      </c>
      <c r="C40" s="31"/>
      <c r="D40" s="30" t="s">
        <v>48</v>
      </c>
      <c r="E40" s="31"/>
      <c r="F40" s="31"/>
      <c r="G40" s="33">
        <f>SUM(G37:G39)</f>
        <v>8.135138816236237E-2</v>
      </c>
      <c r="H40" s="32" t="s">
        <v>28</v>
      </c>
      <c r="I40" s="33">
        <f>11219.5*1.15</f>
        <v>12902.424999999999</v>
      </c>
      <c r="J40" s="39">
        <f>G40*I40</f>
        <v>1049.6301844107682</v>
      </c>
      <c r="K40" s="31"/>
    </row>
    <row r="41" spans="1:11" x14ac:dyDescent="0.25">
      <c r="A41" s="28"/>
      <c r="B41" s="34"/>
      <c r="C41" s="31"/>
      <c r="D41" s="30"/>
      <c r="E41" s="31"/>
      <c r="F41" s="31"/>
      <c r="G41" s="33"/>
      <c r="H41" s="32"/>
      <c r="I41" s="33"/>
      <c r="J41" s="39"/>
      <c r="K41" s="31"/>
    </row>
    <row r="42" spans="1:11" s="1" customFormat="1" ht="79.5" customHeight="1" x14ac:dyDescent="0.25">
      <c r="A42" s="28">
        <v>8</v>
      </c>
      <c r="B42" s="45" t="s">
        <v>52</v>
      </c>
      <c r="C42" s="31"/>
      <c r="D42" s="30"/>
      <c r="E42" s="31"/>
      <c r="F42" s="31"/>
      <c r="G42" s="33"/>
      <c r="H42" s="32"/>
      <c r="I42" s="33"/>
      <c r="J42" s="39"/>
      <c r="K42" s="31"/>
    </row>
    <row r="43" spans="1:11" ht="15" customHeight="1" x14ac:dyDescent="0.25">
      <c r="A43" s="28"/>
      <c r="B43" s="47" t="s">
        <v>51</v>
      </c>
      <c r="C43" s="31">
        <v>1</v>
      </c>
      <c r="D43" s="30">
        <v>1.5</v>
      </c>
      <c r="E43" s="31">
        <v>0.35</v>
      </c>
      <c r="F43" s="31">
        <v>0.45</v>
      </c>
      <c r="G43" s="40">
        <f>PRODUCT(C43:F43)</f>
        <v>0.23624999999999996</v>
      </c>
      <c r="H43" s="32"/>
      <c r="I43" s="33"/>
      <c r="J43" s="39"/>
      <c r="K43" s="31"/>
    </row>
    <row r="44" spans="1:11" ht="15" customHeight="1" x14ac:dyDescent="0.25">
      <c r="A44" s="28"/>
      <c r="B44" s="34" t="s">
        <v>31</v>
      </c>
      <c r="C44" s="31"/>
      <c r="D44" s="30" t="s">
        <v>48</v>
      </c>
      <c r="E44" s="31"/>
      <c r="F44" s="31"/>
      <c r="G44" s="33">
        <f>SUM(G43)</f>
        <v>0.23624999999999996</v>
      </c>
      <c r="H44" s="32" t="s">
        <v>28</v>
      </c>
      <c r="I44" s="33">
        <f>9709.43*1.15</f>
        <v>11165.844499999999</v>
      </c>
      <c r="J44" s="39">
        <f>G44*I44</f>
        <v>2637.9307631249994</v>
      </c>
      <c r="K44" s="31"/>
    </row>
    <row r="45" spans="1:11" x14ac:dyDescent="0.25">
      <c r="A45" s="28"/>
      <c r="B45" s="34"/>
      <c r="C45" s="31"/>
      <c r="D45" s="30"/>
      <c r="E45" s="31"/>
      <c r="F45" s="31"/>
      <c r="G45" s="33"/>
      <c r="H45" s="32"/>
      <c r="I45" s="33"/>
      <c r="J45" s="39"/>
      <c r="K45" s="31"/>
    </row>
    <row r="46" spans="1:11" ht="30" x14ac:dyDescent="0.25">
      <c r="A46" s="28">
        <v>9</v>
      </c>
      <c r="B46" s="46" t="s">
        <v>49</v>
      </c>
      <c r="C46" s="31">
        <v>1</v>
      </c>
      <c r="D46" s="30"/>
      <c r="E46" s="31"/>
      <c r="F46" s="31"/>
      <c r="G46" s="40">
        <f>PRODUCT(C46:F46)</f>
        <v>1</v>
      </c>
      <c r="H46" s="32"/>
      <c r="I46" s="33"/>
      <c r="J46" s="39"/>
      <c r="K46" s="31"/>
    </row>
    <row r="47" spans="1:11" x14ac:dyDescent="0.25">
      <c r="A47" s="28"/>
      <c r="B47" s="34" t="s">
        <v>31</v>
      </c>
      <c r="C47" s="31"/>
      <c r="D47" s="30"/>
      <c r="E47" s="31"/>
      <c r="F47" s="31"/>
      <c r="G47" s="33">
        <f>SUM(G46:G46)</f>
        <v>1</v>
      </c>
      <c r="H47" s="32" t="s">
        <v>30</v>
      </c>
      <c r="I47" s="33">
        <f>4487*1.15</f>
        <v>5160.0499999999993</v>
      </c>
      <c r="J47" s="39">
        <f>G47*I47</f>
        <v>5160.0499999999993</v>
      </c>
      <c r="K47" s="31"/>
    </row>
    <row r="48" spans="1:11" x14ac:dyDescent="0.25">
      <c r="A48" s="28"/>
      <c r="B48" s="34"/>
      <c r="C48" s="31"/>
      <c r="D48" s="30"/>
      <c r="E48" s="31"/>
      <c r="F48" s="31"/>
      <c r="G48" s="33"/>
      <c r="H48" s="32"/>
      <c r="I48" s="33"/>
      <c r="J48" s="39"/>
      <c r="K48" s="31"/>
    </row>
    <row r="49" spans="1:11" x14ac:dyDescent="0.25">
      <c r="A49" s="28">
        <v>10</v>
      </c>
      <c r="B49" s="41" t="s">
        <v>29</v>
      </c>
      <c r="C49" s="29">
        <v>0</v>
      </c>
      <c r="D49" s="30"/>
      <c r="E49" s="31"/>
      <c r="F49" s="31"/>
      <c r="G49" s="39">
        <f>PRODUCT(C49:F49)</f>
        <v>0</v>
      </c>
      <c r="H49" s="32" t="s">
        <v>30</v>
      </c>
      <c r="I49" s="33">
        <v>500</v>
      </c>
      <c r="J49" s="8">
        <f>G49*I49</f>
        <v>0</v>
      </c>
      <c r="K49" s="31"/>
    </row>
    <row r="50" spans="1:11" x14ac:dyDescent="0.25">
      <c r="A50" s="10"/>
      <c r="B50" s="27"/>
      <c r="C50" s="9"/>
      <c r="D50" s="7"/>
      <c r="E50" s="7"/>
      <c r="F50" s="7"/>
      <c r="G50" s="8"/>
      <c r="H50" s="8"/>
      <c r="I50" s="8"/>
      <c r="J50" s="8"/>
      <c r="K50" s="4"/>
    </row>
    <row r="51" spans="1:11" x14ac:dyDescent="0.25">
      <c r="A51" s="10"/>
      <c r="B51" s="27" t="s">
        <v>17</v>
      </c>
      <c r="C51" s="9"/>
      <c r="D51" s="7"/>
      <c r="E51" s="7"/>
      <c r="F51" s="7"/>
      <c r="G51" s="8"/>
      <c r="H51" s="8"/>
      <c r="I51" s="8"/>
      <c r="J51" s="8">
        <f>SUM(J9:J50)</f>
        <v>220620.54188953518</v>
      </c>
      <c r="K51" s="4"/>
    </row>
    <row r="53" spans="1:11" s="1" customFormat="1" hidden="1" x14ac:dyDescent="0.25">
      <c r="B53" s="17" t="s">
        <v>36</v>
      </c>
      <c r="C53" s="95">
        <f>J51</f>
        <v>220620.54188953518</v>
      </c>
      <c r="D53" s="95"/>
      <c r="E53" s="19"/>
      <c r="F53" s="20"/>
      <c r="G53" s="19"/>
      <c r="H53" s="21"/>
      <c r="I53" s="22"/>
      <c r="J53" s="23"/>
    </row>
    <row r="54" spans="1:11" hidden="1" x14ac:dyDescent="0.25">
      <c r="B54" s="4" t="s">
        <v>58</v>
      </c>
      <c r="C54" s="95">
        <f>13%*C53</f>
        <v>28680.670445639575</v>
      </c>
      <c r="D54" s="95"/>
    </row>
    <row r="55" spans="1:11" hidden="1" x14ac:dyDescent="0.25">
      <c r="B55" s="4" t="s">
        <v>17</v>
      </c>
      <c r="C55" s="96">
        <f>SUM(C53:D54)</f>
        <v>249301.21233517476</v>
      </c>
      <c r="D55" s="96"/>
    </row>
  </sheetData>
  <mergeCells count="12">
    <mergeCell ref="A6:G6"/>
    <mergeCell ref="H6:K6"/>
    <mergeCell ref="A1:K1"/>
    <mergeCell ref="A2:K2"/>
    <mergeCell ref="A3:K3"/>
    <mergeCell ref="A4:K4"/>
    <mergeCell ref="A5:K5"/>
    <mergeCell ref="A7:F7"/>
    <mergeCell ref="H7:K7"/>
    <mergeCell ref="C53:D53"/>
    <mergeCell ref="C54:D54"/>
    <mergeCell ref="C55:D55"/>
  </mergeCells>
  <printOptions horizontalCentered="1"/>
  <pageMargins left="0.7" right="0.7" top="0.75" bottom="0.75" header="0.3" footer="0.3"/>
  <pageSetup paperSize="9" scale="90" orientation="portrait" horizontalDpi="300" verticalDpi="300" r:id="rId1"/>
  <headerFooter>
    <oddFooter>&amp;LPrepared By:
Er. Kristal Suwal&amp;CChecked By:
Er. Nabin K.C&amp;RApproved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view="pageBreakPreview" topLeftCell="A10" zoomScale="80" zoomScaleNormal="100" zoomScaleSheetLayoutView="80" workbookViewId="0">
      <selection activeCell="E22" sqref="E22"/>
    </sheetView>
  </sheetViews>
  <sheetFormatPr defaultRowHeight="15" x14ac:dyDescent="0.25"/>
  <cols>
    <col min="1" max="1" width="5.42578125" style="6" bestFit="1" customWidth="1"/>
    <col min="2" max="2" width="46.5703125" customWidth="1"/>
    <col min="3" max="3" width="12.85546875" style="6" customWidth="1"/>
    <col min="4" max="4" width="11.28515625" style="6" customWidth="1"/>
    <col min="5" max="5" width="16.5703125" style="6" customWidth="1"/>
    <col min="6" max="6" width="16" style="6" bestFit="1" customWidth="1"/>
    <col min="7" max="7" width="9.85546875" bestFit="1" customWidth="1"/>
  </cols>
  <sheetData>
    <row r="1" spans="1:7" s="1" customFormat="1" x14ac:dyDescent="0.25">
      <c r="A1" s="88" t="s">
        <v>0</v>
      </c>
      <c r="B1" s="88"/>
      <c r="C1" s="88"/>
      <c r="D1" s="88"/>
      <c r="E1" s="88"/>
      <c r="F1" s="88"/>
      <c r="G1" s="88"/>
    </row>
    <row r="2" spans="1:7" s="1" customFormat="1" ht="22.5" x14ac:dyDescent="0.25">
      <c r="A2" s="89" t="s">
        <v>1</v>
      </c>
      <c r="B2" s="89"/>
      <c r="C2" s="89"/>
      <c r="D2" s="89"/>
      <c r="E2" s="89"/>
      <c r="F2" s="89"/>
      <c r="G2" s="89"/>
    </row>
    <row r="3" spans="1:7" s="1" customFormat="1" x14ac:dyDescent="0.25">
      <c r="A3" s="90" t="s">
        <v>2</v>
      </c>
      <c r="B3" s="90"/>
      <c r="C3" s="90"/>
      <c r="D3" s="90"/>
      <c r="E3" s="90"/>
      <c r="F3" s="90"/>
      <c r="G3" s="90"/>
    </row>
    <row r="4" spans="1:7" s="1" customFormat="1" x14ac:dyDescent="0.25">
      <c r="A4" s="90" t="s">
        <v>3</v>
      </c>
      <c r="B4" s="90"/>
      <c r="C4" s="90"/>
      <c r="D4" s="90"/>
      <c r="E4" s="90"/>
      <c r="F4" s="90"/>
      <c r="G4" s="90"/>
    </row>
    <row r="5" spans="1:7" ht="18.75" x14ac:dyDescent="0.3">
      <c r="A5" s="91" t="s">
        <v>74</v>
      </c>
      <c r="B5" s="91"/>
      <c r="C5" s="91"/>
      <c r="D5" s="91"/>
      <c r="E5" s="91"/>
      <c r="F5" s="91"/>
      <c r="G5" s="91"/>
    </row>
    <row r="6" spans="1:7" ht="18.75" x14ac:dyDescent="0.3">
      <c r="A6" s="87" t="s">
        <v>57</v>
      </c>
      <c r="B6" s="87"/>
      <c r="C6" s="87"/>
      <c r="D6" s="84" t="s">
        <v>39</v>
      </c>
      <c r="E6" s="84"/>
      <c r="F6" s="84"/>
      <c r="G6" s="84"/>
    </row>
    <row r="7" spans="1:7" ht="15.75" x14ac:dyDescent="0.25">
      <c r="A7" s="83" t="s">
        <v>27</v>
      </c>
      <c r="B7" s="83"/>
      <c r="C7" s="2"/>
      <c r="D7" s="84"/>
      <c r="E7" s="84"/>
      <c r="F7" s="84"/>
      <c r="G7" s="84"/>
    </row>
    <row r="8" spans="1:7" ht="15" customHeight="1" x14ac:dyDescent="0.25">
      <c r="A8" s="3" t="s">
        <v>5</v>
      </c>
      <c r="B8" s="24" t="s">
        <v>6</v>
      </c>
      <c r="C8" s="25" t="s">
        <v>11</v>
      </c>
      <c r="D8" s="3" t="s">
        <v>12</v>
      </c>
      <c r="E8" s="25" t="s">
        <v>13</v>
      </c>
      <c r="F8" s="25" t="s">
        <v>14</v>
      </c>
      <c r="G8" s="26" t="s">
        <v>15</v>
      </c>
    </row>
    <row r="9" spans="1:7" ht="110.25" x14ac:dyDescent="0.25">
      <c r="A9" s="52">
        <v>1</v>
      </c>
      <c r="B9" s="53" t="s">
        <v>54</v>
      </c>
      <c r="C9" s="56">
        <f>M!G11</f>
        <v>1.6</v>
      </c>
      <c r="D9" s="57" t="str">
        <f>estimate!H11</f>
        <v>cum</v>
      </c>
      <c r="E9" s="56">
        <f>COMPARISION!G10</f>
        <v>825</v>
      </c>
      <c r="F9" s="58">
        <f>E9*C9</f>
        <v>1320</v>
      </c>
      <c r="G9" s="54"/>
    </row>
    <row r="10" spans="1:7" ht="110.25" x14ac:dyDescent="0.25">
      <c r="A10" s="52">
        <v>2</v>
      </c>
      <c r="B10" s="53" t="s">
        <v>33</v>
      </c>
      <c r="C10" s="58">
        <f>M!G15</f>
        <v>10.953215483084426</v>
      </c>
      <c r="D10" s="57" t="str">
        <f>estimate!H14</f>
        <v>cum</v>
      </c>
      <c r="E10" s="56">
        <f>COMPARISION!G11</f>
        <v>72</v>
      </c>
      <c r="F10" s="58">
        <f t="shared" ref="F10:F18" si="0">E10*C10</f>
        <v>788.63151478207863</v>
      </c>
      <c r="G10" s="54"/>
    </row>
    <row r="11" spans="1:7" ht="63" x14ac:dyDescent="0.25">
      <c r="A11" s="52">
        <v>3</v>
      </c>
      <c r="B11" s="65" t="s">
        <v>41</v>
      </c>
      <c r="C11" s="56">
        <f>M!G19</f>
        <v>25</v>
      </c>
      <c r="D11" s="57" t="str">
        <f>estimate!H18</f>
        <v>rm</v>
      </c>
      <c r="E11" s="56">
        <f>COMPARISION!G12</f>
        <v>5800</v>
      </c>
      <c r="F11" s="58">
        <f t="shared" si="0"/>
        <v>145000</v>
      </c>
      <c r="G11" s="54"/>
    </row>
    <row r="12" spans="1:7" ht="63" x14ac:dyDescent="0.25">
      <c r="A12" s="52">
        <v>4</v>
      </c>
      <c r="B12" s="65" t="s">
        <v>55</v>
      </c>
      <c r="C12" s="56">
        <f>M!G23</f>
        <v>2.5</v>
      </c>
      <c r="D12" s="57" t="str">
        <f>estimate!H22</f>
        <v>rm</v>
      </c>
      <c r="E12" s="56">
        <f>COMPARISION!G13</f>
        <v>4200</v>
      </c>
      <c r="F12" s="58">
        <f t="shared" si="0"/>
        <v>10500</v>
      </c>
      <c r="G12" s="54"/>
    </row>
    <row r="13" spans="1:7" ht="63" x14ac:dyDescent="0.25">
      <c r="A13" s="52">
        <v>5</v>
      </c>
      <c r="B13" s="65" t="s">
        <v>47</v>
      </c>
      <c r="C13" s="56">
        <f>M!G28</f>
        <v>14.005730309680565</v>
      </c>
      <c r="D13" s="57" t="str">
        <f>estimate!H27</f>
        <v>cum</v>
      </c>
      <c r="E13" s="56">
        <f>COMPARISION!G14</f>
        <v>3200</v>
      </c>
      <c r="F13" s="58">
        <f t="shared" si="0"/>
        <v>44818.336990977812</v>
      </c>
      <c r="G13" s="54"/>
    </row>
    <row r="14" spans="1:7" ht="31.5" x14ac:dyDescent="0.25">
      <c r="A14" s="52">
        <v>6</v>
      </c>
      <c r="B14" s="51" t="s">
        <v>60</v>
      </c>
      <c r="C14" s="56">
        <f>M!G34</f>
        <v>0.34024522993981776</v>
      </c>
      <c r="D14" s="57" t="str">
        <f>estimate!H33</f>
        <v>cum</v>
      </c>
      <c r="E14" s="56">
        <f>COMPARISION!G15</f>
        <v>16000</v>
      </c>
      <c r="F14" s="58">
        <f t="shared" si="0"/>
        <v>5443.9236790370842</v>
      </c>
      <c r="G14" s="54"/>
    </row>
    <row r="15" spans="1:7" s="1" customFormat="1" ht="47.25" x14ac:dyDescent="0.25">
      <c r="A15" s="52">
        <v>7</v>
      </c>
      <c r="B15" s="65" t="s">
        <v>32</v>
      </c>
      <c r="C15" s="56">
        <f>M!G40</f>
        <v>8.135138816236237E-2</v>
      </c>
      <c r="D15" s="57" t="str">
        <f>estimate!H39</f>
        <v>cum</v>
      </c>
      <c r="E15" s="56">
        <f>COMPARISION!G16</f>
        <v>12890</v>
      </c>
      <c r="F15" s="58">
        <f t="shared" si="0"/>
        <v>1048.619393412851</v>
      </c>
      <c r="G15" s="54"/>
    </row>
    <row r="16" spans="1:7" s="1" customFormat="1" ht="63" x14ac:dyDescent="0.25">
      <c r="A16" s="52">
        <v>8</v>
      </c>
      <c r="B16" s="65" t="s">
        <v>52</v>
      </c>
      <c r="C16" s="56">
        <f>M!G44</f>
        <v>0.23624999999999996</v>
      </c>
      <c r="D16" s="57" t="str">
        <f>estimate!H43</f>
        <v>cum</v>
      </c>
      <c r="E16" s="56">
        <f>COMPARISION!G17</f>
        <v>11150</v>
      </c>
      <c r="F16" s="58">
        <f t="shared" si="0"/>
        <v>2634.1874999999995</v>
      </c>
      <c r="G16" s="54"/>
    </row>
    <row r="17" spans="1:7" ht="15.75" x14ac:dyDescent="0.25">
      <c r="A17" s="52">
        <v>9</v>
      </c>
      <c r="B17" s="53" t="s">
        <v>49</v>
      </c>
      <c r="C17" s="62">
        <f>M!G47</f>
        <v>1</v>
      </c>
      <c r="D17" s="57" t="str">
        <f>estimate!H46</f>
        <v>no.</v>
      </c>
      <c r="E17" s="56">
        <f>COMPARISION!G18</f>
        <v>5150</v>
      </c>
      <c r="F17" s="58">
        <f t="shared" si="0"/>
        <v>5150</v>
      </c>
      <c r="G17" s="54"/>
    </row>
    <row r="18" spans="1:7" ht="15.75" x14ac:dyDescent="0.25">
      <c r="A18" s="76">
        <v>10</v>
      </c>
      <c r="B18" s="77" t="s">
        <v>29</v>
      </c>
      <c r="C18" s="58">
        <v>0</v>
      </c>
      <c r="D18" s="57" t="str">
        <f>estimate!H48</f>
        <v>no.</v>
      </c>
      <c r="E18" s="56">
        <f>COMPARISION!G19</f>
        <v>500</v>
      </c>
      <c r="F18" s="58">
        <f t="shared" si="0"/>
        <v>0</v>
      </c>
      <c r="G18" s="54"/>
    </row>
    <row r="19" spans="1:7" ht="15.75" x14ac:dyDescent="0.25">
      <c r="A19" s="68"/>
      <c r="B19" s="78" t="s">
        <v>64</v>
      </c>
      <c r="C19" s="70"/>
      <c r="D19" s="70"/>
      <c r="E19" s="70"/>
      <c r="F19" s="70">
        <f>SUM(F9:F18)</f>
        <v>216703.69907820981</v>
      </c>
      <c r="G19" s="68"/>
    </row>
    <row r="20" spans="1:7" ht="15.75" x14ac:dyDescent="0.25">
      <c r="A20" s="71"/>
      <c r="B20" s="68" t="s">
        <v>61</v>
      </c>
      <c r="C20" s="71"/>
      <c r="D20" s="71"/>
      <c r="E20" s="71"/>
      <c r="F20" s="71">
        <f>F19*0.13</f>
        <v>28171.480880167277</v>
      </c>
      <c r="G20" s="68"/>
    </row>
    <row r="21" spans="1:7" s="1" customFormat="1" ht="15.75" x14ac:dyDescent="0.25">
      <c r="A21" s="64"/>
      <c r="B21" s="64" t="s">
        <v>16</v>
      </c>
      <c r="C21" s="64"/>
      <c r="D21" s="74"/>
      <c r="E21" s="75"/>
      <c r="F21" s="58">
        <f>SUM(F19:F20)</f>
        <v>244875.17995837709</v>
      </c>
      <c r="G21" s="64"/>
    </row>
    <row r="22" spans="1:7" ht="15.75" x14ac:dyDescent="0.25">
      <c r="A22" s="109"/>
      <c r="B22" s="110" t="s">
        <v>62</v>
      </c>
      <c r="C22" s="109"/>
      <c r="D22" s="109"/>
      <c r="E22" s="109"/>
      <c r="F22" s="111">
        <v>34568.9035</v>
      </c>
      <c r="G22" s="68"/>
    </row>
    <row r="23" spans="1:7" ht="15.75" x14ac:dyDescent="0.25">
      <c r="A23" s="71"/>
      <c r="B23" s="68" t="s">
        <v>63</v>
      </c>
      <c r="C23" s="71"/>
      <c r="D23" s="71"/>
      <c r="E23" s="71"/>
      <c r="F23" s="70">
        <f>SUM(F21:F22)</f>
        <v>279444.08345837711</v>
      </c>
      <c r="G23" s="68"/>
    </row>
  </sheetData>
  <mergeCells count="9">
    <mergeCell ref="A7:B7"/>
    <mergeCell ref="D7:G7"/>
    <mergeCell ref="A1:G1"/>
    <mergeCell ref="A2:G2"/>
    <mergeCell ref="A3:G3"/>
    <mergeCell ref="A4:G4"/>
    <mergeCell ref="A5:G5"/>
    <mergeCell ref="A6:C6"/>
    <mergeCell ref="D6:G6"/>
  </mergeCells>
  <printOptions horizontalCentered="1"/>
  <pageMargins left="0.25" right="0.25" top="0.75" bottom="0.75" header="0.3" footer="0.3"/>
  <pageSetup paperSize="9" scale="74" orientation="portrait" horizontalDpi="300" verticalDpi="300" r:id="rId1"/>
  <headerFooter>
    <oddFooter xml:space="preserve">&amp;LPrepared By:
Kristal Suwal&amp;CChecked By:
Er Nabin K.C&amp;RApproved By:
Er Prakash Singh Saud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zoomScaleNormal="100" workbookViewId="0">
      <selection activeCell="C27" sqref="C2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06" t="s">
        <v>0</v>
      </c>
      <c r="B1" s="106"/>
      <c r="C1" s="106"/>
      <c r="D1" s="106"/>
      <c r="E1" s="106"/>
      <c r="F1" s="106"/>
      <c r="G1" s="106"/>
      <c r="H1" s="106"/>
      <c r="I1" s="106"/>
      <c r="J1" s="106"/>
      <c r="K1" s="106"/>
    </row>
    <row r="2" spans="1:13" ht="25.5" x14ac:dyDescent="0.35">
      <c r="A2" s="107" t="s">
        <v>1</v>
      </c>
      <c r="B2" s="107"/>
      <c r="C2" s="107"/>
      <c r="D2" s="107"/>
      <c r="E2" s="107"/>
      <c r="F2" s="107"/>
      <c r="G2" s="107"/>
      <c r="H2" s="107"/>
      <c r="I2" s="107"/>
      <c r="J2" s="107"/>
      <c r="K2" s="107"/>
    </row>
    <row r="3" spans="1:13" s="1" customFormat="1" x14ac:dyDescent="0.25">
      <c r="A3" s="90" t="s">
        <v>2</v>
      </c>
      <c r="B3" s="90"/>
      <c r="C3" s="90"/>
      <c r="D3" s="90"/>
      <c r="E3" s="90"/>
      <c r="F3" s="90"/>
      <c r="G3" s="90"/>
      <c r="H3" s="90"/>
      <c r="I3" s="90"/>
      <c r="J3" s="90"/>
      <c r="K3" s="90"/>
    </row>
    <row r="4" spans="1:13" s="1" customFormat="1" x14ac:dyDescent="0.25">
      <c r="A4" s="90" t="s">
        <v>3</v>
      </c>
      <c r="B4" s="90"/>
      <c r="C4" s="90"/>
      <c r="D4" s="90"/>
      <c r="E4" s="90"/>
      <c r="F4" s="90"/>
      <c r="G4" s="90"/>
      <c r="H4" s="90"/>
      <c r="I4" s="90"/>
      <c r="J4" s="90"/>
      <c r="K4" s="90"/>
    </row>
    <row r="5" spans="1:13" ht="18.75" x14ac:dyDescent="0.3">
      <c r="A5" s="108" t="s">
        <v>18</v>
      </c>
      <c r="B5" s="108"/>
      <c r="C5" s="108"/>
      <c r="D5" s="108"/>
      <c r="E5" s="108"/>
      <c r="F5" s="108"/>
      <c r="G5" s="108"/>
      <c r="H5" s="108"/>
      <c r="I5" s="108"/>
      <c r="J5" s="108"/>
      <c r="K5" s="108"/>
    </row>
    <row r="6" spans="1:13" ht="18.75" x14ac:dyDescent="0.3">
      <c r="A6" s="11" t="s">
        <v>19</v>
      </c>
      <c r="B6" s="11"/>
      <c r="C6" s="104">
        <f>F33</f>
        <v>220946.61737436592</v>
      </c>
      <c r="D6" s="105"/>
      <c r="E6" s="12"/>
      <c r="F6" s="11"/>
      <c r="G6" s="11"/>
      <c r="H6" s="11" t="s">
        <v>20</v>
      </c>
      <c r="I6" s="11"/>
      <c r="J6" s="104">
        <f>I33</f>
        <v>216703.69907820981</v>
      </c>
      <c r="K6" s="105"/>
    </row>
    <row r="7" spans="1:13" x14ac:dyDescent="0.25">
      <c r="A7" s="35" t="s">
        <v>37</v>
      </c>
      <c r="B7" s="13"/>
      <c r="C7" s="13"/>
      <c r="D7" s="13"/>
      <c r="F7" s="100"/>
      <c r="G7" s="100"/>
      <c r="I7" s="101" t="s">
        <v>38</v>
      </c>
      <c r="J7" s="101"/>
      <c r="K7" s="101"/>
    </row>
    <row r="8" spans="1:13" ht="15.75" x14ac:dyDescent="0.25">
      <c r="A8" s="99" t="str">
        <f>estimate!A6</f>
        <v>Project:- Pasikhel pahiro roktham kaarya</v>
      </c>
      <c r="B8" s="99"/>
      <c r="C8" s="99"/>
      <c r="D8" s="99"/>
      <c r="E8" s="99"/>
      <c r="F8" s="99"/>
      <c r="I8" s="102" t="s">
        <v>56</v>
      </c>
      <c r="J8" s="102"/>
      <c r="K8" s="102"/>
    </row>
    <row r="9" spans="1:13" ht="15.75" x14ac:dyDescent="0.25">
      <c r="A9" s="99" t="str">
        <f>estimate!A7</f>
        <v>Location:- Shankharapur Municipality 9</v>
      </c>
      <c r="B9" s="99"/>
      <c r="C9" s="99"/>
      <c r="D9" s="99"/>
      <c r="E9" s="99"/>
      <c r="F9" s="99"/>
      <c r="I9" s="102" t="s">
        <v>59</v>
      </c>
      <c r="J9" s="102"/>
      <c r="K9" s="102"/>
    </row>
    <row r="11" spans="1:13" x14ac:dyDescent="0.25">
      <c r="A11" s="97" t="s">
        <v>21</v>
      </c>
      <c r="B11" s="97" t="s">
        <v>22</v>
      </c>
      <c r="C11" s="97" t="s">
        <v>12</v>
      </c>
      <c r="D11" s="103" t="s">
        <v>23</v>
      </c>
      <c r="E11" s="103"/>
      <c r="F11" s="103"/>
      <c r="G11" s="103" t="s">
        <v>24</v>
      </c>
      <c r="H11" s="103"/>
      <c r="I11" s="103"/>
      <c r="J11" s="97" t="s">
        <v>25</v>
      </c>
      <c r="K11" s="98" t="s">
        <v>15</v>
      </c>
    </row>
    <row r="12" spans="1:13" x14ac:dyDescent="0.25">
      <c r="A12" s="97"/>
      <c r="B12" s="97"/>
      <c r="C12" s="97"/>
      <c r="D12" s="14" t="s">
        <v>26</v>
      </c>
      <c r="E12" s="14" t="s">
        <v>13</v>
      </c>
      <c r="F12" s="14" t="s">
        <v>14</v>
      </c>
      <c r="G12" s="14" t="s">
        <v>26</v>
      </c>
      <c r="H12" s="14" t="s">
        <v>13</v>
      </c>
      <c r="I12" s="14" t="s">
        <v>14</v>
      </c>
      <c r="J12" s="97"/>
      <c r="K12" s="98"/>
    </row>
    <row r="13" spans="1:13" s="1" customFormat="1" ht="120" x14ac:dyDescent="0.25">
      <c r="A13" s="36">
        <f>estimate!A9</f>
        <v>1</v>
      </c>
      <c r="B13" s="42" t="str">
        <f>estimate!B9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5" t="str">
        <f>estimate!H11</f>
        <v>cum</v>
      </c>
      <c r="D13" s="15">
        <f>estimate!G11</f>
        <v>1.6</v>
      </c>
      <c r="E13" s="15">
        <f>estimate!I11</f>
        <v>847.41199999999992</v>
      </c>
      <c r="F13" s="15">
        <f>D13*E13</f>
        <v>1355.8591999999999</v>
      </c>
      <c r="G13" s="15">
        <f>value!C9</f>
        <v>1.6</v>
      </c>
      <c r="H13" s="15">
        <f>value!E9</f>
        <v>825</v>
      </c>
      <c r="I13" s="15">
        <f>G13*H13</f>
        <v>1320</v>
      </c>
      <c r="J13" s="37">
        <f>I13-F13</f>
        <v>-35.859199999999873</v>
      </c>
      <c r="K13" s="18"/>
      <c r="M13" s="1">
        <f t="shared" ref="M13:M16" si="0">1.25*F13</f>
        <v>1694.8239999999998</v>
      </c>
    </row>
    <row r="14" spans="1:13" s="1" customFormat="1" x14ac:dyDescent="0.25">
      <c r="A14" s="36"/>
      <c r="B14" s="42"/>
      <c r="C14" s="15"/>
      <c r="D14" s="15"/>
      <c r="E14" s="15"/>
      <c r="F14" s="15"/>
      <c r="G14" s="15"/>
      <c r="H14" s="15"/>
      <c r="I14" s="15"/>
      <c r="J14" s="37"/>
      <c r="K14" s="18"/>
    </row>
    <row r="15" spans="1:13" s="1" customFormat="1" ht="75" x14ac:dyDescent="0.25">
      <c r="A15" s="36">
        <f>estimate!A12</f>
        <v>2</v>
      </c>
      <c r="B15" s="42" t="str">
        <f>estimate!B12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5" t="str">
        <f>estimate!H14</f>
        <v>cum</v>
      </c>
      <c r="D15" s="15">
        <f>estimate!G14</f>
        <v>10.953215483084426</v>
      </c>
      <c r="E15" s="15">
        <f>estimate!I14</f>
        <v>74.324499999999986</v>
      </c>
      <c r="F15" s="15">
        <f>D15*E15</f>
        <v>814.09226417250829</v>
      </c>
      <c r="G15" s="15">
        <f>value!C10</f>
        <v>10.953215483084426</v>
      </c>
      <c r="H15" s="15">
        <f>value!E10</f>
        <v>72</v>
      </c>
      <c r="I15" s="15">
        <f>G15*H15</f>
        <v>788.63151478207863</v>
      </c>
      <c r="J15" s="37">
        <f>I15-F15</f>
        <v>-25.460749390429669</v>
      </c>
      <c r="K15" s="18"/>
    </row>
    <row r="16" spans="1:13" s="1" customFormat="1" x14ac:dyDescent="0.25">
      <c r="A16" s="36"/>
      <c r="B16" s="42"/>
      <c r="C16" s="15"/>
      <c r="D16" s="15"/>
      <c r="E16" s="15"/>
      <c r="F16" s="15"/>
      <c r="G16" s="15"/>
      <c r="H16" s="15"/>
      <c r="I16" s="15"/>
      <c r="J16" s="37"/>
      <c r="K16" s="18"/>
      <c r="M16" s="1">
        <f t="shared" si="0"/>
        <v>0</v>
      </c>
    </row>
    <row r="17" spans="1:13" s="1" customFormat="1" ht="75" x14ac:dyDescent="0.25">
      <c r="A17" s="36">
        <f>estimate!A16</f>
        <v>3</v>
      </c>
      <c r="B17" s="42" t="str">
        <f>estimate!B16</f>
        <v>Providing and Laying Reinforced cement concrete NP3 Flush jointed pipe for culverts including fixing with cement mortar 1:2 as per Drawing and Technical Specifications., 450 mm  internal dia.</v>
      </c>
      <c r="C17" s="15" t="str">
        <f>estimate!H18</f>
        <v>rm</v>
      </c>
      <c r="D17" s="15">
        <f>estimate!G18</f>
        <v>25</v>
      </c>
      <c r="E17" s="15">
        <f>estimate!I18</f>
        <v>5916.7039999999997</v>
      </c>
      <c r="F17" s="15">
        <f>D17*E17</f>
        <v>147917.6</v>
      </c>
      <c r="G17" s="15">
        <f>value!C11</f>
        <v>25</v>
      </c>
      <c r="H17" s="15">
        <f>value!E11</f>
        <v>5800</v>
      </c>
      <c r="I17" s="15">
        <f>G17*H17</f>
        <v>145000</v>
      </c>
      <c r="J17" s="37">
        <f>I17-F17</f>
        <v>-2917.6000000000058</v>
      </c>
      <c r="K17" s="18"/>
    </row>
    <row r="18" spans="1:13" s="1" customFormat="1" x14ac:dyDescent="0.25">
      <c r="A18" s="36"/>
      <c r="B18" s="42"/>
      <c r="C18" s="15"/>
      <c r="D18" s="15"/>
      <c r="E18" s="15"/>
      <c r="F18" s="15"/>
      <c r="G18" s="15"/>
      <c r="H18" s="15"/>
      <c r="I18" s="15"/>
      <c r="J18" s="37"/>
      <c r="K18" s="18"/>
      <c r="M18" s="1">
        <f t="shared" ref="M18" si="1">1.25*F18</f>
        <v>0</v>
      </c>
    </row>
    <row r="19" spans="1:13" s="1" customFormat="1" ht="75" x14ac:dyDescent="0.25">
      <c r="A19" s="36">
        <f>estimate!A20</f>
        <v>4</v>
      </c>
      <c r="B19" s="42" t="str">
        <f>estimate!B20</f>
        <v>Providing and Laying Reinforced cement concrete NP3 Flush jointed pipe for culverts including fixing with cement mortar 1:2 as per Drawing and Technical Specifications., 300 mm  internal dia.</v>
      </c>
      <c r="C19" s="15" t="str">
        <f>estimate!H22</f>
        <v>rm</v>
      </c>
      <c r="D19" s="15">
        <f>estimate!G22</f>
        <v>2.5</v>
      </c>
      <c r="E19" s="15">
        <f>estimate!I22</f>
        <v>4251.6879999999992</v>
      </c>
      <c r="F19" s="15">
        <f>D19*E19</f>
        <v>10629.219999999998</v>
      </c>
      <c r="G19" s="15">
        <f>value!C12</f>
        <v>2.5</v>
      </c>
      <c r="H19" s="15">
        <f>value!E12</f>
        <v>4200</v>
      </c>
      <c r="I19" s="15">
        <f>G19*H19</f>
        <v>10500</v>
      </c>
      <c r="J19" s="37">
        <f>I19-F19</f>
        <v>-129.21999999999753</v>
      </c>
      <c r="K19" s="18"/>
    </row>
    <row r="20" spans="1:13" s="1" customFormat="1" x14ac:dyDescent="0.25">
      <c r="A20" s="36"/>
      <c r="B20" s="42"/>
      <c r="C20" s="15"/>
      <c r="D20" s="15"/>
      <c r="E20" s="15"/>
      <c r="F20" s="15"/>
      <c r="G20" s="15"/>
      <c r="H20" s="15"/>
      <c r="I20" s="15"/>
      <c r="J20" s="37"/>
      <c r="K20" s="18"/>
      <c r="M20" s="1">
        <f t="shared" ref="M20" si="2">1.25*F20</f>
        <v>0</v>
      </c>
    </row>
    <row r="21" spans="1:13" s="1" customFormat="1" ht="75" x14ac:dyDescent="0.25">
      <c r="A21" s="36">
        <f>estimate!A24</f>
        <v>5</v>
      </c>
      <c r="B21" s="42" t="str">
        <f>estimate!B24</f>
        <v>Providing and laying  granular sub-base   without compaction on prepared surface, mixing  , complete as per Drawing and Technical Specifications., By Mechanical means</v>
      </c>
      <c r="C21" s="15" t="str">
        <f>estimate!H27</f>
        <v>cum</v>
      </c>
      <c r="D21" s="15">
        <f>estimate!G27</f>
        <v>14.005730309680565</v>
      </c>
      <c r="E21" s="15">
        <f>estimate!I27</f>
        <v>3244.12</v>
      </c>
      <c r="F21" s="15">
        <f>D21*E21</f>
        <v>45436.269812240913</v>
      </c>
      <c r="G21" s="15">
        <f>value!C13</f>
        <v>14.005730309680565</v>
      </c>
      <c r="H21" s="15">
        <f>value!E13</f>
        <v>3200</v>
      </c>
      <c r="I21" s="15">
        <f>G21*H21</f>
        <v>44818.336990977812</v>
      </c>
      <c r="J21" s="37">
        <f>I21-F21</f>
        <v>-617.93282126310078</v>
      </c>
      <c r="K21" s="18"/>
    </row>
    <row r="22" spans="1:13" s="1" customFormat="1" x14ac:dyDescent="0.25">
      <c r="A22" s="36"/>
      <c r="B22" s="42"/>
      <c r="C22" s="15"/>
      <c r="D22" s="15"/>
      <c r="E22" s="15"/>
      <c r="F22" s="15"/>
      <c r="G22" s="15"/>
      <c r="H22" s="15"/>
      <c r="I22" s="15"/>
      <c r="J22" s="37"/>
      <c r="K22" s="18"/>
      <c r="M22" s="1">
        <f t="shared" ref="M22" si="3">1.25*F22</f>
        <v>0</v>
      </c>
    </row>
    <row r="23" spans="1:13" s="1" customFormat="1" ht="45" x14ac:dyDescent="0.25">
      <c r="A23" s="36">
        <f>estimate!A29</f>
        <v>6</v>
      </c>
      <c r="B23" s="42" t="str">
        <f>estimate!B29</f>
        <v>Providing and laying brick masonary work in 1:6 c/s mortar ratio with all work complete</v>
      </c>
      <c r="C23" s="15" t="str">
        <f>estimate!H33</f>
        <v>cum</v>
      </c>
      <c r="D23" s="15">
        <f>estimate!G33</f>
        <v>0.34024522993981776</v>
      </c>
      <c r="E23" s="15">
        <f>estimate!I33</f>
        <v>16006</v>
      </c>
      <c r="F23" s="15">
        <f>D23*E23</f>
        <v>5445.9651504167232</v>
      </c>
      <c r="G23" s="15">
        <f>value!C14</f>
        <v>0.34024522993981776</v>
      </c>
      <c r="H23" s="15">
        <f>value!E14</f>
        <v>16000</v>
      </c>
      <c r="I23" s="15">
        <f>G23*H23</f>
        <v>5443.9236790370842</v>
      </c>
      <c r="J23" s="37">
        <f>I23-F23</f>
        <v>-2.041471379639006</v>
      </c>
      <c r="K23" s="18"/>
    </row>
    <row r="24" spans="1:13" s="1" customFormat="1" ht="8.25" customHeight="1" x14ac:dyDescent="0.25">
      <c r="A24" s="36"/>
      <c r="B24" s="42"/>
      <c r="C24" s="15"/>
      <c r="D24" s="15"/>
      <c r="E24" s="15"/>
      <c r="F24" s="15"/>
      <c r="G24" s="15"/>
      <c r="H24" s="15"/>
      <c r="I24" s="15"/>
      <c r="J24" s="37"/>
      <c r="K24" s="18"/>
      <c r="M24" s="1">
        <f t="shared" ref="M24" si="4">1.25*F24</f>
        <v>0</v>
      </c>
    </row>
    <row r="25" spans="1:13" s="1" customFormat="1" ht="60" x14ac:dyDescent="0.25">
      <c r="A25" s="36">
        <f>estimate!A35</f>
        <v>7</v>
      </c>
      <c r="B25" s="42" t="str">
        <f>estimate!B35</f>
        <v>Providing and laying of Plain/Reinforced Cement Concrete in Foundation complete as per Drawing and Technical Specifications, PCC Grade M 15</v>
      </c>
      <c r="C25" s="15" t="str">
        <f>estimate!H39</f>
        <v>cum</v>
      </c>
      <c r="D25" s="15">
        <f>estimate!G39</f>
        <v>8.135138816236237E-2</v>
      </c>
      <c r="E25" s="15">
        <f>estimate!I39</f>
        <v>12902.424999999999</v>
      </c>
      <c r="F25" s="15">
        <f>D25*E25</f>
        <v>1049.6301844107682</v>
      </c>
      <c r="G25" s="15">
        <f>value!C15</f>
        <v>8.135138816236237E-2</v>
      </c>
      <c r="H25" s="15">
        <f>value!E15</f>
        <v>12890</v>
      </c>
      <c r="I25" s="15">
        <f>G25*H25</f>
        <v>1048.619393412851</v>
      </c>
      <c r="J25" s="37">
        <f>I25-F25</f>
        <v>-1.0107909979171836</v>
      </c>
      <c r="K25" s="18"/>
    </row>
    <row r="26" spans="1:13" s="1" customFormat="1" ht="9" customHeight="1" x14ac:dyDescent="0.25">
      <c r="A26" s="36"/>
      <c r="B26" s="42"/>
      <c r="C26" s="15"/>
      <c r="D26" s="15"/>
      <c r="E26" s="15"/>
      <c r="F26" s="15"/>
      <c r="G26" s="15"/>
      <c r="H26" s="15"/>
      <c r="I26" s="15"/>
      <c r="J26" s="37"/>
      <c r="K26" s="18"/>
      <c r="M26" s="1">
        <f t="shared" ref="M26" si="5">1.25*F26</f>
        <v>0</v>
      </c>
    </row>
    <row r="27" spans="1:13" s="1" customFormat="1" ht="60" x14ac:dyDescent="0.25">
      <c r="A27" s="36">
        <f>estimate!A41</f>
        <v>8</v>
      </c>
      <c r="B27" s="42" t="str">
        <f>estimate!B41</f>
        <v>Random Rubble Masonry, Providing and laying of Stone Masonry Work in Cement Mortar 1:6 in Foundation complete as per Drawing and Technical Specifications.</v>
      </c>
      <c r="C27" s="15" t="str">
        <f>estimate!H43</f>
        <v>cum</v>
      </c>
      <c r="D27" s="15">
        <f>estimate!G43</f>
        <v>0.23624999999999996</v>
      </c>
      <c r="E27" s="15">
        <f>estimate!I43</f>
        <v>11165.844499999999</v>
      </c>
      <c r="F27" s="15">
        <f>D27*E27</f>
        <v>2637.9307631249994</v>
      </c>
      <c r="G27" s="15" t="s">
        <v>48</v>
      </c>
      <c r="H27" s="15">
        <f>value!E16</f>
        <v>11150</v>
      </c>
      <c r="I27" s="15">
        <f>value!F16</f>
        <v>2634.1874999999995</v>
      </c>
      <c r="J27" s="37">
        <f>I27-F27</f>
        <v>-3.7432631249998849</v>
      </c>
      <c r="K27" s="18"/>
    </row>
    <row r="28" spans="1:13" s="1" customFormat="1" ht="9" customHeight="1" x14ac:dyDescent="0.25">
      <c r="A28" s="36"/>
      <c r="B28" s="42"/>
      <c r="C28" s="15"/>
      <c r="D28" s="15"/>
      <c r="E28" s="15"/>
      <c r="F28" s="15"/>
      <c r="G28" s="15"/>
      <c r="H28" s="15"/>
      <c r="I28" s="15"/>
      <c r="J28" s="37"/>
      <c r="K28" s="18"/>
      <c r="M28" s="1">
        <f t="shared" ref="M28" si="6">1.25*F28</f>
        <v>0</v>
      </c>
    </row>
    <row r="29" spans="1:13" s="1" customFormat="1" ht="30" x14ac:dyDescent="0.25">
      <c r="A29" s="36">
        <f>estimate!A45</f>
        <v>9</v>
      </c>
      <c r="B29" s="42" t="str">
        <f>estimate!B45</f>
        <v>Round manhole cover medium 450mm (22")</v>
      </c>
      <c r="C29" s="15" t="str">
        <f>estimate!H46</f>
        <v>no.</v>
      </c>
      <c r="D29" s="15">
        <f>estimate!G46</f>
        <v>1</v>
      </c>
      <c r="E29" s="15">
        <f>estimate!I46</f>
        <v>5160.0499999999993</v>
      </c>
      <c r="F29" s="15">
        <f>D29*E29</f>
        <v>5160.0499999999993</v>
      </c>
      <c r="G29" s="15">
        <f>value!C17</f>
        <v>1</v>
      </c>
      <c r="H29" s="15">
        <f>value!E17</f>
        <v>5150</v>
      </c>
      <c r="I29" s="15">
        <f>G29*H29</f>
        <v>5150</v>
      </c>
      <c r="J29" s="37">
        <f>I29-F29</f>
        <v>-10.049999999999272</v>
      </c>
      <c r="K29" s="18"/>
    </row>
    <row r="30" spans="1:13" s="1" customFormat="1" ht="9" customHeight="1" x14ac:dyDescent="0.25">
      <c r="A30" s="36"/>
      <c r="B30" s="42"/>
      <c r="C30" s="15"/>
      <c r="D30" s="15"/>
      <c r="E30" s="15"/>
      <c r="F30" s="15"/>
      <c r="G30" s="15"/>
      <c r="H30" s="15"/>
      <c r="I30" s="15"/>
      <c r="J30" s="37"/>
      <c r="K30" s="18"/>
      <c r="M30" s="1">
        <f t="shared" ref="M30" si="7">1.25*F30</f>
        <v>0</v>
      </c>
    </row>
    <row r="31" spans="1:13" s="1" customFormat="1" x14ac:dyDescent="0.25">
      <c r="A31" s="42">
        <f>estimate!A48</f>
        <v>10</v>
      </c>
      <c r="B31" s="42" t="str">
        <f>estimate!B48</f>
        <v>Information board</v>
      </c>
      <c r="C31" s="15" t="str">
        <f>estimate!H48</f>
        <v>no.</v>
      </c>
      <c r="D31" s="15">
        <f>estimate!G48</f>
        <v>1</v>
      </c>
      <c r="E31" s="15">
        <f>estimate!I48</f>
        <v>500</v>
      </c>
      <c r="F31" s="15">
        <f>D31*E31</f>
        <v>500</v>
      </c>
      <c r="G31" s="15">
        <f>value!C18</f>
        <v>0</v>
      </c>
      <c r="H31" s="15">
        <f>value!E18</f>
        <v>500</v>
      </c>
      <c r="I31" s="15">
        <f>G31*H31</f>
        <v>0</v>
      </c>
      <c r="J31" s="37">
        <f>I31-F31</f>
        <v>-500</v>
      </c>
      <c r="K31" s="18"/>
    </row>
    <row r="32" spans="1:13" s="1" customFormat="1" ht="12" customHeight="1" x14ac:dyDescent="0.25">
      <c r="A32" s="38"/>
      <c r="B32" s="38"/>
      <c r="C32" s="15"/>
      <c r="D32" s="15"/>
      <c r="E32" s="15"/>
      <c r="F32" s="15"/>
      <c r="G32" s="15"/>
      <c r="H32" s="15"/>
      <c r="I32" s="15"/>
      <c r="J32" s="37"/>
      <c r="K32" s="18"/>
    </row>
    <row r="33" spans="1:11" x14ac:dyDescent="0.25">
      <c r="A33" s="4"/>
      <c r="B33" s="5" t="s">
        <v>16</v>
      </c>
      <c r="C33" s="5"/>
      <c r="D33" s="8"/>
      <c r="E33" s="8"/>
      <c r="F33" s="8">
        <f>SUM(F13:F32)</f>
        <v>220946.61737436592</v>
      </c>
      <c r="G33" s="8"/>
      <c r="H33" s="8"/>
      <c r="I33" s="8">
        <f>SUM(I13:I32)</f>
        <v>216703.69907820981</v>
      </c>
      <c r="J33" s="16">
        <f>I33-F33</f>
        <v>-4242.9182961561019</v>
      </c>
      <c r="K33" s="4"/>
    </row>
    <row r="34" spans="1:11" x14ac:dyDescent="0.25">
      <c r="A34" s="4"/>
      <c r="B34" s="5" t="s">
        <v>58</v>
      </c>
      <c r="C34" s="4"/>
      <c r="D34" s="4"/>
      <c r="E34" s="4"/>
      <c r="F34" s="10">
        <f>13%*F33</f>
        <v>28723.06025866757</v>
      </c>
      <c r="G34" s="10"/>
      <c r="H34" s="10"/>
      <c r="I34" s="10">
        <f>13%*I33</f>
        <v>28171.480880167277</v>
      </c>
      <c r="J34" s="16">
        <f t="shared" ref="J34:J36" si="8">I34-F34</f>
        <v>-551.57937850029339</v>
      </c>
      <c r="K34" s="4"/>
    </row>
    <row r="35" spans="1:11" x14ac:dyDescent="0.25">
      <c r="A35" s="4"/>
      <c r="B35" s="5" t="s">
        <v>75</v>
      </c>
      <c r="C35" s="4"/>
      <c r="D35" s="4"/>
      <c r="E35" s="4"/>
      <c r="F35" s="10">
        <f>estimate!J52</f>
        <v>40000</v>
      </c>
      <c r="G35" s="10"/>
      <c r="H35" s="10"/>
      <c r="I35" s="8">
        <f>value!F22</f>
        <v>34568.9035</v>
      </c>
      <c r="J35" s="16">
        <f t="shared" si="8"/>
        <v>-5431.0964999999997</v>
      </c>
      <c r="K35" s="4"/>
    </row>
    <row r="36" spans="1:11" x14ac:dyDescent="0.25">
      <c r="A36" s="4"/>
      <c r="B36" s="5" t="s">
        <v>17</v>
      </c>
      <c r="C36" s="4"/>
      <c r="D36" s="4"/>
      <c r="E36" s="4"/>
      <c r="F36" s="8">
        <f>SUM(F33:F35)</f>
        <v>289669.67763303348</v>
      </c>
      <c r="G36" s="10"/>
      <c r="H36" s="10"/>
      <c r="I36" s="8">
        <f>SUM(I33:I35)</f>
        <v>279444.08345837711</v>
      </c>
      <c r="J36" s="16">
        <f>I36-F36</f>
        <v>-10225.594174656377</v>
      </c>
      <c r="K36"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Nabin K.C&amp;RApproved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estimate</vt:lpstr>
      <vt:lpstr>abc</vt:lpstr>
      <vt:lpstr>boq</vt:lpstr>
      <vt:lpstr>COMPARISION</vt:lpstr>
      <vt:lpstr>M</vt:lpstr>
      <vt:lpstr>value</vt:lpstr>
      <vt:lpstr>WCR</vt:lpstr>
      <vt:lpstr>abc!Print_Area</vt:lpstr>
      <vt:lpstr>boq!Print_Area</vt:lpstr>
      <vt:lpstr>COMPARISION!Print_Area</vt:lpstr>
      <vt:lpstr>estimate!Print_Area</vt:lpstr>
      <vt:lpstr>M!Print_Area</vt:lpstr>
      <vt:lpstr>value!Print_Area</vt:lpstr>
      <vt:lpstr>WCR!Print_Area</vt:lpstr>
      <vt:lpstr>abc!Print_Titles</vt:lpstr>
      <vt:lpstr>boq!Print_Titles</vt:lpstr>
      <vt:lpstr>COMPARISION!Print_Titles</vt:lpstr>
      <vt:lpstr>estimate!Print_Titles</vt:lpstr>
      <vt:lpstr>M!Print_Titles</vt:lpstr>
      <vt:lpstr>value!Print_Titles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2024-09-24T07:32:30Z</cp:lastPrinted>
  <dcterms:created xsi:type="dcterms:W3CDTF">2015-06-05T18:17:20Z</dcterms:created>
  <dcterms:modified xsi:type="dcterms:W3CDTF">2024-09-24T07:33:45Z</dcterms:modified>
</cp:coreProperties>
</file>