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pashikhel park\"/>
    </mc:Choice>
  </mc:AlternateContent>
  <bookViews>
    <workbookView xWindow="-120" yWindow="-120" windowWidth="20736" windowHeight="11160" activeTab="3"/>
  </bookViews>
  <sheets>
    <sheet name="WCR" sheetId="6" r:id="rId1"/>
    <sheet name="Estimate" sheetId="17" state="hidden" r:id="rId2"/>
    <sheet name="Estimate (2)" sheetId="18" r:id="rId3"/>
    <sheet name="Estimate (3)" sheetId="19" r:id="rId4"/>
  </sheets>
  <externalReferences>
    <externalReference r:id="rId5"/>
    <externalReference r:id="rId6"/>
    <externalReference r:id="rId7"/>
    <externalReference r:id="rId8"/>
    <externalReference r:id="rId9"/>
  </externalReferences>
  <definedNames>
    <definedName name="description_103">[1]Abstract!$B$16</definedName>
    <definedName name="description_124" localSheetId="1">#REF!</definedName>
    <definedName name="description_124" localSheetId="2">#REF!</definedName>
    <definedName name="description_124" localSheetId="3">#REF!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1">Estimate!$A$1:$K$71</definedName>
    <definedName name="_xlnm.Print_Area" localSheetId="2">'Estimate (2)'!$A$1:$K$90</definedName>
    <definedName name="_xlnm.Print_Area" localSheetId="3">'Estimate (3)'!$A$1:$K$89</definedName>
    <definedName name="_xlnm.Print_Titles" localSheetId="1">Estimate!$1:$8</definedName>
    <definedName name="_xlnm.Print_Titles" localSheetId="2">'Estimate (2)'!$1:$8</definedName>
    <definedName name="_xlnm.Print_Titles" localSheetId="3">'Estimate (3)'!$1:$8</definedName>
    <definedName name="_xlnm.Print_Titles" localSheetId="0">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81" i="19" l="1"/>
  <c r="E38" i="19" l="1"/>
  <c r="F38" i="19"/>
  <c r="E30" i="19" s="1"/>
  <c r="E22" i="19" s="1"/>
  <c r="C85" i="19"/>
  <c r="C88" i="19" s="1"/>
  <c r="G80" i="19"/>
  <c r="J80" i="19" s="1"/>
  <c r="G77" i="19"/>
  <c r="J77" i="19" s="1"/>
  <c r="I75" i="19"/>
  <c r="E74" i="19"/>
  <c r="D74" i="19"/>
  <c r="G74" i="19" s="1"/>
  <c r="E73" i="19"/>
  <c r="G73" i="19" s="1"/>
  <c r="D73" i="19"/>
  <c r="D72" i="19"/>
  <c r="G72" i="19" s="1"/>
  <c r="G75" i="19" s="1"/>
  <c r="J75" i="19" s="1"/>
  <c r="I68" i="19"/>
  <c r="E67" i="19"/>
  <c r="D67" i="19"/>
  <c r="G67" i="19" s="1"/>
  <c r="E66" i="19"/>
  <c r="D66" i="19"/>
  <c r="D65" i="19"/>
  <c r="G65" i="19" s="1"/>
  <c r="D60" i="19"/>
  <c r="D33" i="19" s="1"/>
  <c r="G33" i="19" s="1"/>
  <c r="D59" i="19"/>
  <c r="C59" i="19"/>
  <c r="D58" i="19"/>
  <c r="G58" i="19" s="1"/>
  <c r="G53" i="19"/>
  <c r="G54" i="19" s="1"/>
  <c r="J55" i="19" s="1"/>
  <c r="C49" i="19"/>
  <c r="G49" i="19" s="1"/>
  <c r="G50" i="19" s="1"/>
  <c r="B49" i="19"/>
  <c r="E44" i="19"/>
  <c r="D44" i="19"/>
  <c r="C43" i="19" s="1"/>
  <c r="E43" i="19"/>
  <c r="D43" i="19"/>
  <c r="C44" i="19" s="1"/>
  <c r="F44" i="19" s="1"/>
  <c r="G44" i="19" s="1"/>
  <c r="B43" i="19"/>
  <c r="D30" i="19"/>
  <c r="C32" i="19"/>
  <c r="E25" i="19"/>
  <c r="E32" i="19" s="1"/>
  <c r="G24" i="19"/>
  <c r="G23" i="19"/>
  <c r="D13" i="19"/>
  <c r="D25" i="19" s="1"/>
  <c r="D12" i="19"/>
  <c r="G12" i="19" s="1"/>
  <c r="G11" i="19"/>
  <c r="D10" i="19"/>
  <c r="G66" i="19" l="1"/>
  <c r="G68" i="19" s="1"/>
  <c r="J68" i="19" s="1"/>
  <c r="J69" i="19" s="1"/>
  <c r="F43" i="19"/>
  <c r="G43" i="19" s="1"/>
  <c r="G45" i="19" s="1"/>
  <c r="J45" i="19" s="1"/>
  <c r="G59" i="19"/>
  <c r="C89" i="19"/>
  <c r="C86" i="19" s="1"/>
  <c r="E10" i="19"/>
  <c r="D31" i="19"/>
  <c r="G31" i="19" s="1"/>
  <c r="D22" i="19"/>
  <c r="G30" i="19"/>
  <c r="G25" i="19"/>
  <c r="D32" i="19"/>
  <c r="J51" i="19"/>
  <c r="J50" i="19"/>
  <c r="G32" i="19"/>
  <c r="J54" i="19"/>
  <c r="G60" i="19"/>
  <c r="G61" i="19" s="1"/>
  <c r="F10" i="19"/>
  <c r="G10" i="19" s="1"/>
  <c r="G14" i="19" s="1"/>
  <c r="G38" i="19"/>
  <c r="G39" i="19" s="1"/>
  <c r="G13" i="19"/>
  <c r="F38" i="18"/>
  <c r="F39" i="18"/>
  <c r="C86" i="18"/>
  <c r="D45" i="18"/>
  <c r="G54" i="18"/>
  <c r="G55" i="18" s="1"/>
  <c r="C50" i="18"/>
  <c r="B50" i="18"/>
  <c r="E45" i="18"/>
  <c r="E44" i="18"/>
  <c r="D44" i="18"/>
  <c r="C45" i="18" s="1"/>
  <c r="B44" i="18"/>
  <c r="G23" i="18"/>
  <c r="G24" i="18"/>
  <c r="G11" i="18"/>
  <c r="J46" i="19" l="1"/>
  <c r="J15" i="19"/>
  <c r="J14" i="19"/>
  <c r="J62" i="19"/>
  <c r="J61" i="19"/>
  <c r="J39" i="19"/>
  <c r="J40" i="19"/>
  <c r="G34" i="19"/>
  <c r="D18" i="19"/>
  <c r="G18" i="19" s="1"/>
  <c r="G19" i="19" s="1"/>
  <c r="J19" i="19" s="1"/>
  <c r="G22" i="19"/>
  <c r="G26" i="19" s="1"/>
  <c r="J56" i="18"/>
  <c r="J55" i="18"/>
  <c r="E39" i="18"/>
  <c r="G39" i="18" s="1"/>
  <c r="E38" i="18"/>
  <c r="D38" i="18"/>
  <c r="G78" i="18"/>
  <c r="J78" i="18" s="1"/>
  <c r="C90" i="18"/>
  <c r="C89" i="18"/>
  <c r="C87" i="18" s="1"/>
  <c r="G81" i="18"/>
  <c r="J81" i="18" s="1"/>
  <c r="I76" i="18"/>
  <c r="E75" i="18"/>
  <c r="D75" i="18"/>
  <c r="E74" i="18"/>
  <c r="D74" i="18"/>
  <c r="D73" i="18"/>
  <c r="G73" i="18" s="1"/>
  <c r="I69" i="18"/>
  <c r="E68" i="18"/>
  <c r="D68" i="18"/>
  <c r="G68" i="18" s="1"/>
  <c r="E67" i="18"/>
  <c r="D67" i="18"/>
  <c r="D66" i="18"/>
  <c r="G66" i="18" s="1"/>
  <c r="D61" i="18"/>
  <c r="G61" i="18" s="1"/>
  <c r="D60" i="18"/>
  <c r="C60" i="18"/>
  <c r="D59" i="18"/>
  <c r="G59" i="18" s="1"/>
  <c r="C32" i="18"/>
  <c r="E25" i="18"/>
  <c r="E32" i="18" s="1"/>
  <c r="D13" i="18"/>
  <c r="D12" i="18"/>
  <c r="G12" i="18" s="1"/>
  <c r="J26" i="19" l="1"/>
  <c r="J27" i="19"/>
  <c r="J34" i="19"/>
  <c r="J35" i="19"/>
  <c r="D10" i="18"/>
  <c r="G50" i="18"/>
  <c r="G51" i="18" s="1"/>
  <c r="G74" i="18"/>
  <c r="G75" i="18"/>
  <c r="G76" i="18" s="1"/>
  <c r="J76" i="18" s="1"/>
  <c r="G67" i="18"/>
  <c r="D33" i="18"/>
  <c r="G33" i="18" s="1"/>
  <c r="G60" i="18"/>
  <c r="G62" i="18" s="1"/>
  <c r="G69" i="18"/>
  <c r="J69" i="18" s="1"/>
  <c r="J70" i="18" s="1"/>
  <c r="D25" i="18"/>
  <c r="D32" i="18" s="1"/>
  <c r="G32" i="18" s="1"/>
  <c r="G13" i="18"/>
  <c r="E30" i="18"/>
  <c r="E22" i="18" s="1"/>
  <c r="F10" i="18"/>
  <c r="E10" i="18"/>
  <c r="G10" i="18" s="1"/>
  <c r="G14" i="18" s="1"/>
  <c r="G38" i="18"/>
  <c r="D30" i="18"/>
  <c r="G59" i="17"/>
  <c r="J59" i="17" s="1"/>
  <c r="G57" i="17"/>
  <c r="G50" i="17"/>
  <c r="G43" i="17"/>
  <c r="G36" i="17"/>
  <c r="G31" i="17"/>
  <c r="G23" i="17"/>
  <c r="G30" i="17"/>
  <c r="D30" i="17"/>
  <c r="D42" i="17"/>
  <c r="G42" i="17" s="1"/>
  <c r="I57" i="17"/>
  <c r="E56" i="17"/>
  <c r="D56" i="17"/>
  <c r="E55" i="17"/>
  <c r="D55" i="17"/>
  <c r="D54" i="17"/>
  <c r="G54" i="17" s="1"/>
  <c r="E49" i="17"/>
  <c r="D49" i="17"/>
  <c r="E48" i="17"/>
  <c r="D48" i="17"/>
  <c r="I50" i="17"/>
  <c r="D47" i="17"/>
  <c r="G47" i="17" s="1"/>
  <c r="D41" i="17"/>
  <c r="C41" i="17"/>
  <c r="D40" i="17"/>
  <c r="G40" i="17" s="1"/>
  <c r="J82" i="19" l="1"/>
  <c r="C84" i="19" s="1"/>
  <c r="C87" i="19" s="1"/>
  <c r="J52" i="18"/>
  <c r="J51" i="18"/>
  <c r="C44" i="18"/>
  <c r="F44" i="18" s="1"/>
  <c r="G44" i="18" s="1"/>
  <c r="F45" i="18"/>
  <c r="G45" i="18" s="1"/>
  <c r="G25" i="18"/>
  <c r="G40" i="18"/>
  <c r="J41" i="18" s="1"/>
  <c r="J15" i="18"/>
  <c r="J14" i="18"/>
  <c r="D22" i="18"/>
  <c r="D31" i="18"/>
  <c r="G31" i="18" s="1"/>
  <c r="G30" i="18"/>
  <c r="J63" i="18"/>
  <c r="J62" i="18"/>
  <c r="G49" i="17"/>
  <c r="G55" i="17"/>
  <c r="G41" i="17"/>
  <c r="G48" i="17"/>
  <c r="J50" i="17" s="1"/>
  <c r="G56" i="17"/>
  <c r="E86" i="19" l="1"/>
  <c r="E87" i="19" s="1"/>
  <c r="G34" i="18"/>
  <c r="J35" i="18" s="1"/>
  <c r="G46" i="18"/>
  <c r="J40" i="18"/>
  <c r="G22" i="18"/>
  <c r="G26" i="18" s="1"/>
  <c r="D18" i="18"/>
  <c r="J44" i="17"/>
  <c r="J57" i="17"/>
  <c r="J51" i="17"/>
  <c r="J47" i="18" l="1"/>
  <c r="J46" i="18"/>
  <c r="J34" i="18"/>
  <c r="G18" i="18"/>
  <c r="G19" i="18" s="1"/>
  <c r="J19" i="18" s="1"/>
  <c r="J27" i="18"/>
  <c r="J26" i="18"/>
  <c r="J43" i="17"/>
  <c r="J83" i="18" l="1"/>
  <c r="C85" i="18" s="1"/>
  <c r="C88" i="18" s="1"/>
  <c r="D12" i="17"/>
  <c r="E87" i="18" l="1"/>
  <c r="E88" i="18" s="1"/>
  <c r="C29" i="17"/>
  <c r="E22" i="17"/>
  <c r="E29" i="17" s="1"/>
  <c r="D22" i="17"/>
  <c r="D29" i="17" s="1"/>
  <c r="B22" i="17"/>
  <c r="B29" i="17" s="1"/>
  <c r="G12" i="17"/>
  <c r="G11" i="17"/>
  <c r="D11" i="17"/>
  <c r="E10" i="17"/>
  <c r="E27" i="17"/>
  <c r="E21" i="17" s="1"/>
  <c r="D35" i="17"/>
  <c r="D27" i="17" s="1"/>
  <c r="D21" i="17" s="1"/>
  <c r="D17" i="17" s="1"/>
  <c r="E35" i="17"/>
  <c r="G22" i="17" l="1"/>
  <c r="D10" i="17"/>
  <c r="G29" i="17"/>
  <c r="F10" i="17"/>
  <c r="D28" i="17"/>
  <c r="G28" i="17"/>
  <c r="C21" i="17" l="1"/>
  <c r="B21" i="17"/>
  <c r="G35" i="17" l="1"/>
  <c r="J37" i="17" l="1"/>
  <c r="J36" i="17" l="1"/>
  <c r="C27" i="17"/>
  <c r="B27" i="17"/>
  <c r="G17" i="17" l="1"/>
  <c r="G27" i="17"/>
  <c r="G18" i="17" l="1"/>
  <c r="J18" i="17" s="1"/>
  <c r="C71" i="17"/>
  <c r="C70" i="17"/>
  <c r="G62" i="17"/>
  <c r="J62" i="17" s="1"/>
  <c r="G10" i="17"/>
  <c r="G13" i="17" s="1"/>
  <c r="G21" i="17" l="1"/>
  <c r="J14" i="17"/>
  <c r="C68" i="17"/>
  <c r="J23" i="17" l="1"/>
  <c r="J31" i="17"/>
  <c r="J13" i="17"/>
  <c r="J24" i="17" l="1"/>
  <c r="J32" i="17"/>
  <c r="J64" i="17" l="1"/>
  <c r="C66" i="17" s="1"/>
  <c r="E68" i="17" l="1"/>
  <c r="E69" i="17" s="1"/>
  <c r="C69" i="17"/>
  <c r="H13" i="6"/>
  <c r="G13" i="6" l="1"/>
  <c r="B14" i="6"/>
  <c r="E13" i="6"/>
  <c r="C13" i="6"/>
  <c r="B13" i="6"/>
  <c r="A13" i="6"/>
  <c r="I14" i="6" l="1"/>
  <c r="H16" i="6"/>
  <c r="G16" i="6"/>
  <c r="E16" i="6"/>
  <c r="C16" i="6"/>
  <c r="B16" i="6"/>
  <c r="A16" i="6"/>
  <c r="I16" i="6" l="1"/>
  <c r="D16" i="6"/>
  <c r="F16" i="6" s="1"/>
  <c r="J16" i="6" l="1"/>
  <c r="I13" i="6"/>
  <c r="I18" i="6" s="1"/>
  <c r="F14" i="6" l="1"/>
  <c r="D13" i="6"/>
  <c r="F13" i="6" s="1"/>
  <c r="J13" i="6" s="1"/>
  <c r="F18" i="6" l="1"/>
  <c r="A9" i="6"/>
  <c r="A8" i="6"/>
  <c r="J6" i="6" l="1"/>
  <c r="J18" i="6" l="1"/>
  <c r="C6" i="6" l="1"/>
</calcChain>
</file>

<file path=xl/sharedStrings.xml><?xml version="1.0" encoding="utf-8"?>
<sst xmlns="http://schemas.openxmlformats.org/spreadsheetml/2006/main" count="297" uniqueCount="81">
  <si>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</si>
  <si>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</si>
  <si>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</si>
  <si>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</si>
  <si>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</si>
  <si>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</si>
  <si>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</si>
  <si>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</si>
  <si>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</si>
  <si>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</si>
  <si>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</si>
  <si>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</si>
  <si>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</si>
  <si>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</si>
  <si>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</si>
  <si>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</si>
  <si>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</si>
  <si>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</si>
  <si>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</si>
  <si>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</si>
  <si>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</si>
  <si>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</si>
  <si>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</si>
  <si>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</si>
  <si>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</si>
  <si>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</si>
  <si>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</si>
  <si>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</si>
  <si>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</si>
  <si>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</si>
  <si>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</si>
  <si>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</si>
  <si>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</si>
  <si>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</si>
  <si>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</si>
  <si>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</si>
  <si>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</si>
  <si>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</si>
  <si>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</si>
  <si>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</si>
  <si>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</si>
  <si>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m3</t>
  </si>
  <si>
    <t>Sub-total</t>
  </si>
  <si>
    <t>-Road</t>
  </si>
  <si>
    <t>Providing and laying of Plain/Reinforced Cement Concrete in Foundation complete as per Drawing and Technical Specifications, PCC Grade M 15</t>
  </si>
  <si>
    <t>Providing and laying of hand pack Stone soling with 150 to 200 mm thick stones and packing with smaller stone on prepared surface as per Drawing and Technical Specifications.</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</si>
  <si>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</si>
  <si>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F.Y.: 2081/2082</t>
  </si>
  <si>
    <t>Date:2081/06/08</t>
  </si>
  <si>
    <t>45m</t>
  </si>
  <si>
    <t>13m</t>
  </si>
  <si>
    <t>ht=3'9"</t>
  </si>
  <si>
    <t>-For wall</t>
  </si>
  <si>
    <t>Providing suitable material and Back filling behind abutment, wing wall and return wall complete as per Drawing and Technical Specifications., locally available material including compaction by tamping rod</t>
  </si>
  <si>
    <t>Project:- पन्चकन्या पार्क</t>
  </si>
  <si>
    <t>Random Rubble Masonry, Providing and laying of Stone Masonry Work in Cement Mortar 1:6 in Foundation complete as per Drawing and Technical Specifications.</t>
  </si>
  <si>
    <t>-for proposed road</t>
  </si>
  <si>
    <t>-for steps</t>
  </si>
  <si>
    <t xml:space="preserve">e'O{+tNnfdf lrDgL e§fsf] O{+6fsf] uf/f] l;d]G6 d;nf -!M^_ df </t>
  </si>
  <si>
    <t>subservience</t>
  </si>
  <si>
    <t>sfk]{6 b'jf]</t>
  </si>
  <si>
    <t>m2</t>
  </si>
  <si>
    <t>-for open spaces</t>
  </si>
  <si>
    <t>sfk]{6 b'jf]sf] nflu 6fKg] sfo{} Hofnf</t>
  </si>
  <si>
    <t>-As a retaining wall</t>
  </si>
  <si>
    <t>-for brick wall as a retaining structure</t>
  </si>
  <si>
    <t>Provisional sum for small plants and other unforseen works</t>
  </si>
  <si>
    <t>PS</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</si>
  <si>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t>
  </si>
  <si>
    <t>-for hume pipe</t>
  </si>
  <si>
    <t>-For hume pipe base &amp; road dhalaan</t>
  </si>
  <si>
    <t>Providing and laying , fitting and placing HYSD bar reinforcement in sub-structure complete as per Drawing and Technical Specifications</t>
  </si>
  <si>
    <t>Length (m)</t>
  </si>
  <si>
    <t>Unit Weight (kg/m)</t>
  </si>
  <si>
    <t>Total Weight (Kg)</t>
  </si>
  <si>
    <t>MT</t>
  </si>
  <si>
    <t>Providing and laying of Plain/Reinforced Cement Concrete in Foundation complete as per Drawing and Technical Specifications., RCC Grade M 20</t>
  </si>
  <si>
    <t>Providing and Laying Reinforced cement concrete NP3 Flush jointed pipe for culverts including fixing with cement mortar 1:2 as per Drawing and Technical Specifications., 450 mm  internal dia.</t>
  </si>
  <si>
    <t>rm</t>
  </si>
  <si>
    <t>Date:2081/09/16</t>
  </si>
  <si>
    <t xml:space="preserve">Project:- पासीखेलमा भएको पाटी संरक्षण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</si>
</sst>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0.0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b/>
      <sz val="12"/>
      <color theme="1"/>
      <name val="Preeti"/>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93">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5"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0" fontId="3" fillId="0" borderId="1" xfId="0" applyFont="1" applyBorder="1" applyAlignment="1">
      <alignment vertical="center"/>
    </xf>
    <xf numFmtId="165" fontId="15" fillId="0" borderId="1" xfId="0" applyNumberFormat="1" applyFont="1" applyBorder="1" applyAlignment="1">
      <alignment vertical="center"/>
    </xf>
    <xf numFmtId="0" fontId="16" fillId="0" borderId="1" xfId="0" quotePrefix="1" applyFont="1" applyBorder="1" applyAlignment="1">
      <alignment wrapText="1"/>
    </xf>
    <xf numFmtId="0" fontId="3" fillId="0" borderId="1" xfId="0" quotePrefix="1" applyFont="1" applyBorder="1" applyAlignment="1">
      <alignment wrapText="1"/>
    </xf>
    <xf numFmtId="2" fontId="15" fillId="0" borderId="1" xfId="0" applyNumberFormat="1" applyFont="1" applyBorder="1" applyAlignment="1">
      <alignment vertical="center" wrapText="1"/>
    </xf>
    <xf numFmtId="2" fontId="0" fillId="0" borderId="1" xfId="0" applyNumberFormat="1" applyBorder="1"/>
    <xf numFmtId="166" fontId="0" fillId="0" borderId="0" xfId="0" applyNumberFormat="1"/>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2" fillId="0" borderId="0" xfId="0" applyFont="1" applyAlignment="1">
      <alignment horizontal="center" vertical="center"/>
    </xf>
    <xf numFmtId="0" fontId="9"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7" zoomScaleNormal="100" workbookViewId="0">
      <selection activeCell="I10" sqref="I10"/>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81" t="s">
        <v>0</v>
      </c>
      <c r="B1" s="81"/>
      <c r="C1" s="81"/>
      <c r="D1" s="81"/>
      <c r="E1" s="81"/>
      <c r="F1" s="81"/>
      <c r="G1" s="81"/>
      <c r="H1" s="81"/>
      <c r="I1" s="81"/>
      <c r="J1" s="81"/>
      <c r="K1" s="81"/>
    </row>
    <row r="2" spans="1:11" ht="24.6" x14ac:dyDescent="0.4">
      <c r="A2" s="82" t="s">
        <v>1</v>
      </c>
      <c r="B2" s="82"/>
      <c r="C2" s="82"/>
      <c r="D2" s="82"/>
      <c r="E2" s="82"/>
      <c r="F2" s="82"/>
      <c r="G2" s="82"/>
      <c r="H2" s="82"/>
      <c r="I2" s="82"/>
      <c r="J2" s="82"/>
      <c r="K2" s="82"/>
    </row>
    <row r="3" spans="1:11" s="1" customFormat="1" x14ac:dyDescent="0.3">
      <c r="A3" s="83" t="s">
        <v>2</v>
      </c>
      <c r="B3" s="83"/>
      <c r="C3" s="83"/>
      <c r="D3" s="83"/>
      <c r="E3" s="83"/>
      <c r="F3" s="83"/>
      <c r="G3" s="83"/>
      <c r="H3" s="83"/>
      <c r="I3" s="83"/>
      <c r="J3" s="83"/>
      <c r="K3" s="83"/>
    </row>
    <row r="4" spans="1:11" s="1" customFormat="1" x14ac:dyDescent="0.3">
      <c r="A4" s="83" t="s">
        <v>3</v>
      </c>
      <c r="B4" s="83"/>
      <c r="C4" s="83"/>
      <c r="D4" s="83"/>
      <c r="E4" s="83"/>
      <c r="F4" s="83"/>
      <c r="G4" s="83"/>
      <c r="H4" s="83"/>
      <c r="I4" s="83"/>
      <c r="J4" s="83"/>
      <c r="K4" s="83"/>
    </row>
    <row r="5" spans="1:11" ht="18" x14ac:dyDescent="0.35">
      <c r="A5" s="84" t="s">
        <v>18</v>
      </c>
      <c r="B5" s="84"/>
      <c r="C5" s="84"/>
      <c r="D5" s="84"/>
      <c r="E5" s="84"/>
      <c r="F5" s="84"/>
      <c r="G5" s="84"/>
      <c r="H5" s="84"/>
      <c r="I5" s="84"/>
      <c r="J5" s="84"/>
      <c r="K5" s="84"/>
    </row>
    <row r="6" spans="1:11" ht="18" x14ac:dyDescent="0.35">
      <c r="A6" s="8" t="s">
        <v>19</v>
      </c>
      <c r="B6" s="8"/>
      <c r="C6" s="79" t="e">
        <f>F18</f>
        <v>#REF!</v>
      </c>
      <c r="D6" s="80"/>
      <c r="E6" s="9"/>
      <c r="F6" s="8"/>
      <c r="G6" s="8"/>
      <c r="H6" s="8" t="s">
        <v>20</v>
      </c>
      <c r="I6" s="8"/>
      <c r="J6" s="79" t="e">
        <f>I18</f>
        <v>#REF!</v>
      </c>
      <c r="K6" s="80"/>
    </row>
    <row r="7" spans="1:11" x14ac:dyDescent="0.3">
      <c r="A7" s="26" t="s">
        <v>29</v>
      </c>
      <c r="B7" s="10"/>
      <c r="C7" s="10"/>
      <c r="D7" s="10"/>
      <c r="F7" s="74"/>
      <c r="G7" s="74"/>
      <c r="I7" s="75" t="s">
        <v>37</v>
      </c>
      <c r="J7" s="75"/>
      <c r="K7" s="75"/>
    </row>
    <row r="8" spans="1:11" ht="15.6" x14ac:dyDescent="0.3">
      <c r="A8" s="73" t="e">
        <f>#REF!</f>
        <v>#REF!</v>
      </c>
      <c r="B8" s="73"/>
      <c r="C8" s="73"/>
      <c r="D8" s="73"/>
      <c r="E8" s="73"/>
      <c r="F8" s="73"/>
      <c r="I8" s="76" t="s">
        <v>38</v>
      </c>
      <c r="J8" s="76"/>
      <c r="K8" s="76"/>
    </row>
    <row r="9" spans="1:11" x14ac:dyDescent="0.3">
      <c r="A9" s="77" t="e">
        <f>#REF!</f>
        <v>#REF!</v>
      </c>
      <c r="B9" s="77"/>
      <c r="C9" s="77"/>
      <c r="D9" s="77"/>
      <c r="E9" s="77"/>
      <c r="F9" s="77"/>
      <c r="I9" s="76" t="s">
        <v>39</v>
      </c>
      <c r="J9" s="76"/>
      <c r="K9" s="76"/>
    </row>
    <row r="11" spans="1:11" x14ac:dyDescent="0.3">
      <c r="A11" s="71" t="s">
        <v>21</v>
      </c>
      <c r="B11" s="71" t="s">
        <v>22</v>
      </c>
      <c r="C11" s="71" t="s">
        <v>12</v>
      </c>
      <c r="D11" s="78" t="s">
        <v>23</v>
      </c>
      <c r="E11" s="78"/>
      <c r="F11" s="78"/>
      <c r="G11" s="78" t="s">
        <v>24</v>
      </c>
      <c r="H11" s="78"/>
      <c r="I11" s="78"/>
      <c r="J11" s="71" t="s">
        <v>25</v>
      </c>
      <c r="K11" s="72" t="s">
        <v>15</v>
      </c>
    </row>
    <row r="12" spans="1:11" x14ac:dyDescent="0.3">
      <c r="A12" s="71"/>
      <c r="B12" s="71"/>
      <c r="C12" s="71"/>
      <c r="D12" s="11" t="s">
        <v>26</v>
      </c>
      <c r="E12" s="11" t="s">
        <v>13</v>
      </c>
      <c r="F12" s="11" t="s">
        <v>14</v>
      </c>
      <c r="G12" s="11" t="s">
        <v>26</v>
      </c>
      <c r="H12" s="11" t="s">
        <v>13</v>
      </c>
      <c r="I12" s="11" t="s">
        <v>14</v>
      </c>
      <c r="J12" s="71"/>
      <c r="K12" s="72"/>
    </row>
    <row r="13" spans="1:11" s="1" customFormat="1" ht="93.6" x14ac:dyDescent="0.3">
      <c r="A13" s="27" t="e">
        <f>#REF!</f>
        <v>#REF!</v>
      </c>
      <c r="B13" s="32" t="e">
        <f>#REF!</f>
        <v>#REF!</v>
      </c>
      <c r="C13" s="12" t="e">
        <f>#REF!</f>
        <v>#REF!</v>
      </c>
      <c r="D13" s="12" t="e">
        <f>#REF!</f>
        <v>#REF!</v>
      </c>
      <c r="E13" s="12" t="e">
        <f>#REF!</f>
        <v>#REF!</v>
      </c>
      <c r="F13" s="12" t="e">
        <f>D13*E13</f>
        <v>#REF!</v>
      </c>
      <c r="G13" s="12" t="e">
        <f>#REF!</f>
        <v>#REF!</v>
      </c>
      <c r="H13" s="12" t="e">
        <f>#REF!</f>
        <v>#REF!</v>
      </c>
      <c r="I13" s="12" t="e">
        <f>G13*H13</f>
        <v>#REF!</v>
      </c>
      <c r="J13" s="28" t="e">
        <f>I13-F13</f>
        <v>#REF!</v>
      </c>
      <c r="K13" s="14"/>
    </row>
    <row r="14" spans="1:11" s="1" customFormat="1" ht="15.6" x14ac:dyDescent="0.3">
      <c r="A14" s="27"/>
      <c r="B14" s="33" t="e">
        <f>#REF!</f>
        <v>#REF!</v>
      </c>
      <c r="C14" s="12"/>
      <c r="D14" s="12"/>
      <c r="E14" s="12"/>
      <c r="F14" s="12" t="e">
        <f>#REF!</f>
        <v>#REF!</v>
      </c>
      <c r="G14" s="12"/>
      <c r="H14" s="12"/>
      <c r="I14" s="12" t="e">
        <f>#REF!</f>
        <v>#REF!</v>
      </c>
      <c r="J14" s="28"/>
      <c r="K14" s="14"/>
    </row>
    <row r="15" spans="1:11" s="1" customFormat="1" x14ac:dyDescent="0.3">
      <c r="A15" s="29"/>
      <c r="B15" s="29"/>
      <c r="C15" s="12"/>
      <c r="D15" s="12"/>
      <c r="E15" s="12"/>
      <c r="F15" s="12"/>
      <c r="G15" s="12"/>
      <c r="H15" s="12"/>
      <c r="I15" s="12"/>
      <c r="J15" s="28"/>
      <c r="K15" s="14"/>
    </row>
    <row r="16" spans="1:11" s="1" customFormat="1" x14ac:dyDescent="0.3">
      <c r="A16" s="27" t="e">
        <f>#REF!</f>
        <v>#REF!</v>
      </c>
      <c r="B16" s="31" t="e">
        <f>#REF!</f>
        <v>#REF!</v>
      </c>
      <c r="C16" s="12" t="e">
        <f>#REF!</f>
        <v>#REF!</v>
      </c>
      <c r="D16" s="12" t="e">
        <f>#REF!</f>
        <v>#REF!</v>
      </c>
      <c r="E16" s="12" t="e">
        <f>#REF!</f>
        <v>#REF!</v>
      </c>
      <c r="F16" s="12" t="e">
        <f>D16*E16</f>
        <v>#REF!</v>
      </c>
      <c r="G16" s="12" t="e">
        <f>#REF!</f>
        <v>#REF!</v>
      </c>
      <c r="H16" s="12" t="e">
        <f>#REF!</f>
        <v>#REF!</v>
      </c>
      <c r="I16" s="12" t="e">
        <f>G16*H16</f>
        <v>#REF!</v>
      </c>
      <c r="J16" s="28" t="e">
        <f>I16-F16</f>
        <v>#REF!</v>
      </c>
      <c r="K16" s="14"/>
    </row>
    <row r="17" spans="1:11" s="1" customFormat="1" x14ac:dyDescent="0.3">
      <c r="A17" s="29"/>
      <c r="B17" s="29"/>
      <c r="C17" s="12"/>
      <c r="D17" s="12"/>
      <c r="E17" s="12"/>
      <c r="F17" s="12"/>
      <c r="G17" s="12"/>
      <c r="H17" s="12"/>
      <c r="I17" s="12"/>
      <c r="J17" s="28"/>
      <c r="K17" s="14"/>
    </row>
    <row r="18" spans="1:11" x14ac:dyDescent="0.3">
      <c r="A18" s="5"/>
      <c r="B18" s="6" t="s">
        <v>16</v>
      </c>
      <c r="C18" s="6"/>
      <c r="D18" s="7"/>
      <c r="E18" s="7"/>
      <c r="F18" s="7" t="e">
        <f>SUM(F13:F16)</f>
        <v>#REF!</v>
      </c>
      <c r="G18" s="7"/>
      <c r="H18" s="7"/>
      <c r="I18" s="7" t="e">
        <f>SUM(I13:I16)</f>
        <v>#REF!</v>
      </c>
      <c r="J18" s="13" t="e">
        <f>I18-F18</f>
        <v>#REF!</v>
      </c>
      <c r="K18"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8"/>
  <sheetViews>
    <sheetView topLeftCell="A22" zoomScaleNormal="100" workbookViewId="0">
      <selection activeCell="E59" sqref="E59"/>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8.5546875" customWidth="1"/>
    <col min="8" max="8" width="5" bestFit="1" customWidth="1"/>
    <col min="9" max="9" width="10.88671875" customWidth="1"/>
    <col min="10" max="10" width="10.6640625" bestFit="1" customWidth="1"/>
  </cols>
  <sheetData>
    <row r="1" spans="1:19" s="1" customFormat="1" x14ac:dyDescent="0.3">
      <c r="A1" s="90" t="s">
        <v>0</v>
      </c>
      <c r="B1" s="90"/>
      <c r="C1" s="90"/>
      <c r="D1" s="90"/>
      <c r="E1" s="90"/>
      <c r="F1" s="90"/>
      <c r="G1" s="90"/>
      <c r="H1" s="90"/>
      <c r="I1" s="90"/>
      <c r="J1" s="90"/>
      <c r="K1" s="90"/>
    </row>
    <row r="2" spans="1:19" s="1" customFormat="1" ht="22.8" x14ac:dyDescent="0.3">
      <c r="A2" s="91" t="s">
        <v>1</v>
      </c>
      <c r="B2" s="91"/>
      <c r="C2" s="91"/>
      <c r="D2" s="91"/>
      <c r="E2" s="91"/>
      <c r="F2" s="91"/>
      <c r="G2" s="91"/>
      <c r="H2" s="91"/>
      <c r="I2" s="91"/>
      <c r="J2" s="91"/>
      <c r="K2" s="91"/>
    </row>
    <row r="3" spans="1:19" s="1" customFormat="1" x14ac:dyDescent="0.3">
      <c r="A3" s="83" t="s">
        <v>2</v>
      </c>
      <c r="B3" s="83"/>
      <c r="C3" s="83"/>
      <c r="D3" s="83"/>
      <c r="E3" s="83"/>
      <c r="F3" s="83"/>
      <c r="G3" s="83"/>
      <c r="H3" s="83"/>
      <c r="I3" s="83"/>
      <c r="J3" s="83"/>
      <c r="K3" s="83"/>
    </row>
    <row r="4" spans="1:19" s="1" customFormat="1" x14ac:dyDescent="0.3">
      <c r="A4" s="83" t="s">
        <v>3</v>
      </c>
      <c r="B4" s="83"/>
      <c r="C4" s="83"/>
      <c r="D4" s="83"/>
      <c r="E4" s="83"/>
      <c r="F4" s="83"/>
      <c r="G4" s="83"/>
      <c r="H4" s="83"/>
      <c r="I4" s="83"/>
      <c r="J4" s="83"/>
      <c r="K4" s="83"/>
    </row>
    <row r="5" spans="1:19" ht="17.399999999999999" x14ac:dyDescent="0.3">
      <c r="A5" s="92" t="s">
        <v>4</v>
      </c>
      <c r="B5" s="92"/>
      <c r="C5" s="92"/>
      <c r="D5" s="92"/>
      <c r="E5" s="92"/>
      <c r="F5" s="92"/>
      <c r="G5" s="92"/>
      <c r="H5" s="92"/>
      <c r="I5" s="92"/>
      <c r="J5" s="92"/>
      <c r="K5" s="92"/>
    </row>
    <row r="6" spans="1:19" ht="15.6" x14ac:dyDescent="0.3">
      <c r="A6" s="73" t="s">
        <v>54</v>
      </c>
      <c r="B6" s="73"/>
      <c r="C6" s="73"/>
      <c r="D6" s="73"/>
      <c r="E6" s="73"/>
      <c r="F6" s="73"/>
      <c r="G6" s="2"/>
      <c r="H6" s="89" t="s">
        <v>47</v>
      </c>
      <c r="I6" s="89"/>
      <c r="J6" s="89"/>
      <c r="K6" s="89"/>
      <c r="O6" t="s">
        <v>59</v>
      </c>
    </row>
    <row r="7" spans="1:19" ht="15.6" x14ac:dyDescent="0.3">
      <c r="A7" s="86" t="s">
        <v>28</v>
      </c>
      <c r="B7" s="86"/>
      <c r="C7" s="86"/>
      <c r="D7" s="86"/>
      <c r="E7" s="86"/>
      <c r="F7" s="86"/>
      <c r="G7" s="3"/>
      <c r="H7" s="87" t="s">
        <v>48</v>
      </c>
      <c r="I7" s="87"/>
      <c r="J7" s="87"/>
      <c r="K7" s="87"/>
    </row>
    <row r="8" spans="1:19" ht="15" customHeight="1" x14ac:dyDescent="0.3">
      <c r="A8" s="4" t="s">
        <v>5</v>
      </c>
      <c r="B8" s="15" t="s">
        <v>6</v>
      </c>
      <c r="C8" s="4" t="s">
        <v>7</v>
      </c>
      <c r="D8" s="16" t="s">
        <v>8</v>
      </c>
      <c r="E8" s="16" t="s">
        <v>9</v>
      </c>
      <c r="F8" s="16" t="s">
        <v>10</v>
      </c>
      <c r="G8" s="16" t="s">
        <v>11</v>
      </c>
      <c r="H8" s="4" t="s">
        <v>12</v>
      </c>
      <c r="I8" s="16" t="s">
        <v>13</v>
      </c>
      <c r="J8" s="16" t="s">
        <v>14</v>
      </c>
      <c r="K8" s="17" t="s">
        <v>15</v>
      </c>
      <c r="N8" t="s">
        <v>49</v>
      </c>
    </row>
    <row r="9" spans="1:19" ht="124.2" x14ac:dyDescent="0.3">
      <c r="A9" s="29">
        <v>1</v>
      </c>
      <c r="B9" s="30" t="s">
        <v>46</v>
      </c>
      <c r="C9" s="37"/>
      <c r="D9" s="37"/>
      <c r="E9" s="37"/>
      <c r="F9" s="37"/>
      <c r="G9" s="37"/>
      <c r="H9" s="37"/>
      <c r="I9" s="37"/>
      <c r="J9" s="37"/>
      <c r="K9" s="37"/>
      <c r="N9" t="s">
        <v>50</v>
      </c>
      <c r="O9" t="s">
        <v>51</v>
      </c>
    </row>
    <row r="10" spans="1:19" ht="15" customHeight="1" x14ac:dyDescent="0.3">
      <c r="A10" s="18"/>
      <c r="B10" s="38" t="s">
        <v>52</v>
      </c>
      <c r="C10" s="37">
        <v>0.5</v>
      </c>
      <c r="D10" s="39">
        <f>D35</f>
        <v>16.991770801584881</v>
      </c>
      <c r="E10" s="39">
        <f>F35/2</f>
        <v>1.25</v>
      </c>
      <c r="F10" s="39">
        <f>F35</f>
        <v>2.5</v>
      </c>
      <c r="G10" s="40">
        <f>PRODUCT(C10:F10)</f>
        <v>26.549641877476375</v>
      </c>
      <c r="H10" s="41"/>
      <c r="I10" s="41"/>
      <c r="J10" s="41"/>
      <c r="K10" s="21"/>
      <c r="M10" s="25"/>
      <c r="N10" s="1"/>
      <c r="O10" s="1"/>
      <c r="P10" s="1"/>
      <c r="Q10" s="1"/>
      <c r="R10" s="25"/>
      <c r="S10" s="25"/>
    </row>
    <row r="11" spans="1:19" ht="15" customHeight="1" x14ac:dyDescent="0.3">
      <c r="A11" s="18"/>
      <c r="B11" s="38" t="s">
        <v>56</v>
      </c>
      <c r="C11" s="37">
        <v>1</v>
      </c>
      <c r="D11" s="39">
        <f>21.93+3.04</f>
        <v>24.97</v>
      </c>
      <c r="E11" s="39">
        <v>2.9</v>
      </c>
      <c r="F11" s="39">
        <v>0.15</v>
      </c>
      <c r="G11" s="40">
        <f>PRODUCT(C11:F11)</f>
        <v>10.861949999999998</v>
      </c>
      <c r="H11" s="41"/>
      <c r="I11" s="41"/>
      <c r="J11" s="41"/>
      <c r="K11" s="21"/>
      <c r="M11" s="25"/>
      <c r="N11" s="1"/>
      <c r="O11" s="1"/>
      <c r="P11" s="1"/>
      <c r="Q11" s="1"/>
      <c r="R11" s="25"/>
      <c r="S11" s="25"/>
    </row>
    <row r="12" spans="1:19" ht="15" customHeight="1" x14ac:dyDescent="0.3">
      <c r="A12" s="18"/>
      <c r="B12" s="38" t="s">
        <v>57</v>
      </c>
      <c r="C12" s="37">
        <v>1</v>
      </c>
      <c r="D12" s="39">
        <f>(11.17*2+4.42+12.25)/3.281</f>
        <v>11.889667784212129</v>
      </c>
      <c r="E12" s="39">
        <v>1.3</v>
      </c>
      <c r="F12" s="39">
        <v>0.15</v>
      </c>
      <c r="G12" s="40">
        <f>PRODUCT(C12:F12)</f>
        <v>2.3184852179213653</v>
      </c>
      <c r="H12" s="41"/>
      <c r="I12" s="41"/>
      <c r="J12" s="41"/>
      <c r="K12" s="21"/>
      <c r="M12" s="25"/>
      <c r="N12" s="1"/>
      <c r="O12" s="1"/>
      <c r="P12" s="1"/>
      <c r="Q12" s="1"/>
      <c r="R12" s="25"/>
      <c r="S12" s="25"/>
    </row>
    <row r="13" spans="1:19" ht="15" customHeight="1" x14ac:dyDescent="0.3">
      <c r="A13" s="18"/>
      <c r="B13" s="38" t="s">
        <v>42</v>
      </c>
      <c r="C13" s="19"/>
      <c r="D13" s="20"/>
      <c r="E13" s="21"/>
      <c r="F13" s="21"/>
      <c r="G13" s="23">
        <f>SUM(G10:G12)</f>
        <v>39.730077095397739</v>
      </c>
      <c r="H13" s="22" t="s">
        <v>41</v>
      </c>
      <c r="I13" s="23">
        <v>64.63</v>
      </c>
      <c r="J13" s="42">
        <f>G13*I13</f>
        <v>2567.7548826755556</v>
      </c>
      <c r="K13" s="21"/>
      <c r="M13" s="25"/>
      <c r="N13" s="1"/>
      <c r="O13" s="1"/>
      <c r="P13" s="1"/>
      <c r="Q13" s="1"/>
      <c r="R13" s="25"/>
      <c r="S13" s="25"/>
    </row>
    <row r="14" spans="1:19" ht="15" customHeight="1" x14ac:dyDescent="0.3">
      <c r="A14" s="18"/>
      <c r="B14" s="38" t="s">
        <v>40</v>
      </c>
      <c r="C14" s="19"/>
      <c r="D14" s="20"/>
      <c r="E14" s="21"/>
      <c r="F14" s="21"/>
      <c r="G14" s="23"/>
      <c r="H14" s="22"/>
      <c r="I14" s="23"/>
      <c r="J14" s="42">
        <f>0.13*G13*19284/360</f>
        <v>276.66701353331803</v>
      </c>
      <c r="K14" s="21"/>
      <c r="M14" s="25"/>
      <c r="N14" s="1"/>
      <c r="O14" s="1"/>
      <c r="P14" s="1"/>
      <c r="Q14" s="1"/>
      <c r="R14" s="25"/>
      <c r="S14" s="25"/>
    </row>
    <row r="15" spans="1:19" ht="15" customHeight="1" x14ac:dyDescent="0.3">
      <c r="A15" s="18"/>
      <c r="B15" s="38"/>
      <c r="C15" s="19"/>
      <c r="D15" s="20"/>
      <c r="E15" s="21"/>
      <c r="F15" s="21"/>
      <c r="G15" s="23"/>
      <c r="H15" s="22"/>
      <c r="I15" s="23"/>
      <c r="J15" s="42"/>
      <c r="K15" s="21"/>
      <c r="M15" s="25"/>
      <c r="N15" s="1"/>
      <c r="O15" s="1"/>
      <c r="P15" s="1"/>
      <c r="Q15" s="1"/>
      <c r="R15" s="25"/>
      <c r="S15" s="25"/>
    </row>
    <row r="16" spans="1:19" ht="96.6" x14ac:dyDescent="0.3">
      <c r="A16" s="18">
        <v>2</v>
      </c>
      <c r="B16" s="30" t="s">
        <v>53</v>
      </c>
      <c r="C16" s="19"/>
      <c r="D16" s="20"/>
      <c r="E16" s="21"/>
      <c r="F16" s="21"/>
      <c r="G16" s="23"/>
      <c r="H16" s="22"/>
      <c r="I16" s="23"/>
      <c r="J16" s="42"/>
      <c r="K16" s="21"/>
      <c r="M16" s="25"/>
      <c r="N16" s="1"/>
      <c r="O16" s="1"/>
      <c r="P16" s="1"/>
      <c r="Q16" s="1"/>
      <c r="R16" s="25"/>
      <c r="S16" s="25"/>
    </row>
    <row r="17" spans="1:19" ht="15" customHeight="1" x14ac:dyDescent="0.3">
      <c r="A17" s="18"/>
      <c r="B17" s="38" t="s">
        <v>43</v>
      </c>
      <c r="C17" s="37">
        <v>0.5</v>
      </c>
      <c r="D17" s="39">
        <f>D21</f>
        <v>16.991770801584881</v>
      </c>
      <c r="E17" s="39">
        <v>0.6</v>
      </c>
      <c r="F17" s="39">
        <v>1</v>
      </c>
      <c r="G17" s="40">
        <f>PRODUCT(C17:F17)</f>
        <v>5.0975312404754645</v>
      </c>
      <c r="H17" s="41"/>
      <c r="I17" s="41"/>
      <c r="J17" s="41"/>
      <c r="K17" s="21"/>
      <c r="M17" s="25"/>
      <c r="N17" s="1"/>
      <c r="O17" s="1"/>
      <c r="P17" s="1"/>
      <c r="Q17" s="1"/>
      <c r="R17" s="25"/>
      <c r="S17" s="25"/>
    </row>
    <row r="18" spans="1:19" ht="15" customHeight="1" x14ac:dyDescent="0.3">
      <c r="A18" s="18"/>
      <c r="B18" s="38" t="s">
        <v>42</v>
      </c>
      <c r="C18" s="19"/>
      <c r="D18" s="20"/>
      <c r="E18" s="21"/>
      <c r="F18" s="21"/>
      <c r="G18" s="23">
        <f>SUM(G17:G17)</f>
        <v>5.0975312404754645</v>
      </c>
      <c r="H18" s="22" t="s">
        <v>41</v>
      </c>
      <c r="I18" s="23">
        <v>404.28</v>
      </c>
      <c r="J18" s="42">
        <f>G18*I18</f>
        <v>2060.8299298994207</v>
      </c>
      <c r="K18" s="21"/>
      <c r="M18" s="25"/>
      <c r="N18" s="1"/>
      <c r="O18" s="1"/>
      <c r="P18" s="1"/>
      <c r="Q18" s="1"/>
      <c r="R18" s="25"/>
      <c r="S18" s="25"/>
    </row>
    <row r="19" spans="1:19" ht="15" customHeight="1" x14ac:dyDescent="0.3">
      <c r="A19" s="18"/>
      <c r="B19" s="38"/>
      <c r="C19" s="19"/>
      <c r="D19" s="20"/>
      <c r="E19" s="21"/>
      <c r="F19" s="21"/>
      <c r="G19" s="23"/>
      <c r="H19" s="22"/>
      <c r="I19" s="23"/>
      <c r="J19" s="42"/>
      <c r="K19" s="21"/>
      <c r="M19" s="25"/>
      <c r="N19" s="1"/>
      <c r="O19" s="1"/>
      <c r="P19" s="1"/>
      <c r="Q19" s="1"/>
      <c r="R19" s="25"/>
      <c r="S19" s="25"/>
    </row>
    <row r="20" spans="1:19" ht="82.8" x14ac:dyDescent="0.3">
      <c r="A20" s="18">
        <v>3</v>
      </c>
      <c r="B20" s="30" t="s">
        <v>45</v>
      </c>
      <c r="C20" s="19"/>
      <c r="D20" s="20"/>
      <c r="E20" s="21"/>
      <c r="F20" s="21"/>
      <c r="G20" s="23"/>
      <c r="H20" s="22"/>
      <c r="I20" s="23"/>
      <c r="J20" s="42"/>
      <c r="K20" s="21"/>
      <c r="M20" s="25"/>
      <c r="N20" s="1"/>
      <c r="O20" s="1"/>
      <c r="P20" s="1"/>
      <c r="Q20" s="1"/>
      <c r="R20" s="25"/>
      <c r="S20" s="25"/>
    </row>
    <row r="21" spans="1:19" ht="15" customHeight="1" x14ac:dyDescent="0.3">
      <c r="A21" s="18"/>
      <c r="B21" s="38" t="str">
        <f>B17</f>
        <v>-Road</v>
      </c>
      <c r="C21" s="37">
        <f>C10</f>
        <v>0.5</v>
      </c>
      <c r="D21" s="39">
        <f>D27</f>
        <v>16.991770801584881</v>
      </c>
      <c r="E21" s="39">
        <f>E27</f>
        <v>1.25</v>
      </c>
      <c r="F21" s="39">
        <v>0.15</v>
      </c>
      <c r="G21" s="40">
        <f>PRODUCT(C21:F21)</f>
        <v>1.5929785126485825</v>
      </c>
      <c r="H21" s="41"/>
      <c r="I21" s="41"/>
      <c r="J21" s="41"/>
      <c r="K21" s="21"/>
      <c r="M21" s="25"/>
      <c r="N21" s="1"/>
      <c r="O21" s="1"/>
      <c r="P21" s="1"/>
      <c r="Q21" s="1"/>
      <c r="R21" s="25"/>
      <c r="S21" s="25"/>
    </row>
    <row r="22" spans="1:19" ht="15" customHeight="1" x14ac:dyDescent="0.3">
      <c r="A22" s="18"/>
      <c r="B22" s="38" t="str">
        <f>B12</f>
        <v>-for steps</v>
      </c>
      <c r="C22" s="37">
        <v>1</v>
      </c>
      <c r="D22" s="39">
        <f>D12</f>
        <v>11.889667784212129</v>
      </c>
      <c r="E22" s="39">
        <f>E12</f>
        <v>1.3</v>
      </c>
      <c r="F22" s="39">
        <v>0.15</v>
      </c>
      <c r="G22" s="40">
        <f>PRODUCT(C22:F22)</f>
        <v>2.3184852179213653</v>
      </c>
      <c r="H22" s="41"/>
      <c r="I22" s="41"/>
      <c r="J22" s="41"/>
      <c r="K22" s="21"/>
      <c r="M22" s="25"/>
      <c r="N22" s="1"/>
      <c r="O22" s="1"/>
      <c r="P22" s="1"/>
      <c r="Q22" s="1"/>
      <c r="R22" s="25"/>
      <c r="S22" s="25"/>
    </row>
    <row r="23" spans="1:19" ht="15" customHeight="1" x14ac:dyDescent="0.3">
      <c r="A23" s="41"/>
      <c r="B23" s="38" t="s">
        <v>42</v>
      </c>
      <c r="C23" s="43"/>
      <c r="D23" s="44"/>
      <c r="E23" s="44"/>
      <c r="F23" s="44"/>
      <c r="G23" s="34">
        <f>SUM(G21:G22)</f>
        <v>3.911463730569948</v>
      </c>
      <c r="H23" s="34" t="s">
        <v>41</v>
      </c>
      <c r="I23" s="34">
        <v>4561.53</v>
      </c>
      <c r="J23" s="45">
        <f>G23*I23</f>
        <v>17842.259150906735</v>
      </c>
      <c r="K23" s="37"/>
    </row>
    <row r="24" spans="1:19" x14ac:dyDescent="0.3">
      <c r="A24" s="41"/>
      <c r="B24" s="38" t="s">
        <v>40</v>
      </c>
      <c r="C24" s="43"/>
      <c r="D24" s="44"/>
      <c r="E24" s="44"/>
      <c r="F24" s="44"/>
      <c r="G24" s="44"/>
      <c r="H24" s="44"/>
      <c r="I24" s="44"/>
      <c r="J24" s="46">
        <f>0.13*G23*(15452.6/5)</f>
        <v>1571.4993955181346</v>
      </c>
      <c r="K24" s="37"/>
    </row>
    <row r="25" spans="1:19" x14ac:dyDescent="0.3">
      <c r="A25" s="41"/>
      <c r="B25" s="38"/>
      <c r="C25" s="43"/>
      <c r="D25" s="44"/>
      <c r="E25" s="44"/>
      <c r="F25" s="44"/>
      <c r="G25" s="44"/>
      <c r="H25" s="44"/>
      <c r="I25" s="44"/>
      <c r="J25" s="46"/>
      <c r="K25" s="37"/>
    </row>
    <row r="26" spans="1:19" ht="69" x14ac:dyDescent="0.3">
      <c r="A26" s="18">
        <v>4</v>
      </c>
      <c r="B26" s="30" t="s">
        <v>44</v>
      </c>
      <c r="C26" s="19"/>
      <c r="D26" s="20"/>
      <c r="E26" s="21"/>
      <c r="F26" s="21"/>
      <c r="G26" s="23"/>
      <c r="H26" s="22"/>
      <c r="I26" s="23"/>
      <c r="J26" s="42"/>
      <c r="K26" s="21"/>
      <c r="M26" s="25"/>
      <c r="N26" s="1"/>
      <c r="O26" s="1"/>
      <c r="P26" s="1"/>
      <c r="Q26" s="1"/>
      <c r="R26" s="25"/>
      <c r="S26" s="25"/>
    </row>
    <row r="27" spans="1:19" ht="15" customHeight="1" x14ac:dyDescent="0.3">
      <c r="A27" s="18"/>
      <c r="B27" s="38" t="str">
        <f>B10</f>
        <v>-For wall</v>
      </c>
      <c r="C27" s="37">
        <f>C10</f>
        <v>0.5</v>
      </c>
      <c r="D27" s="39">
        <f>D35</f>
        <v>16.991770801584881</v>
      </c>
      <c r="E27" s="39">
        <f>F35/2</f>
        <v>1.25</v>
      </c>
      <c r="F27" s="39">
        <v>7.4999999999999997E-2</v>
      </c>
      <c r="G27" s="40">
        <f>PRODUCT(C27:F27)</f>
        <v>0.79648925632429124</v>
      </c>
      <c r="H27" s="41"/>
      <c r="I27" s="41"/>
      <c r="J27" s="41"/>
      <c r="K27" s="21"/>
      <c r="M27" s="25"/>
      <c r="N27" s="1"/>
      <c r="O27" s="1"/>
      <c r="P27" s="1"/>
      <c r="Q27" s="1"/>
      <c r="R27" s="25"/>
      <c r="S27" s="25"/>
    </row>
    <row r="28" spans="1:19" ht="15" customHeight="1" x14ac:dyDescent="0.3">
      <c r="A28" s="18"/>
      <c r="B28" s="38"/>
      <c r="C28" s="37">
        <v>1</v>
      </c>
      <c r="D28" s="39">
        <f>D27</f>
        <v>16.991770801584881</v>
      </c>
      <c r="E28" s="39">
        <v>0.5</v>
      </c>
      <c r="F28" s="39">
        <v>0.05</v>
      </c>
      <c r="G28" s="40">
        <f>PRODUCT(C28:F28)</f>
        <v>0.42479427003962206</v>
      </c>
      <c r="H28" s="41"/>
      <c r="I28" s="41"/>
      <c r="J28" s="41"/>
      <c r="K28" s="21"/>
      <c r="M28" s="25"/>
      <c r="N28" s="1"/>
      <c r="O28" s="1"/>
      <c r="P28" s="1"/>
      <c r="Q28" s="1"/>
      <c r="R28" s="25"/>
      <c r="S28" s="25"/>
    </row>
    <row r="29" spans="1:19" ht="15" customHeight="1" x14ac:dyDescent="0.3">
      <c r="A29" s="18"/>
      <c r="B29" s="38" t="str">
        <f>B22</f>
        <v>-for steps</v>
      </c>
      <c r="C29" s="37">
        <f>C22</f>
        <v>1</v>
      </c>
      <c r="D29" s="39">
        <f>D22</f>
        <v>11.889667784212129</v>
      </c>
      <c r="E29" s="39">
        <f>E22</f>
        <v>1.3</v>
      </c>
      <c r="F29" s="39">
        <v>0.05</v>
      </c>
      <c r="G29" s="40">
        <f>PRODUCT(C29:F29)</f>
        <v>0.77282840597378843</v>
      </c>
      <c r="H29" s="41"/>
      <c r="I29" s="41"/>
      <c r="J29" s="41"/>
      <c r="K29" s="21"/>
      <c r="M29" s="25"/>
      <c r="N29" s="1"/>
      <c r="O29" s="1"/>
      <c r="P29" s="1"/>
      <c r="Q29" s="1"/>
      <c r="R29" s="25"/>
      <c r="S29" s="25"/>
    </row>
    <row r="30" spans="1:19" ht="15" customHeight="1" x14ac:dyDescent="0.3">
      <c r="A30" s="18"/>
      <c r="B30" s="38" t="s">
        <v>65</v>
      </c>
      <c r="C30" s="37">
        <v>1</v>
      </c>
      <c r="D30" s="39">
        <f>D42</f>
        <v>3.8860103626943006</v>
      </c>
      <c r="E30" s="39">
        <v>0.23</v>
      </c>
      <c r="F30" s="39">
        <v>0.05</v>
      </c>
      <c r="G30" s="40">
        <f>PRODUCT(C30:F30)</f>
        <v>4.4689119170984462E-2</v>
      </c>
      <c r="H30" s="41"/>
      <c r="I30" s="41"/>
      <c r="J30" s="41"/>
      <c r="K30" s="21"/>
      <c r="M30" s="25"/>
      <c r="N30" s="1"/>
      <c r="O30" s="1"/>
      <c r="P30" s="1"/>
      <c r="Q30" s="1"/>
      <c r="R30" s="25"/>
      <c r="S30" s="25"/>
    </row>
    <row r="31" spans="1:19" ht="15" customHeight="1" x14ac:dyDescent="0.3">
      <c r="A31" s="41"/>
      <c r="B31" s="38" t="s">
        <v>42</v>
      </c>
      <c r="C31" s="43"/>
      <c r="D31" s="44"/>
      <c r="E31" s="44"/>
      <c r="F31" s="44"/>
      <c r="G31" s="34">
        <f>SUM(G27:G30)</f>
        <v>2.0388010515086861</v>
      </c>
      <c r="H31" s="34" t="s">
        <v>41</v>
      </c>
      <c r="I31" s="34">
        <v>10634.5</v>
      </c>
      <c r="J31" s="45">
        <f>G31*I31</f>
        <v>21681.629782269123</v>
      </c>
      <c r="K31" s="37"/>
    </row>
    <row r="32" spans="1:19" ht="15" customHeight="1" x14ac:dyDescent="0.3">
      <c r="A32" s="41"/>
      <c r="B32" s="38" t="s">
        <v>40</v>
      </c>
      <c r="C32" s="43"/>
      <c r="D32" s="44"/>
      <c r="E32" s="44"/>
      <c r="F32" s="44"/>
      <c r="G32" s="44"/>
      <c r="H32" s="44"/>
      <c r="I32" s="44"/>
      <c r="J32" s="46">
        <f>0.13*G31*((114907.3+6135.3)/15)</f>
        <v>2138.7754280303261</v>
      </c>
      <c r="K32" s="37"/>
    </row>
    <row r="33" spans="1:19" ht="15" customHeight="1" x14ac:dyDescent="0.3">
      <c r="A33" s="41"/>
      <c r="B33" s="38"/>
      <c r="C33" s="43"/>
      <c r="D33" s="44"/>
      <c r="E33" s="44"/>
      <c r="F33" s="44"/>
      <c r="G33" s="44"/>
      <c r="H33" s="44"/>
      <c r="I33" s="44"/>
      <c r="J33" s="46"/>
      <c r="K33" s="37"/>
    </row>
    <row r="34" spans="1:19" s="1" customFormat="1" ht="82.8" x14ac:dyDescent="0.3">
      <c r="A34" s="64">
        <v>5</v>
      </c>
      <c r="B34" s="30" t="s">
        <v>55</v>
      </c>
      <c r="C34" s="65"/>
      <c r="D34" s="40"/>
      <c r="E34" s="40"/>
      <c r="F34" s="40"/>
      <c r="G34" s="40"/>
      <c r="H34" s="40"/>
      <c r="I34" s="40"/>
      <c r="J34" s="46"/>
      <c r="K34" s="29"/>
    </row>
    <row r="35" spans="1:19" ht="15" customHeight="1" x14ac:dyDescent="0.3">
      <c r="A35" s="18"/>
      <c r="B35" s="38" t="s">
        <v>52</v>
      </c>
      <c r="C35" s="37">
        <v>1</v>
      </c>
      <c r="D35" s="39">
        <f>55.75/3.281</f>
        <v>16.991770801584881</v>
      </c>
      <c r="E35" s="39">
        <f>((F35/2+0.5)/2)</f>
        <v>0.875</v>
      </c>
      <c r="F35" s="39">
        <v>2.5</v>
      </c>
      <c r="G35" s="40">
        <f>PRODUCT(C35:F35)</f>
        <v>37.169498628466926</v>
      </c>
      <c r="H35" s="41"/>
      <c r="I35" s="41"/>
      <c r="J35" s="41"/>
      <c r="K35" s="21"/>
      <c r="M35" s="25"/>
      <c r="N35" s="1"/>
      <c r="O35" s="1"/>
      <c r="P35" s="1"/>
      <c r="Q35" s="1"/>
      <c r="R35" s="25"/>
      <c r="S35" s="25"/>
    </row>
    <row r="36" spans="1:19" ht="15" customHeight="1" x14ac:dyDescent="0.3">
      <c r="A36" s="41"/>
      <c r="B36" s="38" t="s">
        <v>42</v>
      </c>
      <c r="C36" s="43"/>
      <c r="D36" s="44"/>
      <c r="E36" s="44"/>
      <c r="F36" s="44"/>
      <c r="G36" s="34">
        <f>SUM(G35:G35)</f>
        <v>37.169498628466926</v>
      </c>
      <c r="H36" s="34" t="s">
        <v>41</v>
      </c>
      <c r="I36" s="34">
        <v>9709.43</v>
      </c>
      <c r="J36" s="45">
        <f>G36*I36</f>
        <v>360894.64506819565</v>
      </c>
      <c r="K36" s="37"/>
    </row>
    <row r="37" spans="1:19" ht="15" customHeight="1" x14ac:dyDescent="0.3">
      <c r="A37" s="41"/>
      <c r="B37" s="38" t="s">
        <v>40</v>
      </c>
      <c r="C37" s="43"/>
      <c r="D37" s="44"/>
      <c r="E37" s="44"/>
      <c r="F37" s="44"/>
      <c r="G37" s="44"/>
      <c r="H37" s="44"/>
      <c r="I37" s="44"/>
      <c r="J37" s="46">
        <f>0.13*G36*((27092.1)/5)</f>
        <v>26181.994118599509</v>
      </c>
      <c r="K37" s="37"/>
    </row>
    <row r="38" spans="1:19" ht="15" customHeight="1" x14ac:dyDescent="0.3">
      <c r="A38" s="41"/>
      <c r="B38" s="38"/>
      <c r="C38" s="43"/>
      <c r="D38" s="44"/>
      <c r="E38" s="44"/>
      <c r="F38" s="44"/>
      <c r="G38" s="44"/>
      <c r="H38" s="44"/>
      <c r="I38" s="44"/>
      <c r="J38" s="46"/>
      <c r="K38" s="37"/>
    </row>
    <row r="39" spans="1:19" ht="30.6" x14ac:dyDescent="0.3">
      <c r="A39" s="41">
        <v>6</v>
      </c>
      <c r="B39" s="66" t="s">
        <v>58</v>
      </c>
      <c r="C39" s="43"/>
      <c r="D39" s="44"/>
      <c r="E39" s="44"/>
      <c r="F39" s="44"/>
      <c r="G39" s="44"/>
      <c r="H39" s="44"/>
      <c r="I39" s="44"/>
      <c r="J39" s="46"/>
      <c r="K39" s="37"/>
    </row>
    <row r="40" spans="1:19" ht="15" customHeight="1" x14ac:dyDescent="0.3">
      <c r="A40" s="18"/>
      <c r="B40" s="38" t="s">
        <v>52</v>
      </c>
      <c r="C40" s="37">
        <v>1</v>
      </c>
      <c r="D40" s="39">
        <f>(11.17+11.17+12.333+4.42)/3.281</f>
        <v>11.914964949710455</v>
      </c>
      <c r="E40" s="39">
        <v>0.23</v>
      </c>
      <c r="F40" s="39">
        <v>0.45</v>
      </c>
      <c r="G40" s="40">
        <f>PRODUCT(C40:F40)</f>
        <v>1.2331988722950322</v>
      </c>
      <c r="H40" s="41"/>
      <c r="I40" s="41"/>
      <c r="J40" s="41"/>
      <c r="K40" s="21"/>
      <c r="M40" s="25"/>
      <c r="N40" s="1"/>
      <c r="O40" s="1"/>
      <c r="P40" s="1"/>
      <c r="Q40" s="1"/>
      <c r="R40" s="25"/>
      <c r="S40" s="25"/>
    </row>
    <row r="41" spans="1:19" ht="15" customHeight="1" x14ac:dyDescent="0.3">
      <c r="A41" s="18"/>
      <c r="B41" s="38" t="s">
        <v>57</v>
      </c>
      <c r="C41" s="37">
        <f>31</f>
        <v>31</v>
      </c>
      <c r="D41" s="39">
        <f>1.3-0.23</f>
        <v>1.07</v>
      </c>
      <c r="E41" s="39">
        <v>0.15</v>
      </c>
      <c r="F41" s="39">
        <v>0.15</v>
      </c>
      <c r="G41" s="40">
        <f>PRODUCT(C41:F41)</f>
        <v>0.74632500000000002</v>
      </c>
      <c r="H41" s="41"/>
      <c r="I41" s="41"/>
      <c r="J41" s="41"/>
      <c r="K41" s="21"/>
      <c r="M41" s="25"/>
      <c r="N41" s="1"/>
      <c r="O41" s="1"/>
      <c r="P41" s="1"/>
      <c r="Q41" s="1"/>
      <c r="R41" s="25"/>
      <c r="S41" s="25"/>
    </row>
    <row r="42" spans="1:19" ht="15" customHeight="1" x14ac:dyDescent="0.3">
      <c r="A42" s="18"/>
      <c r="B42" s="38" t="s">
        <v>64</v>
      </c>
      <c r="C42" s="37">
        <v>1</v>
      </c>
      <c r="D42" s="39">
        <f>12.75/3.281</f>
        <v>3.8860103626943006</v>
      </c>
      <c r="E42" s="39">
        <v>0.23</v>
      </c>
      <c r="F42" s="39">
        <v>0.6</v>
      </c>
      <c r="G42" s="40">
        <f>PRODUCT(C42:F42)</f>
        <v>0.53626943005181349</v>
      </c>
      <c r="H42" s="41"/>
      <c r="I42" s="41"/>
      <c r="J42" s="41"/>
      <c r="K42" s="21"/>
      <c r="M42" s="25"/>
      <c r="N42" s="1"/>
      <c r="O42" s="1"/>
      <c r="P42" s="1"/>
      <c r="Q42" s="1"/>
      <c r="R42" s="25"/>
      <c r="S42" s="25"/>
    </row>
    <row r="43" spans="1:19" ht="15" customHeight="1" x14ac:dyDescent="0.3">
      <c r="A43" s="41"/>
      <c r="B43" s="38" t="s">
        <v>42</v>
      </c>
      <c r="C43" s="43"/>
      <c r="D43" s="44"/>
      <c r="E43" s="44"/>
      <c r="F43" s="44"/>
      <c r="G43" s="34">
        <f>SUM(G40:G42)</f>
        <v>2.5157933023468457</v>
      </c>
      <c r="H43" s="34" t="s">
        <v>41</v>
      </c>
      <c r="I43" s="34">
        <v>14362.76</v>
      </c>
      <c r="J43" s="45">
        <f>G43*I43</f>
        <v>36133.735411215181</v>
      </c>
      <c r="K43" s="37"/>
    </row>
    <row r="44" spans="1:19" ht="15" customHeight="1" x14ac:dyDescent="0.3">
      <c r="A44" s="41"/>
      <c r="B44" s="38" t="s">
        <v>40</v>
      </c>
      <c r="C44" s="43"/>
      <c r="D44" s="44"/>
      <c r="E44" s="44"/>
      <c r="F44" s="44"/>
      <c r="G44" s="44"/>
      <c r="H44" s="44"/>
      <c r="I44" s="44"/>
      <c r="J44" s="46">
        <f>0.13*G43*10311.74</f>
        <v>3372.4868355804683</v>
      </c>
      <c r="K44" s="37"/>
    </row>
    <row r="45" spans="1:19" ht="15" customHeight="1" x14ac:dyDescent="0.3">
      <c r="A45" s="41"/>
      <c r="B45" s="38"/>
      <c r="C45" s="43"/>
      <c r="D45" s="44"/>
      <c r="E45" s="44"/>
      <c r="F45" s="44"/>
      <c r="G45" s="44"/>
      <c r="H45" s="44"/>
      <c r="I45" s="44"/>
      <c r="J45" s="46"/>
      <c r="K45" s="37"/>
    </row>
    <row r="46" spans="1:19" ht="15.6" x14ac:dyDescent="0.3">
      <c r="A46" s="41">
        <v>7</v>
      </c>
      <c r="B46" s="66" t="s">
        <v>60</v>
      </c>
      <c r="C46" s="43"/>
      <c r="D46" s="44"/>
      <c r="E46" s="44"/>
      <c r="F46" s="44"/>
      <c r="G46" s="44"/>
      <c r="H46" s="44"/>
      <c r="I46" s="44"/>
      <c r="J46" s="46"/>
      <c r="K46" s="37"/>
    </row>
    <row r="47" spans="1:19" ht="15" customHeight="1" x14ac:dyDescent="0.3">
      <c r="A47" s="18"/>
      <c r="B47" s="38" t="s">
        <v>62</v>
      </c>
      <c r="C47" s="37">
        <v>1</v>
      </c>
      <c r="D47" s="39">
        <f>21.9+3.04</f>
        <v>24.939999999999998</v>
      </c>
      <c r="E47" s="39">
        <v>0.3</v>
      </c>
      <c r="F47" s="39"/>
      <c r="G47" s="40">
        <f>PRODUCT(C47:F47)</f>
        <v>7.4819999999999993</v>
      </c>
      <c r="H47" s="41"/>
      <c r="I47" s="41"/>
      <c r="J47" s="41"/>
      <c r="K47" s="21"/>
      <c r="M47" s="25"/>
      <c r="N47" s="1"/>
      <c r="O47" s="1"/>
      <c r="P47" s="1"/>
      <c r="Q47" s="1"/>
      <c r="R47" s="25"/>
      <c r="S47" s="25"/>
    </row>
    <row r="48" spans="1:19" ht="15" customHeight="1" x14ac:dyDescent="0.3">
      <c r="A48" s="18"/>
      <c r="B48" s="38"/>
      <c r="C48" s="37">
        <v>1</v>
      </c>
      <c r="D48" s="39">
        <f>13.917/3.281</f>
        <v>4.2416946053032607</v>
      </c>
      <c r="E48" s="39">
        <f>51.083/3.281</f>
        <v>15.569338616275525</v>
      </c>
      <c r="F48" s="39"/>
      <c r="G48" s="40">
        <f>PRODUCT(C48:F48)</f>
        <v>66.040379616795633</v>
      </c>
      <c r="H48" s="41"/>
      <c r="I48" s="41"/>
      <c r="J48" s="41"/>
      <c r="K48" s="21"/>
      <c r="M48" s="25"/>
      <c r="N48" s="1"/>
      <c r="O48" s="1"/>
      <c r="P48" s="1"/>
      <c r="Q48" s="1"/>
      <c r="R48" s="25"/>
      <c r="S48" s="25"/>
    </row>
    <row r="49" spans="1:19" ht="15" customHeight="1" x14ac:dyDescent="0.3">
      <c r="A49" s="18"/>
      <c r="B49" s="38"/>
      <c r="C49" s="37">
        <v>1</v>
      </c>
      <c r="D49" s="39">
        <f>22.17/3.281</f>
        <v>6.7570862541907957</v>
      </c>
      <c r="E49" s="39">
        <f>12.5/3.281</f>
        <v>3.8098140810728434</v>
      </c>
      <c r="F49" s="39"/>
      <c r="G49" s="40">
        <f>PRODUCT(C49:F49)</f>
        <v>25.743242358239847</v>
      </c>
      <c r="H49" s="41"/>
      <c r="I49" s="41"/>
      <c r="J49" s="41"/>
      <c r="K49" s="21"/>
      <c r="M49" s="25"/>
      <c r="N49" s="1"/>
      <c r="O49" s="1"/>
      <c r="P49" s="1"/>
      <c r="Q49" s="1"/>
      <c r="R49" s="25"/>
      <c r="S49" s="25"/>
    </row>
    <row r="50" spans="1:19" ht="15" customHeight="1" x14ac:dyDescent="0.3">
      <c r="A50" s="41"/>
      <c r="B50" s="38" t="s">
        <v>42</v>
      </c>
      <c r="C50" s="43"/>
      <c r="D50" s="44"/>
      <c r="E50" s="44"/>
      <c r="F50" s="44"/>
      <c r="G50" s="34">
        <f>SUM(G47:G49)</f>
        <v>99.265621975035486</v>
      </c>
      <c r="H50" s="34" t="s">
        <v>61</v>
      </c>
      <c r="I50" s="34">
        <f>35*10.7639</f>
        <v>376.73649999999998</v>
      </c>
      <c r="J50" s="45">
        <f>G50*I50</f>
        <v>37396.982993197955</v>
      </c>
      <c r="K50" s="37"/>
    </row>
    <row r="51" spans="1:19" ht="15" customHeight="1" x14ac:dyDescent="0.3">
      <c r="A51" s="41"/>
      <c r="B51" s="38" t="s">
        <v>40</v>
      </c>
      <c r="C51" s="43"/>
      <c r="D51" s="44"/>
      <c r="E51" s="44"/>
      <c r="F51" s="44"/>
      <c r="G51" s="44"/>
      <c r="H51" s="44"/>
      <c r="I51" s="44"/>
      <c r="J51" s="46">
        <f>0.13*J50</f>
        <v>4861.6077891157347</v>
      </c>
      <c r="K51" s="37"/>
    </row>
    <row r="52" spans="1:19" ht="15" customHeight="1" x14ac:dyDescent="0.3">
      <c r="A52" s="41"/>
      <c r="B52" s="38"/>
      <c r="C52" s="43"/>
      <c r="D52" s="44"/>
      <c r="E52" s="44"/>
      <c r="F52" s="44"/>
      <c r="G52" s="44"/>
      <c r="H52" s="44"/>
      <c r="I52" s="44"/>
      <c r="J52" s="46"/>
      <c r="K52" s="37"/>
    </row>
    <row r="53" spans="1:19" ht="15.6" x14ac:dyDescent="0.3">
      <c r="A53" s="41">
        <v>8</v>
      </c>
      <c r="B53" s="66" t="s">
        <v>63</v>
      </c>
      <c r="C53" s="43"/>
      <c r="D53" s="44"/>
      <c r="E53" s="44"/>
      <c r="F53" s="44"/>
      <c r="G53" s="44"/>
      <c r="H53" s="44"/>
      <c r="I53" s="44"/>
      <c r="J53" s="46"/>
      <c r="K53" s="37"/>
    </row>
    <row r="54" spans="1:19" ht="15" customHeight="1" x14ac:dyDescent="0.3">
      <c r="A54" s="18"/>
      <c r="B54" s="38" t="s">
        <v>62</v>
      </c>
      <c r="C54" s="37">
        <v>1</v>
      </c>
      <c r="D54" s="39">
        <f>21.9+3.04</f>
        <v>24.939999999999998</v>
      </c>
      <c r="E54" s="39">
        <v>0.3</v>
      </c>
      <c r="F54" s="39"/>
      <c r="G54" s="40">
        <f>PRODUCT(C54:F54)</f>
        <v>7.4819999999999993</v>
      </c>
      <c r="H54" s="41"/>
      <c r="I54" s="41"/>
      <c r="J54" s="41"/>
      <c r="K54" s="21"/>
      <c r="M54" s="25"/>
      <c r="N54" s="1"/>
      <c r="O54" s="1"/>
      <c r="P54" s="1"/>
      <c r="Q54" s="1"/>
      <c r="R54" s="25"/>
      <c r="S54" s="25"/>
    </row>
    <row r="55" spans="1:19" ht="15" customHeight="1" x14ac:dyDescent="0.3">
      <c r="A55" s="18"/>
      <c r="B55" s="38"/>
      <c r="C55" s="37">
        <v>1</v>
      </c>
      <c r="D55" s="39">
        <f>13.917/3.281</f>
        <v>4.2416946053032607</v>
      </c>
      <c r="E55" s="39">
        <f>51.083/3.281</f>
        <v>15.569338616275525</v>
      </c>
      <c r="F55" s="39"/>
      <c r="G55" s="40">
        <f>PRODUCT(C55:F55)</f>
        <v>66.040379616795633</v>
      </c>
      <c r="H55" s="41"/>
      <c r="I55" s="41"/>
      <c r="J55" s="41"/>
      <c r="K55" s="21"/>
      <c r="M55" s="25"/>
      <c r="N55" s="1"/>
      <c r="O55" s="1"/>
      <c r="P55" s="1"/>
      <c r="Q55" s="1"/>
      <c r="R55" s="25"/>
      <c r="S55" s="25"/>
    </row>
    <row r="56" spans="1:19" ht="15" customHeight="1" x14ac:dyDescent="0.3">
      <c r="A56" s="18"/>
      <c r="B56" s="38"/>
      <c r="C56" s="37">
        <v>1</v>
      </c>
      <c r="D56" s="39">
        <f>22.17/3.281</f>
        <v>6.7570862541907957</v>
      </c>
      <c r="E56" s="39">
        <f>12.5/3.281</f>
        <v>3.8098140810728434</v>
      </c>
      <c r="F56" s="39"/>
      <c r="G56" s="40">
        <f>PRODUCT(C56:F56)</f>
        <v>25.743242358239847</v>
      </c>
      <c r="H56" s="41"/>
      <c r="I56" s="41"/>
      <c r="J56" s="41"/>
      <c r="K56" s="21"/>
      <c r="M56" s="25"/>
      <c r="N56" s="1"/>
      <c r="O56" s="1"/>
      <c r="P56" s="1"/>
      <c r="Q56" s="1"/>
      <c r="R56" s="25"/>
      <c r="S56" s="25"/>
    </row>
    <row r="57" spans="1:19" ht="15" customHeight="1" x14ac:dyDescent="0.3">
      <c r="A57" s="41"/>
      <c r="B57" s="38" t="s">
        <v>42</v>
      </c>
      <c r="C57" s="43"/>
      <c r="D57" s="44"/>
      <c r="E57" s="44"/>
      <c r="F57" s="44"/>
      <c r="G57" s="34">
        <f>SUM(G54:G56)</f>
        <v>99.265621975035486</v>
      </c>
      <c r="H57" s="34" t="s">
        <v>61</v>
      </c>
      <c r="I57" s="34">
        <f>23*10.7639</f>
        <v>247.56969999999998</v>
      </c>
      <c r="J57" s="45">
        <f>G57*I57</f>
        <v>24575.16025267294</v>
      </c>
      <c r="K57" s="37"/>
    </row>
    <row r="58" spans="1:19" ht="15" customHeight="1" x14ac:dyDescent="0.3">
      <c r="A58" s="41"/>
      <c r="B58" s="38"/>
      <c r="C58" s="43"/>
      <c r="D58" s="44"/>
      <c r="E58" s="44"/>
      <c r="F58" s="44"/>
      <c r="G58" s="34"/>
      <c r="H58" s="34"/>
      <c r="I58" s="34"/>
      <c r="J58" s="45"/>
      <c r="K58" s="37"/>
    </row>
    <row r="59" spans="1:19" ht="28.2" x14ac:dyDescent="0.3">
      <c r="A59" s="41">
        <v>9</v>
      </c>
      <c r="B59" s="67" t="s">
        <v>66</v>
      </c>
      <c r="C59" s="19">
        <v>1</v>
      </c>
      <c r="D59" s="20"/>
      <c r="E59" s="21"/>
      <c r="F59" s="21"/>
      <c r="G59" s="35">
        <f t="shared" ref="G59" si="0">PRODUCT(C59:F59)</f>
        <v>1</v>
      </c>
      <c r="H59" s="22" t="s">
        <v>67</v>
      </c>
      <c r="I59" s="23">
        <v>20000</v>
      </c>
      <c r="J59" s="35">
        <f>G59*I59</f>
        <v>20000</v>
      </c>
      <c r="K59" s="37"/>
    </row>
    <row r="60" spans="1:19" ht="15" customHeight="1" x14ac:dyDescent="0.3">
      <c r="A60" s="41"/>
      <c r="B60" s="38"/>
      <c r="C60" s="43"/>
      <c r="D60" s="44"/>
      <c r="E60" s="44"/>
      <c r="F60" s="44"/>
      <c r="G60" s="34"/>
      <c r="H60" s="34"/>
      <c r="I60" s="34"/>
      <c r="J60" s="45"/>
      <c r="K60" s="37"/>
    </row>
    <row r="61" spans="1:19" ht="15" customHeight="1" x14ac:dyDescent="0.3">
      <c r="A61" s="41"/>
      <c r="B61" s="38"/>
      <c r="C61" s="43"/>
      <c r="D61" s="44"/>
      <c r="E61" s="44"/>
      <c r="F61" s="44"/>
      <c r="G61" s="34"/>
      <c r="H61" s="34"/>
      <c r="I61" s="34"/>
      <c r="J61" s="45"/>
      <c r="K61" s="37"/>
    </row>
    <row r="62" spans="1:19" ht="15" customHeight="1" x14ac:dyDescent="0.3">
      <c r="A62" s="18">
        <v>10</v>
      </c>
      <c r="B62" s="30" t="s">
        <v>30</v>
      </c>
      <c r="C62" s="19">
        <v>1</v>
      </c>
      <c r="D62" s="20"/>
      <c r="E62" s="21"/>
      <c r="F62" s="21"/>
      <c r="G62" s="35">
        <f t="shared" ref="G62" si="1">PRODUCT(C62:F62)</f>
        <v>1</v>
      </c>
      <c r="H62" s="22" t="s">
        <v>31</v>
      </c>
      <c r="I62" s="23">
        <v>500</v>
      </c>
      <c r="J62" s="35">
        <f>G62*I62</f>
        <v>500</v>
      </c>
      <c r="K62" s="21"/>
      <c r="M62" s="25"/>
      <c r="N62" s="1"/>
      <c r="O62" s="1"/>
      <c r="P62" s="1"/>
      <c r="Q62" s="1"/>
      <c r="R62" s="25"/>
      <c r="S62" s="25"/>
    </row>
    <row r="63" spans="1:19" ht="15" customHeight="1" x14ac:dyDescent="0.3">
      <c r="A63" s="18"/>
      <c r="B63" s="24"/>
      <c r="C63" s="19"/>
      <c r="D63" s="20"/>
      <c r="E63" s="21"/>
      <c r="F63" s="21"/>
      <c r="G63" s="23"/>
      <c r="H63" s="22"/>
      <c r="I63" s="23"/>
      <c r="J63" s="42"/>
      <c r="K63" s="21"/>
      <c r="M63" s="25"/>
      <c r="N63" s="1"/>
      <c r="O63" s="1"/>
      <c r="P63" s="1"/>
      <c r="Q63" s="1"/>
      <c r="R63" s="25"/>
      <c r="S63" s="25"/>
    </row>
    <row r="64" spans="1:19" x14ac:dyDescent="0.3">
      <c r="A64" s="41"/>
      <c r="B64" s="47" t="s">
        <v>17</v>
      </c>
      <c r="C64" s="48"/>
      <c r="D64" s="39"/>
      <c r="E64" s="39"/>
      <c r="F64" s="39"/>
      <c r="G64" s="42"/>
      <c r="H64" s="42"/>
      <c r="I64" s="42"/>
      <c r="J64" s="42">
        <f>SUM(J10:J62)</f>
        <v>562056.0280514101</v>
      </c>
      <c r="K64" s="37"/>
    </row>
    <row r="65" spans="1:11" x14ac:dyDescent="0.3">
      <c r="A65" s="59"/>
      <c r="B65" s="62"/>
      <c r="C65" s="63"/>
      <c r="D65" s="60"/>
      <c r="E65" s="60"/>
      <c r="F65" s="60"/>
      <c r="G65" s="61"/>
      <c r="H65" s="61"/>
      <c r="I65" s="61"/>
      <c r="J65" s="61"/>
      <c r="K65" s="58"/>
    </row>
    <row r="66" spans="1:11" s="1" customFormat="1" x14ac:dyDescent="0.3">
      <c r="A66" s="51"/>
      <c r="B66" s="29" t="s">
        <v>27</v>
      </c>
      <c r="C66" s="85">
        <f>J64</f>
        <v>562056.0280514101</v>
      </c>
      <c r="D66" s="85"/>
      <c r="E66" s="40">
        <v>100</v>
      </c>
      <c r="F66" s="52"/>
      <c r="G66" s="53"/>
      <c r="H66" s="52"/>
      <c r="I66" s="54"/>
      <c r="J66" s="55"/>
      <c r="K66" s="56"/>
    </row>
    <row r="67" spans="1:11" x14ac:dyDescent="0.3">
      <c r="A67" s="57"/>
      <c r="B67" s="29" t="s">
        <v>32</v>
      </c>
      <c r="C67" s="88">
        <v>500000</v>
      </c>
      <c r="D67" s="88"/>
      <c r="E67" s="40"/>
      <c r="F67" s="50"/>
      <c r="G67" s="49"/>
      <c r="H67" s="49"/>
      <c r="I67" s="49"/>
      <c r="J67" s="49"/>
      <c r="K67" s="50"/>
    </row>
    <row r="68" spans="1:11" x14ac:dyDescent="0.3">
      <c r="A68" s="57"/>
      <c r="B68" s="29" t="s">
        <v>33</v>
      </c>
      <c r="C68" s="88">
        <f>C67-C70-C71</f>
        <v>475000</v>
      </c>
      <c r="D68" s="88"/>
      <c r="E68" s="40">
        <f>C68/C66*100</f>
        <v>84.511147695857957</v>
      </c>
      <c r="F68" s="50"/>
      <c r="G68" s="49"/>
      <c r="H68" s="49"/>
      <c r="I68" s="49"/>
      <c r="J68" s="49"/>
      <c r="K68" s="50"/>
    </row>
    <row r="69" spans="1:11" x14ac:dyDescent="0.3">
      <c r="A69" s="57"/>
      <c r="B69" s="29" t="s">
        <v>34</v>
      </c>
      <c r="C69" s="85">
        <f>C66-C68</f>
        <v>87056.028051410103</v>
      </c>
      <c r="D69" s="85"/>
      <c r="E69" s="40">
        <f>100-E68</f>
        <v>15.488852304142043</v>
      </c>
      <c r="F69" s="50"/>
      <c r="G69" s="49"/>
      <c r="H69" s="49"/>
      <c r="I69" s="49"/>
      <c r="J69" s="49"/>
      <c r="K69" s="50"/>
    </row>
    <row r="70" spans="1:11" x14ac:dyDescent="0.3">
      <c r="A70" s="57"/>
      <c r="B70" s="29" t="s">
        <v>35</v>
      </c>
      <c r="C70" s="85">
        <f>C67*0.03</f>
        <v>15000</v>
      </c>
      <c r="D70" s="85"/>
      <c r="E70" s="40">
        <v>3</v>
      </c>
      <c r="F70" s="50"/>
      <c r="G70" s="49"/>
      <c r="H70" s="49"/>
      <c r="I70" s="49"/>
      <c r="J70" s="49"/>
      <c r="K70" s="50"/>
    </row>
    <row r="71" spans="1:11" x14ac:dyDescent="0.3">
      <c r="A71" s="57"/>
      <c r="B71" s="29" t="s">
        <v>36</v>
      </c>
      <c r="C71" s="85">
        <f>C67*0.02</f>
        <v>10000</v>
      </c>
      <c r="D71" s="85"/>
      <c r="E71" s="40">
        <v>2</v>
      </c>
      <c r="F71" s="50"/>
      <c r="G71" s="49"/>
      <c r="H71" s="49"/>
      <c r="I71" s="49"/>
      <c r="J71" s="49"/>
      <c r="K71" s="50"/>
    </row>
    <row r="72" spans="1:11" s="36" customFormat="1" x14ac:dyDescent="0.3">
      <c r="A72" s="58"/>
      <c r="B72" s="58"/>
      <c r="C72" s="58"/>
      <c r="D72" s="58"/>
      <c r="E72" s="58"/>
      <c r="F72" s="58"/>
      <c r="G72" s="58"/>
      <c r="H72" s="58"/>
      <c r="I72" s="58"/>
      <c r="J72" s="58"/>
      <c r="K72" s="58"/>
    </row>
    <row r="73" spans="1:11" s="36" customFormat="1" x14ac:dyDescent="0.3"/>
    <row r="74" spans="1:11" s="36" customFormat="1" x14ac:dyDescent="0.3"/>
    <row r="75" spans="1:11" s="36" customFormat="1" x14ac:dyDescent="0.3"/>
    <row r="76" spans="1:11" s="36" customFormat="1" x14ac:dyDescent="0.3"/>
    <row r="77" spans="1:11" s="36" customFormat="1" x14ac:dyDescent="0.3"/>
    <row r="78" spans="1:11" s="36" customFormat="1" x14ac:dyDescent="0.3"/>
    <row r="79" spans="1:11" s="36" customFormat="1" x14ac:dyDescent="0.3"/>
    <row r="80" spans="1:11" s="36" customFormat="1" x14ac:dyDescent="0.3"/>
    <row r="81" s="36" customFormat="1" x14ac:dyDescent="0.3"/>
    <row r="82" s="36" customFormat="1" x14ac:dyDescent="0.3"/>
    <row r="83" s="36" customFormat="1" x14ac:dyDescent="0.3"/>
    <row r="84" s="36" customFormat="1" x14ac:dyDescent="0.3"/>
    <row r="85" s="36" customFormat="1" x14ac:dyDescent="0.3"/>
    <row r="86" s="36" customFormat="1" x14ac:dyDescent="0.3"/>
    <row r="87" s="36" customFormat="1" x14ac:dyDescent="0.3"/>
    <row r="88" s="36" customFormat="1" x14ac:dyDescent="0.3"/>
    <row r="89" s="36" customFormat="1" x14ac:dyDescent="0.3"/>
    <row r="90" s="36" customFormat="1" x14ac:dyDescent="0.3"/>
    <row r="91" s="36" customFormat="1" x14ac:dyDescent="0.3"/>
    <row r="92" s="36" customFormat="1" x14ac:dyDescent="0.3"/>
    <row r="93" s="36" customFormat="1" x14ac:dyDescent="0.3"/>
    <row r="94" s="36" customFormat="1" x14ac:dyDescent="0.3"/>
    <row r="95" s="36" customFormat="1" x14ac:dyDescent="0.3"/>
    <row r="96" s="36" customFormat="1" x14ac:dyDescent="0.3"/>
    <row r="97" s="36" customFormat="1" x14ac:dyDescent="0.3"/>
    <row r="98" s="36" customFormat="1" x14ac:dyDescent="0.3"/>
    <row r="99" s="36" customFormat="1" x14ac:dyDescent="0.3"/>
    <row r="100" s="36" customFormat="1" x14ac:dyDescent="0.3"/>
    <row r="101" s="36" customFormat="1" x14ac:dyDescent="0.3"/>
    <row r="102" s="36" customFormat="1" x14ac:dyDescent="0.3"/>
    <row r="103" s="36" customFormat="1" x14ac:dyDescent="0.3"/>
    <row r="104" s="36" customFormat="1" x14ac:dyDescent="0.3"/>
    <row r="105" s="36" customFormat="1" x14ac:dyDescent="0.3"/>
    <row r="106" s="36" customFormat="1" x14ac:dyDescent="0.3"/>
    <row r="107" s="36" customFormat="1" x14ac:dyDescent="0.3"/>
    <row r="108" s="36" customFormat="1" x14ac:dyDescent="0.3"/>
    <row r="109" s="36" customFormat="1" x14ac:dyDescent="0.3"/>
    <row r="110" s="36" customFormat="1" x14ac:dyDescent="0.3"/>
    <row r="111" s="36" customFormat="1" x14ac:dyDescent="0.3"/>
    <row r="112" s="36" customFormat="1" x14ac:dyDescent="0.3"/>
    <row r="113" s="36" customFormat="1" x14ac:dyDescent="0.3"/>
    <row r="114" s="36" customFormat="1" x14ac:dyDescent="0.3"/>
    <row r="115" s="36" customFormat="1" x14ac:dyDescent="0.3"/>
    <row r="116" s="36" customFormat="1" x14ac:dyDescent="0.3"/>
    <row r="117" s="36" customFormat="1" x14ac:dyDescent="0.3"/>
    <row r="118" s="36" customFormat="1" x14ac:dyDescent="0.3"/>
    <row r="119" s="36" customFormat="1" x14ac:dyDescent="0.3"/>
    <row r="120" s="36" customFormat="1" x14ac:dyDescent="0.3"/>
    <row r="121" s="36" customFormat="1" x14ac:dyDescent="0.3"/>
    <row r="122" s="36" customFormat="1" x14ac:dyDescent="0.3"/>
    <row r="123" s="36" customFormat="1" x14ac:dyDescent="0.3"/>
    <row r="124" s="36" customFormat="1" x14ac:dyDescent="0.3"/>
    <row r="125" s="36" customFormat="1" x14ac:dyDescent="0.3"/>
    <row r="126" s="36" customFormat="1" x14ac:dyDescent="0.3"/>
    <row r="127" s="36" customFormat="1" x14ac:dyDescent="0.3"/>
    <row r="128" s="36" customFormat="1" x14ac:dyDescent="0.3"/>
  </sheetData>
  <mergeCells count="15">
    <mergeCell ref="A6:F6"/>
    <mergeCell ref="H6:K6"/>
    <mergeCell ref="A1:K1"/>
    <mergeCell ref="A2:K2"/>
    <mergeCell ref="A3:K3"/>
    <mergeCell ref="A4:K4"/>
    <mergeCell ref="A5:K5"/>
    <mergeCell ref="C70:D70"/>
    <mergeCell ref="C71:D71"/>
    <mergeCell ref="A7:F7"/>
    <mergeCell ref="H7:K7"/>
    <mergeCell ref="C66:D66"/>
    <mergeCell ref="C67:D67"/>
    <mergeCell ref="C68:D68"/>
    <mergeCell ref="C69:D69"/>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7"/>
  <sheetViews>
    <sheetView topLeftCell="A52" zoomScaleNormal="100" workbookViewId="0">
      <selection activeCell="E57" sqref="E57"/>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8.5546875" customWidth="1"/>
    <col min="8" max="8" width="5" bestFit="1" customWidth="1"/>
    <col min="9" max="9" width="10.88671875" customWidth="1"/>
    <col min="10" max="10" width="10.6640625" bestFit="1" customWidth="1"/>
  </cols>
  <sheetData>
    <row r="1" spans="1:19" s="1" customFormat="1" x14ac:dyDescent="0.3">
      <c r="A1" s="90" t="s">
        <v>0</v>
      </c>
      <c r="B1" s="90"/>
      <c r="C1" s="90"/>
      <c r="D1" s="90"/>
      <c r="E1" s="90"/>
      <c r="F1" s="90"/>
      <c r="G1" s="90"/>
      <c r="H1" s="90"/>
      <c r="I1" s="90"/>
      <c r="J1" s="90"/>
      <c r="K1" s="90"/>
    </row>
    <row r="2" spans="1:19" s="1" customFormat="1" ht="22.8" x14ac:dyDescent="0.3">
      <c r="A2" s="91" t="s">
        <v>1</v>
      </c>
      <c r="B2" s="91"/>
      <c r="C2" s="91"/>
      <c r="D2" s="91"/>
      <c r="E2" s="91"/>
      <c r="F2" s="91"/>
      <c r="G2" s="91"/>
      <c r="H2" s="91"/>
      <c r="I2" s="91"/>
      <c r="J2" s="91"/>
      <c r="K2" s="91"/>
    </row>
    <row r="3" spans="1:19" s="1" customFormat="1" x14ac:dyDescent="0.3">
      <c r="A3" s="83" t="s">
        <v>2</v>
      </c>
      <c r="B3" s="83"/>
      <c r="C3" s="83"/>
      <c r="D3" s="83"/>
      <c r="E3" s="83"/>
      <c r="F3" s="83"/>
      <c r="G3" s="83"/>
      <c r="H3" s="83"/>
      <c r="I3" s="83"/>
      <c r="J3" s="83"/>
      <c r="K3" s="83"/>
    </row>
    <row r="4" spans="1:19" s="1" customFormat="1" x14ac:dyDescent="0.3">
      <c r="A4" s="83" t="s">
        <v>3</v>
      </c>
      <c r="B4" s="83"/>
      <c r="C4" s="83"/>
      <c r="D4" s="83"/>
      <c r="E4" s="83"/>
      <c r="F4" s="83"/>
      <c r="G4" s="83"/>
      <c r="H4" s="83"/>
      <c r="I4" s="83"/>
      <c r="J4" s="83"/>
      <c r="K4" s="83"/>
    </row>
    <row r="5" spans="1:19" ht="17.399999999999999" x14ac:dyDescent="0.3">
      <c r="A5" s="92" t="s">
        <v>4</v>
      </c>
      <c r="B5" s="92"/>
      <c r="C5" s="92"/>
      <c r="D5" s="92"/>
      <c r="E5" s="92"/>
      <c r="F5" s="92"/>
      <c r="G5" s="92"/>
      <c r="H5" s="92"/>
      <c r="I5" s="92"/>
      <c r="J5" s="92"/>
      <c r="K5" s="92"/>
    </row>
    <row r="6" spans="1:19" ht="15.6" x14ac:dyDescent="0.3">
      <c r="A6" s="73" t="s">
        <v>54</v>
      </c>
      <c r="B6" s="73"/>
      <c r="C6" s="73"/>
      <c r="D6" s="73"/>
      <c r="E6" s="73"/>
      <c r="F6" s="73"/>
      <c r="G6" s="2"/>
      <c r="H6" s="89" t="s">
        <v>47</v>
      </c>
      <c r="I6" s="89"/>
      <c r="J6" s="89"/>
      <c r="K6" s="89"/>
      <c r="O6" t="s">
        <v>59</v>
      </c>
    </row>
    <row r="7" spans="1:19" ht="15.6" x14ac:dyDescent="0.3">
      <c r="A7" s="86" t="s">
        <v>28</v>
      </c>
      <c r="B7" s="86"/>
      <c r="C7" s="86"/>
      <c r="D7" s="86"/>
      <c r="E7" s="86"/>
      <c r="F7" s="86"/>
      <c r="G7" s="3"/>
      <c r="H7" s="87" t="s">
        <v>48</v>
      </c>
      <c r="I7" s="87"/>
      <c r="J7" s="87"/>
      <c r="K7" s="87"/>
    </row>
    <row r="8" spans="1:19" ht="15" customHeight="1" x14ac:dyDescent="0.3">
      <c r="A8" s="4" t="s">
        <v>5</v>
      </c>
      <c r="B8" s="15" t="s">
        <v>6</v>
      </c>
      <c r="C8" s="4" t="s">
        <v>7</v>
      </c>
      <c r="D8" s="16" t="s">
        <v>8</v>
      </c>
      <c r="E8" s="16" t="s">
        <v>9</v>
      </c>
      <c r="F8" s="16" t="s">
        <v>10</v>
      </c>
      <c r="G8" s="16" t="s">
        <v>11</v>
      </c>
      <c r="H8" s="4" t="s">
        <v>12</v>
      </c>
      <c r="I8" s="16" t="s">
        <v>13</v>
      </c>
      <c r="J8" s="16" t="s">
        <v>14</v>
      </c>
      <c r="K8" s="17" t="s">
        <v>15</v>
      </c>
      <c r="N8" t="s">
        <v>49</v>
      </c>
    </row>
    <row r="9" spans="1:19" ht="138" x14ac:dyDescent="0.3">
      <c r="A9" s="29">
        <v>1</v>
      </c>
      <c r="B9" s="30" t="s">
        <v>68</v>
      </c>
      <c r="C9" s="37"/>
      <c r="D9" s="37"/>
      <c r="E9" s="37"/>
      <c r="F9" s="37"/>
      <c r="G9" s="37"/>
      <c r="H9" s="37"/>
      <c r="I9" s="37"/>
      <c r="J9" s="37"/>
      <c r="K9" s="37"/>
      <c r="N9" t="s">
        <v>50</v>
      </c>
      <c r="O9" t="s">
        <v>51</v>
      </c>
    </row>
    <row r="10" spans="1:19" ht="15" customHeight="1" x14ac:dyDescent="0.3">
      <c r="A10" s="18"/>
      <c r="B10" s="38" t="s">
        <v>52</v>
      </c>
      <c r="C10" s="37">
        <v>0.5</v>
      </c>
      <c r="D10" s="39">
        <f>D38</f>
        <v>15.87</v>
      </c>
      <c r="E10" s="39">
        <f>F38/2</f>
        <v>1.4</v>
      </c>
      <c r="F10" s="39">
        <f>F38</f>
        <v>2.8</v>
      </c>
      <c r="G10" s="40">
        <f>PRODUCT(C10:F10)</f>
        <v>31.105199999999993</v>
      </c>
      <c r="H10" s="41"/>
      <c r="I10" s="41"/>
      <c r="J10" s="41"/>
      <c r="K10" s="21"/>
      <c r="M10" s="25"/>
      <c r="N10" s="1"/>
      <c r="O10" s="1"/>
      <c r="P10" s="1"/>
      <c r="Q10" s="1"/>
      <c r="R10" s="25"/>
      <c r="S10" s="25"/>
    </row>
    <row r="11" spans="1:19" ht="15" customHeight="1" x14ac:dyDescent="0.3">
      <c r="A11" s="18"/>
      <c r="B11" s="38" t="s">
        <v>69</v>
      </c>
      <c r="C11" s="37">
        <v>4</v>
      </c>
      <c r="D11" s="39">
        <v>2.5</v>
      </c>
      <c r="E11" s="39">
        <v>0.6</v>
      </c>
      <c r="F11" s="39">
        <v>0.9</v>
      </c>
      <c r="G11" s="40">
        <f t="shared" ref="G11" si="0">PRODUCT(C11:F11)</f>
        <v>5.4</v>
      </c>
      <c r="H11" s="41"/>
      <c r="I11" s="41"/>
      <c r="J11" s="41"/>
      <c r="K11" s="21"/>
      <c r="M11" s="25"/>
      <c r="N11" s="1"/>
      <c r="O11" s="1"/>
      <c r="P11" s="1"/>
      <c r="Q11" s="1"/>
      <c r="R11" s="25"/>
      <c r="S11" s="25"/>
    </row>
    <row r="12" spans="1:19" ht="15" hidden="1" customHeight="1" x14ac:dyDescent="0.3">
      <c r="A12" s="18"/>
      <c r="B12" s="38" t="s">
        <v>56</v>
      </c>
      <c r="C12" s="37">
        <v>0</v>
      </c>
      <c r="D12" s="39">
        <f>21.93+3.04</f>
        <v>24.97</v>
      </c>
      <c r="E12" s="39">
        <v>2.9</v>
      </c>
      <c r="F12" s="39">
        <v>0.15</v>
      </c>
      <c r="G12" s="40">
        <f>PRODUCT(C12:F12)</f>
        <v>0</v>
      </c>
      <c r="H12" s="41"/>
      <c r="I12" s="41"/>
      <c r="J12" s="41"/>
      <c r="K12" s="21"/>
      <c r="M12" s="25"/>
      <c r="N12" s="1"/>
      <c r="O12" s="1"/>
      <c r="P12" s="1"/>
      <c r="Q12" s="1"/>
      <c r="R12" s="25"/>
      <c r="S12" s="25"/>
    </row>
    <row r="13" spans="1:19" ht="15" hidden="1" customHeight="1" x14ac:dyDescent="0.3">
      <c r="A13" s="18"/>
      <c r="B13" s="38" t="s">
        <v>57</v>
      </c>
      <c r="C13" s="37">
        <v>0</v>
      </c>
      <c r="D13" s="39">
        <f>(11.17*2+4.42+12.25)/3.281</f>
        <v>11.889667784212129</v>
      </c>
      <c r="E13" s="39">
        <v>1.3</v>
      </c>
      <c r="F13" s="39">
        <v>0.15</v>
      </c>
      <c r="G13" s="40">
        <f>PRODUCT(C13:F13)</f>
        <v>0</v>
      </c>
      <c r="H13" s="41"/>
      <c r="I13" s="41"/>
      <c r="J13" s="41"/>
      <c r="K13" s="21"/>
      <c r="M13" s="25"/>
      <c r="N13" s="1"/>
      <c r="O13" s="1"/>
      <c r="P13" s="1"/>
      <c r="Q13" s="1"/>
      <c r="R13" s="25"/>
      <c r="S13" s="25"/>
    </row>
    <row r="14" spans="1:19" ht="15" customHeight="1" x14ac:dyDescent="0.3">
      <c r="A14" s="18"/>
      <c r="B14" s="38" t="s">
        <v>42</v>
      </c>
      <c r="C14" s="19"/>
      <c r="D14" s="20"/>
      <c r="E14" s="21"/>
      <c r="F14" s="21"/>
      <c r="G14" s="23">
        <f>SUM(G10:G11)</f>
        <v>36.505199999999995</v>
      </c>
      <c r="H14" s="22" t="s">
        <v>41</v>
      </c>
      <c r="I14" s="23">
        <v>64.63</v>
      </c>
      <c r="J14" s="42">
        <f>G14*I14</f>
        <v>2359.3310759999995</v>
      </c>
      <c r="K14" s="21"/>
      <c r="M14" s="25"/>
      <c r="N14" s="1"/>
      <c r="O14" s="1"/>
      <c r="P14" s="1"/>
      <c r="Q14" s="1"/>
      <c r="R14" s="25"/>
      <c r="S14" s="25"/>
    </row>
    <row r="15" spans="1:19" ht="15" customHeight="1" x14ac:dyDescent="0.3">
      <c r="A15" s="18"/>
      <c r="B15" s="38" t="s">
        <v>40</v>
      </c>
      <c r="C15" s="19"/>
      <c r="D15" s="20"/>
      <c r="E15" s="21"/>
      <c r="F15" s="21"/>
      <c r="G15" s="23"/>
      <c r="H15" s="22"/>
      <c r="I15" s="23"/>
      <c r="J15" s="42">
        <f>0.13*G14*19284/360</f>
        <v>254.21004439999996</v>
      </c>
      <c r="K15" s="21"/>
      <c r="M15" s="25"/>
      <c r="N15" s="1"/>
      <c r="O15" s="1"/>
      <c r="P15" s="1"/>
      <c r="Q15" s="1"/>
      <c r="R15" s="25"/>
      <c r="S15" s="25"/>
    </row>
    <row r="16" spans="1:19" ht="15" customHeight="1" x14ac:dyDescent="0.3">
      <c r="A16" s="18"/>
      <c r="B16" s="38"/>
      <c r="C16" s="19"/>
      <c r="D16" s="20"/>
      <c r="E16" s="21"/>
      <c r="F16" s="21"/>
      <c r="G16" s="23"/>
      <c r="H16" s="22"/>
      <c r="I16" s="23"/>
      <c r="J16" s="42"/>
      <c r="K16" s="21"/>
      <c r="M16" s="25"/>
      <c r="N16" s="1"/>
      <c r="O16" s="1"/>
      <c r="P16" s="1"/>
      <c r="Q16" s="1"/>
      <c r="R16" s="25"/>
      <c r="S16" s="25"/>
    </row>
    <row r="17" spans="1:19" ht="96.6" hidden="1" x14ac:dyDescent="0.3">
      <c r="A17" s="18">
        <v>2</v>
      </c>
      <c r="B17" s="30" t="s">
        <v>53</v>
      </c>
      <c r="C17" s="19"/>
      <c r="D17" s="20"/>
      <c r="E17" s="21"/>
      <c r="F17" s="21"/>
      <c r="G17" s="23"/>
      <c r="H17" s="22"/>
      <c r="I17" s="23"/>
      <c r="J17" s="42"/>
      <c r="K17" s="21"/>
      <c r="M17" s="25"/>
      <c r="N17" s="1"/>
      <c r="O17" s="1"/>
      <c r="P17" s="1"/>
      <c r="Q17" s="1"/>
      <c r="R17" s="25"/>
      <c r="S17" s="25"/>
    </row>
    <row r="18" spans="1:19" ht="15" hidden="1" customHeight="1" x14ac:dyDescent="0.3">
      <c r="A18" s="18"/>
      <c r="B18" s="38" t="s">
        <v>43</v>
      </c>
      <c r="C18" s="37">
        <v>0.5</v>
      </c>
      <c r="D18" s="39">
        <f>D22</f>
        <v>15.87</v>
      </c>
      <c r="E18" s="39">
        <v>0.6</v>
      </c>
      <c r="F18" s="39">
        <v>1</v>
      </c>
      <c r="G18" s="40">
        <f>0*PRODUCT(C18:F18)</f>
        <v>0</v>
      </c>
      <c r="H18" s="41"/>
      <c r="I18" s="41"/>
      <c r="J18" s="41"/>
      <c r="K18" s="21"/>
      <c r="M18" s="25"/>
      <c r="N18" s="1"/>
      <c r="O18" s="1"/>
      <c r="P18" s="1"/>
      <c r="Q18" s="1"/>
      <c r="R18" s="25"/>
      <c r="S18" s="25"/>
    </row>
    <row r="19" spans="1:19" ht="15" hidden="1" customHeight="1" x14ac:dyDescent="0.3">
      <c r="A19" s="18"/>
      <c r="B19" s="38" t="s">
        <v>42</v>
      </c>
      <c r="C19" s="19"/>
      <c r="D19" s="20"/>
      <c r="E19" s="21"/>
      <c r="F19" s="21"/>
      <c r="G19" s="23">
        <f>SUM(G18:G18)</f>
        <v>0</v>
      </c>
      <c r="H19" s="22" t="s">
        <v>41</v>
      </c>
      <c r="I19" s="23">
        <v>404.28</v>
      </c>
      <c r="J19" s="42">
        <f>G19*I19</f>
        <v>0</v>
      </c>
      <c r="K19" s="21"/>
      <c r="M19" s="25"/>
      <c r="N19" s="1"/>
      <c r="O19" s="1"/>
      <c r="P19" s="1"/>
      <c r="Q19" s="1"/>
      <c r="R19" s="25"/>
      <c r="S19" s="25"/>
    </row>
    <row r="20" spans="1:19" ht="15" hidden="1" customHeight="1" x14ac:dyDescent="0.3">
      <c r="A20" s="18"/>
      <c r="B20" s="38"/>
      <c r="C20" s="19"/>
      <c r="D20" s="20"/>
      <c r="E20" s="21"/>
      <c r="F20" s="21"/>
      <c r="G20" s="23"/>
      <c r="H20" s="22"/>
      <c r="I20" s="23"/>
      <c r="J20" s="42"/>
      <c r="K20" s="21"/>
      <c r="M20" s="25"/>
      <c r="N20" s="1"/>
      <c r="O20" s="1"/>
      <c r="P20" s="1"/>
      <c r="Q20" s="1"/>
      <c r="R20" s="25"/>
      <c r="S20" s="25"/>
    </row>
    <row r="21" spans="1:19" ht="82.8" x14ac:dyDescent="0.3">
      <c r="A21" s="18">
        <v>2</v>
      </c>
      <c r="B21" s="30" t="s">
        <v>45</v>
      </c>
      <c r="C21" s="19"/>
      <c r="D21" s="20"/>
      <c r="E21" s="21"/>
      <c r="F21" s="21"/>
      <c r="G21" s="23"/>
      <c r="H21" s="22"/>
      <c r="I21" s="23"/>
      <c r="J21" s="42"/>
      <c r="K21" s="21"/>
      <c r="M21" s="25"/>
      <c r="N21" s="1"/>
      <c r="O21" s="1"/>
      <c r="P21" s="1"/>
      <c r="Q21" s="1"/>
      <c r="R21" s="25"/>
      <c r="S21" s="25"/>
    </row>
    <row r="22" spans="1:19" ht="15" customHeight="1" x14ac:dyDescent="0.3">
      <c r="A22" s="18"/>
      <c r="B22" s="38" t="s">
        <v>43</v>
      </c>
      <c r="C22" s="37">
        <v>1</v>
      </c>
      <c r="D22" s="39">
        <f>D30</f>
        <v>15.87</v>
      </c>
      <c r="E22" s="39">
        <f>E30</f>
        <v>1.4</v>
      </c>
      <c r="F22" s="39">
        <v>0.15</v>
      </c>
      <c r="G22" s="40">
        <f>PRODUCT(C22:F22)</f>
        <v>3.3326999999999996</v>
      </c>
      <c r="H22" s="41"/>
      <c r="I22" s="41"/>
      <c r="J22" s="41"/>
      <c r="K22" s="21"/>
      <c r="M22" s="25"/>
      <c r="N22" s="1"/>
      <c r="O22" s="1"/>
      <c r="P22" s="1"/>
      <c r="Q22" s="1"/>
      <c r="R22" s="25"/>
      <c r="S22" s="25"/>
    </row>
    <row r="23" spans="1:19" ht="15" customHeight="1" x14ac:dyDescent="0.3">
      <c r="A23" s="18"/>
      <c r="B23" s="38" t="s">
        <v>70</v>
      </c>
      <c r="C23" s="37">
        <v>1</v>
      </c>
      <c r="D23" s="39">
        <v>10</v>
      </c>
      <c r="E23" s="39">
        <v>0.45</v>
      </c>
      <c r="F23" s="39">
        <v>0.15</v>
      </c>
      <c r="G23" s="40">
        <f t="shared" ref="G23:G24" si="1">PRODUCT(C23:F23)</f>
        <v>0.67499999999999993</v>
      </c>
      <c r="H23" s="41"/>
      <c r="I23" s="41"/>
      <c r="J23" s="41"/>
      <c r="K23" s="21"/>
      <c r="M23" s="25"/>
      <c r="N23" s="1"/>
      <c r="O23" s="1"/>
      <c r="P23" s="1"/>
      <c r="Q23" s="1"/>
      <c r="R23" s="25"/>
      <c r="S23" s="25"/>
    </row>
    <row r="24" spans="1:19" ht="15" customHeight="1" x14ac:dyDescent="0.3">
      <c r="A24" s="18"/>
      <c r="B24" s="38"/>
      <c r="C24" s="37">
        <v>1</v>
      </c>
      <c r="D24" s="39">
        <v>10</v>
      </c>
      <c r="E24" s="39">
        <v>0.6</v>
      </c>
      <c r="F24" s="39">
        <v>0.15</v>
      </c>
      <c r="G24" s="40">
        <f t="shared" si="1"/>
        <v>0.89999999999999991</v>
      </c>
      <c r="H24" s="41"/>
      <c r="I24" s="41"/>
      <c r="J24" s="41"/>
      <c r="K24" s="21"/>
      <c r="M24" s="25"/>
      <c r="N24" s="1"/>
      <c r="O24" s="1"/>
      <c r="P24" s="1"/>
      <c r="Q24" s="1"/>
      <c r="R24" s="25"/>
      <c r="S24" s="25"/>
    </row>
    <row r="25" spans="1:19" ht="15" hidden="1" customHeight="1" x14ac:dyDescent="0.3">
      <c r="A25" s="18"/>
      <c r="B25" s="38" t="s">
        <v>57</v>
      </c>
      <c r="C25" s="37">
        <v>0</v>
      </c>
      <c r="D25" s="39">
        <f>D13</f>
        <v>11.889667784212129</v>
      </c>
      <c r="E25" s="39">
        <f>E13</f>
        <v>1.3</v>
      </c>
      <c r="F25" s="39">
        <v>0.15</v>
      </c>
      <c r="G25" s="40">
        <f>PRODUCT(C25:F25)</f>
        <v>0</v>
      </c>
      <c r="H25" s="41"/>
      <c r="I25" s="41"/>
      <c r="J25" s="41"/>
      <c r="K25" s="21"/>
      <c r="M25" s="25"/>
      <c r="N25" s="1"/>
      <c r="O25" s="1"/>
      <c r="P25" s="1"/>
      <c r="Q25" s="1"/>
      <c r="R25" s="25"/>
      <c r="S25" s="25"/>
    </row>
    <row r="26" spans="1:19" ht="15" customHeight="1" x14ac:dyDescent="0.3">
      <c r="A26" s="41"/>
      <c r="B26" s="38" t="s">
        <v>42</v>
      </c>
      <c r="C26" s="43"/>
      <c r="D26" s="44"/>
      <c r="E26" s="44"/>
      <c r="F26" s="44"/>
      <c r="G26" s="34">
        <f>SUM(G22:G25)</f>
        <v>4.9077000000000002</v>
      </c>
      <c r="H26" s="34" t="s">
        <v>41</v>
      </c>
      <c r="I26" s="34">
        <v>4561.53</v>
      </c>
      <c r="J26" s="45">
        <f>G26*I26</f>
        <v>22386.620780999998</v>
      </c>
      <c r="K26" s="37"/>
    </row>
    <row r="27" spans="1:19" x14ac:dyDescent="0.3">
      <c r="A27" s="41"/>
      <c r="B27" s="38" t="s">
        <v>40</v>
      </c>
      <c r="C27" s="43"/>
      <c r="D27" s="44"/>
      <c r="E27" s="44"/>
      <c r="F27" s="44"/>
      <c r="G27" s="44"/>
      <c r="H27" s="44"/>
      <c r="I27" s="44"/>
      <c r="J27" s="46">
        <f>0.13*G26*(15452.6/5)</f>
        <v>1971.7548505200002</v>
      </c>
      <c r="K27" s="37"/>
    </row>
    <row r="28" spans="1:19" x14ac:dyDescent="0.3">
      <c r="A28" s="41"/>
      <c r="B28" s="38"/>
      <c r="C28" s="43"/>
      <c r="D28" s="44"/>
      <c r="E28" s="44"/>
      <c r="F28" s="44"/>
      <c r="G28" s="44"/>
      <c r="H28" s="44"/>
      <c r="I28" s="44"/>
      <c r="J28" s="46"/>
      <c r="K28" s="37"/>
    </row>
    <row r="29" spans="1:19" ht="69" x14ac:dyDescent="0.3">
      <c r="A29" s="18">
        <v>3</v>
      </c>
      <c r="B29" s="30" t="s">
        <v>44</v>
      </c>
      <c r="C29" s="19"/>
      <c r="D29" s="20"/>
      <c r="E29" s="21"/>
      <c r="F29" s="21"/>
      <c r="G29" s="23"/>
      <c r="H29" s="22"/>
      <c r="I29" s="23"/>
      <c r="J29" s="42"/>
      <c r="K29" s="21"/>
      <c r="M29" s="25"/>
      <c r="N29" s="1"/>
      <c r="O29" s="1"/>
      <c r="P29" s="1"/>
      <c r="Q29" s="1"/>
      <c r="R29" s="25"/>
      <c r="S29" s="25"/>
    </row>
    <row r="30" spans="1:19" ht="15" customHeight="1" x14ac:dyDescent="0.3">
      <c r="A30" s="18"/>
      <c r="B30" s="38" t="s">
        <v>52</v>
      </c>
      <c r="C30" s="37">
        <v>1</v>
      </c>
      <c r="D30" s="39">
        <f>D38</f>
        <v>15.87</v>
      </c>
      <c r="E30" s="39">
        <f>F38/2</f>
        <v>1.4</v>
      </c>
      <c r="F30" s="39">
        <v>7.4999999999999997E-2</v>
      </c>
      <c r="G30" s="40">
        <f>PRODUCT(C30:F30)</f>
        <v>1.6663499999999998</v>
      </c>
      <c r="H30" s="41"/>
      <c r="I30" s="41"/>
      <c r="J30" s="41"/>
      <c r="K30" s="21"/>
      <c r="M30" s="25"/>
      <c r="N30" s="1"/>
      <c r="O30" s="1"/>
      <c r="P30" s="1"/>
      <c r="Q30" s="1"/>
      <c r="R30" s="25"/>
      <c r="S30" s="25"/>
    </row>
    <row r="31" spans="1:19" ht="15" customHeight="1" x14ac:dyDescent="0.3">
      <c r="A31" s="18"/>
      <c r="B31" s="38"/>
      <c r="C31" s="37">
        <v>1</v>
      </c>
      <c r="D31" s="39">
        <f>D30</f>
        <v>15.87</v>
      </c>
      <c r="E31" s="39">
        <v>0.5</v>
      </c>
      <c r="F31" s="39">
        <v>0.05</v>
      </c>
      <c r="G31" s="40">
        <f>PRODUCT(C31:F31)</f>
        <v>0.39674999999999999</v>
      </c>
      <c r="H31" s="41"/>
      <c r="I31" s="41"/>
      <c r="J31" s="41"/>
      <c r="K31" s="21"/>
      <c r="M31" s="25"/>
      <c r="N31" s="1"/>
      <c r="O31" s="1"/>
      <c r="P31" s="1"/>
      <c r="Q31" s="1"/>
      <c r="R31" s="25"/>
      <c r="S31" s="25"/>
    </row>
    <row r="32" spans="1:19" ht="15" hidden="1" customHeight="1" x14ac:dyDescent="0.3">
      <c r="A32" s="18"/>
      <c r="B32" s="38" t="s">
        <v>57</v>
      </c>
      <c r="C32" s="37">
        <f>C25</f>
        <v>0</v>
      </c>
      <c r="D32" s="39">
        <f>D25</f>
        <v>11.889667784212129</v>
      </c>
      <c r="E32" s="39">
        <f>E25</f>
        <v>1.3</v>
      </c>
      <c r="F32" s="39">
        <v>0.05</v>
      </c>
      <c r="G32" s="40">
        <f>0*PRODUCT(C32:F32)</f>
        <v>0</v>
      </c>
      <c r="H32" s="41"/>
      <c r="I32" s="41"/>
      <c r="J32" s="41"/>
      <c r="K32" s="21"/>
      <c r="M32" s="25"/>
      <c r="N32" s="1"/>
      <c r="O32" s="1"/>
      <c r="P32" s="1"/>
      <c r="Q32" s="1"/>
      <c r="R32" s="25"/>
      <c r="S32" s="25"/>
    </row>
    <row r="33" spans="1:19" ht="15" hidden="1" customHeight="1" x14ac:dyDescent="0.3">
      <c r="A33" s="18"/>
      <c r="B33" s="38" t="s">
        <v>65</v>
      </c>
      <c r="C33" s="37">
        <v>1</v>
      </c>
      <c r="D33" s="39">
        <f>D61</f>
        <v>3.8860103626943006</v>
      </c>
      <c r="E33" s="39">
        <v>0.23</v>
      </c>
      <c r="F33" s="39">
        <v>0.05</v>
      </c>
      <c r="G33" s="40">
        <f>0*PRODUCT(C33:F33)</f>
        <v>0</v>
      </c>
      <c r="H33" s="41"/>
      <c r="I33" s="41"/>
      <c r="J33" s="41"/>
      <c r="K33" s="21"/>
      <c r="M33" s="25"/>
      <c r="N33" s="1"/>
      <c r="O33" s="1"/>
      <c r="P33" s="1"/>
      <c r="Q33" s="1"/>
      <c r="R33" s="25"/>
      <c r="S33" s="25"/>
    </row>
    <row r="34" spans="1:19" ht="15" customHeight="1" x14ac:dyDescent="0.3">
      <c r="A34" s="41"/>
      <c r="B34" s="38" t="s">
        <v>42</v>
      </c>
      <c r="C34" s="43"/>
      <c r="D34" s="44"/>
      <c r="E34" s="44"/>
      <c r="F34" s="44"/>
      <c r="G34" s="34">
        <f>SUM(G30:G33)</f>
        <v>2.0630999999999999</v>
      </c>
      <c r="H34" s="34" t="s">
        <v>41</v>
      </c>
      <c r="I34" s="34">
        <v>10634.5</v>
      </c>
      <c r="J34" s="45">
        <f>G34*I34</f>
        <v>21940.036949999998</v>
      </c>
      <c r="K34" s="37"/>
    </row>
    <row r="35" spans="1:19" ht="15" customHeight="1" x14ac:dyDescent="0.3">
      <c r="A35" s="41"/>
      <c r="B35" s="38" t="s">
        <v>40</v>
      </c>
      <c r="C35" s="43"/>
      <c r="D35" s="44"/>
      <c r="E35" s="44"/>
      <c r="F35" s="44"/>
      <c r="G35" s="44"/>
      <c r="H35" s="44"/>
      <c r="I35" s="44"/>
      <c r="J35" s="46">
        <f>0.13*G34*((114907.3+6135.3)/15)</f>
        <v>2164.2658965200003</v>
      </c>
      <c r="K35" s="37"/>
    </row>
    <row r="36" spans="1:19" ht="15" customHeight="1" x14ac:dyDescent="0.3">
      <c r="A36" s="41"/>
      <c r="B36" s="38"/>
      <c r="C36" s="43"/>
      <c r="D36" s="44"/>
      <c r="E36" s="44"/>
      <c r="F36" s="44"/>
      <c r="G36" s="44"/>
      <c r="H36" s="44"/>
      <c r="I36" s="44"/>
      <c r="J36" s="46"/>
      <c r="K36" s="37"/>
    </row>
    <row r="37" spans="1:19" s="1" customFormat="1" ht="82.8" x14ac:dyDescent="0.3">
      <c r="A37" s="64">
        <v>4</v>
      </c>
      <c r="B37" s="30" t="s">
        <v>55</v>
      </c>
      <c r="C37" s="65"/>
      <c r="D37" s="40"/>
      <c r="E37" s="40"/>
      <c r="F37" s="40"/>
      <c r="G37" s="40"/>
      <c r="H37" s="40"/>
      <c r="I37" s="40"/>
      <c r="J37" s="46"/>
      <c r="K37" s="29"/>
    </row>
    <row r="38" spans="1:19" ht="15" customHeight="1" x14ac:dyDescent="0.3">
      <c r="A38" s="18"/>
      <c r="B38" s="38" t="s">
        <v>52</v>
      </c>
      <c r="C38" s="37">
        <v>1</v>
      </c>
      <c r="D38" s="39">
        <f>13.77+2.1</f>
        <v>15.87</v>
      </c>
      <c r="E38" s="39">
        <f>((F38/2+0.5)/2)</f>
        <v>0.95</v>
      </c>
      <c r="F38" s="39">
        <f>2.5+0.3</f>
        <v>2.8</v>
      </c>
      <c r="G38" s="40">
        <f>PRODUCT(C38:F38)</f>
        <v>42.214199999999998</v>
      </c>
      <c r="H38" s="41"/>
      <c r="I38" s="41"/>
      <c r="J38" s="41"/>
      <c r="K38" s="21"/>
      <c r="M38" s="25"/>
      <c r="N38" s="1"/>
      <c r="O38" s="1"/>
      <c r="P38" s="1"/>
      <c r="Q38" s="1"/>
      <c r="R38" s="25"/>
      <c r="S38" s="25"/>
    </row>
    <row r="39" spans="1:19" ht="15" customHeight="1" x14ac:dyDescent="0.3">
      <c r="A39" s="18"/>
      <c r="B39" s="38"/>
      <c r="C39" s="37">
        <v>1</v>
      </c>
      <c r="D39" s="39">
        <v>5.4</v>
      </c>
      <c r="E39" s="39">
        <f>((F39/2+0.5)/2)</f>
        <v>0.76249999999999996</v>
      </c>
      <c r="F39" s="39">
        <f>2.5-0.75+0.3</f>
        <v>2.0499999999999998</v>
      </c>
      <c r="G39" s="40">
        <f>PRODUCT(C39:F39)</f>
        <v>8.4408749999999984</v>
      </c>
      <c r="H39" s="41"/>
      <c r="I39" s="41"/>
      <c r="J39" s="41"/>
      <c r="K39" s="21"/>
      <c r="M39" s="25"/>
      <c r="N39" s="1"/>
      <c r="O39" s="1"/>
      <c r="P39" s="1"/>
      <c r="Q39" s="1"/>
      <c r="R39" s="25"/>
      <c r="S39" s="25"/>
    </row>
    <row r="40" spans="1:19" ht="15" customHeight="1" x14ac:dyDescent="0.3">
      <c r="A40" s="41"/>
      <c r="B40" s="38" t="s">
        <v>42</v>
      </c>
      <c r="C40" s="43"/>
      <c r="D40" s="44"/>
      <c r="E40" s="44"/>
      <c r="F40" s="44"/>
      <c r="G40" s="34">
        <f>SUM(G38:G39)</f>
        <v>50.655074999999997</v>
      </c>
      <c r="H40" s="34" t="s">
        <v>41</v>
      </c>
      <c r="I40" s="34">
        <v>9709.43</v>
      </c>
      <c r="J40" s="45">
        <f>G40*I40</f>
        <v>491831.90485724999</v>
      </c>
      <c r="K40" s="37"/>
    </row>
    <row r="41" spans="1:19" ht="15" customHeight="1" x14ac:dyDescent="0.3">
      <c r="A41" s="41"/>
      <c r="B41" s="38" t="s">
        <v>40</v>
      </c>
      <c r="C41" s="43"/>
      <c r="D41" s="44"/>
      <c r="E41" s="44"/>
      <c r="F41" s="44"/>
      <c r="G41" s="44"/>
      <c r="H41" s="44"/>
      <c r="I41" s="44"/>
      <c r="J41" s="46">
        <f>0.13*G40*((27092.1)/5)</f>
        <v>35681.161292595003</v>
      </c>
      <c r="K41" s="37"/>
    </row>
    <row r="42" spans="1:19" ht="15" customHeight="1" x14ac:dyDescent="0.3">
      <c r="A42" s="41"/>
      <c r="B42" s="38"/>
      <c r="C42" s="43"/>
      <c r="D42" s="44"/>
      <c r="E42" s="44"/>
      <c r="F42" s="44"/>
      <c r="G42" s="44"/>
      <c r="H42" s="44"/>
      <c r="I42" s="44"/>
      <c r="J42" s="46"/>
      <c r="K42" s="37"/>
    </row>
    <row r="43" spans="1:19" s="1" customFormat="1" ht="69" x14ac:dyDescent="0.3">
      <c r="A43" s="64">
        <v>5</v>
      </c>
      <c r="B43" s="30" t="s">
        <v>71</v>
      </c>
      <c r="C43" s="65" t="s">
        <v>7</v>
      </c>
      <c r="D43" s="68" t="s">
        <v>72</v>
      </c>
      <c r="E43" s="68" t="s">
        <v>73</v>
      </c>
      <c r="F43" s="68" t="s">
        <v>74</v>
      </c>
      <c r="G43" s="40"/>
      <c r="H43" s="40"/>
      <c r="I43" s="40"/>
      <c r="J43" s="46"/>
      <c r="K43" s="29"/>
    </row>
    <row r="44" spans="1:19" ht="15" customHeight="1" x14ac:dyDescent="0.3">
      <c r="A44" s="41"/>
      <c r="B44" s="38" t="str">
        <f>B40</f>
        <v>Sub-total</v>
      </c>
      <c r="C44" s="43">
        <f>TRUNC(D45/0.15,0)</f>
        <v>62</v>
      </c>
      <c r="D44" s="44">
        <f>0.6</f>
        <v>0.6</v>
      </c>
      <c r="E44" s="44">
        <f>10*10/162</f>
        <v>0.61728395061728392</v>
      </c>
      <c r="F44" s="44">
        <f>PRODUCT(C44:E44)</f>
        <v>22.962962962962958</v>
      </c>
      <c r="G44" s="44">
        <f>F44/1000</f>
        <v>2.2962962962962959E-2</v>
      </c>
      <c r="H44" s="44"/>
      <c r="I44" s="44"/>
      <c r="J44" s="46"/>
      <c r="K44" s="37"/>
    </row>
    <row r="45" spans="1:19" x14ac:dyDescent="0.3">
      <c r="A45" s="5"/>
      <c r="B45" s="5"/>
      <c r="C45" s="43">
        <f>TRUNC(D44/0.15,0)+1</f>
        <v>5</v>
      </c>
      <c r="D45" s="69">
        <f>10-0.6</f>
        <v>9.4</v>
      </c>
      <c r="E45" s="44">
        <f>10*10/162</f>
        <v>0.61728395061728392</v>
      </c>
      <c r="F45" s="44">
        <f>PRODUCT(C45:E45)</f>
        <v>29.012345679012345</v>
      </c>
      <c r="G45" s="44">
        <f>F45/1000</f>
        <v>2.9012345679012345E-2</v>
      </c>
      <c r="H45" s="5"/>
      <c r="I45" s="5"/>
      <c r="J45" s="5"/>
      <c r="K45" s="5"/>
      <c r="M45" s="70"/>
      <c r="N45" s="70"/>
    </row>
    <row r="46" spans="1:19" ht="15" customHeight="1" x14ac:dyDescent="0.3">
      <c r="A46" s="41"/>
      <c r="B46" s="38" t="s">
        <v>42</v>
      </c>
      <c r="C46" s="43"/>
      <c r="D46" s="44"/>
      <c r="E46" s="44"/>
      <c r="F46" s="44"/>
      <c r="G46" s="34">
        <f>SUM(G44:G45)</f>
        <v>5.1975308641975304E-2</v>
      </c>
      <c r="H46" s="34" t="s">
        <v>75</v>
      </c>
      <c r="I46" s="34">
        <v>124140</v>
      </c>
      <c r="J46" s="45">
        <f>G46*I46</f>
        <v>6452.2148148148144</v>
      </c>
      <c r="K46" s="37"/>
    </row>
    <row r="47" spans="1:19" ht="15" customHeight="1" x14ac:dyDescent="0.3">
      <c r="A47" s="41"/>
      <c r="B47" s="38" t="s">
        <v>40</v>
      </c>
      <c r="C47" s="43"/>
      <c r="D47" s="44"/>
      <c r="E47" s="44"/>
      <c r="F47" s="44"/>
      <c r="G47" s="44"/>
      <c r="H47" s="44"/>
      <c r="I47" s="44"/>
      <c r="J47" s="46">
        <f>0.13*G46*110960</f>
        <v>749.73343209876532</v>
      </c>
      <c r="K47" s="37"/>
    </row>
    <row r="48" spans="1:19" ht="11.25" customHeight="1" x14ac:dyDescent="0.3">
      <c r="A48" s="5"/>
      <c r="B48" s="5"/>
      <c r="C48" s="5"/>
      <c r="D48" s="5"/>
      <c r="E48" s="5"/>
      <c r="F48" s="5"/>
      <c r="G48" s="5"/>
      <c r="H48" s="5"/>
      <c r="I48" s="5"/>
      <c r="J48" s="5"/>
      <c r="K48" s="5"/>
    </row>
    <row r="49" spans="1:19" s="1" customFormat="1" ht="69" x14ac:dyDescent="0.3">
      <c r="A49" s="64">
        <v>6</v>
      </c>
      <c r="B49" s="30" t="s">
        <v>76</v>
      </c>
      <c r="C49" s="65"/>
      <c r="D49" s="40"/>
      <c r="E49" s="40"/>
      <c r="F49" s="40"/>
      <c r="G49" s="40"/>
      <c r="H49" s="40"/>
      <c r="I49" s="40"/>
      <c r="J49" s="46"/>
      <c r="K49" s="29"/>
    </row>
    <row r="50" spans="1:19" x14ac:dyDescent="0.3">
      <c r="A50" s="41"/>
      <c r="B50" s="24" t="str">
        <f>B40</f>
        <v>Sub-total</v>
      </c>
      <c r="C50" s="43">
        <f>1</f>
        <v>1</v>
      </c>
      <c r="D50" s="44">
        <v>10</v>
      </c>
      <c r="E50" s="44">
        <v>0.6</v>
      </c>
      <c r="F50" s="44">
        <v>0.15</v>
      </c>
      <c r="G50" s="40">
        <f>PRODUCT(C50:F50)</f>
        <v>0.89999999999999991</v>
      </c>
      <c r="H50" s="44"/>
      <c r="I50" s="44"/>
      <c r="J50" s="46"/>
      <c r="K50" s="37"/>
    </row>
    <row r="51" spans="1:19" ht="15" customHeight="1" x14ac:dyDescent="0.3">
      <c r="A51" s="41"/>
      <c r="B51" s="38" t="s">
        <v>42</v>
      </c>
      <c r="C51" s="43"/>
      <c r="D51" s="44"/>
      <c r="E51" s="44"/>
      <c r="F51" s="44"/>
      <c r="G51" s="34">
        <f>SUM(G50:G50)</f>
        <v>0.89999999999999991</v>
      </c>
      <c r="H51" s="34" t="s">
        <v>41</v>
      </c>
      <c r="I51" s="34">
        <v>11588.17</v>
      </c>
      <c r="J51" s="45">
        <f>G51*I51</f>
        <v>10429.352999999999</v>
      </c>
      <c r="K51" s="37"/>
    </row>
    <row r="52" spans="1:19" ht="15" customHeight="1" x14ac:dyDescent="0.3">
      <c r="A52" s="41"/>
      <c r="B52" s="38" t="s">
        <v>40</v>
      </c>
      <c r="C52" s="43"/>
      <c r="D52" s="44"/>
      <c r="E52" s="44"/>
      <c r="F52" s="44"/>
      <c r="G52" s="44"/>
      <c r="H52" s="44"/>
      <c r="I52" s="44"/>
      <c r="J52" s="46">
        <f>0.13*G51*((128662.2+6685.5)/15)</f>
        <v>1055.7120600000001</v>
      </c>
      <c r="K52" s="37"/>
    </row>
    <row r="53" spans="1:19" ht="15" customHeight="1" x14ac:dyDescent="0.3">
      <c r="A53" s="41"/>
      <c r="B53" s="38"/>
      <c r="C53" s="43"/>
      <c r="D53" s="44"/>
      <c r="E53" s="44"/>
      <c r="F53" s="44"/>
      <c r="G53" s="44"/>
      <c r="H53" s="44"/>
      <c r="I53" s="44"/>
      <c r="J53" s="46"/>
      <c r="K53" s="37"/>
    </row>
    <row r="54" spans="1:19" ht="82.8" x14ac:dyDescent="0.3">
      <c r="A54" s="18">
        <v>7</v>
      </c>
      <c r="B54" s="30" t="s">
        <v>77</v>
      </c>
      <c r="C54" s="19">
        <v>4</v>
      </c>
      <c r="D54" s="20">
        <v>2.5</v>
      </c>
      <c r="E54" s="21"/>
      <c r="F54" s="21"/>
      <c r="G54" s="35">
        <f>PRODUCT(C54:F54)</f>
        <v>10</v>
      </c>
      <c r="H54" s="5"/>
      <c r="I54" s="5"/>
      <c r="J54" s="5"/>
      <c r="K54" s="21"/>
      <c r="M54" s="25"/>
      <c r="N54" s="1"/>
      <c r="O54" s="1"/>
      <c r="P54" s="1"/>
      <c r="Q54" s="1"/>
      <c r="R54" s="25"/>
      <c r="S54" s="25"/>
    </row>
    <row r="55" spans="1:19" ht="15" customHeight="1" x14ac:dyDescent="0.3">
      <c r="A55" s="18"/>
      <c r="B55" s="38" t="s">
        <v>42</v>
      </c>
      <c r="C55" s="37"/>
      <c r="D55" s="39"/>
      <c r="E55" s="39"/>
      <c r="F55" s="39"/>
      <c r="G55" s="35">
        <f>SUM(G54)</f>
        <v>10</v>
      </c>
      <c r="H55" s="22" t="s">
        <v>78</v>
      </c>
      <c r="I55" s="23">
        <v>5144.96</v>
      </c>
      <c r="J55" s="35">
        <f>G55*I55</f>
        <v>51449.599999999999</v>
      </c>
      <c r="K55" s="21"/>
      <c r="M55" s="25"/>
      <c r="N55" s="1"/>
      <c r="O55" s="1"/>
      <c r="P55" s="1"/>
      <c r="Q55" s="1"/>
      <c r="R55" s="25"/>
      <c r="S55" s="25"/>
    </row>
    <row r="56" spans="1:19" ht="15" customHeight="1" x14ac:dyDescent="0.3">
      <c r="A56" s="18"/>
      <c r="B56" s="38" t="s">
        <v>40</v>
      </c>
      <c r="C56" s="37"/>
      <c r="D56" s="39"/>
      <c r="E56" s="39"/>
      <c r="F56" s="39"/>
      <c r="G56" s="40"/>
      <c r="H56" s="41"/>
      <c r="I56" s="41"/>
      <c r="J56" s="46">
        <f>0.13*G55*57364.6/12.5</f>
        <v>5965.9183999999996</v>
      </c>
      <c r="K56" s="21"/>
      <c r="M56" s="25"/>
      <c r="N56" s="1"/>
      <c r="O56" s="1"/>
      <c r="P56" s="1"/>
      <c r="Q56" s="1"/>
      <c r="R56" s="25"/>
      <c r="S56" s="25"/>
    </row>
    <row r="57" spans="1:19" ht="15" customHeight="1" x14ac:dyDescent="0.3">
      <c r="A57" s="41"/>
      <c r="B57" s="38"/>
      <c r="C57" s="43"/>
      <c r="D57" s="44"/>
      <c r="E57" s="44"/>
      <c r="F57" s="44"/>
      <c r="G57" s="44"/>
      <c r="H57" s="44"/>
      <c r="I57" s="44"/>
      <c r="J57" s="46"/>
      <c r="K57" s="37"/>
    </row>
    <row r="58" spans="1:19" ht="30.6" hidden="1" x14ac:dyDescent="0.3">
      <c r="A58" s="41">
        <v>6</v>
      </c>
      <c r="B58" s="66" t="s">
        <v>58</v>
      </c>
      <c r="C58" s="43"/>
      <c r="D58" s="44"/>
      <c r="E58" s="44"/>
      <c r="F58" s="44"/>
      <c r="G58" s="44"/>
      <c r="H58" s="44"/>
      <c r="I58" s="44"/>
      <c r="J58" s="46"/>
      <c r="K58" s="37"/>
    </row>
    <row r="59" spans="1:19" ht="15" hidden="1" customHeight="1" x14ac:dyDescent="0.3">
      <c r="A59" s="18"/>
      <c r="B59" s="38" t="s">
        <v>52</v>
      </c>
      <c r="C59" s="37">
        <v>1</v>
      </c>
      <c r="D59" s="39">
        <f>(11.17+11.17+12.333+4.42)/3.281</f>
        <v>11.914964949710455</v>
      </c>
      <c r="E59" s="39">
        <v>0.23</v>
      </c>
      <c r="F59" s="39">
        <v>0.45</v>
      </c>
      <c r="G59" s="40">
        <f>PRODUCT(C59:F59)</f>
        <v>1.2331988722950322</v>
      </c>
      <c r="H59" s="41"/>
      <c r="I59" s="41"/>
      <c r="J59" s="41"/>
      <c r="K59" s="21"/>
      <c r="M59" s="25"/>
      <c r="N59" s="1"/>
      <c r="O59" s="1"/>
      <c r="P59" s="1"/>
      <c r="Q59" s="1"/>
      <c r="R59" s="25"/>
      <c r="S59" s="25"/>
    </row>
    <row r="60" spans="1:19" ht="15" hidden="1" customHeight="1" x14ac:dyDescent="0.3">
      <c r="A60" s="18"/>
      <c r="B60" s="38" t="s">
        <v>57</v>
      </c>
      <c r="C60" s="37">
        <f>31</f>
        <v>31</v>
      </c>
      <c r="D60" s="39">
        <f>1.3-0.23</f>
        <v>1.07</v>
      </c>
      <c r="E60" s="39">
        <v>0.15</v>
      </c>
      <c r="F60" s="39">
        <v>0.15</v>
      </c>
      <c r="G60" s="40">
        <f>PRODUCT(C60:F60)</f>
        <v>0.74632500000000002</v>
      </c>
      <c r="H60" s="41"/>
      <c r="I60" s="41"/>
      <c r="J60" s="41"/>
      <c r="K60" s="21"/>
      <c r="M60" s="25"/>
      <c r="N60" s="1"/>
      <c r="O60" s="1"/>
      <c r="P60" s="1"/>
      <c r="Q60" s="1"/>
      <c r="R60" s="25"/>
      <c r="S60" s="25"/>
    </row>
    <row r="61" spans="1:19" ht="15" hidden="1" customHeight="1" x14ac:dyDescent="0.3">
      <c r="A61" s="18"/>
      <c r="B61" s="38" t="s">
        <v>64</v>
      </c>
      <c r="C61" s="37">
        <v>1</v>
      </c>
      <c r="D61" s="39">
        <f>12.75/3.281</f>
        <v>3.8860103626943006</v>
      </c>
      <c r="E61" s="39">
        <v>0.23</v>
      </c>
      <c r="F61" s="39">
        <v>0.6</v>
      </c>
      <c r="G61" s="40">
        <f>PRODUCT(C61:F61)</f>
        <v>0.53626943005181349</v>
      </c>
      <c r="H61" s="41"/>
      <c r="I61" s="41"/>
      <c r="J61" s="41"/>
      <c r="K61" s="21"/>
      <c r="M61" s="25"/>
      <c r="N61" s="1"/>
      <c r="O61" s="1"/>
      <c r="P61" s="1"/>
      <c r="Q61" s="1"/>
      <c r="R61" s="25"/>
      <c r="S61" s="25"/>
    </row>
    <row r="62" spans="1:19" ht="15" hidden="1" customHeight="1" x14ac:dyDescent="0.3">
      <c r="A62" s="41"/>
      <c r="B62" s="38" t="s">
        <v>42</v>
      </c>
      <c r="C62" s="43"/>
      <c r="D62" s="44"/>
      <c r="E62" s="44"/>
      <c r="F62" s="44"/>
      <c r="G62" s="34">
        <f>0*SUM(G59:G61)</f>
        <v>0</v>
      </c>
      <c r="H62" s="34" t="s">
        <v>41</v>
      </c>
      <c r="I62" s="34">
        <v>14362.76</v>
      </c>
      <c r="J62" s="45">
        <f>G62*I62</f>
        <v>0</v>
      </c>
      <c r="K62" s="37"/>
    </row>
    <row r="63" spans="1:19" ht="15" hidden="1" customHeight="1" x14ac:dyDescent="0.3">
      <c r="A63" s="41"/>
      <c r="B63" s="38" t="s">
        <v>40</v>
      </c>
      <c r="C63" s="43"/>
      <c r="D63" s="44"/>
      <c r="E63" s="44"/>
      <c r="F63" s="44"/>
      <c r="G63" s="44"/>
      <c r="H63" s="44"/>
      <c r="I63" s="44"/>
      <c r="J63" s="46">
        <f>0.13*G62*10311.74</f>
        <v>0</v>
      </c>
      <c r="K63" s="37"/>
    </row>
    <row r="64" spans="1:19" ht="15" hidden="1" customHeight="1" x14ac:dyDescent="0.3">
      <c r="A64" s="41"/>
      <c r="B64" s="38"/>
      <c r="C64" s="43"/>
      <c r="D64" s="44"/>
      <c r="E64" s="44"/>
      <c r="F64" s="44"/>
      <c r="G64" s="44"/>
      <c r="H64" s="44"/>
      <c r="I64" s="44"/>
      <c r="J64" s="46"/>
      <c r="K64" s="37"/>
    </row>
    <row r="65" spans="1:19" ht="15.6" hidden="1" x14ac:dyDescent="0.3">
      <c r="A65" s="41">
        <v>7</v>
      </c>
      <c r="B65" s="66" t="s">
        <v>60</v>
      </c>
      <c r="C65" s="43"/>
      <c r="D65" s="44"/>
      <c r="E65" s="44"/>
      <c r="F65" s="44"/>
      <c r="G65" s="44"/>
      <c r="H65" s="44"/>
      <c r="I65" s="44"/>
      <c r="J65" s="46"/>
      <c r="K65" s="37"/>
    </row>
    <row r="66" spans="1:19" ht="15" hidden="1" customHeight="1" x14ac:dyDescent="0.3">
      <c r="A66" s="18"/>
      <c r="B66" s="38" t="s">
        <v>62</v>
      </c>
      <c r="C66" s="37">
        <v>1</v>
      </c>
      <c r="D66" s="39">
        <f>21.9+3.04</f>
        <v>24.939999999999998</v>
      </c>
      <c r="E66" s="39">
        <v>0.3</v>
      </c>
      <c r="F66" s="39"/>
      <c r="G66" s="40">
        <f>PRODUCT(C66:F66)</f>
        <v>7.4819999999999993</v>
      </c>
      <c r="H66" s="41"/>
      <c r="I66" s="41"/>
      <c r="J66" s="41"/>
      <c r="K66" s="21"/>
      <c r="M66" s="25"/>
      <c r="N66" s="1"/>
      <c r="O66" s="1"/>
      <c r="P66" s="1"/>
      <c r="Q66" s="1"/>
      <c r="R66" s="25"/>
      <c r="S66" s="25"/>
    </row>
    <row r="67" spans="1:19" ht="15" hidden="1" customHeight="1" x14ac:dyDescent="0.3">
      <c r="A67" s="18"/>
      <c r="B67" s="38"/>
      <c r="C67" s="37">
        <v>1</v>
      </c>
      <c r="D67" s="39">
        <f>13.917/3.281</f>
        <v>4.2416946053032607</v>
      </c>
      <c r="E67" s="39">
        <f>51.083/3.281</f>
        <v>15.569338616275525</v>
      </c>
      <c r="F67" s="39"/>
      <c r="G67" s="40">
        <f>PRODUCT(C67:F67)</f>
        <v>66.040379616795633</v>
      </c>
      <c r="H67" s="41"/>
      <c r="I67" s="41"/>
      <c r="J67" s="41"/>
      <c r="K67" s="21"/>
      <c r="M67" s="25"/>
      <c r="N67" s="1"/>
      <c r="O67" s="1"/>
      <c r="P67" s="1"/>
      <c r="Q67" s="1"/>
      <c r="R67" s="25"/>
      <c r="S67" s="25"/>
    </row>
    <row r="68" spans="1:19" ht="15" hidden="1" customHeight="1" x14ac:dyDescent="0.3">
      <c r="A68" s="18"/>
      <c r="B68" s="38"/>
      <c r="C68" s="37">
        <v>1</v>
      </c>
      <c r="D68" s="39">
        <f>22.17/3.281</f>
        <v>6.7570862541907957</v>
      </c>
      <c r="E68" s="39">
        <f>12.5/3.281</f>
        <v>3.8098140810728434</v>
      </c>
      <c r="F68" s="39"/>
      <c r="G68" s="40">
        <f>PRODUCT(C68:F68)</f>
        <v>25.743242358239847</v>
      </c>
      <c r="H68" s="41"/>
      <c r="I68" s="41"/>
      <c r="J68" s="41"/>
      <c r="K68" s="21"/>
      <c r="M68" s="25"/>
      <c r="N68" s="1"/>
      <c r="O68" s="1"/>
      <c r="P68" s="1"/>
      <c r="Q68" s="1"/>
      <c r="R68" s="25"/>
      <c r="S68" s="25"/>
    </row>
    <row r="69" spans="1:19" ht="15" hidden="1" customHeight="1" x14ac:dyDescent="0.3">
      <c r="A69" s="41"/>
      <c r="B69" s="38" t="s">
        <v>42</v>
      </c>
      <c r="C69" s="43"/>
      <c r="D69" s="44"/>
      <c r="E69" s="44"/>
      <c r="F69" s="44"/>
      <c r="G69" s="34">
        <f>0*SUM(G66:G68)</f>
        <v>0</v>
      </c>
      <c r="H69" s="34" t="s">
        <v>61</v>
      </c>
      <c r="I69" s="34">
        <f>35*10.7639</f>
        <v>376.73649999999998</v>
      </c>
      <c r="J69" s="45">
        <f>G69*I69</f>
        <v>0</v>
      </c>
      <c r="K69" s="37"/>
    </row>
    <row r="70" spans="1:19" ht="15" hidden="1" customHeight="1" x14ac:dyDescent="0.3">
      <c r="A70" s="41"/>
      <c r="B70" s="38" t="s">
        <v>40</v>
      </c>
      <c r="C70" s="43"/>
      <c r="D70" s="44"/>
      <c r="E70" s="44"/>
      <c r="F70" s="44"/>
      <c r="G70" s="44"/>
      <c r="H70" s="44"/>
      <c r="I70" s="44"/>
      <c r="J70" s="46">
        <f>0.13*J69</f>
        <v>0</v>
      </c>
      <c r="K70" s="37"/>
    </row>
    <row r="71" spans="1:19" ht="15" hidden="1" customHeight="1" x14ac:dyDescent="0.3">
      <c r="A71" s="41"/>
      <c r="B71" s="38"/>
      <c r="C71" s="43"/>
      <c r="D71" s="44"/>
      <c r="E71" s="44"/>
      <c r="F71" s="44"/>
      <c r="G71" s="44"/>
      <c r="H71" s="44"/>
      <c r="I71" s="44"/>
      <c r="J71" s="46"/>
      <c r="K71" s="37"/>
    </row>
    <row r="72" spans="1:19" ht="15.6" hidden="1" x14ac:dyDescent="0.3">
      <c r="A72" s="41">
        <v>8</v>
      </c>
      <c r="B72" s="66" t="s">
        <v>63</v>
      </c>
      <c r="C72" s="43"/>
      <c r="D72" s="44"/>
      <c r="E72" s="44"/>
      <c r="F72" s="44"/>
      <c r="G72" s="44"/>
      <c r="H72" s="44"/>
      <c r="I72" s="44"/>
      <c r="J72" s="46"/>
      <c r="K72" s="37"/>
    </row>
    <row r="73" spans="1:19" ht="15" hidden="1" customHeight="1" x14ac:dyDescent="0.3">
      <c r="A73" s="18"/>
      <c r="B73" s="38" t="s">
        <v>62</v>
      </c>
      <c r="C73" s="37">
        <v>1</v>
      </c>
      <c r="D73" s="39">
        <f>21.9+3.04</f>
        <v>24.939999999999998</v>
      </c>
      <c r="E73" s="39">
        <v>0.3</v>
      </c>
      <c r="F73" s="39"/>
      <c r="G73" s="40">
        <f>PRODUCT(C73:F73)</f>
        <v>7.4819999999999993</v>
      </c>
      <c r="H73" s="41"/>
      <c r="I73" s="41"/>
      <c r="J73" s="41"/>
      <c r="K73" s="21"/>
      <c r="M73" s="25"/>
      <c r="N73" s="1"/>
      <c r="O73" s="1"/>
      <c r="P73" s="1"/>
      <c r="Q73" s="1"/>
      <c r="R73" s="25"/>
      <c r="S73" s="25"/>
    </row>
    <row r="74" spans="1:19" ht="15" hidden="1" customHeight="1" x14ac:dyDescent="0.3">
      <c r="A74" s="18"/>
      <c r="B74" s="38"/>
      <c r="C74" s="37">
        <v>1</v>
      </c>
      <c r="D74" s="39">
        <f>13.917/3.281</f>
        <v>4.2416946053032607</v>
      </c>
      <c r="E74" s="39">
        <f>51.083/3.281</f>
        <v>15.569338616275525</v>
      </c>
      <c r="F74" s="39"/>
      <c r="G74" s="40">
        <f>PRODUCT(C74:F74)</f>
        <v>66.040379616795633</v>
      </c>
      <c r="H74" s="41"/>
      <c r="I74" s="41"/>
      <c r="J74" s="41"/>
      <c r="K74" s="21"/>
      <c r="M74" s="25"/>
      <c r="N74" s="1"/>
      <c r="O74" s="1"/>
      <c r="P74" s="1"/>
      <c r="Q74" s="1"/>
      <c r="R74" s="25"/>
      <c r="S74" s="25"/>
    </row>
    <row r="75" spans="1:19" ht="15" hidden="1" customHeight="1" x14ac:dyDescent="0.3">
      <c r="A75" s="18"/>
      <c r="B75" s="38"/>
      <c r="C75" s="37">
        <v>1</v>
      </c>
      <c r="D75" s="39">
        <f>22.17/3.281</f>
        <v>6.7570862541907957</v>
      </c>
      <c r="E75" s="39">
        <f>12.5/3.281</f>
        <v>3.8098140810728434</v>
      </c>
      <c r="F75" s="39"/>
      <c r="G75" s="40">
        <f>PRODUCT(C75:F75)</f>
        <v>25.743242358239847</v>
      </c>
      <c r="H75" s="41"/>
      <c r="I75" s="41"/>
      <c r="J75" s="41"/>
      <c r="K75" s="21"/>
      <c r="M75" s="25"/>
      <c r="N75" s="1"/>
      <c r="O75" s="1"/>
      <c r="P75" s="1"/>
      <c r="Q75" s="1"/>
      <c r="R75" s="25"/>
      <c r="S75" s="25"/>
    </row>
    <row r="76" spans="1:19" ht="15" hidden="1" customHeight="1" x14ac:dyDescent="0.3">
      <c r="A76" s="41"/>
      <c r="B76" s="38" t="s">
        <v>42</v>
      </c>
      <c r="C76" s="43"/>
      <c r="D76" s="44"/>
      <c r="E76" s="44"/>
      <c r="F76" s="44"/>
      <c r="G76" s="34">
        <f>0*SUM(G73:G75)</f>
        <v>0</v>
      </c>
      <c r="H76" s="34" t="s">
        <v>61</v>
      </c>
      <c r="I76" s="34">
        <f>23*10.7639</f>
        <v>247.56969999999998</v>
      </c>
      <c r="J76" s="45">
        <f>G76*I76</f>
        <v>0</v>
      </c>
      <c r="K76" s="37"/>
    </row>
    <row r="77" spans="1:19" ht="15" hidden="1" customHeight="1" x14ac:dyDescent="0.3">
      <c r="A77" s="41"/>
      <c r="B77" s="38"/>
      <c r="C77" s="43"/>
      <c r="D77" s="44"/>
      <c r="E77" s="44"/>
      <c r="F77" s="44"/>
      <c r="G77" s="34"/>
      <c r="H77" s="34"/>
      <c r="I77" s="34"/>
      <c r="J77" s="45"/>
      <c r="K77" s="37"/>
    </row>
    <row r="78" spans="1:19" ht="28.2" hidden="1" x14ac:dyDescent="0.3">
      <c r="A78" s="41">
        <v>9</v>
      </c>
      <c r="B78" s="67" t="s">
        <v>66</v>
      </c>
      <c r="C78" s="19">
        <v>1</v>
      </c>
      <c r="D78" s="20"/>
      <c r="E78" s="21"/>
      <c r="F78" s="21"/>
      <c r="G78" s="35">
        <f>0*PRODUCT(C78:F78)</f>
        <v>0</v>
      </c>
      <c r="H78" s="22" t="s">
        <v>67</v>
      </c>
      <c r="I78" s="23">
        <v>20000</v>
      </c>
      <c r="J78" s="35">
        <f>G78*I78</f>
        <v>0</v>
      </c>
      <c r="K78" s="37"/>
    </row>
    <row r="79" spans="1:19" ht="15" hidden="1" customHeight="1" x14ac:dyDescent="0.3">
      <c r="A79" s="41"/>
      <c r="B79" s="38"/>
      <c r="C79" s="43"/>
      <c r="D79" s="44"/>
      <c r="E79" s="44"/>
      <c r="F79" s="44"/>
      <c r="G79" s="34"/>
      <c r="H79" s="34"/>
      <c r="I79" s="34"/>
      <c r="J79" s="45"/>
      <c r="K79" s="37"/>
    </row>
    <row r="80" spans="1:19" ht="15" hidden="1" customHeight="1" x14ac:dyDescent="0.3">
      <c r="A80" s="41"/>
      <c r="B80" s="38"/>
      <c r="C80" s="43"/>
      <c r="D80" s="44"/>
      <c r="E80" s="44"/>
      <c r="F80" s="44"/>
      <c r="G80" s="34"/>
      <c r="H80" s="34"/>
      <c r="I80" s="34"/>
      <c r="J80" s="45"/>
      <c r="K80" s="37"/>
    </row>
    <row r="81" spans="1:19" ht="15" customHeight="1" x14ac:dyDescent="0.3">
      <c r="A81" s="18">
        <v>8</v>
      </c>
      <c r="B81" s="30" t="s">
        <v>30</v>
      </c>
      <c r="C81" s="19">
        <v>1</v>
      </c>
      <c r="D81" s="20"/>
      <c r="E81" s="21"/>
      <c r="F81" s="21"/>
      <c r="G81" s="35">
        <f t="shared" ref="G81" si="2">PRODUCT(C81:F81)</f>
        <v>1</v>
      </c>
      <c r="H81" s="22" t="s">
        <v>31</v>
      </c>
      <c r="I81" s="23">
        <v>500</v>
      </c>
      <c r="J81" s="35">
        <f>G81*I81</f>
        <v>500</v>
      </c>
      <c r="K81" s="21"/>
      <c r="M81" s="25"/>
      <c r="N81" s="1"/>
      <c r="O81" s="1"/>
      <c r="P81" s="1"/>
      <c r="Q81" s="1"/>
      <c r="R81" s="25"/>
      <c r="S81" s="25"/>
    </row>
    <row r="82" spans="1:19" ht="15" customHeight="1" x14ac:dyDescent="0.3">
      <c r="A82" s="18"/>
      <c r="B82" s="24"/>
      <c r="C82" s="19"/>
      <c r="D82" s="20"/>
      <c r="E82" s="21"/>
      <c r="F82" s="21"/>
      <c r="G82" s="23"/>
      <c r="H82" s="22"/>
      <c r="I82" s="23"/>
      <c r="J82" s="42"/>
      <c r="K82" s="21"/>
      <c r="M82" s="25"/>
      <c r="N82" s="1"/>
      <c r="O82" s="1"/>
      <c r="P82" s="1"/>
      <c r="Q82" s="1"/>
      <c r="R82" s="25"/>
      <c r="S82" s="25"/>
    </row>
    <row r="83" spans="1:19" x14ac:dyDescent="0.3">
      <c r="A83" s="41"/>
      <c r="B83" s="47" t="s">
        <v>17</v>
      </c>
      <c r="C83" s="48"/>
      <c r="D83" s="39"/>
      <c r="E83" s="39"/>
      <c r="F83" s="39"/>
      <c r="G83" s="42"/>
      <c r="H83" s="42"/>
      <c r="I83" s="42"/>
      <c r="J83" s="42">
        <f>SUM(J10:J81)</f>
        <v>655191.81745519862</v>
      </c>
      <c r="K83" s="37"/>
    </row>
    <row r="84" spans="1:19" x14ac:dyDescent="0.3">
      <c r="A84" s="59"/>
      <c r="B84" s="62"/>
      <c r="C84" s="63"/>
      <c r="D84" s="60"/>
      <c r="E84" s="60"/>
      <c r="F84" s="60"/>
      <c r="G84" s="61"/>
      <c r="H84" s="61"/>
      <c r="I84" s="61"/>
      <c r="J84" s="61"/>
      <c r="K84" s="58"/>
    </row>
    <row r="85" spans="1:19" s="1" customFormat="1" x14ac:dyDescent="0.3">
      <c r="A85" s="51"/>
      <c r="B85" s="29" t="s">
        <v>27</v>
      </c>
      <c r="C85" s="85">
        <f>J83</f>
        <v>655191.81745519862</v>
      </c>
      <c r="D85" s="85"/>
      <c r="E85" s="40">
        <v>100</v>
      </c>
      <c r="F85" s="52"/>
      <c r="G85" s="53"/>
      <c r="H85" s="52"/>
      <c r="I85" s="54"/>
      <c r="J85" s="55"/>
      <c r="K85" s="56"/>
    </row>
    <row r="86" spans="1:19" x14ac:dyDescent="0.3">
      <c r="A86" s="57"/>
      <c r="B86" s="29" t="s">
        <v>32</v>
      </c>
      <c r="C86" s="88">
        <f>500000+86000</f>
        <v>586000</v>
      </c>
      <c r="D86" s="88"/>
      <c r="E86" s="40"/>
      <c r="F86" s="50"/>
      <c r="G86" s="49"/>
      <c r="H86" s="49"/>
      <c r="I86" s="49"/>
      <c r="J86" s="49"/>
      <c r="K86" s="50"/>
    </row>
    <row r="87" spans="1:19" x14ac:dyDescent="0.3">
      <c r="A87" s="57"/>
      <c r="B87" s="29" t="s">
        <v>33</v>
      </c>
      <c r="C87" s="88">
        <f>C86-C89-C90</f>
        <v>556700</v>
      </c>
      <c r="D87" s="88"/>
      <c r="E87" s="40">
        <f>C87/C85*100</f>
        <v>84.967483593164161</v>
      </c>
      <c r="F87" s="50"/>
      <c r="G87" s="49"/>
      <c r="H87" s="49"/>
      <c r="I87" s="49"/>
      <c r="J87" s="49"/>
      <c r="K87" s="50"/>
    </row>
    <row r="88" spans="1:19" x14ac:dyDescent="0.3">
      <c r="A88" s="57"/>
      <c r="B88" s="29" t="s">
        <v>34</v>
      </c>
      <c r="C88" s="85">
        <f>C85-C87</f>
        <v>98491.817455198616</v>
      </c>
      <c r="D88" s="85"/>
      <c r="E88" s="40">
        <f>100-E87</f>
        <v>15.032516406835839</v>
      </c>
      <c r="F88" s="50"/>
      <c r="G88" s="49"/>
      <c r="H88" s="49"/>
      <c r="I88" s="49"/>
      <c r="J88" s="49"/>
      <c r="K88" s="50"/>
    </row>
    <row r="89" spans="1:19" x14ac:dyDescent="0.3">
      <c r="A89" s="57"/>
      <c r="B89" s="29" t="s">
        <v>35</v>
      </c>
      <c r="C89" s="85">
        <f>C86*0.03</f>
        <v>17580</v>
      </c>
      <c r="D89" s="85"/>
      <c r="E89" s="40">
        <v>3</v>
      </c>
      <c r="F89" s="50"/>
      <c r="G89" s="49"/>
      <c r="H89" s="49"/>
      <c r="I89" s="49"/>
      <c r="J89" s="49"/>
      <c r="K89" s="50"/>
    </row>
    <row r="90" spans="1:19" x14ac:dyDescent="0.3">
      <c r="A90" s="57"/>
      <c r="B90" s="29" t="s">
        <v>36</v>
      </c>
      <c r="C90" s="85">
        <f>C86*0.02</f>
        <v>11720</v>
      </c>
      <c r="D90" s="85"/>
      <c r="E90" s="40">
        <v>2</v>
      </c>
      <c r="F90" s="50"/>
      <c r="G90" s="49"/>
      <c r="H90" s="49"/>
      <c r="I90" s="49"/>
      <c r="J90" s="49"/>
      <c r="K90" s="50"/>
    </row>
    <row r="91" spans="1:19" s="36" customFormat="1" x14ac:dyDescent="0.3">
      <c r="A91" s="58"/>
      <c r="B91" s="58"/>
      <c r="C91" s="58"/>
      <c r="D91" s="58"/>
      <c r="E91" s="58"/>
      <c r="F91" s="58"/>
      <c r="G91" s="58"/>
      <c r="H91" s="58"/>
      <c r="I91" s="58"/>
      <c r="J91" s="58"/>
      <c r="K91" s="58"/>
    </row>
    <row r="92" spans="1:19" s="36" customFormat="1" x14ac:dyDescent="0.3"/>
    <row r="93" spans="1:19" s="36" customFormat="1" x14ac:dyDescent="0.3"/>
    <row r="94" spans="1:19" s="36" customFormat="1" x14ac:dyDescent="0.3"/>
    <row r="95" spans="1:19" s="36" customFormat="1" x14ac:dyDescent="0.3"/>
    <row r="96" spans="1:19" s="36" customFormat="1" x14ac:dyDescent="0.3"/>
    <row r="97" s="36" customFormat="1" x14ac:dyDescent="0.3"/>
    <row r="98" s="36" customFormat="1" x14ac:dyDescent="0.3"/>
    <row r="99" s="36" customFormat="1" x14ac:dyDescent="0.3"/>
    <row r="100" s="36" customFormat="1" x14ac:dyDescent="0.3"/>
    <row r="101" s="36" customFormat="1" x14ac:dyDescent="0.3"/>
    <row r="102" s="36" customFormat="1" x14ac:dyDescent="0.3"/>
    <row r="103" s="36" customFormat="1" x14ac:dyDescent="0.3"/>
    <row r="104" s="36" customFormat="1" x14ac:dyDescent="0.3"/>
    <row r="105" s="36" customFormat="1" x14ac:dyDescent="0.3"/>
    <row r="106" s="36" customFormat="1" x14ac:dyDescent="0.3"/>
    <row r="107" s="36" customFormat="1" x14ac:dyDescent="0.3"/>
    <row r="108" s="36" customFormat="1" x14ac:dyDescent="0.3"/>
    <row r="109" s="36" customFormat="1" x14ac:dyDescent="0.3"/>
    <row r="110" s="36" customFormat="1" x14ac:dyDescent="0.3"/>
    <row r="111" s="36" customFormat="1" x14ac:dyDescent="0.3"/>
    <row r="112" s="36" customFormat="1" x14ac:dyDescent="0.3"/>
    <row r="113" s="36" customFormat="1" x14ac:dyDescent="0.3"/>
    <row r="114" s="36" customFormat="1" x14ac:dyDescent="0.3"/>
    <row r="115" s="36" customFormat="1" x14ac:dyDescent="0.3"/>
    <row r="116" s="36" customFormat="1" x14ac:dyDescent="0.3"/>
    <row r="117" s="36" customFormat="1" x14ac:dyDescent="0.3"/>
    <row r="118" s="36" customFormat="1" x14ac:dyDescent="0.3"/>
    <row r="119" s="36" customFormat="1" x14ac:dyDescent="0.3"/>
    <row r="120" s="36" customFormat="1" x14ac:dyDescent="0.3"/>
    <row r="121" s="36" customFormat="1" x14ac:dyDescent="0.3"/>
    <row r="122" s="36" customFormat="1" x14ac:dyDescent="0.3"/>
    <row r="123" s="36" customFormat="1" x14ac:dyDescent="0.3"/>
    <row r="124" s="36" customFormat="1" x14ac:dyDescent="0.3"/>
    <row r="125" s="36" customFormat="1" x14ac:dyDescent="0.3"/>
    <row r="126" s="36" customFormat="1" x14ac:dyDescent="0.3"/>
    <row r="127" s="36" customFormat="1" x14ac:dyDescent="0.3"/>
    <row r="128" s="36" customFormat="1" x14ac:dyDescent="0.3"/>
    <row r="129" s="36" customFormat="1" x14ac:dyDescent="0.3"/>
    <row r="130" s="36" customFormat="1" x14ac:dyDescent="0.3"/>
    <row r="131" s="36" customFormat="1" x14ac:dyDescent="0.3"/>
    <row r="132" s="36" customFormat="1" x14ac:dyDescent="0.3"/>
    <row r="133" s="36" customFormat="1" x14ac:dyDescent="0.3"/>
    <row r="134" s="36" customFormat="1" x14ac:dyDescent="0.3"/>
    <row r="135" s="36" customFormat="1" x14ac:dyDescent="0.3"/>
    <row r="136" s="36" customFormat="1" x14ac:dyDescent="0.3"/>
    <row r="137" s="36" customFormat="1" x14ac:dyDescent="0.3"/>
    <row r="138" s="36" customFormat="1" x14ac:dyDescent="0.3"/>
    <row r="139" s="36" customFormat="1" x14ac:dyDescent="0.3"/>
    <row r="140" s="36" customFormat="1" x14ac:dyDescent="0.3"/>
    <row r="141" s="36" customFormat="1" x14ac:dyDescent="0.3"/>
    <row r="142" s="36" customFormat="1" x14ac:dyDescent="0.3"/>
    <row r="143" s="36" customFormat="1" x14ac:dyDescent="0.3"/>
    <row r="144" s="36" customFormat="1" x14ac:dyDescent="0.3"/>
    <row r="145" s="36" customFormat="1" x14ac:dyDescent="0.3"/>
    <row r="146" s="36" customFormat="1" x14ac:dyDescent="0.3"/>
    <row r="147" s="36" customFormat="1" x14ac:dyDescent="0.3"/>
  </sheetData>
  <mergeCells count="15">
    <mergeCell ref="A6:F6"/>
    <mergeCell ref="H6:K6"/>
    <mergeCell ref="A1:K1"/>
    <mergeCell ref="A2:K2"/>
    <mergeCell ref="A3:K3"/>
    <mergeCell ref="A4:K4"/>
    <mergeCell ref="A5:K5"/>
    <mergeCell ref="C89:D89"/>
    <mergeCell ref="C90:D90"/>
    <mergeCell ref="A7:F7"/>
    <mergeCell ref="H7:K7"/>
    <mergeCell ref="C85:D85"/>
    <mergeCell ref="C86:D86"/>
    <mergeCell ref="C87:D87"/>
    <mergeCell ref="C88:D88"/>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6"/>
  <sheetViews>
    <sheetView tabSelected="1" topLeftCell="A45" zoomScaleNormal="100" workbookViewId="0">
      <selection activeCell="A7" sqref="A7:F7"/>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8.5546875" customWidth="1"/>
    <col min="8" max="8" width="5" bestFit="1" customWidth="1"/>
    <col min="9" max="9" width="10.88671875" customWidth="1"/>
    <col min="10" max="10" width="10.6640625" bestFit="1" customWidth="1"/>
  </cols>
  <sheetData>
    <row r="1" spans="1:19" s="1" customFormat="1" x14ac:dyDescent="0.3">
      <c r="A1" s="90" t="s">
        <v>0</v>
      </c>
      <c r="B1" s="90"/>
      <c r="C1" s="90"/>
      <c r="D1" s="90"/>
      <c r="E1" s="90"/>
      <c r="F1" s="90"/>
      <c r="G1" s="90"/>
      <c r="H1" s="90"/>
      <c r="I1" s="90"/>
      <c r="J1" s="90"/>
      <c r="K1" s="90"/>
    </row>
    <row r="2" spans="1:19" s="1" customFormat="1" ht="22.8" x14ac:dyDescent="0.3">
      <c r="A2" s="91" t="s">
        <v>1</v>
      </c>
      <c r="B2" s="91"/>
      <c r="C2" s="91"/>
      <c r="D2" s="91"/>
      <c r="E2" s="91"/>
      <c r="F2" s="91"/>
      <c r="G2" s="91"/>
      <c r="H2" s="91"/>
      <c r="I2" s="91"/>
      <c r="J2" s="91"/>
      <c r="K2" s="91"/>
    </row>
    <row r="3" spans="1:19" s="1" customFormat="1" x14ac:dyDescent="0.3">
      <c r="A3" s="83" t="s">
        <v>2</v>
      </c>
      <c r="B3" s="83"/>
      <c r="C3" s="83"/>
      <c r="D3" s="83"/>
      <c r="E3" s="83"/>
      <c r="F3" s="83"/>
      <c r="G3" s="83"/>
      <c r="H3" s="83"/>
      <c r="I3" s="83"/>
      <c r="J3" s="83"/>
      <c r="K3" s="83"/>
    </row>
    <row r="4" spans="1:19" s="1" customFormat="1" x14ac:dyDescent="0.3">
      <c r="A4" s="83" t="s">
        <v>3</v>
      </c>
      <c r="B4" s="83"/>
      <c r="C4" s="83"/>
      <c r="D4" s="83"/>
      <c r="E4" s="83"/>
      <c r="F4" s="83"/>
      <c r="G4" s="83"/>
      <c r="H4" s="83"/>
      <c r="I4" s="83"/>
      <c r="J4" s="83"/>
      <c r="K4" s="83"/>
    </row>
    <row r="5" spans="1:19" ht="17.399999999999999" x14ac:dyDescent="0.3">
      <c r="A5" s="92" t="s">
        <v>4</v>
      </c>
      <c r="B5" s="92"/>
      <c r="C5" s="92"/>
      <c r="D5" s="92"/>
      <c r="E5" s="92"/>
      <c r="F5" s="92"/>
      <c r="G5" s="92"/>
      <c r="H5" s="92"/>
      <c r="I5" s="92"/>
      <c r="J5" s="92"/>
      <c r="K5" s="92"/>
    </row>
    <row r="6" spans="1:19" ht="15.6" x14ac:dyDescent="0.3">
      <c r="A6" s="73" t="s">
        <v>80</v>
      </c>
      <c r="B6" s="73"/>
      <c r="C6" s="73"/>
      <c r="D6" s="73"/>
      <c r="E6" s="73"/>
      <c r="F6" s="73"/>
      <c r="G6" s="2"/>
      <c r="H6" s="89" t="s">
        <v>47</v>
      </c>
      <c r="I6" s="89"/>
      <c r="J6" s="89"/>
      <c r="K6" s="89"/>
      <c r="O6" t="s">
        <v>59</v>
      </c>
    </row>
    <row r="7" spans="1:19" ht="15.6" x14ac:dyDescent="0.3">
      <c r="A7" s="86" t="s">
        <v>28</v>
      </c>
      <c r="B7" s="86"/>
      <c r="C7" s="86"/>
      <c r="D7" s="86"/>
      <c r="E7" s="86"/>
      <c r="F7" s="86"/>
      <c r="G7" s="3"/>
      <c r="H7" s="87" t="s">
        <v>79</v>
      </c>
      <c r="I7" s="87"/>
      <c r="J7" s="87"/>
      <c r="K7" s="87"/>
    </row>
    <row r="8" spans="1:19" ht="15" customHeight="1" x14ac:dyDescent="0.3">
      <c r="A8" s="4" t="s">
        <v>5</v>
      </c>
      <c r="B8" s="15" t="s">
        <v>6</v>
      </c>
      <c r="C8" s="4" t="s">
        <v>7</v>
      </c>
      <c r="D8" s="16" t="s">
        <v>8</v>
      </c>
      <c r="E8" s="16" t="s">
        <v>9</v>
      </c>
      <c r="F8" s="16" t="s">
        <v>10</v>
      </c>
      <c r="G8" s="16" t="s">
        <v>11</v>
      </c>
      <c r="H8" s="4" t="s">
        <v>12</v>
      </c>
      <c r="I8" s="16" t="s">
        <v>13</v>
      </c>
      <c r="J8" s="16" t="s">
        <v>14</v>
      </c>
      <c r="K8" s="17" t="s">
        <v>15</v>
      </c>
      <c r="N8" t="s">
        <v>49</v>
      </c>
    </row>
    <row r="9" spans="1:19" ht="138" x14ac:dyDescent="0.3">
      <c r="A9" s="29">
        <v>1</v>
      </c>
      <c r="B9" s="30" t="s">
        <v>68</v>
      </c>
      <c r="C9" s="37"/>
      <c r="D9" s="37"/>
      <c r="E9" s="37"/>
      <c r="F9" s="37"/>
      <c r="G9" s="37"/>
      <c r="H9" s="37"/>
      <c r="I9" s="37"/>
      <c r="J9" s="37"/>
      <c r="K9" s="37"/>
      <c r="N9" t="s">
        <v>50</v>
      </c>
      <c r="O9" t="s">
        <v>51</v>
      </c>
    </row>
    <row r="10" spans="1:19" ht="15" customHeight="1" x14ac:dyDescent="0.3">
      <c r="A10" s="18"/>
      <c r="B10" s="38" t="s">
        <v>52</v>
      </c>
      <c r="C10" s="37">
        <v>0.5</v>
      </c>
      <c r="D10" s="39">
        <f>D38</f>
        <v>13.6</v>
      </c>
      <c r="E10" s="39">
        <f>F38/2</f>
        <v>1.7</v>
      </c>
      <c r="F10" s="39">
        <f>F38</f>
        <v>3.4</v>
      </c>
      <c r="G10" s="40">
        <f>PRODUCT(C10:F10)</f>
        <v>39.303999999999995</v>
      </c>
      <c r="H10" s="41"/>
      <c r="I10" s="41"/>
      <c r="J10" s="41"/>
      <c r="K10" s="21"/>
      <c r="M10" s="25"/>
      <c r="N10" s="1"/>
      <c r="O10" s="1"/>
      <c r="P10" s="1"/>
      <c r="Q10" s="1"/>
      <c r="R10" s="25"/>
      <c r="S10" s="25"/>
    </row>
    <row r="11" spans="1:19" ht="15" customHeight="1" x14ac:dyDescent="0.3">
      <c r="A11" s="18"/>
      <c r="B11" s="38" t="s">
        <v>69</v>
      </c>
      <c r="C11" s="37">
        <v>4</v>
      </c>
      <c r="D11" s="39">
        <v>2.5</v>
      </c>
      <c r="E11" s="39">
        <v>0.6</v>
      </c>
      <c r="F11" s="39">
        <v>0.9</v>
      </c>
      <c r="G11" s="40">
        <f t="shared" ref="G11" si="0">PRODUCT(C11:F11)</f>
        <v>5.4</v>
      </c>
      <c r="H11" s="41"/>
      <c r="I11" s="41"/>
      <c r="J11" s="41"/>
      <c r="K11" s="21"/>
      <c r="M11" s="25"/>
      <c r="N11" s="1"/>
      <c r="O11" s="1"/>
      <c r="P11" s="1"/>
      <c r="Q11" s="1"/>
      <c r="R11" s="25"/>
      <c r="S11" s="25"/>
    </row>
    <row r="12" spans="1:19" ht="15" hidden="1" customHeight="1" x14ac:dyDescent="0.3">
      <c r="A12" s="18"/>
      <c r="B12" s="38" t="s">
        <v>56</v>
      </c>
      <c r="C12" s="37">
        <v>0</v>
      </c>
      <c r="D12" s="39">
        <f>21.93+3.04</f>
        <v>24.97</v>
      </c>
      <c r="E12" s="39">
        <v>2.9</v>
      </c>
      <c r="F12" s="39">
        <v>0.15</v>
      </c>
      <c r="G12" s="40">
        <f>PRODUCT(C12:F12)</f>
        <v>0</v>
      </c>
      <c r="H12" s="41"/>
      <c r="I12" s="41"/>
      <c r="J12" s="41"/>
      <c r="K12" s="21"/>
      <c r="M12" s="25"/>
      <c r="N12" s="1"/>
      <c r="O12" s="1"/>
      <c r="P12" s="1"/>
      <c r="Q12" s="1"/>
      <c r="R12" s="25"/>
      <c r="S12" s="25"/>
    </row>
    <row r="13" spans="1:19" ht="15" hidden="1" customHeight="1" x14ac:dyDescent="0.3">
      <c r="A13" s="18"/>
      <c r="B13" s="38" t="s">
        <v>57</v>
      </c>
      <c r="C13" s="37">
        <v>0</v>
      </c>
      <c r="D13" s="39">
        <f>(11.17*2+4.42+12.25)/3.281</f>
        <v>11.889667784212129</v>
      </c>
      <c r="E13" s="39">
        <v>1.3</v>
      </c>
      <c r="F13" s="39">
        <v>0.15</v>
      </c>
      <c r="G13" s="40">
        <f>PRODUCT(C13:F13)</f>
        <v>0</v>
      </c>
      <c r="H13" s="41"/>
      <c r="I13" s="41"/>
      <c r="J13" s="41"/>
      <c r="K13" s="21"/>
      <c r="M13" s="25"/>
      <c r="N13" s="1"/>
      <c r="O13" s="1"/>
      <c r="P13" s="1"/>
      <c r="Q13" s="1"/>
      <c r="R13" s="25"/>
      <c r="S13" s="25"/>
    </row>
    <row r="14" spans="1:19" ht="15" customHeight="1" x14ac:dyDescent="0.3">
      <c r="A14" s="18"/>
      <c r="B14" s="38" t="s">
        <v>42</v>
      </c>
      <c r="C14" s="19"/>
      <c r="D14" s="20"/>
      <c r="E14" s="21"/>
      <c r="F14" s="21"/>
      <c r="G14" s="23">
        <f>SUM(G10:G11)</f>
        <v>44.703999999999994</v>
      </c>
      <c r="H14" s="22" t="s">
        <v>41</v>
      </c>
      <c r="I14" s="23">
        <v>64.63</v>
      </c>
      <c r="J14" s="42">
        <f>G14*I14</f>
        <v>2889.2195199999992</v>
      </c>
      <c r="K14" s="21"/>
      <c r="M14" s="25"/>
      <c r="N14" s="1"/>
      <c r="O14" s="1"/>
      <c r="P14" s="1"/>
      <c r="Q14" s="1"/>
      <c r="R14" s="25"/>
      <c r="S14" s="25"/>
    </row>
    <row r="15" spans="1:19" ht="15" customHeight="1" x14ac:dyDescent="0.3">
      <c r="A15" s="18"/>
      <c r="B15" s="38" t="s">
        <v>40</v>
      </c>
      <c r="C15" s="19"/>
      <c r="D15" s="20"/>
      <c r="E15" s="21"/>
      <c r="F15" s="21"/>
      <c r="G15" s="23"/>
      <c r="H15" s="22"/>
      <c r="I15" s="23"/>
      <c r="J15" s="42">
        <f>0.13*G14*19284/360</f>
        <v>311.30375466666663</v>
      </c>
      <c r="K15" s="21"/>
      <c r="M15" s="25"/>
      <c r="N15" s="1"/>
      <c r="O15" s="1"/>
      <c r="P15" s="1"/>
      <c r="Q15" s="1"/>
      <c r="R15" s="25"/>
      <c r="S15" s="25"/>
    </row>
    <row r="16" spans="1:19" ht="15" customHeight="1" x14ac:dyDescent="0.3">
      <c r="A16" s="18"/>
      <c r="B16" s="38"/>
      <c r="C16" s="19"/>
      <c r="D16" s="20"/>
      <c r="E16" s="21"/>
      <c r="F16" s="21"/>
      <c r="G16" s="23"/>
      <c r="H16" s="22"/>
      <c r="I16" s="23"/>
      <c r="J16" s="42"/>
      <c r="K16" s="21"/>
      <c r="M16" s="25"/>
      <c r="N16" s="1"/>
      <c r="O16" s="1"/>
      <c r="P16" s="1"/>
      <c r="Q16" s="1"/>
      <c r="R16" s="25"/>
      <c r="S16" s="25"/>
    </row>
    <row r="17" spans="1:19" ht="96.6" hidden="1" x14ac:dyDescent="0.3">
      <c r="A17" s="18">
        <v>2</v>
      </c>
      <c r="B17" s="30" t="s">
        <v>53</v>
      </c>
      <c r="C17" s="19"/>
      <c r="D17" s="20"/>
      <c r="E17" s="21"/>
      <c r="F17" s="21"/>
      <c r="G17" s="23"/>
      <c r="H17" s="22"/>
      <c r="I17" s="23"/>
      <c r="J17" s="42"/>
      <c r="K17" s="21"/>
      <c r="M17" s="25"/>
      <c r="N17" s="1"/>
      <c r="O17" s="1"/>
      <c r="P17" s="1"/>
      <c r="Q17" s="1"/>
      <c r="R17" s="25"/>
      <c r="S17" s="25"/>
    </row>
    <row r="18" spans="1:19" ht="15" hidden="1" customHeight="1" x14ac:dyDescent="0.3">
      <c r="A18" s="18"/>
      <c r="B18" s="38" t="s">
        <v>43</v>
      </c>
      <c r="C18" s="37">
        <v>0.5</v>
      </c>
      <c r="D18" s="39">
        <f>D22</f>
        <v>13.6</v>
      </c>
      <c r="E18" s="39">
        <v>0.6</v>
      </c>
      <c r="F18" s="39">
        <v>1</v>
      </c>
      <c r="G18" s="40">
        <f>0*PRODUCT(C18:F18)</f>
        <v>0</v>
      </c>
      <c r="H18" s="41"/>
      <c r="I18" s="41"/>
      <c r="J18" s="41"/>
      <c r="K18" s="21"/>
      <c r="M18" s="25"/>
      <c r="N18" s="1"/>
      <c r="O18" s="1"/>
      <c r="P18" s="1"/>
      <c r="Q18" s="1"/>
      <c r="R18" s="25"/>
      <c r="S18" s="25"/>
    </row>
    <row r="19" spans="1:19" ht="15" hidden="1" customHeight="1" x14ac:dyDescent="0.3">
      <c r="A19" s="18"/>
      <c r="B19" s="38" t="s">
        <v>42</v>
      </c>
      <c r="C19" s="19"/>
      <c r="D19" s="20"/>
      <c r="E19" s="21"/>
      <c r="F19" s="21"/>
      <c r="G19" s="23">
        <f>SUM(G18:G18)</f>
        <v>0</v>
      </c>
      <c r="H19" s="22" t="s">
        <v>41</v>
      </c>
      <c r="I19" s="23">
        <v>404.28</v>
      </c>
      <c r="J19" s="42">
        <f>G19*I19</f>
        <v>0</v>
      </c>
      <c r="K19" s="21"/>
      <c r="M19" s="25"/>
      <c r="N19" s="1"/>
      <c r="O19" s="1"/>
      <c r="P19" s="1"/>
      <c r="Q19" s="1"/>
      <c r="R19" s="25"/>
      <c r="S19" s="25"/>
    </row>
    <row r="20" spans="1:19" ht="15" hidden="1" customHeight="1" x14ac:dyDescent="0.3">
      <c r="A20" s="18"/>
      <c r="B20" s="38"/>
      <c r="C20" s="19"/>
      <c r="D20" s="20"/>
      <c r="E20" s="21"/>
      <c r="F20" s="21"/>
      <c r="G20" s="23"/>
      <c r="H20" s="22"/>
      <c r="I20" s="23"/>
      <c r="J20" s="42"/>
      <c r="K20" s="21"/>
      <c r="M20" s="25"/>
      <c r="N20" s="1"/>
      <c r="O20" s="1"/>
      <c r="P20" s="1"/>
      <c r="Q20" s="1"/>
      <c r="R20" s="25"/>
      <c r="S20" s="25"/>
    </row>
    <row r="21" spans="1:19" ht="82.8" x14ac:dyDescent="0.3">
      <c r="A21" s="18">
        <v>2</v>
      </c>
      <c r="B21" s="30" t="s">
        <v>45</v>
      </c>
      <c r="C21" s="19"/>
      <c r="D21" s="20"/>
      <c r="E21" s="21"/>
      <c r="F21" s="21"/>
      <c r="G21" s="23"/>
      <c r="H21" s="22"/>
      <c r="I21" s="23"/>
      <c r="J21" s="42"/>
      <c r="K21" s="21"/>
      <c r="M21" s="25"/>
      <c r="N21" s="1"/>
      <c r="O21" s="1"/>
      <c r="P21" s="1"/>
      <c r="Q21" s="1"/>
      <c r="R21" s="25"/>
      <c r="S21" s="25"/>
    </row>
    <row r="22" spans="1:19" ht="15" customHeight="1" x14ac:dyDescent="0.3">
      <c r="A22" s="18"/>
      <c r="B22" s="38" t="s">
        <v>43</v>
      </c>
      <c r="C22" s="37">
        <v>1</v>
      </c>
      <c r="D22" s="39">
        <f>D30</f>
        <v>13.6</v>
      </c>
      <c r="E22" s="39">
        <f>E30</f>
        <v>1.7</v>
      </c>
      <c r="F22" s="39">
        <v>0.15</v>
      </c>
      <c r="G22" s="40">
        <f>PRODUCT(C22:F22)</f>
        <v>3.4679999999999995</v>
      </c>
      <c r="H22" s="41"/>
      <c r="I22" s="41"/>
      <c r="J22" s="41"/>
      <c r="K22" s="21"/>
      <c r="M22" s="25"/>
      <c r="N22" s="1"/>
      <c r="O22" s="1"/>
      <c r="P22" s="1"/>
      <c r="Q22" s="1"/>
      <c r="R22" s="25"/>
      <c r="S22" s="25"/>
    </row>
    <row r="23" spans="1:19" ht="15" customHeight="1" x14ac:dyDescent="0.3">
      <c r="A23" s="18"/>
      <c r="B23" s="38" t="s">
        <v>70</v>
      </c>
      <c r="C23" s="37">
        <v>1</v>
      </c>
      <c r="D23" s="39">
        <v>10</v>
      </c>
      <c r="E23" s="39">
        <v>0.45</v>
      </c>
      <c r="F23" s="39">
        <v>0.15</v>
      </c>
      <c r="G23" s="40">
        <f t="shared" ref="G23:G24" si="1">PRODUCT(C23:F23)</f>
        <v>0.67499999999999993</v>
      </c>
      <c r="H23" s="41"/>
      <c r="I23" s="41"/>
      <c r="J23" s="41"/>
      <c r="K23" s="21"/>
      <c r="M23" s="25"/>
      <c r="N23" s="1"/>
      <c r="O23" s="1"/>
      <c r="P23" s="1"/>
      <c r="Q23" s="1"/>
      <c r="R23" s="25"/>
      <c r="S23" s="25"/>
    </row>
    <row r="24" spans="1:19" ht="15" customHeight="1" x14ac:dyDescent="0.3">
      <c r="A24" s="18"/>
      <c r="B24" s="38"/>
      <c r="C24" s="37">
        <v>1</v>
      </c>
      <c r="D24" s="39">
        <v>10</v>
      </c>
      <c r="E24" s="39">
        <v>0.6</v>
      </c>
      <c r="F24" s="39">
        <v>0.15</v>
      </c>
      <c r="G24" s="40">
        <f t="shared" si="1"/>
        <v>0.89999999999999991</v>
      </c>
      <c r="H24" s="41"/>
      <c r="I24" s="41"/>
      <c r="J24" s="41"/>
      <c r="K24" s="21"/>
      <c r="M24" s="25"/>
      <c r="N24" s="1"/>
      <c r="O24" s="1"/>
      <c r="P24" s="1"/>
      <c r="Q24" s="1"/>
      <c r="R24" s="25"/>
      <c r="S24" s="25"/>
    </row>
    <row r="25" spans="1:19" ht="15" hidden="1" customHeight="1" x14ac:dyDescent="0.3">
      <c r="A25" s="18"/>
      <c r="B25" s="38" t="s">
        <v>57</v>
      </c>
      <c r="C25" s="37">
        <v>0</v>
      </c>
      <c r="D25" s="39">
        <f>D13</f>
        <v>11.889667784212129</v>
      </c>
      <c r="E25" s="39">
        <f>E13</f>
        <v>1.3</v>
      </c>
      <c r="F25" s="39">
        <v>0.15</v>
      </c>
      <c r="G25" s="40">
        <f>PRODUCT(C25:F25)</f>
        <v>0</v>
      </c>
      <c r="H25" s="41"/>
      <c r="I25" s="41"/>
      <c r="J25" s="41"/>
      <c r="K25" s="21"/>
      <c r="M25" s="25"/>
      <c r="N25" s="1"/>
      <c r="O25" s="1"/>
      <c r="P25" s="1"/>
      <c r="Q25" s="1"/>
      <c r="R25" s="25"/>
      <c r="S25" s="25"/>
    </row>
    <row r="26" spans="1:19" ht="15" customHeight="1" x14ac:dyDescent="0.3">
      <c r="A26" s="41"/>
      <c r="B26" s="38" t="s">
        <v>42</v>
      </c>
      <c r="C26" s="43"/>
      <c r="D26" s="44"/>
      <c r="E26" s="44"/>
      <c r="F26" s="44"/>
      <c r="G26" s="34">
        <f>SUM(G22:G25)</f>
        <v>5.0429999999999993</v>
      </c>
      <c r="H26" s="34" t="s">
        <v>41</v>
      </c>
      <c r="I26" s="34">
        <v>4561.53</v>
      </c>
      <c r="J26" s="45">
        <f>G26*I26</f>
        <v>23003.795789999996</v>
      </c>
      <c r="K26" s="37"/>
    </row>
    <row r="27" spans="1:19" x14ac:dyDescent="0.3">
      <c r="A27" s="41"/>
      <c r="B27" s="38" t="s">
        <v>40</v>
      </c>
      <c r="C27" s="43"/>
      <c r="D27" s="44"/>
      <c r="E27" s="44"/>
      <c r="F27" s="44"/>
      <c r="G27" s="44"/>
      <c r="H27" s="44"/>
      <c r="I27" s="44"/>
      <c r="J27" s="46">
        <f>0.13*G26*(15452.6/5)</f>
        <v>2026.1140067999997</v>
      </c>
      <c r="K27" s="37"/>
    </row>
    <row r="28" spans="1:19" x14ac:dyDescent="0.3">
      <c r="A28" s="41"/>
      <c r="B28" s="38"/>
      <c r="C28" s="43"/>
      <c r="D28" s="44"/>
      <c r="E28" s="44"/>
      <c r="F28" s="44"/>
      <c r="G28" s="44"/>
      <c r="H28" s="44"/>
      <c r="I28" s="44"/>
      <c r="J28" s="46"/>
      <c r="K28" s="37"/>
    </row>
    <row r="29" spans="1:19" ht="69" x14ac:dyDescent="0.3">
      <c r="A29" s="18">
        <v>3</v>
      </c>
      <c r="B29" s="30" t="s">
        <v>44</v>
      </c>
      <c r="C29" s="19"/>
      <c r="D29" s="20"/>
      <c r="E29" s="21"/>
      <c r="F29" s="21"/>
      <c r="G29" s="23"/>
      <c r="H29" s="22"/>
      <c r="I29" s="23"/>
      <c r="J29" s="42"/>
      <c r="K29" s="21"/>
      <c r="M29" s="25"/>
      <c r="N29" s="1"/>
      <c r="O29" s="1"/>
      <c r="P29" s="1"/>
      <c r="Q29" s="1"/>
      <c r="R29" s="25"/>
      <c r="S29" s="25"/>
    </row>
    <row r="30" spans="1:19" ht="15" customHeight="1" x14ac:dyDescent="0.3">
      <c r="A30" s="18"/>
      <c r="B30" s="38" t="s">
        <v>52</v>
      </c>
      <c r="C30" s="37">
        <v>1</v>
      </c>
      <c r="D30" s="39">
        <f>D38</f>
        <v>13.6</v>
      </c>
      <c r="E30" s="39">
        <f>F38/2</f>
        <v>1.7</v>
      </c>
      <c r="F30" s="39">
        <v>7.4999999999999997E-2</v>
      </c>
      <c r="G30" s="40">
        <f>PRODUCT(C30:F30)</f>
        <v>1.7339999999999998</v>
      </c>
      <c r="H30" s="41"/>
      <c r="I30" s="41"/>
      <c r="J30" s="41"/>
      <c r="K30" s="21"/>
      <c r="M30" s="25"/>
      <c r="N30" s="1"/>
      <c r="O30" s="1"/>
      <c r="P30" s="1"/>
      <c r="Q30" s="1"/>
      <c r="R30" s="25"/>
      <c r="S30" s="25"/>
    </row>
    <row r="31" spans="1:19" ht="15" customHeight="1" x14ac:dyDescent="0.3">
      <c r="A31" s="18"/>
      <c r="B31" s="38"/>
      <c r="C31" s="37">
        <v>1</v>
      </c>
      <c r="D31" s="39">
        <f>D30</f>
        <v>13.6</v>
      </c>
      <c r="E31" s="39">
        <v>0.5</v>
      </c>
      <c r="F31" s="39">
        <v>0.05</v>
      </c>
      <c r="G31" s="40">
        <f>PRODUCT(C31:F31)</f>
        <v>0.34</v>
      </c>
      <c r="H31" s="41"/>
      <c r="I31" s="41"/>
      <c r="J31" s="41"/>
      <c r="K31" s="21"/>
      <c r="M31" s="25"/>
      <c r="N31" s="1"/>
      <c r="O31" s="1"/>
      <c r="P31" s="1"/>
      <c r="Q31" s="1"/>
      <c r="R31" s="25"/>
      <c r="S31" s="25"/>
    </row>
    <row r="32" spans="1:19" ht="15" hidden="1" customHeight="1" x14ac:dyDescent="0.3">
      <c r="A32" s="18"/>
      <c r="B32" s="38" t="s">
        <v>57</v>
      </c>
      <c r="C32" s="37">
        <f>C25</f>
        <v>0</v>
      </c>
      <c r="D32" s="39">
        <f>D25</f>
        <v>11.889667784212129</v>
      </c>
      <c r="E32" s="39">
        <f>E25</f>
        <v>1.3</v>
      </c>
      <c r="F32" s="39">
        <v>0.05</v>
      </c>
      <c r="G32" s="40">
        <f>0*PRODUCT(C32:F32)</f>
        <v>0</v>
      </c>
      <c r="H32" s="41"/>
      <c r="I32" s="41"/>
      <c r="J32" s="41"/>
      <c r="K32" s="21"/>
      <c r="M32" s="25"/>
      <c r="N32" s="1"/>
      <c r="O32" s="1"/>
      <c r="P32" s="1"/>
      <c r="Q32" s="1"/>
      <c r="R32" s="25"/>
      <c r="S32" s="25"/>
    </row>
    <row r="33" spans="1:19" ht="15" hidden="1" customHeight="1" x14ac:dyDescent="0.3">
      <c r="A33" s="18"/>
      <c r="B33" s="38" t="s">
        <v>65</v>
      </c>
      <c r="C33" s="37">
        <v>1</v>
      </c>
      <c r="D33" s="39">
        <f>D60</f>
        <v>3.8860103626943006</v>
      </c>
      <c r="E33" s="39">
        <v>0.23</v>
      </c>
      <c r="F33" s="39">
        <v>0.05</v>
      </c>
      <c r="G33" s="40">
        <f>0*PRODUCT(C33:F33)</f>
        <v>0</v>
      </c>
      <c r="H33" s="41"/>
      <c r="I33" s="41"/>
      <c r="J33" s="41"/>
      <c r="K33" s="21"/>
      <c r="M33" s="25"/>
      <c r="N33" s="1"/>
      <c r="O33" s="1"/>
      <c r="P33" s="1"/>
      <c r="Q33" s="1"/>
      <c r="R33" s="25"/>
      <c r="S33" s="25"/>
    </row>
    <row r="34" spans="1:19" ht="15" customHeight="1" x14ac:dyDescent="0.3">
      <c r="A34" s="41"/>
      <c r="B34" s="38" t="s">
        <v>42</v>
      </c>
      <c r="C34" s="43"/>
      <c r="D34" s="44"/>
      <c r="E34" s="44"/>
      <c r="F34" s="44"/>
      <c r="G34" s="34">
        <f>SUM(G30:G33)</f>
        <v>2.0739999999999998</v>
      </c>
      <c r="H34" s="34" t="s">
        <v>41</v>
      </c>
      <c r="I34" s="34">
        <v>10634.5</v>
      </c>
      <c r="J34" s="45">
        <f>G34*I34</f>
        <v>22055.952999999998</v>
      </c>
      <c r="K34" s="37"/>
    </row>
    <row r="35" spans="1:19" ht="15" customHeight="1" x14ac:dyDescent="0.3">
      <c r="A35" s="41"/>
      <c r="B35" s="38" t="s">
        <v>40</v>
      </c>
      <c r="C35" s="43"/>
      <c r="D35" s="44"/>
      <c r="E35" s="44"/>
      <c r="F35" s="44"/>
      <c r="G35" s="44"/>
      <c r="H35" s="44"/>
      <c r="I35" s="44"/>
      <c r="J35" s="46">
        <f>0.13*G34*((114907.3+6135.3)/15)</f>
        <v>2175.7003874666666</v>
      </c>
      <c r="K35" s="37"/>
    </row>
    <row r="36" spans="1:19" ht="15" customHeight="1" x14ac:dyDescent="0.3">
      <c r="A36" s="41"/>
      <c r="B36" s="38"/>
      <c r="C36" s="43"/>
      <c r="D36" s="44"/>
      <c r="E36" s="44"/>
      <c r="F36" s="44"/>
      <c r="G36" s="44"/>
      <c r="H36" s="44"/>
      <c r="I36" s="44"/>
      <c r="J36" s="46"/>
      <c r="K36" s="37"/>
    </row>
    <row r="37" spans="1:19" s="1" customFormat="1" ht="82.8" x14ac:dyDescent="0.3">
      <c r="A37" s="64">
        <v>4</v>
      </c>
      <c r="B37" s="30" t="s">
        <v>55</v>
      </c>
      <c r="C37" s="65"/>
      <c r="D37" s="40"/>
      <c r="E37" s="40"/>
      <c r="F37" s="40"/>
      <c r="G37" s="40"/>
      <c r="H37" s="40"/>
      <c r="I37" s="40"/>
      <c r="J37" s="46"/>
      <c r="K37" s="29"/>
    </row>
    <row r="38" spans="1:19" ht="15" customHeight="1" x14ac:dyDescent="0.3">
      <c r="A38" s="18"/>
      <c r="B38" s="38" t="s">
        <v>52</v>
      </c>
      <c r="C38" s="37">
        <v>1</v>
      </c>
      <c r="D38" s="39">
        <v>13.6</v>
      </c>
      <c r="E38" s="39">
        <f>((F38/2+0.5)/2)</f>
        <v>1.1000000000000001</v>
      </c>
      <c r="F38" s="39">
        <f>2.5+0.9</f>
        <v>3.4</v>
      </c>
      <c r="G38" s="40">
        <f>PRODUCT(C38:F38)</f>
        <v>50.864000000000004</v>
      </c>
      <c r="H38" s="41"/>
      <c r="I38" s="41"/>
      <c r="J38" s="41"/>
      <c r="K38" s="21"/>
      <c r="M38" s="25"/>
      <c r="N38" s="1"/>
      <c r="O38" s="1"/>
      <c r="P38" s="1"/>
      <c r="Q38" s="1"/>
      <c r="R38" s="25"/>
      <c r="S38" s="25"/>
    </row>
    <row r="39" spans="1:19" ht="15" customHeight="1" x14ac:dyDescent="0.3">
      <c r="A39" s="41"/>
      <c r="B39" s="38" t="s">
        <v>42</v>
      </c>
      <c r="C39" s="43"/>
      <c r="D39" s="44"/>
      <c r="E39" s="44"/>
      <c r="F39" s="44"/>
      <c r="G39" s="34">
        <f>SUM(G38:G38)</f>
        <v>50.864000000000004</v>
      </c>
      <c r="H39" s="34" t="s">
        <v>41</v>
      </c>
      <c r="I39" s="34">
        <v>9709.43</v>
      </c>
      <c r="J39" s="45">
        <f>G39*I39</f>
        <v>493860.44752000005</v>
      </c>
      <c r="K39" s="37"/>
    </row>
    <row r="40" spans="1:19" ht="15" customHeight="1" x14ac:dyDescent="0.3">
      <c r="A40" s="41"/>
      <c r="B40" s="38" t="s">
        <v>40</v>
      </c>
      <c r="C40" s="43"/>
      <c r="D40" s="44"/>
      <c r="E40" s="44"/>
      <c r="F40" s="44"/>
      <c r="G40" s="44"/>
      <c r="H40" s="44"/>
      <c r="I40" s="44"/>
      <c r="J40" s="46">
        <f>0.13*G39*((27092.1)/5)</f>
        <v>35828.3269344</v>
      </c>
      <c r="K40" s="37"/>
    </row>
    <row r="41" spans="1:19" ht="15" customHeight="1" x14ac:dyDescent="0.3">
      <c r="A41" s="41"/>
      <c r="B41" s="38"/>
      <c r="C41" s="43"/>
      <c r="D41" s="44"/>
      <c r="E41" s="44"/>
      <c r="F41" s="44"/>
      <c r="G41" s="44"/>
      <c r="H41" s="44"/>
      <c r="I41" s="44"/>
      <c r="J41" s="46"/>
      <c r="K41" s="37"/>
    </row>
    <row r="42" spans="1:19" s="1" customFormat="1" ht="69" x14ac:dyDescent="0.3">
      <c r="A42" s="64">
        <v>5</v>
      </c>
      <c r="B42" s="30" t="s">
        <v>71</v>
      </c>
      <c r="C42" s="65" t="s">
        <v>7</v>
      </c>
      <c r="D42" s="68" t="s">
        <v>72</v>
      </c>
      <c r="E42" s="68" t="s">
        <v>73</v>
      </c>
      <c r="F42" s="68" t="s">
        <v>74</v>
      </c>
      <c r="G42" s="40"/>
      <c r="H42" s="40"/>
      <c r="I42" s="40"/>
      <c r="J42" s="46"/>
      <c r="K42" s="29"/>
    </row>
    <row r="43" spans="1:19" ht="15" customHeight="1" x14ac:dyDescent="0.3">
      <c r="A43" s="41"/>
      <c r="B43" s="38" t="str">
        <f>B39</f>
        <v>Sub-total</v>
      </c>
      <c r="C43" s="43">
        <f>TRUNC(D44/0.15,0)</f>
        <v>62</v>
      </c>
      <c r="D43" s="44">
        <f>0.6</f>
        <v>0.6</v>
      </c>
      <c r="E43" s="44">
        <f>10*10/162</f>
        <v>0.61728395061728392</v>
      </c>
      <c r="F43" s="44">
        <f>PRODUCT(C43:E43)</f>
        <v>22.962962962962958</v>
      </c>
      <c r="G43" s="44">
        <f>F43/1000</f>
        <v>2.2962962962962959E-2</v>
      </c>
      <c r="H43" s="44"/>
      <c r="I43" s="44"/>
      <c r="J43" s="46"/>
      <c r="K43" s="37"/>
    </row>
    <row r="44" spans="1:19" x14ac:dyDescent="0.3">
      <c r="A44" s="5"/>
      <c r="B44" s="5"/>
      <c r="C44" s="43">
        <f>TRUNC(D43/0.15,0)+1</f>
        <v>5</v>
      </c>
      <c r="D44" s="69">
        <f>10-0.6</f>
        <v>9.4</v>
      </c>
      <c r="E44" s="44">
        <f>10*10/162</f>
        <v>0.61728395061728392</v>
      </c>
      <c r="F44" s="44">
        <f>PRODUCT(C44:E44)</f>
        <v>29.012345679012345</v>
      </c>
      <c r="G44" s="44">
        <f>F44/1000</f>
        <v>2.9012345679012345E-2</v>
      </c>
      <c r="H44" s="5"/>
      <c r="I44" s="5"/>
      <c r="J44" s="5"/>
      <c r="K44" s="5"/>
      <c r="M44" s="70"/>
      <c r="N44" s="70"/>
    </row>
    <row r="45" spans="1:19" ht="15" customHeight="1" x14ac:dyDescent="0.3">
      <c r="A45" s="41"/>
      <c r="B45" s="38" t="s">
        <v>42</v>
      </c>
      <c r="C45" s="43"/>
      <c r="D45" s="44"/>
      <c r="E45" s="44"/>
      <c r="F45" s="44"/>
      <c r="G45" s="34">
        <f>SUM(G43:G44)</f>
        <v>5.1975308641975304E-2</v>
      </c>
      <c r="H45" s="34" t="s">
        <v>75</v>
      </c>
      <c r="I45" s="34">
        <v>124140</v>
      </c>
      <c r="J45" s="45">
        <f>G45*I45</f>
        <v>6452.2148148148144</v>
      </c>
      <c r="K45" s="37"/>
    </row>
    <row r="46" spans="1:19" ht="15" customHeight="1" x14ac:dyDescent="0.3">
      <c r="A46" s="41"/>
      <c r="B46" s="38" t="s">
        <v>40</v>
      </c>
      <c r="C46" s="43"/>
      <c r="D46" s="44"/>
      <c r="E46" s="44"/>
      <c r="F46" s="44"/>
      <c r="G46" s="44"/>
      <c r="H46" s="44"/>
      <c r="I46" s="44"/>
      <c r="J46" s="46">
        <f>0.13*G45*110960</f>
        <v>749.73343209876532</v>
      </c>
      <c r="K46" s="37"/>
    </row>
    <row r="47" spans="1:19" ht="11.25" customHeight="1" x14ac:dyDescent="0.3">
      <c r="A47" s="5"/>
      <c r="B47" s="5"/>
      <c r="C47" s="5"/>
      <c r="D47" s="5"/>
      <c r="E47" s="5"/>
      <c r="F47" s="5"/>
      <c r="G47" s="5"/>
      <c r="H47" s="5"/>
      <c r="I47" s="5"/>
      <c r="J47" s="5"/>
      <c r="K47" s="5"/>
    </row>
    <row r="48" spans="1:19" s="1" customFormat="1" ht="69" x14ac:dyDescent="0.3">
      <c r="A48" s="64">
        <v>6</v>
      </c>
      <c r="B48" s="30" t="s">
        <v>76</v>
      </c>
      <c r="C48" s="65"/>
      <c r="D48" s="40"/>
      <c r="E48" s="40"/>
      <c r="F48" s="40"/>
      <c r="G48" s="40"/>
      <c r="H48" s="40"/>
      <c r="I48" s="40"/>
      <c r="J48" s="46"/>
      <c r="K48" s="29"/>
    </row>
    <row r="49" spans="1:19" x14ac:dyDescent="0.3">
      <c r="A49" s="41"/>
      <c r="B49" s="24" t="str">
        <f>B39</f>
        <v>Sub-total</v>
      </c>
      <c r="C49" s="43">
        <f>1</f>
        <v>1</v>
      </c>
      <c r="D49" s="44">
        <v>10</v>
      </c>
      <c r="E49" s="44">
        <v>0.6</v>
      </c>
      <c r="F49" s="44">
        <v>0.15</v>
      </c>
      <c r="G49" s="40">
        <f>PRODUCT(C49:F49)</f>
        <v>0.89999999999999991</v>
      </c>
      <c r="H49" s="44"/>
      <c r="I49" s="44"/>
      <c r="J49" s="46"/>
      <c r="K49" s="37"/>
    </row>
    <row r="50" spans="1:19" ht="15" customHeight="1" x14ac:dyDescent="0.3">
      <c r="A50" s="41"/>
      <c r="B50" s="38" t="s">
        <v>42</v>
      </c>
      <c r="C50" s="43"/>
      <c r="D50" s="44"/>
      <c r="E50" s="44"/>
      <c r="F50" s="44"/>
      <c r="G50" s="34">
        <f>SUM(G49:G49)</f>
        <v>0.89999999999999991</v>
      </c>
      <c r="H50" s="34" t="s">
        <v>41</v>
      </c>
      <c r="I50" s="34">
        <v>11588.17</v>
      </c>
      <c r="J50" s="45">
        <f>G50*I50</f>
        <v>10429.352999999999</v>
      </c>
      <c r="K50" s="37"/>
    </row>
    <row r="51" spans="1:19" ht="15" customHeight="1" x14ac:dyDescent="0.3">
      <c r="A51" s="41"/>
      <c r="B51" s="38" t="s">
        <v>40</v>
      </c>
      <c r="C51" s="43"/>
      <c r="D51" s="44"/>
      <c r="E51" s="44"/>
      <c r="F51" s="44"/>
      <c r="G51" s="44"/>
      <c r="H51" s="44"/>
      <c r="I51" s="44"/>
      <c r="J51" s="46">
        <f>0.13*G50*((128662.2+6685.5)/15)</f>
        <v>1055.7120600000001</v>
      </c>
      <c r="K51" s="37"/>
    </row>
    <row r="52" spans="1:19" ht="15" customHeight="1" x14ac:dyDescent="0.3">
      <c r="A52" s="41"/>
      <c r="B52" s="38"/>
      <c r="C52" s="43"/>
      <c r="D52" s="44"/>
      <c r="E52" s="44"/>
      <c r="F52" s="44"/>
      <c r="G52" s="44"/>
      <c r="H52" s="44"/>
      <c r="I52" s="44"/>
      <c r="J52" s="46"/>
      <c r="K52" s="37"/>
    </row>
    <row r="53" spans="1:19" ht="82.8" x14ac:dyDescent="0.3">
      <c r="A53" s="18">
        <v>7</v>
      </c>
      <c r="B53" s="30" t="s">
        <v>77</v>
      </c>
      <c r="C53" s="19">
        <v>4</v>
      </c>
      <c r="D53" s="20">
        <v>2.5</v>
      </c>
      <c r="E53" s="21"/>
      <c r="F53" s="21"/>
      <c r="G53" s="35">
        <f>PRODUCT(C53:F53)</f>
        <v>10</v>
      </c>
      <c r="H53" s="5"/>
      <c r="I53" s="5"/>
      <c r="J53" s="5"/>
      <c r="K53" s="21"/>
      <c r="M53" s="25"/>
      <c r="N53" s="1"/>
      <c r="O53" s="1"/>
      <c r="P53" s="1"/>
      <c r="Q53" s="1"/>
      <c r="R53" s="25"/>
      <c r="S53" s="25"/>
    </row>
    <row r="54" spans="1:19" ht="15" customHeight="1" x14ac:dyDescent="0.3">
      <c r="A54" s="18"/>
      <c r="B54" s="38" t="s">
        <v>42</v>
      </c>
      <c r="C54" s="37"/>
      <c r="D54" s="39"/>
      <c r="E54" s="39"/>
      <c r="F54" s="39"/>
      <c r="G54" s="35">
        <f>SUM(G53)</f>
        <v>10</v>
      </c>
      <c r="H54" s="22" t="s">
        <v>78</v>
      </c>
      <c r="I54" s="23">
        <v>5144.96</v>
      </c>
      <c r="J54" s="35">
        <f>G54*I54</f>
        <v>51449.599999999999</v>
      </c>
      <c r="K54" s="21"/>
      <c r="M54" s="25"/>
      <c r="N54" s="1"/>
      <c r="O54" s="1"/>
      <c r="P54" s="1"/>
      <c r="Q54" s="1"/>
      <c r="R54" s="25"/>
      <c r="S54" s="25"/>
    </row>
    <row r="55" spans="1:19" ht="15" customHeight="1" x14ac:dyDescent="0.3">
      <c r="A55" s="18"/>
      <c r="B55" s="38" t="s">
        <v>40</v>
      </c>
      <c r="C55" s="37"/>
      <c r="D55" s="39"/>
      <c r="E55" s="39"/>
      <c r="F55" s="39"/>
      <c r="G55" s="40"/>
      <c r="H55" s="41"/>
      <c r="I55" s="41"/>
      <c r="J55" s="46">
        <f>0.13*G54*57364.6/12.5</f>
        <v>5965.9183999999996</v>
      </c>
      <c r="K55" s="21"/>
      <c r="M55" s="25"/>
      <c r="N55" s="1"/>
      <c r="O55" s="1"/>
      <c r="P55" s="1"/>
      <c r="Q55" s="1"/>
      <c r="R55" s="25"/>
      <c r="S55" s="25"/>
    </row>
    <row r="56" spans="1:19" ht="15" customHeight="1" x14ac:dyDescent="0.3">
      <c r="A56" s="41"/>
      <c r="B56" s="38"/>
      <c r="C56" s="43"/>
      <c r="D56" s="44"/>
      <c r="E56" s="44"/>
      <c r="F56" s="44"/>
      <c r="G56" s="44"/>
      <c r="H56" s="44"/>
      <c r="I56" s="44"/>
      <c r="J56" s="46"/>
      <c r="K56" s="37"/>
    </row>
    <row r="57" spans="1:19" ht="30.6" hidden="1" x14ac:dyDescent="0.3">
      <c r="A57" s="41">
        <v>6</v>
      </c>
      <c r="B57" s="66" t="s">
        <v>58</v>
      </c>
      <c r="C57" s="43"/>
      <c r="D57" s="44"/>
      <c r="E57" s="44"/>
      <c r="F57" s="44"/>
      <c r="G57" s="44"/>
      <c r="H57" s="44"/>
      <c r="I57" s="44"/>
      <c r="J57" s="46"/>
      <c r="K57" s="37"/>
    </row>
    <row r="58" spans="1:19" ht="15" hidden="1" customHeight="1" x14ac:dyDescent="0.3">
      <c r="A58" s="18"/>
      <c r="B58" s="38" t="s">
        <v>52</v>
      </c>
      <c r="C58" s="37">
        <v>1</v>
      </c>
      <c r="D58" s="39">
        <f>(11.17+11.17+12.333+4.42)/3.281</f>
        <v>11.914964949710455</v>
      </c>
      <c r="E58" s="39">
        <v>0.23</v>
      </c>
      <c r="F58" s="39">
        <v>0.45</v>
      </c>
      <c r="G58" s="40">
        <f>PRODUCT(C58:F58)</f>
        <v>1.2331988722950322</v>
      </c>
      <c r="H58" s="41"/>
      <c r="I58" s="41"/>
      <c r="J58" s="41"/>
      <c r="K58" s="21"/>
      <c r="M58" s="25"/>
      <c r="N58" s="1"/>
      <c r="O58" s="1"/>
      <c r="P58" s="1"/>
      <c r="Q58" s="1"/>
      <c r="R58" s="25"/>
      <c r="S58" s="25"/>
    </row>
    <row r="59" spans="1:19" ht="15" hidden="1" customHeight="1" x14ac:dyDescent="0.3">
      <c r="A59" s="18"/>
      <c r="B59" s="38" t="s">
        <v>57</v>
      </c>
      <c r="C59" s="37">
        <f>31</f>
        <v>31</v>
      </c>
      <c r="D59" s="39">
        <f>1.3-0.23</f>
        <v>1.07</v>
      </c>
      <c r="E59" s="39">
        <v>0.15</v>
      </c>
      <c r="F59" s="39">
        <v>0.15</v>
      </c>
      <c r="G59" s="40">
        <f>PRODUCT(C59:F59)</f>
        <v>0.74632500000000002</v>
      </c>
      <c r="H59" s="41"/>
      <c r="I59" s="41"/>
      <c r="J59" s="41"/>
      <c r="K59" s="21"/>
      <c r="M59" s="25"/>
      <c r="N59" s="1"/>
      <c r="O59" s="1"/>
      <c r="P59" s="1"/>
      <c r="Q59" s="1"/>
      <c r="R59" s="25"/>
      <c r="S59" s="25"/>
    </row>
    <row r="60" spans="1:19" ht="15" hidden="1" customHeight="1" x14ac:dyDescent="0.3">
      <c r="A60" s="18"/>
      <c r="B60" s="38" t="s">
        <v>64</v>
      </c>
      <c r="C60" s="37">
        <v>1</v>
      </c>
      <c r="D60" s="39">
        <f>12.75/3.281</f>
        <v>3.8860103626943006</v>
      </c>
      <c r="E60" s="39">
        <v>0.23</v>
      </c>
      <c r="F60" s="39">
        <v>0.6</v>
      </c>
      <c r="G60" s="40">
        <f>PRODUCT(C60:F60)</f>
        <v>0.53626943005181349</v>
      </c>
      <c r="H60" s="41"/>
      <c r="I60" s="41"/>
      <c r="J60" s="41"/>
      <c r="K60" s="21"/>
      <c r="M60" s="25"/>
      <c r="N60" s="1"/>
      <c r="O60" s="1"/>
      <c r="P60" s="1"/>
      <c r="Q60" s="1"/>
      <c r="R60" s="25"/>
      <c r="S60" s="25"/>
    </row>
    <row r="61" spans="1:19" ht="15" hidden="1" customHeight="1" x14ac:dyDescent="0.3">
      <c r="A61" s="41"/>
      <c r="B61" s="38" t="s">
        <v>42</v>
      </c>
      <c r="C61" s="43"/>
      <c r="D61" s="44"/>
      <c r="E61" s="44"/>
      <c r="F61" s="44"/>
      <c r="G61" s="34">
        <f>0*SUM(G58:G60)</f>
        <v>0</v>
      </c>
      <c r="H61" s="34" t="s">
        <v>41</v>
      </c>
      <c r="I61" s="34">
        <v>14362.76</v>
      </c>
      <c r="J61" s="45">
        <f>G61*I61</f>
        <v>0</v>
      </c>
      <c r="K61" s="37"/>
    </row>
    <row r="62" spans="1:19" ht="15" hidden="1" customHeight="1" x14ac:dyDescent="0.3">
      <c r="A62" s="41"/>
      <c r="B62" s="38" t="s">
        <v>40</v>
      </c>
      <c r="C62" s="43"/>
      <c r="D62" s="44"/>
      <c r="E62" s="44"/>
      <c r="F62" s="44"/>
      <c r="G62" s="44"/>
      <c r="H62" s="44"/>
      <c r="I62" s="44"/>
      <c r="J62" s="46">
        <f>0.13*G61*10311.74</f>
        <v>0</v>
      </c>
      <c r="K62" s="37"/>
    </row>
    <row r="63" spans="1:19" ht="15" hidden="1" customHeight="1" x14ac:dyDescent="0.3">
      <c r="A63" s="41"/>
      <c r="B63" s="38"/>
      <c r="C63" s="43"/>
      <c r="D63" s="44"/>
      <c r="E63" s="44"/>
      <c r="F63" s="44"/>
      <c r="G63" s="44"/>
      <c r="H63" s="44"/>
      <c r="I63" s="44"/>
      <c r="J63" s="46"/>
      <c r="K63" s="37"/>
    </row>
    <row r="64" spans="1:19" ht="15.6" hidden="1" x14ac:dyDescent="0.3">
      <c r="A64" s="41">
        <v>7</v>
      </c>
      <c r="B64" s="66" t="s">
        <v>60</v>
      </c>
      <c r="C64" s="43"/>
      <c r="D64" s="44"/>
      <c r="E64" s="44"/>
      <c r="F64" s="44"/>
      <c r="G64" s="44"/>
      <c r="H64" s="44"/>
      <c r="I64" s="44"/>
      <c r="J64" s="46"/>
      <c r="K64" s="37"/>
    </row>
    <row r="65" spans="1:19" ht="15" hidden="1" customHeight="1" x14ac:dyDescent="0.3">
      <c r="A65" s="18"/>
      <c r="B65" s="38" t="s">
        <v>62</v>
      </c>
      <c r="C65" s="37">
        <v>1</v>
      </c>
      <c r="D65" s="39">
        <f>21.9+3.04</f>
        <v>24.939999999999998</v>
      </c>
      <c r="E65" s="39">
        <v>0.3</v>
      </c>
      <c r="F65" s="39"/>
      <c r="G65" s="40">
        <f>PRODUCT(C65:F65)</f>
        <v>7.4819999999999993</v>
      </c>
      <c r="H65" s="41"/>
      <c r="I65" s="41"/>
      <c r="J65" s="41"/>
      <c r="K65" s="21"/>
      <c r="M65" s="25"/>
      <c r="N65" s="1"/>
      <c r="O65" s="1"/>
      <c r="P65" s="1"/>
      <c r="Q65" s="1"/>
      <c r="R65" s="25"/>
      <c r="S65" s="25"/>
    </row>
    <row r="66" spans="1:19" ht="15" hidden="1" customHeight="1" x14ac:dyDescent="0.3">
      <c r="A66" s="18"/>
      <c r="B66" s="38"/>
      <c r="C66" s="37">
        <v>1</v>
      </c>
      <c r="D66" s="39">
        <f>13.917/3.281</f>
        <v>4.2416946053032607</v>
      </c>
      <c r="E66" s="39">
        <f>51.083/3.281</f>
        <v>15.569338616275525</v>
      </c>
      <c r="F66" s="39"/>
      <c r="G66" s="40">
        <f>PRODUCT(C66:F66)</f>
        <v>66.040379616795633</v>
      </c>
      <c r="H66" s="41"/>
      <c r="I66" s="41"/>
      <c r="J66" s="41"/>
      <c r="K66" s="21"/>
      <c r="M66" s="25"/>
      <c r="N66" s="1"/>
      <c r="O66" s="1"/>
      <c r="P66" s="1"/>
      <c r="Q66" s="1"/>
      <c r="R66" s="25"/>
      <c r="S66" s="25"/>
    </row>
    <row r="67" spans="1:19" ht="15" hidden="1" customHeight="1" x14ac:dyDescent="0.3">
      <c r="A67" s="18"/>
      <c r="B67" s="38"/>
      <c r="C67" s="37">
        <v>1</v>
      </c>
      <c r="D67" s="39">
        <f>22.17/3.281</f>
        <v>6.7570862541907957</v>
      </c>
      <c r="E67" s="39">
        <f>12.5/3.281</f>
        <v>3.8098140810728434</v>
      </c>
      <c r="F67" s="39"/>
      <c r="G67" s="40">
        <f>PRODUCT(C67:F67)</f>
        <v>25.743242358239847</v>
      </c>
      <c r="H67" s="41"/>
      <c r="I67" s="41"/>
      <c r="J67" s="41"/>
      <c r="K67" s="21"/>
      <c r="M67" s="25"/>
      <c r="N67" s="1"/>
      <c r="O67" s="1"/>
      <c r="P67" s="1"/>
      <c r="Q67" s="1"/>
      <c r="R67" s="25"/>
      <c r="S67" s="25"/>
    </row>
    <row r="68" spans="1:19" ht="15" hidden="1" customHeight="1" x14ac:dyDescent="0.3">
      <c r="A68" s="41"/>
      <c r="B68" s="38" t="s">
        <v>42</v>
      </c>
      <c r="C68" s="43"/>
      <c r="D68" s="44"/>
      <c r="E68" s="44"/>
      <c r="F68" s="44"/>
      <c r="G68" s="34">
        <f>0*SUM(G65:G67)</f>
        <v>0</v>
      </c>
      <c r="H68" s="34" t="s">
        <v>61</v>
      </c>
      <c r="I68" s="34">
        <f>35*10.7639</f>
        <v>376.73649999999998</v>
      </c>
      <c r="J68" s="45">
        <f>G68*I68</f>
        <v>0</v>
      </c>
      <c r="K68" s="37"/>
    </row>
    <row r="69" spans="1:19" ht="15" hidden="1" customHeight="1" x14ac:dyDescent="0.3">
      <c r="A69" s="41"/>
      <c r="B69" s="38" t="s">
        <v>40</v>
      </c>
      <c r="C69" s="43"/>
      <c r="D69" s="44"/>
      <c r="E69" s="44"/>
      <c r="F69" s="44"/>
      <c r="G69" s="44"/>
      <c r="H69" s="44"/>
      <c r="I69" s="44"/>
      <c r="J69" s="46">
        <f>0.13*J68</f>
        <v>0</v>
      </c>
      <c r="K69" s="37"/>
    </row>
    <row r="70" spans="1:19" ht="15" hidden="1" customHeight="1" x14ac:dyDescent="0.3">
      <c r="A70" s="41"/>
      <c r="B70" s="38"/>
      <c r="C70" s="43"/>
      <c r="D70" s="44"/>
      <c r="E70" s="44"/>
      <c r="F70" s="44"/>
      <c r="G70" s="44"/>
      <c r="H70" s="44"/>
      <c r="I70" s="44"/>
      <c r="J70" s="46"/>
      <c r="K70" s="37"/>
    </row>
    <row r="71" spans="1:19" ht="15.6" hidden="1" x14ac:dyDescent="0.3">
      <c r="A71" s="41">
        <v>8</v>
      </c>
      <c r="B71" s="66" t="s">
        <v>63</v>
      </c>
      <c r="C71" s="43"/>
      <c r="D71" s="44"/>
      <c r="E71" s="44"/>
      <c r="F71" s="44"/>
      <c r="G71" s="44"/>
      <c r="H71" s="44"/>
      <c r="I71" s="44"/>
      <c r="J71" s="46"/>
      <c r="K71" s="37"/>
    </row>
    <row r="72" spans="1:19" ht="15" hidden="1" customHeight="1" x14ac:dyDescent="0.3">
      <c r="A72" s="18"/>
      <c r="B72" s="38" t="s">
        <v>62</v>
      </c>
      <c r="C72" s="37">
        <v>1</v>
      </c>
      <c r="D72" s="39">
        <f>21.9+3.04</f>
        <v>24.939999999999998</v>
      </c>
      <c r="E72" s="39">
        <v>0.3</v>
      </c>
      <c r="F72" s="39"/>
      <c r="G72" s="40">
        <f>PRODUCT(C72:F72)</f>
        <v>7.4819999999999993</v>
      </c>
      <c r="H72" s="41"/>
      <c r="I72" s="41"/>
      <c r="J72" s="41"/>
      <c r="K72" s="21"/>
      <c r="M72" s="25"/>
      <c r="N72" s="1"/>
      <c r="O72" s="1"/>
      <c r="P72" s="1"/>
      <c r="Q72" s="1"/>
      <c r="R72" s="25"/>
      <c r="S72" s="25"/>
    </row>
    <row r="73" spans="1:19" ht="15" hidden="1" customHeight="1" x14ac:dyDescent="0.3">
      <c r="A73" s="18"/>
      <c r="B73" s="38"/>
      <c r="C73" s="37">
        <v>1</v>
      </c>
      <c r="D73" s="39">
        <f>13.917/3.281</f>
        <v>4.2416946053032607</v>
      </c>
      <c r="E73" s="39">
        <f>51.083/3.281</f>
        <v>15.569338616275525</v>
      </c>
      <c r="F73" s="39"/>
      <c r="G73" s="40">
        <f>PRODUCT(C73:F73)</f>
        <v>66.040379616795633</v>
      </c>
      <c r="H73" s="41"/>
      <c r="I73" s="41"/>
      <c r="J73" s="41"/>
      <c r="K73" s="21"/>
      <c r="M73" s="25"/>
      <c r="N73" s="1"/>
      <c r="O73" s="1"/>
      <c r="P73" s="1"/>
      <c r="Q73" s="1"/>
      <c r="R73" s="25"/>
      <c r="S73" s="25"/>
    </row>
    <row r="74" spans="1:19" ht="15" hidden="1" customHeight="1" x14ac:dyDescent="0.3">
      <c r="A74" s="18"/>
      <c r="B74" s="38"/>
      <c r="C74" s="37">
        <v>1</v>
      </c>
      <c r="D74" s="39">
        <f>22.17/3.281</f>
        <v>6.7570862541907957</v>
      </c>
      <c r="E74" s="39">
        <f>12.5/3.281</f>
        <v>3.8098140810728434</v>
      </c>
      <c r="F74" s="39"/>
      <c r="G74" s="40">
        <f>PRODUCT(C74:F74)</f>
        <v>25.743242358239847</v>
      </c>
      <c r="H74" s="41"/>
      <c r="I74" s="41"/>
      <c r="J74" s="41"/>
      <c r="K74" s="21"/>
      <c r="M74" s="25"/>
      <c r="N74" s="1"/>
      <c r="O74" s="1"/>
      <c r="P74" s="1"/>
      <c r="Q74" s="1"/>
      <c r="R74" s="25"/>
      <c r="S74" s="25"/>
    </row>
    <row r="75" spans="1:19" ht="15" hidden="1" customHeight="1" x14ac:dyDescent="0.3">
      <c r="A75" s="41"/>
      <c r="B75" s="38" t="s">
        <v>42</v>
      </c>
      <c r="C75" s="43"/>
      <c r="D75" s="44"/>
      <c r="E75" s="44"/>
      <c r="F75" s="44"/>
      <c r="G75" s="34">
        <f>0*SUM(G72:G74)</f>
        <v>0</v>
      </c>
      <c r="H75" s="34" t="s">
        <v>61</v>
      </c>
      <c r="I75" s="34">
        <f>23*10.7639</f>
        <v>247.56969999999998</v>
      </c>
      <c r="J75" s="45">
        <f>G75*I75</f>
        <v>0</v>
      </c>
      <c r="K75" s="37"/>
    </row>
    <row r="76" spans="1:19" ht="15" hidden="1" customHeight="1" x14ac:dyDescent="0.3">
      <c r="A76" s="41"/>
      <c r="B76" s="38"/>
      <c r="C76" s="43"/>
      <c r="D76" s="44"/>
      <c r="E76" s="44"/>
      <c r="F76" s="44"/>
      <c r="G76" s="34"/>
      <c r="H76" s="34"/>
      <c r="I76" s="34"/>
      <c r="J76" s="45"/>
      <c r="K76" s="37"/>
    </row>
    <row r="77" spans="1:19" ht="28.2" hidden="1" x14ac:dyDescent="0.3">
      <c r="A77" s="41">
        <v>9</v>
      </c>
      <c r="B77" s="67" t="s">
        <v>66</v>
      </c>
      <c r="C77" s="19">
        <v>1</v>
      </c>
      <c r="D77" s="20"/>
      <c r="E77" s="21"/>
      <c r="F77" s="21"/>
      <c r="G77" s="35">
        <f>0*PRODUCT(C77:F77)</f>
        <v>0</v>
      </c>
      <c r="H77" s="22" t="s">
        <v>67</v>
      </c>
      <c r="I77" s="23">
        <v>20000</v>
      </c>
      <c r="J77" s="35">
        <f>G77*I77</f>
        <v>0</v>
      </c>
      <c r="K77" s="37"/>
    </row>
    <row r="78" spans="1:19" ht="15" hidden="1" customHeight="1" x14ac:dyDescent="0.3">
      <c r="A78" s="41"/>
      <c r="B78" s="38"/>
      <c r="C78" s="43"/>
      <c r="D78" s="44"/>
      <c r="E78" s="44"/>
      <c r="F78" s="44"/>
      <c r="G78" s="34"/>
      <c r="H78" s="34"/>
      <c r="I78" s="34"/>
      <c r="J78" s="45"/>
      <c r="K78" s="37"/>
    </row>
    <row r="79" spans="1:19" ht="15" hidden="1" customHeight="1" x14ac:dyDescent="0.3">
      <c r="A79" s="41"/>
      <c r="B79" s="38"/>
      <c r="C79" s="43"/>
      <c r="D79" s="44"/>
      <c r="E79" s="44"/>
      <c r="F79" s="44"/>
      <c r="G79" s="34"/>
      <c r="H79" s="34"/>
      <c r="I79" s="34"/>
      <c r="J79" s="45"/>
      <c r="K79" s="37"/>
    </row>
    <row r="80" spans="1:19" ht="15" customHeight="1" x14ac:dyDescent="0.3">
      <c r="A80" s="18">
        <v>8</v>
      </c>
      <c r="B80" s="30" t="s">
        <v>30</v>
      </c>
      <c r="C80" s="19">
        <v>1</v>
      </c>
      <c r="D80" s="20"/>
      <c r="E80" s="21"/>
      <c r="F80" s="21"/>
      <c r="G80" s="35">
        <f t="shared" ref="G80" si="2">PRODUCT(C80:F80)</f>
        <v>1</v>
      </c>
      <c r="H80" s="22" t="s">
        <v>31</v>
      </c>
      <c r="I80" s="23">
        <v>500</v>
      </c>
      <c r="J80" s="35">
        <f>G80*I80</f>
        <v>500</v>
      </c>
      <c r="K80" s="21"/>
      <c r="M80" s="25"/>
      <c r="N80" s="1"/>
      <c r="O80" s="1"/>
      <c r="P80" s="1"/>
      <c r="Q80" s="1"/>
      <c r="R80" s="25"/>
      <c r="S80" s="25"/>
    </row>
    <row r="81" spans="1:19" ht="15" customHeight="1" x14ac:dyDescent="0.3">
      <c r="A81" s="18"/>
      <c r="B81" s="24"/>
      <c r="C81" s="19"/>
      <c r="D81" s="20"/>
      <c r="E81" s="21"/>
      <c r="F81" s="21"/>
      <c r="G81" s="23"/>
      <c r="H81" s="22"/>
      <c r="I81" s="23"/>
      <c r="J81" s="42"/>
      <c r="K81" s="21"/>
      <c r="M81" s="25"/>
      <c r="N81" s="1">
        <f>2.4*3.281</f>
        <v>7.8743999999999996</v>
      </c>
      <c r="O81" s="1"/>
      <c r="P81" s="1"/>
      <c r="Q81" s="1"/>
      <c r="R81" s="25"/>
      <c r="S81" s="25"/>
    </row>
    <row r="82" spans="1:19" x14ac:dyDescent="0.3">
      <c r="A82" s="41"/>
      <c r="B82" s="47" t="s">
        <v>17</v>
      </c>
      <c r="C82" s="48"/>
      <c r="D82" s="39"/>
      <c r="E82" s="39"/>
      <c r="F82" s="39"/>
      <c r="G82" s="42"/>
      <c r="H82" s="42"/>
      <c r="I82" s="42"/>
      <c r="J82" s="42">
        <f>SUM(J10:J80)</f>
        <v>658753.39262024697</v>
      </c>
      <c r="K82" s="37"/>
    </row>
    <row r="83" spans="1:19" x14ac:dyDescent="0.3">
      <c r="A83" s="59"/>
      <c r="B83" s="62"/>
      <c r="C83" s="63"/>
      <c r="D83" s="60"/>
      <c r="E83" s="60"/>
      <c r="F83" s="60"/>
      <c r="G83" s="61"/>
      <c r="H83" s="61"/>
      <c r="I83" s="61"/>
      <c r="J83" s="61"/>
      <c r="K83" s="58"/>
    </row>
    <row r="84" spans="1:19" s="1" customFormat="1" x14ac:dyDescent="0.3">
      <c r="A84" s="51"/>
      <c r="B84" s="29" t="s">
        <v>27</v>
      </c>
      <c r="C84" s="85">
        <f>J82</f>
        <v>658753.39262024697</v>
      </c>
      <c r="D84" s="85"/>
      <c r="E84" s="40">
        <v>100</v>
      </c>
      <c r="F84" s="52"/>
      <c r="G84" s="53"/>
      <c r="H84" s="52"/>
      <c r="I84" s="54"/>
      <c r="J84" s="55"/>
      <c r="K84" s="56"/>
    </row>
    <row r="85" spans="1:19" x14ac:dyDescent="0.3">
      <c r="A85" s="57"/>
      <c r="B85" s="29" t="s">
        <v>32</v>
      </c>
      <c r="C85" s="88">
        <f>500000+86000</f>
        <v>586000</v>
      </c>
      <c r="D85" s="88"/>
      <c r="E85" s="40"/>
      <c r="F85" s="50"/>
      <c r="G85" s="49"/>
      <c r="H85" s="49"/>
      <c r="I85" s="49"/>
      <c r="J85" s="49"/>
      <c r="K85" s="50"/>
    </row>
    <row r="86" spans="1:19" x14ac:dyDescent="0.3">
      <c r="A86" s="57"/>
      <c r="B86" s="29" t="s">
        <v>33</v>
      </c>
      <c r="C86" s="88">
        <f>C85-C88-C89</f>
        <v>556700</v>
      </c>
      <c r="D86" s="88"/>
      <c r="E86" s="40">
        <f>C86/C84*100</f>
        <v>84.508103675288709</v>
      </c>
      <c r="F86" s="50"/>
      <c r="G86" s="49"/>
      <c r="H86" s="49"/>
      <c r="I86" s="49"/>
      <c r="J86" s="49"/>
      <c r="K86" s="50"/>
    </row>
    <row r="87" spans="1:19" x14ac:dyDescent="0.3">
      <c r="A87" s="57"/>
      <c r="B87" s="29" t="s">
        <v>34</v>
      </c>
      <c r="C87" s="85">
        <f>C84-C86</f>
        <v>102053.39262024697</v>
      </c>
      <c r="D87" s="85"/>
      <c r="E87" s="40">
        <f>100-E86</f>
        <v>15.491896324711291</v>
      </c>
      <c r="F87" s="50"/>
      <c r="G87" s="49"/>
      <c r="H87" s="49"/>
      <c r="I87" s="49"/>
      <c r="J87" s="49"/>
      <c r="K87" s="50"/>
    </row>
    <row r="88" spans="1:19" x14ac:dyDescent="0.3">
      <c r="A88" s="57"/>
      <c r="B88" s="29" t="s">
        <v>35</v>
      </c>
      <c r="C88" s="85">
        <f>C85*0.03</f>
        <v>17580</v>
      </c>
      <c r="D88" s="85"/>
      <c r="E88" s="40">
        <v>3</v>
      </c>
      <c r="F88" s="50"/>
      <c r="G88" s="49"/>
      <c r="H88" s="49"/>
      <c r="I88" s="49"/>
      <c r="J88" s="49"/>
      <c r="K88" s="50"/>
    </row>
    <row r="89" spans="1:19" x14ac:dyDescent="0.3">
      <c r="A89" s="57"/>
      <c r="B89" s="29" t="s">
        <v>36</v>
      </c>
      <c r="C89" s="85">
        <f>C85*0.02</f>
        <v>11720</v>
      </c>
      <c r="D89" s="85"/>
      <c r="E89" s="40">
        <v>2</v>
      </c>
      <c r="F89" s="50"/>
      <c r="G89" s="49"/>
      <c r="H89" s="49"/>
      <c r="I89" s="49"/>
      <c r="J89" s="49"/>
      <c r="K89" s="50"/>
    </row>
    <row r="90" spans="1:19" s="36" customFormat="1" x14ac:dyDescent="0.3">
      <c r="A90" s="58"/>
      <c r="B90" s="58"/>
      <c r="C90" s="58"/>
      <c r="D90" s="58"/>
      <c r="E90" s="58"/>
      <c r="F90" s="58"/>
      <c r="G90" s="58"/>
      <c r="H90" s="58"/>
      <c r="I90" s="58"/>
      <c r="J90" s="58"/>
      <c r="K90" s="58"/>
    </row>
    <row r="91" spans="1:19" s="36" customFormat="1" x14ac:dyDescent="0.3"/>
    <row r="92" spans="1:19" s="36" customFormat="1" x14ac:dyDescent="0.3"/>
    <row r="93" spans="1:19" s="36" customFormat="1" x14ac:dyDescent="0.3"/>
    <row r="94" spans="1:19" s="36" customFormat="1" x14ac:dyDescent="0.3"/>
    <row r="95" spans="1:19" s="36" customFormat="1" x14ac:dyDescent="0.3"/>
    <row r="96" spans="1:19" s="36" customFormat="1" x14ac:dyDescent="0.3"/>
    <row r="97" s="36" customFormat="1" x14ac:dyDescent="0.3"/>
    <row r="98" s="36" customFormat="1" x14ac:dyDescent="0.3"/>
    <row r="99" s="36" customFormat="1" x14ac:dyDescent="0.3"/>
    <row r="100" s="36" customFormat="1" x14ac:dyDescent="0.3"/>
    <row r="101" s="36" customFormat="1" x14ac:dyDescent="0.3"/>
    <row r="102" s="36" customFormat="1" x14ac:dyDescent="0.3"/>
    <row r="103" s="36" customFormat="1" x14ac:dyDescent="0.3"/>
    <row r="104" s="36" customFormat="1" x14ac:dyDescent="0.3"/>
    <row r="105" s="36" customFormat="1" x14ac:dyDescent="0.3"/>
    <row r="106" s="36" customFormat="1" x14ac:dyDescent="0.3"/>
    <row r="107" s="36" customFormat="1" x14ac:dyDescent="0.3"/>
    <row r="108" s="36" customFormat="1" x14ac:dyDescent="0.3"/>
    <row r="109" s="36" customFormat="1" x14ac:dyDescent="0.3"/>
    <row r="110" s="36" customFormat="1" x14ac:dyDescent="0.3"/>
    <row r="111" s="36" customFormat="1" x14ac:dyDescent="0.3"/>
    <row r="112" s="36" customFormat="1" x14ac:dyDescent="0.3"/>
    <row r="113" s="36" customFormat="1" x14ac:dyDescent="0.3"/>
    <row r="114" s="36" customFormat="1" x14ac:dyDescent="0.3"/>
    <row r="115" s="36" customFormat="1" x14ac:dyDescent="0.3"/>
    <row r="116" s="36" customFormat="1" x14ac:dyDescent="0.3"/>
    <row r="117" s="36" customFormat="1" x14ac:dyDescent="0.3"/>
    <row r="118" s="36" customFormat="1" x14ac:dyDescent="0.3"/>
    <row r="119" s="36" customFormat="1" x14ac:dyDescent="0.3"/>
    <row r="120" s="36" customFormat="1" x14ac:dyDescent="0.3"/>
    <row r="121" s="36" customFormat="1" x14ac:dyDescent="0.3"/>
    <row r="122" s="36" customFormat="1" x14ac:dyDescent="0.3"/>
    <row r="123" s="36" customFormat="1" x14ac:dyDescent="0.3"/>
    <row r="124" s="36" customFormat="1" x14ac:dyDescent="0.3"/>
    <row r="125" s="36" customFormat="1" x14ac:dyDescent="0.3"/>
    <row r="126" s="36" customFormat="1" x14ac:dyDescent="0.3"/>
    <row r="127" s="36" customFormat="1" x14ac:dyDescent="0.3"/>
    <row r="128" s="36" customFormat="1" x14ac:dyDescent="0.3"/>
    <row r="129" s="36" customFormat="1" x14ac:dyDescent="0.3"/>
    <row r="130" s="36" customFormat="1" x14ac:dyDescent="0.3"/>
    <row r="131" s="36" customFormat="1" x14ac:dyDescent="0.3"/>
    <row r="132" s="36" customFormat="1" x14ac:dyDescent="0.3"/>
    <row r="133" s="36" customFormat="1" x14ac:dyDescent="0.3"/>
    <row r="134" s="36" customFormat="1" x14ac:dyDescent="0.3"/>
    <row r="135" s="36" customFormat="1" x14ac:dyDescent="0.3"/>
    <row r="136" s="36" customFormat="1" x14ac:dyDescent="0.3"/>
    <row r="137" s="36" customFormat="1" x14ac:dyDescent="0.3"/>
    <row r="138" s="36" customFormat="1" x14ac:dyDescent="0.3"/>
    <row r="139" s="36" customFormat="1" x14ac:dyDescent="0.3"/>
    <row r="140" s="36" customFormat="1" x14ac:dyDescent="0.3"/>
    <row r="141" s="36" customFormat="1" x14ac:dyDescent="0.3"/>
    <row r="142" s="36" customFormat="1" x14ac:dyDescent="0.3"/>
    <row r="143" s="36" customFormat="1" x14ac:dyDescent="0.3"/>
    <row r="144" s="36" customFormat="1" x14ac:dyDescent="0.3"/>
    <row r="145" s="36" customFormat="1" x14ac:dyDescent="0.3"/>
    <row r="146" s="36" customFormat="1" x14ac:dyDescent="0.3"/>
  </sheetData>
  <mergeCells count="15">
    <mergeCell ref="A6:F6"/>
    <mergeCell ref="H6:K6"/>
    <mergeCell ref="A1:K1"/>
    <mergeCell ref="A2:K2"/>
    <mergeCell ref="A3:K3"/>
    <mergeCell ref="A4:K4"/>
    <mergeCell ref="A5:K5"/>
    <mergeCell ref="C88:D88"/>
    <mergeCell ref="C89:D89"/>
    <mergeCell ref="A7:F7"/>
    <mergeCell ref="H7:K7"/>
    <mergeCell ref="C84:D84"/>
    <mergeCell ref="C85:D85"/>
    <mergeCell ref="C86:D86"/>
    <mergeCell ref="C87:D87"/>
  </mergeCells>
  <pageMargins left="0.70866141732283472" right="0.70866141732283472" top="0.74803149606299213" bottom="0.74803149606299213" header="0.31496062992125984" footer="0.31496062992125984"/>
  <pageSetup paperSize="9" scale="80" orientation="portrait" r:id="rId1"/>
  <headerFooter>
    <oddFooter>&amp;LPrepared By:&amp;CChecked By:&amp;RApproved By: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WCR</vt:lpstr>
      <vt:lpstr>Estimate</vt:lpstr>
      <vt:lpstr>Estimate (2)</vt:lpstr>
      <vt:lpstr>Estimate (3)</vt:lpstr>
      <vt:lpstr>Estimate!Print_Area</vt:lpstr>
      <vt:lpstr>'Estimate (2)'!Print_Area</vt:lpstr>
      <vt:lpstr>'Estimate (3)'!Print_Area</vt:lpstr>
      <vt:lpstr>Estimate!Print_Titles</vt:lpstr>
      <vt:lpstr>'Estimate (2)'!Print_Titles</vt:lpstr>
      <vt:lpstr>'Estimate (3)'!Print_Titles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2024-12-31T07:34:35Z</cp:lastPrinted>
  <dcterms:created xsi:type="dcterms:W3CDTF">2015-06-05T18:17:20Z</dcterms:created>
  <dcterms:modified xsi:type="dcterms:W3CDTF">2024-12-31T07:36:15Z</dcterms:modified>
</cp:coreProperties>
</file>