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Estimate" sheetId="1" r:id="rId1"/>
    <sheet name="WCR" sheetId="7"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WCR!$A$1:$K$29</definedName>
    <definedName name="_xlnm.Print_Titles" localSheetId="1">WCR!$1:$12</definedName>
  </definedNames>
  <calcPr calcId="162913"/>
</workbook>
</file>

<file path=xl/calcChain.xml><?xml version="1.0" encoding="utf-8"?>
<calcChain xmlns="http://schemas.openxmlformats.org/spreadsheetml/2006/main">
  <c r="G12" i="1" l="1"/>
  <c r="G23" i="1"/>
  <c r="G28" i="1"/>
  <c r="G34" i="1"/>
  <c r="E10" i="1"/>
  <c r="E11" i="1"/>
  <c r="D11" i="1"/>
  <c r="E33" i="1"/>
  <c r="G33" i="1" s="1"/>
  <c r="E32" i="1"/>
  <c r="G32" i="1" s="1"/>
  <c r="J35" i="1" s="1"/>
  <c r="G11" i="1" l="1"/>
  <c r="J34" i="1"/>
  <c r="D16" i="1" l="1"/>
  <c r="E21" i="1"/>
  <c r="H27" i="7" l="1"/>
  <c r="G27" i="7"/>
  <c r="E27" i="7"/>
  <c r="C27" i="7"/>
  <c r="H25" i="7"/>
  <c r="G25" i="7"/>
  <c r="E25" i="7"/>
  <c r="C25" i="7"/>
  <c r="H22" i="7"/>
  <c r="E22" i="7"/>
  <c r="C22" i="7"/>
  <c r="H19" i="7"/>
  <c r="E19" i="7"/>
  <c r="C19" i="7"/>
  <c r="H16" i="7"/>
  <c r="E16" i="7"/>
  <c r="C16" i="7"/>
  <c r="H13" i="7"/>
  <c r="E13" i="7"/>
  <c r="C13" i="7"/>
  <c r="B27" i="7"/>
  <c r="A27" i="7"/>
  <c r="B25" i="7"/>
  <c r="A25" i="7"/>
  <c r="B23" i="7"/>
  <c r="B22" i="7"/>
  <c r="A22" i="7"/>
  <c r="B20" i="7"/>
  <c r="B19" i="7"/>
  <c r="A19" i="7"/>
  <c r="B17" i="7"/>
  <c r="B16" i="7"/>
  <c r="A16" i="7"/>
  <c r="B14" i="7"/>
  <c r="B13" i="7"/>
  <c r="A13" i="7"/>
  <c r="A9" i="7"/>
  <c r="A8" i="7"/>
  <c r="I27" i="7" l="1"/>
  <c r="I25" i="7"/>
  <c r="D27" i="1" l="1"/>
  <c r="C48" i="1"/>
  <c r="C47" i="1"/>
  <c r="G39" i="1"/>
  <c r="G37" i="1"/>
  <c r="B27" i="1"/>
  <c r="J37" i="1" l="1"/>
  <c r="D25" i="7"/>
  <c r="F25" i="7" s="1"/>
  <c r="J25" i="7" s="1"/>
  <c r="J39" i="1"/>
  <c r="D27" i="7"/>
  <c r="F27" i="7" s="1"/>
  <c r="J27" i="7" s="1"/>
  <c r="C45" i="1"/>
  <c r="E22" i="1"/>
  <c r="D22" i="1"/>
  <c r="C21" i="1" s="1"/>
  <c r="G19" i="7" l="1"/>
  <c r="I19" i="7" s="1"/>
  <c r="G22" i="7"/>
  <c r="I22" i="7" s="1"/>
  <c r="I20" i="7" l="1"/>
  <c r="G16" i="7"/>
  <c r="I16" i="7" s="1"/>
  <c r="I17" i="7"/>
  <c r="I23" i="7"/>
  <c r="G13" i="7"/>
  <c r="I13" i="7" s="1"/>
  <c r="I14" i="7"/>
  <c r="I29" i="7" l="1"/>
  <c r="J6" i="7" s="1"/>
  <c r="C16" i="1" l="1"/>
  <c r="C27" i="1" s="1"/>
  <c r="B16" i="1"/>
  <c r="B21" i="1" s="1"/>
  <c r="E16" i="1"/>
  <c r="D21" i="1" l="1"/>
  <c r="F21" i="1" s="1"/>
  <c r="G21" i="1" s="1"/>
  <c r="E27" i="1"/>
  <c r="G27" i="1" s="1"/>
  <c r="D22" i="7" s="1"/>
  <c r="F22" i="7" s="1"/>
  <c r="J22" i="7" s="1"/>
  <c r="G10" i="1"/>
  <c r="G16" i="1"/>
  <c r="C22" i="1" l="1"/>
  <c r="F22" i="1" s="1"/>
  <c r="G22" i="1" s="1"/>
  <c r="D19" i="7" s="1"/>
  <c r="F19" i="7" s="1"/>
  <c r="J19" i="7" s="1"/>
  <c r="G17" i="1"/>
  <c r="J13" i="1"/>
  <c r="F14" i="7" s="1"/>
  <c r="J14" i="7" s="1"/>
  <c r="D13" i="7"/>
  <c r="F13" i="7" s="1"/>
  <c r="J29" i="1"/>
  <c r="F23" i="7" s="1"/>
  <c r="J23" i="7" s="1"/>
  <c r="J28" i="1"/>
  <c r="J12" i="1"/>
  <c r="J17" i="1" l="1"/>
  <c r="J18" i="1"/>
  <c r="F17" i="7" s="1"/>
  <c r="J17" i="7" s="1"/>
  <c r="D16" i="7"/>
  <c r="F16" i="7" s="1"/>
  <c r="J16" i="7" s="1"/>
  <c r="J13" i="7"/>
  <c r="J24" i="1"/>
  <c r="F20" i="7" s="1"/>
  <c r="J20" i="7" s="1"/>
  <c r="J23" i="1"/>
  <c r="F29" i="7" l="1"/>
  <c r="J29" i="7" s="1"/>
  <c r="C6" i="7" l="1"/>
  <c r="J41" i="1"/>
  <c r="C43" i="1" s="1"/>
  <c r="C46" i="1" l="1"/>
  <c r="E45" i="1"/>
  <c r="E46" i="1" s="1"/>
</calcChain>
</file>

<file path=xl/sharedStrings.xml><?xml version="1.0" encoding="utf-8"?>
<sst xmlns="http://schemas.openxmlformats.org/spreadsheetml/2006/main" count="83" uniqueCount="60">
  <si>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</si>
  <si>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</si>
  <si>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</si>
  <si>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</si>
  <si>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</si>
  <si>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</si>
  <si>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</si>
  <si>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</si>
  <si>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</si>
  <si>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</si>
  <si>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</si>
  <si>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</si>
  <si>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</si>
  <si>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</si>
  <si>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</si>
  <si>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</si>
  <si>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</si>
  <si>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</si>
  <si>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</si>
  <si>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-Road</t>
  </si>
  <si>
    <t>Sub-total</t>
  </si>
  <si>
    <t>m3</t>
  </si>
  <si>
    <t>VAT calculation</t>
  </si>
  <si>
    <t>Providing and laying of hand pack Stone soling with 150 to 200 mm thick stones and packing with smaller stone on prepared surface as per Drawing and Technical Specifications.</t>
  </si>
  <si>
    <t>Providing and laying , fitting and placing HYSD bar reinforcement in sub-structure complete as per Drawing and Technical Specifications</t>
  </si>
  <si>
    <t>Length (m)</t>
  </si>
  <si>
    <t>Unit Weight (kg/m)</t>
  </si>
  <si>
    <t>Total Weight (Kg)</t>
  </si>
  <si>
    <t>MT</t>
  </si>
  <si>
    <t>Providing and laying of Plain/Reinforced Cement Concrete in Foundation complete as per Drawing and Technical Specifications., RCC Grade M 20</t>
  </si>
  <si>
    <t>Provisional sum for lab test</t>
  </si>
  <si>
    <t>PS</t>
  </si>
  <si>
    <t>Information board (सुचना पाटि)</t>
  </si>
  <si>
    <t>no.</t>
  </si>
  <si>
    <t>Total Estimated</t>
  </si>
  <si>
    <t>Budget allocated</t>
  </si>
  <si>
    <t>Municipal payment</t>
  </si>
  <si>
    <t>User Contribution</t>
  </si>
  <si>
    <t xml:space="preserve">Contingencies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</si>
  <si>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</si>
  <si>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</si>
  <si>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</si>
  <si>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</si>
  <si>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</si>
  <si>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</si>
  <si>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</si>
  <si>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</si>
  <si>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</si>
  <si>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</si>
  <si>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</si>
  <si>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</si>
  <si>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</si>
  <si>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</si>
  <si>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</si>
  <si>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Date:2081/10/20       </t>
  </si>
  <si>
    <t xml:space="preserve">Maintenance </t>
  </si>
  <si>
    <t xml:space="preserve">Date:                </t>
  </si>
  <si>
    <t>Providing and laying  granular sub-base   on prepared surface, mixing  at OMC, and compacting  to achieve the desired density, complete as per Drawing and Technical Specifications., By Mechanical means</t>
  </si>
  <si>
    <t>-for gravelling</t>
  </si>
  <si>
    <t>Project:-Sanagaun pariyaar tole bendol sadak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</si>
</sst>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sz val="11"/>
      <color rgb="FF00B050"/>
      <name val="Times New Roman"/>
      <family val="1"/>
    </font>
    <font>
      <b/>
      <sz val="11"/>
      <color rgb="FF00B050"/>
      <name val="Times New Roman"/>
      <family val="1"/>
    </font>
    <font>
      <sz val="11"/>
      <color rgb="FF00B050"/>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97">
    <xf numFmtId="0" fontId="0" fillId="0" borderId="0" xfId="0"/>
    <xf numFmtId="0" fontId="7" fillId="0" borderId="0" xfId="0" applyFont="1" applyAlignment="1">
      <alignment horizontal="center"/>
    </xf>
    <xf numFmtId="164"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164"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0" fontId="0" fillId="0" borderId="0" xfId="0" applyAlignment="1"/>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5"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5" fontId="10" fillId="0" borderId="2" xfId="0" applyNumberFormat="1" applyFont="1" applyBorder="1" applyAlignment="1"/>
    <xf numFmtId="2" fontId="10" fillId="0" borderId="2" xfId="0" applyNumberFormat="1" applyFont="1" applyBorder="1" applyAlignment="1"/>
    <xf numFmtId="2" fontId="3" fillId="0" borderId="2" xfId="0" applyNumberFormat="1" applyFont="1" applyBorder="1" applyAlignment="1"/>
    <xf numFmtId="2" fontId="3" fillId="0" borderId="2" xfId="1"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165" fontId="10" fillId="0" borderId="2" xfId="0" applyNumberFormat="1" applyFont="1" applyBorder="1" applyAlignment="1">
      <alignment vertical="center"/>
    </xf>
    <xf numFmtId="2" fontId="10" fillId="0" borderId="2" xfId="0" applyNumberFormat="1" applyFont="1" applyBorder="1" applyAlignment="1">
      <alignment vertical="center" wrapText="1"/>
    </xf>
    <xf numFmtId="0" fontId="10" fillId="0" borderId="2" xfId="0" applyFont="1" applyBorder="1" applyAlignment="1">
      <alignment vertical="center"/>
    </xf>
    <xf numFmtId="0" fontId="0" fillId="0" borderId="2" xfId="0" applyBorder="1"/>
    <xf numFmtId="2" fontId="0" fillId="0" borderId="2" xfId="0" applyNumberFormat="1"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5" fontId="10" fillId="0" borderId="2" xfId="0" applyNumberFormat="1" applyFont="1" applyBorder="1"/>
    <xf numFmtId="0" fontId="0" fillId="0" borderId="2" xfId="0" applyBorder="1" applyAlignment="1"/>
    <xf numFmtId="0" fontId="0" fillId="0" borderId="2" xfId="0" quotePrefix="1" applyBorder="1" applyAlignment="1">
      <alignment horizontal="right"/>
    </xf>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164" fontId="2" fillId="0" borderId="2" xfId="1" applyFont="1" applyBorder="1" applyAlignment="1">
      <alignment vertical="center"/>
    </xf>
    <xf numFmtId="0" fontId="0" fillId="0" borderId="2" xfId="0" applyBorder="1" applyAlignment="1">
      <alignment vertical="center" wrapText="1"/>
    </xf>
    <xf numFmtId="1" fontId="6" fillId="0" borderId="2" xfId="0" applyNumberFormat="1" applyFont="1" applyFill="1" applyBorder="1" applyAlignment="1">
      <alignment horizontal="lef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164" fontId="2" fillId="0" borderId="2" xfId="1" applyFont="1" applyBorder="1"/>
    <xf numFmtId="1" fontId="6" fillId="0" borderId="2" xfId="0" applyNumberFormat="1" applyFont="1" applyFill="1" applyBorder="1" applyAlignment="1">
      <alignment horizontal="right" vertical="center" wrapText="1"/>
    </xf>
    <xf numFmtId="0" fontId="2" fillId="0" borderId="2" xfId="0" applyFont="1" applyBorder="1" applyAlignment="1">
      <alignment vertical="center"/>
    </xf>
    <xf numFmtId="1" fontId="3" fillId="0" borderId="2" xfId="0" applyNumberFormat="1" applyFont="1" applyBorder="1" applyAlignment="1">
      <alignment vertical="center"/>
    </xf>
    <xf numFmtId="164" fontId="0" fillId="0" borderId="0" xfId="0" applyNumberFormat="1" applyAlignment="1">
      <alignment vertic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164"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1" fontId="15" fillId="0" borderId="2" xfId="0" applyNumberFormat="1" applyFont="1" applyFill="1" applyBorder="1" applyAlignment="1">
      <alignment vertical="center" wrapText="1"/>
    </xf>
    <xf numFmtId="165" fontId="15" fillId="0" borderId="2" xfId="0" applyNumberFormat="1" applyFont="1" applyBorder="1" applyAlignment="1"/>
    <xf numFmtId="2" fontId="15" fillId="0" borderId="2" xfId="0" applyNumberFormat="1" applyFont="1" applyBorder="1" applyAlignment="1"/>
    <xf numFmtId="2" fontId="16" fillId="0" borderId="2" xfId="1" applyNumberFormat="1" applyFont="1" applyBorder="1" applyAlignment="1">
      <alignment vertical="center"/>
    </xf>
    <xf numFmtId="0" fontId="15" fillId="0" borderId="2" xfId="0" quotePrefix="1" applyFont="1" applyBorder="1" applyAlignment="1">
      <alignment horizontal="right" wrapText="1"/>
    </xf>
    <xf numFmtId="2" fontId="15" fillId="0" borderId="2" xfId="0" applyNumberFormat="1" applyFont="1" applyBorder="1" applyAlignment="1">
      <alignment vertical="center"/>
    </xf>
    <xf numFmtId="2" fontId="16" fillId="0" borderId="2" xfId="0" applyNumberFormat="1" applyFont="1" applyBorder="1" applyAlignment="1"/>
    <xf numFmtId="2" fontId="16" fillId="0" borderId="2" xfId="1" applyNumberFormat="1" applyFont="1" applyBorder="1" applyAlignment="1"/>
    <xf numFmtId="0" fontId="17" fillId="0" borderId="2" xfId="0" quotePrefix="1" applyFont="1" applyBorder="1" applyAlignment="1">
      <alignment horizontal="right"/>
    </xf>
    <xf numFmtId="0" fontId="17" fillId="0" borderId="2" xfId="0" applyFont="1" applyBorder="1"/>
    <xf numFmtId="2" fontId="17" fillId="0" borderId="2" xfId="0" applyNumberFormat="1" applyFont="1" applyBorder="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1">
          <cell r="B61" t="str">
            <v>Providing and laying  granular sub-base   on prepared surface, mixing  at OMC, and compacting  to achieve the desired density, complete as per Drawing and Technical Specifications., By Mechanical means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zoomScale="90" zoomScaleNormal="90" workbookViewId="0">
      <selection activeCell="A7" sqref="A7:F7"/>
    </sheetView>
  </sheetViews>
  <sheetFormatPr defaultRowHeight="14.4" x14ac:dyDescent="0.3"/>
  <cols>
    <col min="1" max="1" width="4.6640625" customWidth="1"/>
    <col min="2" max="2" width="30.88671875" customWidth="1"/>
    <col min="3" max="3" width="6" bestFit="1" customWidth="1"/>
    <col min="4" max="4" width="7.88671875" customWidth="1"/>
    <col min="5" max="5" width="8.5546875" customWidth="1"/>
    <col min="6" max="6" width="7.33203125" customWidth="1"/>
    <col min="8" max="8" width="5" bestFit="1" customWidth="1"/>
    <col min="9" max="9" width="11.109375" customWidth="1"/>
    <col min="10" max="10" width="11.5546875" bestFit="1" customWidth="1"/>
  </cols>
  <sheetData>
    <row r="1" spans="1:11" x14ac:dyDescent="0.3">
      <c r="A1" s="70" t="s">
        <v>0</v>
      </c>
      <c r="B1" s="70"/>
      <c r="C1" s="70"/>
      <c r="D1" s="70"/>
      <c r="E1" s="70"/>
      <c r="F1" s="70"/>
      <c r="G1" s="70"/>
      <c r="H1" s="70"/>
      <c r="I1" s="70"/>
      <c r="J1" s="70"/>
      <c r="K1" s="70"/>
    </row>
    <row r="2" spans="1:11" ht="22.8" x14ac:dyDescent="0.3">
      <c r="A2" s="71" t="s">
        <v>1</v>
      </c>
      <c r="B2" s="71"/>
      <c r="C2" s="71"/>
      <c r="D2" s="71"/>
      <c r="E2" s="71"/>
      <c r="F2" s="71"/>
      <c r="G2" s="71"/>
      <c r="H2" s="71"/>
      <c r="I2" s="71"/>
      <c r="J2" s="71"/>
      <c r="K2" s="71"/>
    </row>
    <row r="3" spans="1:11" x14ac:dyDescent="0.3">
      <c r="A3" s="72" t="s">
        <v>2</v>
      </c>
      <c r="B3" s="72"/>
      <c r="C3" s="72"/>
      <c r="D3" s="72"/>
      <c r="E3" s="72"/>
      <c r="F3" s="72"/>
      <c r="G3" s="72"/>
      <c r="H3" s="72"/>
      <c r="I3" s="72"/>
      <c r="J3" s="72"/>
      <c r="K3" s="72"/>
    </row>
    <row r="4" spans="1:11" x14ac:dyDescent="0.3">
      <c r="A4" s="72" t="s">
        <v>3</v>
      </c>
      <c r="B4" s="72"/>
      <c r="C4" s="72"/>
      <c r="D4" s="72"/>
      <c r="E4" s="72"/>
      <c r="F4" s="72"/>
      <c r="G4" s="72"/>
      <c r="H4" s="72"/>
      <c r="I4" s="72"/>
      <c r="J4" s="72"/>
      <c r="K4" s="72"/>
    </row>
    <row r="5" spans="1:11" ht="17.399999999999999" x14ac:dyDescent="0.3">
      <c r="A5" s="73" t="s">
        <v>4</v>
      </c>
      <c r="B5" s="73"/>
      <c r="C5" s="73"/>
      <c r="D5" s="73"/>
      <c r="E5" s="73"/>
      <c r="F5" s="73"/>
      <c r="G5" s="73"/>
      <c r="H5" s="73"/>
      <c r="I5" s="73"/>
      <c r="J5" s="73"/>
      <c r="K5" s="73"/>
    </row>
    <row r="6" spans="1:11" ht="15.6" x14ac:dyDescent="0.3">
      <c r="A6" s="68" t="s">
        <v>59</v>
      </c>
      <c r="B6" s="68"/>
      <c r="C6" s="68"/>
      <c r="D6" s="68"/>
      <c r="E6" s="68"/>
      <c r="F6" s="68"/>
      <c r="G6" s="1"/>
      <c r="H6" s="69" t="s">
        <v>5</v>
      </c>
      <c r="I6" s="69"/>
      <c r="J6" s="69"/>
      <c r="K6" s="69"/>
    </row>
    <row r="7" spans="1:11" ht="15.6" x14ac:dyDescent="0.3">
      <c r="A7" s="65" t="s">
        <v>6</v>
      </c>
      <c r="B7" s="65"/>
      <c r="C7" s="65"/>
      <c r="D7" s="65"/>
      <c r="E7" s="65"/>
      <c r="F7" s="65"/>
      <c r="G7" s="2"/>
      <c r="H7" s="66" t="s">
        <v>56</v>
      </c>
      <c r="I7" s="66"/>
      <c r="J7" s="66"/>
      <c r="K7" s="66"/>
    </row>
    <row r="8" spans="1:11" ht="15.6" x14ac:dyDescent="0.3">
      <c r="A8" s="3" t="s">
        <v>7</v>
      </c>
      <c r="B8" s="4" t="s">
        <v>8</v>
      </c>
      <c r="C8" s="3" t="s">
        <v>9</v>
      </c>
      <c r="D8" s="5" t="s">
        <v>10</v>
      </c>
      <c r="E8" s="5" t="s">
        <v>11</v>
      </c>
      <c r="F8" s="5" t="s">
        <v>12</v>
      </c>
      <c r="G8" s="5" t="s">
        <v>13</v>
      </c>
      <c r="H8" s="3" t="s">
        <v>14</v>
      </c>
      <c r="I8" s="5" t="s">
        <v>15</v>
      </c>
      <c r="J8" s="5" t="s">
        <v>16</v>
      </c>
      <c r="K8" s="6" t="s">
        <v>17</v>
      </c>
    </row>
    <row r="9" spans="1:11" s="8" customFormat="1" ht="124.2" x14ac:dyDescent="0.3">
      <c r="A9" s="61">
        <v>1</v>
      </c>
      <c r="B9" s="7" t="s">
        <v>18</v>
      </c>
      <c r="C9" s="46"/>
      <c r="D9" s="46"/>
      <c r="E9" s="46"/>
      <c r="F9" s="46"/>
      <c r="G9" s="46"/>
      <c r="H9" s="46"/>
      <c r="I9" s="46"/>
      <c r="J9" s="46"/>
      <c r="K9" s="46"/>
    </row>
    <row r="10" spans="1:11" x14ac:dyDescent="0.3">
      <c r="A10" s="61"/>
      <c r="B10" s="47" t="s">
        <v>19</v>
      </c>
      <c r="C10" s="31">
        <v>1</v>
      </c>
      <c r="D10" s="32">
        <v>100</v>
      </c>
      <c r="E10" s="32">
        <f>15/3.281</f>
        <v>4.5717768972874122</v>
      </c>
      <c r="F10" s="32">
        <v>0.15</v>
      </c>
      <c r="G10" s="32">
        <f>PRODUCT(C10:F10)</f>
        <v>68.576653459311174</v>
      </c>
      <c r="H10" s="31"/>
      <c r="I10" s="31"/>
      <c r="J10" s="31"/>
      <c r="K10" s="31"/>
    </row>
    <row r="11" spans="1:11" x14ac:dyDescent="0.3">
      <c r="A11" s="61"/>
      <c r="B11" s="94" t="s">
        <v>58</v>
      </c>
      <c r="C11" s="95">
        <v>1</v>
      </c>
      <c r="D11" s="96">
        <f>D32+D33</f>
        <v>510</v>
      </c>
      <c r="E11" s="96">
        <f>15/3.281</f>
        <v>4.5717768972874122</v>
      </c>
      <c r="F11" s="96">
        <v>0.15</v>
      </c>
      <c r="G11" s="96">
        <f>PRODUCT(C11:F11)</f>
        <v>349.740932642487</v>
      </c>
      <c r="H11" s="31"/>
      <c r="I11" s="31"/>
      <c r="J11" s="31"/>
      <c r="K11" s="31"/>
    </row>
    <row r="12" spans="1:11" ht="15" customHeight="1" x14ac:dyDescent="0.3">
      <c r="A12" s="9"/>
      <c r="B12" s="10" t="s">
        <v>20</v>
      </c>
      <c r="C12" s="11"/>
      <c r="D12" s="12"/>
      <c r="E12" s="13"/>
      <c r="F12" s="13"/>
      <c r="G12" s="14">
        <f>SUM(G10:G11)</f>
        <v>418.31758610179816</v>
      </c>
      <c r="H12" s="15" t="s">
        <v>21</v>
      </c>
      <c r="I12" s="14">
        <v>64.63</v>
      </c>
      <c r="J12" s="16">
        <f>G12*I12</f>
        <v>27035.865589759214</v>
      </c>
      <c r="K12" s="13"/>
    </row>
    <row r="13" spans="1:11" ht="15" customHeight="1" x14ac:dyDescent="0.3">
      <c r="A13" s="9"/>
      <c r="B13" s="10" t="s">
        <v>22</v>
      </c>
      <c r="C13" s="11"/>
      <c r="D13" s="12"/>
      <c r="E13" s="13"/>
      <c r="F13" s="13"/>
      <c r="G13" s="14"/>
      <c r="H13" s="15"/>
      <c r="I13" s="14"/>
      <c r="J13" s="16">
        <f>0.13*G12*19284/360</f>
        <v>2913.0242304175554</v>
      </c>
      <c r="K13" s="13"/>
    </row>
    <row r="14" spans="1:11" x14ac:dyDescent="0.3">
      <c r="A14" s="61"/>
      <c r="B14" s="31"/>
      <c r="C14" s="31"/>
      <c r="D14" s="31"/>
      <c r="E14" s="31"/>
      <c r="F14" s="31"/>
      <c r="G14" s="31"/>
      <c r="H14" s="31"/>
      <c r="I14" s="31"/>
      <c r="J14" s="31"/>
      <c r="K14" s="31"/>
    </row>
    <row r="15" spans="1:11" ht="82.8" hidden="1" x14ac:dyDescent="0.3">
      <c r="A15" s="61">
        <v>2</v>
      </c>
      <c r="B15" s="7" t="s">
        <v>23</v>
      </c>
      <c r="C15" s="31"/>
      <c r="D15" s="31"/>
      <c r="E15" s="31"/>
      <c r="F15" s="31"/>
      <c r="G15" s="31"/>
      <c r="H15" s="31"/>
      <c r="I15" s="31"/>
      <c r="J15" s="31"/>
      <c r="K15" s="31"/>
    </row>
    <row r="16" spans="1:11" ht="15" hidden="1" customHeight="1" x14ac:dyDescent="0.3">
      <c r="A16" s="9"/>
      <c r="B16" s="10" t="str">
        <f>B10</f>
        <v>-Road</v>
      </c>
      <c r="C16" s="18">
        <f>C10</f>
        <v>1</v>
      </c>
      <c r="D16" s="19">
        <f>D10</f>
        <v>100</v>
      </c>
      <c r="E16" s="19">
        <f>E10</f>
        <v>4.5717768972874122</v>
      </c>
      <c r="F16" s="19">
        <v>0.15</v>
      </c>
      <c r="G16" s="20">
        <f>PRODUCT(C16:F16)</f>
        <v>68.576653459311174</v>
      </c>
      <c r="H16" s="21"/>
      <c r="I16" s="21"/>
      <c r="J16" s="21"/>
      <c r="K16" s="13"/>
    </row>
    <row r="17" spans="1:11" ht="15" hidden="1" customHeight="1" x14ac:dyDescent="0.3">
      <c r="A17" s="27"/>
      <c r="B17" s="10" t="s">
        <v>20</v>
      </c>
      <c r="C17" s="22"/>
      <c r="D17" s="23"/>
      <c r="E17" s="23"/>
      <c r="F17" s="23"/>
      <c r="G17" s="24">
        <f>0*SUM(G16:G16)</f>
        <v>0</v>
      </c>
      <c r="H17" s="24" t="s">
        <v>21</v>
      </c>
      <c r="I17" s="24">
        <v>4561.53</v>
      </c>
      <c r="J17" s="25">
        <f>G17*I17</f>
        <v>0</v>
      </c>
      <c r="K17" s="18"/>
    </row>
    <row r="18" spans="1:11" hidden="1" x14ac:dyDescent="0.3">
      <c r="A18" s="27"/>
      <c r="B18" s="10" t="s">
        <v>22</v>
      </c>
      <c r="C18" s="22"/>
      <c r="D18" s="23"/>
      <c r="E18" s="23"/>
      <c r="F18" s="23"/>
      <c r="G18" s="23"/>
      <c r="H18" s="23"/>
      <c r="I18" s="23"/>
      <c r="J18" s="26">
        <f>0.13*G17*(15452.6/5)</f>
        <v>0</v>
      </c>
      <c r="K18" s="18"/>
    </row>
    <row r="19" spans="1:11" hidden="1" x14ac:dyDescent="0.3">
      <c r="A19" s="61"/>
      <c r="B19" s="31"/>
      <c r="C19" s="31"/>
      <c r="D19" s="31"/>
      <c r="E19" s="31"/>
      <c r="F19" s="31"/>
      <c r="G19" s="31"/>
      <c r="H19" s="31"/>
      <c r="I19" s="31"/>
      <c r="J19" s="31"/>
      <c r="K19" s="31"/>
    </row>
    <row r="20" spans="1:11" s="17" customFormat="1" ht="69" x14ac:dyDescent="0.3">
      <c r="A20" s="27">
        <v>2</v>
      </c>
      <c r="B20" s="7" t="s">
        <v>24</v>
      </c>
      <c r="C20" s="28" t="s">
        <v>9</v>
      </c>
      <c r="D20" s="29" t="s">
        <v>25</v>
      </c>
      <c r="E20" s="29" t="s">
        <v>26</v>
      </c>
      <c r="F20" s="29" t="s">
        <v>27</v>
      </c>
      <c r="G20" s="20"/>
      <c r="H20" s="20"/>
      <c r="I20" s="20"/>
      <c r="J20" s="26"/>
      <c r="K20" s="30"/>
    </row>
    <row r="21" spans="1:11" ht="15" customHeight="1" x14ac:dyDescent="0.3">
      <c r="A21" s="27"/>
      <c r="B21" s="10" t="str">
        <f>B16</f>
        <v>-Road</v>
      </c>
      <c r="C21" s="22">
        <f>TRUNC(D22/0.15,0)</f>
        <v>664</v>
      </c>
      <c r="D21" s="23">
        <f>E16-0.1</f>
        <v>4.4717768972874126</v>
      </c>
      <c r="E21" s="23">
        <f>10*10/162</f>
        <v>0.61728395061728392</v>
      </c>
      <c r="F21" s="23">
        <f>PRODUCT(C21:E21)</f>
        <v>1832.8764566659515</v>
      </c>
      <c r="G21" s="23">
        <f>F21/1000</f>
        <v>1.8328764566659514</v>
      </c>
      <c r="H21" s="23"/>
      <c r="I21" s="23"/>
      <c r="J21" s="26"/>
      <c r="K21" s="18"/>
    </row>
    <row r="22" spans="1:11" x14ac:dyDescent="0.3">
      <c r="A22" s="61"/>
      <c r="B22" s="31"/>
      <c r="C22" s="22">
        <f>TRUNC(D21/0.15,0)</f>
        <v>29</v>
      </c>
      <c r="D22" s="32">
        <f>D16-0.1*3</f>
        <v>99.7</v>
      </c>
      <c r="E22" s="23">
        <f>8*8/162</f>
        <v>0.39506172839506171</v>
      </c>
      <c r="F22" s="23">
        <f>PRODUCT(C22:E22)</f>
        <v>1142.2419753086419</v>
      </c>
      <c r="G22" s="23">
        <f>F22/1000</f>
        <v>1.1422419753086419</v>
      </c>
      <c r="H22" s="31"/>
      <c r="I22" s="31"/>
      <c r="J22" s="31"/>
      <c r="K22" s="31"/>
    </row>
    <row r="23" spans="1:11" ht="15" customHeight="1" x14ac:dyDescent="0.3">
      <c r="A23" s="27"/>
      <c r="B23" s="10" t="s">
        <v>20</v>
      </c>
      <c r="C23" s="22"/>
      <c r="D23" s="23"/>
      <c r="E23" s="23"/>
      <c r="F23" s="23"/>
      <c r="G23" s="24">
        <f>SUM(G21:G22)</f>
        <v>2.9751184319745931</v>
      </c>
      <c r="H23" s="24" t="s">
        <v>28</v>
      </c>
      <c r="I23" s="24">
        <v>124140</v>
      </c>
      <c r="J23" s="25">
        <f>G23*I23</f>
        <v>369331.20214532601</v>
      </c>
      <c r="K23" s="18"/>
    </row>
    <row r="24" spans="1:11" ht="15" customHeight="1" x14ac:dyDescent="0.3">
      <c r="A24" s="27"/>
      <c r="B24" s="10" t="s">
        <v>22</v>
      </c>
      <c r="C24" s="22"/>
      <c r="D24" s="23"/>
      <c r="E24" s="23"/>
      <c r="F24" s="23"/>
      <c r="G24" s="23"/>
      <c r="H24" s="23"/>
      <c r="I24" s="23"/>
      <c r="J24" s="26">
        <f>0.13*G23*110960</f>
        <v>42915.488357547118</v>
      </c>
      <c r="K24" s="18"/>
    </row>
    <row r="25" spans="1:11" ht="11.25" customHeight="1" x14ac:dyDescent="0.3">
      <c r="A25" s="61"/>
      <c r="B25" s="31"/>
      <c r="C25" s="31"/>
      <c r="D25" s="31"/>
      <c r="E25" s="31"/>
      <c r="F25" s="31"/>
      <c r="G25" s="31"/>
      <c r="H25" s="31"/>
      <c r="I25" s="31"/>
      <c r="J25" s="31"/>
      <c r="K25" s="31"/>
    </row>
    <row r="26" spans="1:11" s="17" customFormat="1" ht="69" x14ac:dyDescent="0.3">
      <c r="A26" s="27">
        <v>3</v>
      </c>
      <c r="B26" s="7" t="s">
        <v>29</v>
      </c>
      <c r="C26" s="28"/>
      <c r="D26" s="20"/>
      <c r="E26" s="20"/>
      <c r="F26" s="20"/>
      <c r="G26" s="20"/>
      <c r="H26" s="20"/>
      <c r="I26" s="20"/>
      <c r="J26" s="26"/>
      <c r="K26" s="30"/>
    </row>
    <row r="27" spans="1:11" x14ac:dyDescent="0.3">
      <c r="A27" s="27"/>
      <c r="B27" s="33" t="str">
        <f>B17</f>
        <v>Sub-total</v>
      </c>
      <c r="C27" s="22">
        <f>C16</f>
        <v>1</v>
      </c>
      <c r="D27" s="23">
        <f>D16</f>
        <v>100</v>
      </c>
      <c r="E27" s="23">
        <f>E16</f>
        <v>4.5717768972874122</v>
      </c>
      <c r="F27" s="23">
        <v>0.15</v>
      </c>
      <c r="G27" s="20">
        <f>PRODUCT(C27:F27)</f>
        <v>68.576653459311174</v>
      </c>
      <c r="H27" s="23"/>
      <c r="I27" s="23"/>
      <c r="J27" s="26"/>
      <c r="K27" s="18"/>
    </row>
    <row r="28" spans="1:11" ht="15" customHeight="1" x14ac:dyDescent="0.3">
      <c r="A28" s="27"/>
      <c r="B28" s="10" t="s">
        <v>20</v>
      </c>
      <c r="C28" s="22"/>
      <c r="D28" s="23"/>
      <c r="E28" s="23"/>
      <c r="F28" s="23"/>
      <c r="G28" s="24">
        <f>SUM(G27:G27)</f>
        <v>68.576653459311174</v>
      </c>
      <c r="H28" s="24" t="s">
        <v>21</v>
      </c>
      <c r="I28" s="24">
        <v>11588.17</v>
      </c>
      <c r="J28" s="25">
        <f>G28*I28</f>
        <v>794677.91831758595</v>
      </c>
      <c r="K28" s="18"/>
    </row>
    <row r="29" spans="1:11" ht="15" customHeight="1" x14ac:dyDescent="0.3">
      <c r="A29" s="27"/>
      <c r="B29" s="10" t="s">
        <v>22</v>
      </c>
      <c r="C29" s="22"/>
      <c r="D29" s="23"/>
      <c r="E29" s="23"/>
      <c r="F29" s="23"/>
      <c r="G29" s="23"/>
      <c r="H29" s="23"/>
      <c r="I29" s="23"/>
      <c r="J29" s="26">
        <f>0.13*G28*((128662.2+6685.5)/15)</f>
        <v>80441.333434928369</v>
      </c>
      <c r="K29" s="18"/>
    </row>
    <row r="30" spans="1:11" ht="15" customHeight="1" x14ac:dyDescent="0.3">
      <c r="A30" s="27"/>
      <c r="B30" s="10"/>
      <c r="C30" s="22"/>
      <c r="D30" s="23"/>
      <c r="E30" s="23"/>
      <c r="F30" s="23"/>
      <c r="G30" s="23"/>
      <c r="H30" s="23"/>
      <c r="I30" s="23"/>
      <c r="J30" s="26"/>
      <c r="K30" s="18"/>
    </row>
    <row r="31" spans="1:11" ht="96.6" x14ac:dyDescent="0.3">
      <c r="A31" s="27">
        <v>4</v>
      </c>
      <c r="B31" s="86" t="s">
        <v>57</v>
      </c>
      <c r="C31" s="87"/>
      <c r="D31" s="88"/>
      <c r="E31" s="88"/>
      <c r="F31" s="88"/>
      <c r="G31" s="88"/>
      <c r="H31" s="88"/>
      <c r="I31" s="88"/>
      <c r="J31" s="89"/>
      <c r="K31" s="18"/>
    </row>
    <row r="32" spans="1:11" ht="15" customHeight="1" x14ac:dyDescent="0.3">
      <c r="A32" s="27"/>
      <c r="B32" s="90" t="s">
        <v>19</v>
      </c>
      <c r="C32" s="87">
        <v>1</v>
      </c>
      <c r="D32" s="88">
        <v>130</v>
      </c>
      <c r="E32" s="88">
        <f>15/3.281</f>
        <v>4.5717768972874122</v>
      </c>
      <c r="F32" s="88">
        <v>0.15</v>
      </c>
      <c r="G32" s="91">
        <f>PRODUCT(C32:F32)</f>
        <v>89.149649497104534</v>
      </c>
      <c r="H32" s="88"/>
      <c r="I32" s="88"/>
      <c r="J32" s="89"/>
      <c r="K32" s="18"/>
    </row>
    <row r="33" spans="1:11" ht="15" customHeight="1" x14ac:dyDescent="0.3">
      <c r="A33" s="27"/>
      <c r="B33" s="90"/>
      <c r="C33" s="87">
        <v>1</v>
      </c>
      <c r="D33" s="88">
        <v>380</v>
      </c>
      <c r="E33" s="88">
        <f>15/3.281</f>
        <v>4.5717768972874122</v>
      </c>
      <c r="F33" s="88">
        <v>0.15</v>
      </c>
      <c r="G33" s="91">
        <f>PRODUCT(C33:F33)</f>
        <v>260.59128314538248</v>
      </c>
      <c r="H33" s="88"/>
      <c r="I33" s="88"/>
      <c r="J33" s="89"/>
      <c r="K33" s="18"/>
    </row>
    <row r="34" spans="1:11" ht="15" customHeight="1" x14ac:dyDescent="0.3">
      <c r="A34" s="27"/>
      <c r="B34" s="90" t="s">
        <v>20</v>
      </c>
      <c r="C34" s="87"/>
      <c r="D34" s="88"/>
      <c r="E34" s="88"/>
      <c r="F34" s="88"/>
      <c r="G34" s="92">
        <f>SUM(G32:G33)</f>
        <v>349.740932642487</v>
      </c>
      <c r="H34" s="92" t="s">
        <v>21</v>
      </c>
      <c r="I34" s="92">
        <v>2978.61</v>
      </c>
      <c r="J34" s="93">
        <f>G34*I34</f>
        <v>1041741.8393782382</v>
      </c>
      <c r="K34" s="18"/>
    </row>
    <row r="35" spans="1:11" ht="15" customHeight="1" x14ac:dyDescent="0.3">
      <c r="A35" s="27"/>
      <c r="B35" s="90" t="s">
        <v>22</v>
      </c>
      <c r="C35" s="87"/>
      <c r="D35" s="88"/>
      <c r="E35" s="88"/>
      <c r="F35" s="88"/>
      <c r="G35" s="88"/>
      <c r="H35" s="88"/>
      <c r="I35" s="88"/>
      <c r="J35" s="89">
        <f>0.13*G34*((831978.7+48114)/300)</f>
        <v>133381.92474093262</v>
      </c>
      <c r="K35" s="18"/>
    </row>
    <row r="36" spans="1:11" ht="15" customHeight="1" x14ac:dyDescent="0.3">
      <c r="A36" s="27"/>
      <c r="B36" s="10"/>
      <c r="C36" s="22"/>
      <c r="D36" s="23"/>
      <c r="E36" s="23"/>
      <c r="F36" s="23"/>
      <c r="G36" s="23"/>
      <c r="H36" s="23"/>
      <c r="I36" s="23"/>
      <c r="J36" s="26"/>
      <c r="K36" s="18"/>
    </row>
    <row r="37" spans="1:11" ht="15" customHeight="1" x14ac:dyDescent="0.3">
      <c r="A37" s="9">
        <v>5</v>
      </c>
      <c r="B37" s="7" t="s">
        <v>30</v>
      </c>
      <c r="C37" s="11">
        <v>1</v>
      </c>
      <c r="D37" s="12"/>
      <c r="E37" s="13"/>
      <c r="F37" s="13"/>
      <c r="G37" s="34">
        <f t="shared" ref="G37" si="0">PRODUCT(C37:F37)</f>
        <v>1</v>
      </c>
      <c r="H37" s="15" t="s">
        <v>31</v>
      </c>
      <c r="I37" s="14">
        <v>15000</v>
      </c>
      <c r="J37" s="34">
        <f>G37*I37</f>
        <v>15000</v>
      </c>
      <c r="K37" s="13"/>
    </row>
    <row r="38" spans="1:11" ht="15" customHeight="1" x14ac:dyDescent="0.3">
      <c r="A38" s="9"/>
      <c r="B38" s="7"/>
      <c r="C38" s="11"/>
      <c r="D38" s="12"/>
      <c r="E38" s="13"/>
      <c r="F38" s="13"/>
      <c r="G38" s="34"/>
      <c r="H38" s="15"/>
      <c r="I38" s="14"/>
      <c r="J38" s="34"/>
      <c r="K38" s="13"/>
    </row>
    <row r="39" spans="1:11" ht="15" customHeight="1" x14ac:dyDescent="0.3">
      <c r="A39" s="9">
        <v>6</v>
      </c>
      <c r="B39" s="7" t="s">
        <v>32</v>
      </c>
      <c r="C39" s="11">
        <v>1</v>
      </c>
      <c r="D39" s="12"/>
      <c r="E39" s="13"/>
      <c r="F39" s="13"/>
      <c r="G39" s="34">
        <f t="shared" ref="G39" si="1">PRODUCT(C39:F39)</f>
        <v>1</v>
      </c>
      <c r="H39" s="15" t="s">
        <v>33</v>
      </c>
      <c r="I39" s="14">
        <v>500</v>
      </c>
      <c r="J39" s="34">
        <f>G39*I39</f>
        <v>500</v>
      </c>
      <c r="K39" s="13"/>
    </row>
    <row r="40" spans="1:11" ht="11.25" customHeight="1" x14ac:dyDescent="0.3">
      <c r="A40" s="9"/>
      <c r="B40" s="33"/>
      <c r="C40" s="11"/>
      <c r="D40" s="12"/>
      <c r="E40" s="13"/>
      <c r="F40" s="13"/>
      <c r="G40" s="14"/>
      <c r="H40" s="15"/>
      <c r="I40" s="14"/>
      <c r="J40" s="16"/>
      <c r="K40" s="13"/>
    </row>
    <row r="41" spans="1:11" x14ac:dyDescent="0.3">
      <c r="A41" s="21"/>
      <c r="B41" s="44" t="s">
        <v>39</v>
      </c>
      <c r="C41" s="45"/>
      <c r="D41" s="19"/>
      <c r="E41" s="19"/>
      <c r="F41" s="19"/>
      <c r="G41" s="16"/>
      <c r="H41" s="16"/>
      <c r="I41" s="16"/>
      <c r="J41" s="16">
        <f>SUM(J12:J39)</f>
        <v>2507938.5961947353</v>
      </c>
      <c r="K41" s="18"/>
    </row>
    <row r="43" spans="1:11" s="17" customFormat="1" x14ac:dyDescent="0.3">
      <c r="A43" s="35"/>
      <c r="B43" s="30" t="s">
        <v>34</v>
      </c>
      <c r="C43" s="64">
        <f>J41</f>
        <v>2507938.5961947353</v>
      </c>
      <c r="D43" s="64"/>
      <c r="E43" s="20">
        <v>100</v>
      </c>
      <c r="F43" s="36"/>
      <c r="G43" s="37"/>
      <c r="H43" s="36"/>
      <c r="I43" s="38"/>
      <c r="J43" s="39"/>
      <c r="K43" s="40"/>
    </row>
    <row r="44" spans="1:11" x14ac:dyDescent="0.3">
      <c r="A44" s="41"/>
      <c r="B44" s="30" t="s">
        <v>35</v>
      </c>
      <c r="C44" s="67">
        <v>2200000</v>
      </c>
      <c r="D44" s="67"/>
      <c r="E44" s="20"/>
      <c r="F44" s="42"/>
      <c r="G44" s="43"/>
      <c r="H44" s="43"/>
      <c r="I44" s="43"/>
      <c r="J44" s="43"/>
      <c r="K44" s="42"/>
    </row>
    <row r="45" spans="1:11" x14ac:dyDescent="0.3">
      <c r="A45" s="41"/>
      <c r="B45" s="30" t="s">
        <v>36</v>
      </c>
      <c r="C45" s="67">
        <f>C44-C47-C48</f>
        <v>2090000</v>
      </c>
      <c r="D45" s="67"/>
      <c r="E45" s="20">
        <f>C45/C43*100</f>
        <v>83.335373647948614</v>
      </c>
      <c r="F45" s="42"/>
      <c r="G45" s="43"/>
      <c r="H45" s="43"/>
      <c r="I45" s="43"/>
      <c r="J45" s="43"/>
      <c r="K45" s="42"/>
    </row>
    <row r="46" spans="1:11" x14ac:dyDescent="0.3">
      <c r="A46" s="41"/>
      <c r="B46" s="30" t="s">
        <v>37</v>
      </c>
      <c r="C46" s="64">
        <f>C43-C45</f>
        <v>417938.59619473526</v>
      </c>
      <c r="D46" s="64"/>
      <c r="E46" s="20">
        <f>100-E45</f>
        <v>16.664626352051386</v>
      </c>
      <c r="F46" s="42"/>
      <c r="G46" s="43"/>
      <c r="H46" s="43"/>
      <c r="I46" s="43"/>
      <c r="J46" s="43"/>
      <c r="K46" s="42"/>
    </row>
    <row r="47" spans="1:11" x14ac:dyDescent="0.3">
      <c r="A47" s="41"/>
      <c r="B47" s="30" t="s">
        <v>38</v>
      </c>
      <c r="C47" s="64">
        <f>C44*0.03</f>
        <v>66000</v>
      </c>
      <c r="D47" s="64"/>
      <c r="E47" s="20">
        <v>3</v>
      </c>
      <c r="F47" s="42"/>
      <c r="G47" s="43"/>
      <c r="H47" s="43"/>
      <c r="I47" s="43"/>
      <c r="J47" s="43"/>
      <c r="K47" s="42"/>
    </row>
    <row r="48" spans="1:11" x14ac:dyDescent="0.3">
      <c r="A48" s="41"/>
      <c r="B48" s="30" t="s">
        <v>55</v>
      </c>
      <c r="C48" s="64">
        <f>C44*0.02</f>
        <v>44000</v>
      </c>
      <c r="D48" s="64"/>
      <c r="E48" s="20">
        <v>2</v>
      </c>
      <c r="F48" s="42"/>
      <c r="G48" s="43"/>
      <c r="H48" s="43"/>
      <c r="I48" s="43"/>
      <c r="J48" s="43"/>
      <c r="K48" s="42"/>
    </row>
  </sheetData>
  <mergeCells count="15">
    <mergeCell ref="A6:F6"/>
    <mergeCell ref="H6:K6"/>
    <mergeCell ref="A1:K1"/>
    <mergeCell ref="A2:K2"/>
    <mergeCell ref="A3:K3"/>
    <mergeCell ref="A4:K4"/>
    <mergeCell ref="A5:K5"/>
    <mergeCell ref="C47:D47"/>
    <mergeCell ref="C48:D48"/>
    <mergeCell ref="A7:F7"/>
    <mergeCell ref="H7:K7"/>
    <mergeCell ref="C43:D43"/>
    <mergeCell ref="C44:D44"/>
    <mergeCell ref="C45:D45"/>
    <mergeCell ref="C46:D46"/>
  </mergeCells>
  <pageMargins left="0.7" right="0.7" top="0.75" bottom="0.75" header="0.3" footer="0.3"/>
  <pageSetup paperSize="9" scale="80"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20" zoomScaleNormal="100" workbookViewId="0">
      <selection activeCell="B13" sqref="B13"/>
    </sheetView>
  </sheetViews>
  <sheetFormatPr defaultRowHeight="14.4" x14ac:dyDescent="0.3"/>
  <cols>
    <col min="1" max="1" width="6.33203125" customWidth="1"/>
    <col min="2" max="2" width="39.332031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9.5546875" bestFit="1" customWidth="1"/>
  </cols>
  <sheetData>
    <row r="1" spans="1:11" x14ac:dyDescent="0.3">
      <c r="A1" s="76" t="s">
        <v>0</v>
      </c>
      <c r="B1" s="76"/>
      <c r="C1" s="76"/>
      <c r="D1" s="76"/>
      <c r="E1" s="76"/>
      <c r="F1" s="76"/>
      <c r="G1" s="76"/>
      <c r="H1" s="76"/>
      <c r="I1" s="76"/>
      <c r="J1" s="76"/>
      <c r="K1" s="76"/>
    </row>
    <row r="2" spans="1:11" ht="24.6" x14ac:dyDescent="0.4">
      <c r="A2" s="77" t="s">
        <v>1</v>
      </c>
      <c r="B2" s="77"/>
      <c r="C2" s="77"/>
      <c r="D2" s="77"/>
      <c r="E2" s="77"/>
      <c r="F2" s="77"/>
      <c r="G2" s="77"/>
      <c r="H2" s="77"/>
      <c r="I2" s="77"/>
      <c r="J2" s="77"/>
      <c r="K2" s="77"/>
    </row>
    <row r="3" spans="1:11" s="17" customFormat="1" x14ac:dyDescent="0.3">
      <c r="A3" s="72" t="s">
        <v>2</v>
      </c>
      <c r="B3" s="72"/>
      <c r="C3" s="72"/>
      <c r="D3" s="72"/>
      <c r="E3" s="72"/>
      <c r="F3" s="72"/>
      <c r="G3" s="72"/>
      <c r="H3" s="72"/>
      <c r="I3" s="72"/>
      <c r="J3" s="72"/>
      <c r="K3" s="72"/>
    </row>
    <row r="4" spans="1:11" s="17" customFormat="1" x14ac:dyDescent="0.3">
      <c r="A4" s="72" t="s">
        <v>3</v>
      </c>
      <c r="B4" s="72"/>
      <c r="C4" s="72"/>
      <c r="D4" s="72"/>
      <c r="E4" s="72"/>
      <c r="F4" s="72"/>
      <c r="G4" s="72"/>
      <c r="H4" s="72"/>
      <c r="I4" s="72"/>
      <c r="J4" s="72"/>
      <c r="K4" s="72"/>
    </row>
    <row r="5" spans="1:11" ht="18" x14ac:dyDescent="0.35">
      <c r="A5" s="78" t="s">
        <v>40</v>
      </c>
      <c r="B5" s="78"/>
      <c r="C5" s="78"/>
      <c r="D5" s="78"/>
      <c r="E5" s="78"/>
      <c r="F5" s="78"/>
      <c r="G5" s="78"/>
      <c r="H5" s="78"/>
      <c r="I5" s="78"/>
      <c r="J5" s="78"/>
      <c r="K5" s="78"/>
    </row>
    <row r="6" spans="1:11" ht="18" x14ac:dyDescent="0.35">
      <c r="A6" s="48" t="s">
        <v>41</v>
      </c>
      <c r="B6" s="48"/>
      <c r="C6" s="74">
        <f>F29</f>
        <v>1332814.8320755644</v>
      </c>
      <c r="D6" s="75"/>
      <c r="E6" s="49"/>
      <c r="F6" s="48"/>
      <c r="G6" s="48"/>
      <c r="H6" s="48" t="s">
        <v>42</v>
      </c>
      <c r="I6" s="48"/>
      <c r="J6" s="74" t="e">
        <f>I29</f>
        <v>#REF!</v>
      </c>
      <c r="K6" s="75"/>
    </row>
    <row r="7" spans="1:11" x14ac:dyDescent="0.3">
      <c r="A7" s="50" t="s">
        <v>43</v>
      </c>
      <c r="B7" s="50"/>
      <c r="C7" s="50"/>
      <c r="D7" s="50"/>
      <c r="F7" s="79"/>
      <c r="G7" s="79"/>
      <c r="I7" s="80" t="s">
        <v>44</v>
      </c>
      <c r="J7" s="80"/>
      <c r="K7" s="80"/>
    </row>
    <row r="8" spans="1:11" ht="15.6" x14ac:dyDescent="0.3">
      <c r="A8" s="68" t="str">
        <f>Estimate!A6</f>
        <v>Project:-Sanagaun pariyaar tole bendol sadak</v>
      </c>
      <c r="B8" s="68"/>
      <c r="C8" s="68"/>
      <c r="D8" s="68"/>
      <c r="E8" s="68"/>
      <c r="F8" s="68"/>
      <c r="I8" s="81" t="s">
        <v>53</v>
      </c>
      <c r="J8" s="81"/>
      <c r="K8" s="81"/>
    </row>
    <row r="9" spans="1:11" x14ac:dyDescent="0.3">
      <c r="A9" s="82" t="str">
        <f>Estimate!A7</f>
        <v>Location:- Shankharapur Municipality 9</v>
      </c>
      <c r="B9" s="82"/>
      <c r="C9" s="82"/>
      <c r="D9" s="82"/>
      <c r="E9" s="82"/>
      <c r="F9" s="82"/>
      <c r="I9" s="81" t="s">
        <v>54</v>
      </c>
      <c r="J9" s="81"/>
      <c r="K9" s="81"/>
    </row>
    <row r="11" spans="1:11" x14ac:dyDescent="0.3">
      <c r="A11" s="84" t="s">
        <v>45</v>
      </c>
      <c r="B11" s="84" t="s">
        <v>46</v>
      </c>
      <c r="C11" s="84" t="s">
        <v>14</v>
      </c>
      <c r="D11" s="85" t="s">
        <v>47</v>
      </c>
      <c r="E11" s="85"/>
      <c r="F11" s="85"/>
      <c r="G11" s="85" t="s">
        <v>48</v>
      </c>
      <c r="H11" s="85"/>
      <c r="I11" s="85"/>
      <c r="J11" s="84" t="s">
        <v>49</v>
      </c>
      <c r="K11" s="83" t="s">
        <v>50</v>
      </c>
    </row>
    <row r="12" spans="1:11" x14ac:dyDescent="0.3">
      <c r="A12" s="84"/>
      <c r="B12" s="84"/>
      <c r="C12" s="84"/>
      <c r="D12" s="51" t="s">
        <v>51</v>
      </c>
      <c r="E12" s="51" t="s">
        <v>15</v>
      </c>
      <c r="F12" s="51" t="s">
        <v>16</v>
      </c>
      <c r="G12" s="51" t="s">
        <v>51</v>
      </c>
      <c r="H12" s="51" t="s">
        <v>15</v>
      </c>
      <c r="I12" s="51" t="s">
        <v>16</v>
      </c>
      <c r="J12" s="84"/>
      <c r="K12" s="83"/>
    </row>
    <row r="13" spans="1:11" s="17" customFormat="1" ht="124.8" x14ac:dyDescent="0.3">
      <c r="A13" s="62">
        <f>Estimate!A9</f>
        <v>1</v>
      </c>
      <c r="B13" s="55"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52" t="str">
        <f>Estimate!H12</f>
        <v>m3</v>
      </c>
      <c r="D13" s="52">
        <f>Estimate!G12</f>
        <v>418.31758610179816</v>
      </c>
      <c r="E13" s="52">
        <f>Estimate!I12</f>
        <v>64.63</v>
      </c>
      <c r="F13" s="52">
        <f>D13*E13</f>
        <v>27035.865589759214</v>
      </c>
      <c r="G13" s="52" t="e">
        <f>#REF!</f>
        <v>#REF!</v>
      </c>
      <c r="H13" s="52" t="e">
        <f>#REF!</f>
        <v>#REF!</v>
      </c>
      <c r="I13" s="52" t="e">
        <f>G13*H13</f>
        <v>#REF!</v>
      </c>
      <c r="J13" s="53" t="e">
        <f>I13-F13</f>
        <v>#REF!</v>
      </c>
      <c r="K13" s="54"/>
    </row>
    <row r="14" spans="1:11" s="17" customFormat="1" ht="15.6" x14ac:dyDescent="0.3">
      <c r="A14" s="62"/>
      <c r="B14" s="60" t="str">
        <f>Estimate!B13</f>
        <v>VAT calculation</v>
      </c>
      <c r="C14" s="52"/>
      <c r="D14" s="52"/>
      <c r="E14" s="52"/>
      <c r="F14" s="52">
        <f>Estimate!J13</f>
        <v>2913.0242304175554</v>
      </c>
      <c r="G14" s="52"/>
      <c r="H14" s="52"/>
      <c r="I14" s="52" t="e">
        <f>#REF!</f>
        <v>#REF!</v>
      </c>
      <c r="J14" s="53" t="e">
        <f>I14-F14</f>
        <v>#REF!</v>
      </c>
      <c r="K14" s="54"/>
    </row>
    <row r="15" spans="1:11" s="17" customFormat="1" x14ac:dyDescent="0.3">
      <c r="A15" s="27"/>
      <c r="B15" s="30"/>
      <c r="C15" s="52"/>
      <c r="D15" s="52"/>
      <c r="E15" s="52"/>
      <c r="F15" s="52"/>
      <c r="G15" s="52"/>
      <c r="H15" s="52"/>
      <c r="I15" s="52"/>
      <c r="J15" s="53"/>
      <c r="K15" s="54"/>
    </row>
    <row r="16" spans="1:11" s="17" customFormat="1" ht="78" x14ac:dyDescent="0.3">
      <c r="A16" s="62">
        <f>Estimate!A15</f>
        <v>2</v>
      </c>
      <c r="B16" s="55" t="str">
        <f>Estimate!B15</f>
        <v>Providing and laying of hand pack Stone soling with 150 to 200 mm thick stones and packing with smaller stone on prepared surface as per Drawing and Technical Specifications.</v>
      </c>
      <c r="C16" s="52" t="str">
        <f>Estimate!H17</f>
        <v>m3</v>
      </c>
      <c r="D16" s="52">
        <f>Estimate!G17</f>
        <v>0</v>
      </c>
      <c r="E16" s="52">
        <f>Estimate!I17</f>
        <v>4561.53</v>
      </c>
      <c r="F16" s="52">
        <f>D16*E16</f>
        <v>0</v>
      </c>
      <c r="G16" s="52" t="e">
        <f>#REF!</f>
        <v>#REF!</v>
      </c>
      <c r="H16" s="52" t="e">
        <f>#REF!</f>
        <v>#REF!</v>
      </c>
      <c r="I16" s="52" t="e">
        <f>G16*H16</f>
        <v>#REF!</v>
      </c>
      <c r="J16" s="53" t="e">
        <f>I16-F16</f>
        <v>#REF!</v>
      </c>
      <c r="K16" s="54"/>
    </row>
    <row r="17" spans="1:13" s="17" customFormat="1" ht="15.6" x14ac:dyDescent="0.3">
      <c r="A17" s="62"/>
      <c r="B17" s="60" t="str">
        <f>Estimate!B18</f>
        <v>VAT calculation</v>
      </c>
      <c r="C17" s="52"/>
      <c r="D17" s="52"/>
      <c r="E17" s="52"/>
      <c r="F17" s="52">
        <f>Estimate!J18</f>
        <v>0</v>
      </c>
      <c r="G17" s="52"/>
      <c r="H17" s="52"/>
      <c r="I17" s="52" t="e">
        <f>#REF!</f>
        <v>#REF!</v>
      </c>
      <c r="J17" s="53" t="e">
        <f>I17-F17</f>
        <v>#REF!</v>
      </c>
      <c r="K17" s="54"/>
    </row>
    <row r="18" spans="1:13" s="17" customFormat="1" x14ac:dyDescent="0.3">
      <c r="A18" s="27"/>
      <c r="B18" s="30"/>
      <c r="C18" s="52"/>
      <c r="D18" s="52"/>
      <c r="E18" s="52"/>
      <c r="F18" s="52"/>
      <c r="G18" s="52"/>
      <c r="H18" s="52"/>
      <c r="I18" s="52"/>
      <c r="J18" s="53"/>
      <c r="K18" s="54"/>
    </row>
    <row r="19" spans="1:13" s="17" customFormat="1" ht="62.4" x14ac:dyDescent="0.3">
      <c r="A19" s="62">
        <f>Estimate!A20</f>
        <v>2</v>
      </c>
      <c r="B19" s="55" t="str">
        <f>Estimate!B20</f>
        <v>Providing and laying , fitting and placing HYSD bar reinforcement in sub-structure complete as per Drawing and Technical Specifications</v>
      </c>
      <c r="C19" s="52" t="str">
        <f>Estimate!H23</f>
        <v>MT</v>
      </c>
      <c r="D19" s="52">
        <f>Estimate!G23</f>
        <v>2.9751184319745931</v>
      </c>
      <c r="E19" s="52">
        <f>Estimate!I23</f>
        <v>124140</v>
      </c>
      <c r="F19" s="52">
        <f>D19*E19</f>
        <v>369331.20214532601</v>
      </c>
      <c r="G19" s="52" t="e">
        <f>#REF!</f>
        <v>#REF!</v>
      </c>
      <c r="H19" s="52" t="e">
        <f>#REF!</f>
        <v>#REF!</v>
      </c>
      <c r="I19" s="52" t="e">
        <f>G19*H19</f>
        <v>#REF!</v>
      </c>
      <c r="J19" s="53" t="e">
        <f>I19-F19</f>
        <v>#REF!</v>
      </c>
      <c r="K19" s="54"/>
    </row>
    <row r="20" spans="1:13" s="17" customFormat="1" ht="15.6" x14ac:dyDescent="0.3">
      <c r="A20" s="62"/>
      <c r="B20" s="60" t="str">
        <f>Estimate!B24</f>
        <v>VAT calculation</v>
      </c>
      <c r="C20" s="52"/>
      <c r="D20" s="52"/>
      <c r="E20" s="52"/>
      <c r="F20" s="52">
        <f>Estimate!J24</f>
        <v>42915.488357547118</v>
      </c>
      <c r="G20" s="52"/>
      <c r="H20" s="52"/>
      <c r="I20" s="52" t="e">
        <f>#REF!</f>
        <v>#REF!</v>
      </c>
      <c r="J20" s="53" t="e">
        <f>I20-F20</f>
        <v>#REF!</v>
      </c>
      <c r="K20" s="54"/>
    </row>
    <row r="21" spans="1:13" s="17" customFormat="1" x14ac:dyDescent="0.3">
      <c r="A21" s="27"/>
      <c r="B21" s="30"/>
      <c r="C21" s="52"/>
      <c r="D21" s="52"/>
      <c r="E21" s="52"/>
      <c r="F21" s="52"/>
      <c r="G21" s="52"/>
      <c r="H21" s="52"/>
      <c r="I21" s="52"/>
      <c r="J21" s="53"/>
      <c r="K21" s="54"/>
    </row>
    <row r="22" spans="1:13" s="17" customFormat="1" ht="62.4" x14ac:dyDescent="0.3">
      <c r="A22" s="62">
        <f>Estimate!A26</f>
        <v>3</v>
      </c>
      <c r="B22" s="55" t="str">
        <f>Estimate!B26</f>
        <v>Providing and laying of Plain/Reinforced Cement Concrete in Foundation complete as per Drawing and Technical Specifications., RCC Grade M 20</v>
      </c>
      <c r="C22" s="52" t="str">
        <f>Estimate!H28</f>
        <v>m3</v>
      </c>
      <c r="D22" s="52">
        <f>Estimate!G28</f>
        <v>68.576653459311174</v>
      </c>
      <c r="E22" s="52">
        <f>Estimate!I28</f>
        <v>11588.17</v>
      </c>
      <c r="F22" s="52">
        <f>D22*E22</f>
        <v>794677.91831758595</v>
      </c>
      <c r="G22" s="52" t="e">
        <f>#REF!</f>
        <v>#REF!</v>
      </c>
      <c r="H22" s="52" t="e">
        <f>#REF!</f>
        <v>#REF!</v>
      </c>
      <c r="I22" s="52" t="e">
        <f>G22*H22</f>
        <v>#REF!</v>
      </c>
      <c r="J22" s="53" t="e">
        <f>I22-F22</f>
        <v>#REF!</v>
      </c>
      <c r="K22" s="54"/>
    </row>
    <row r="23" spans="1:13" s="17" customFormat="1" ht="15.6" x14ac:dyDescent="0.3">
      <c r="A23" s="62"/>
      <c r="B23" s="60" t="str">
        <f>Estimate!B29</f>
        <v>VAT calculation</v>
      </c>
      <c r="C23" s="52"/>
      <c r="D23" s="52"/>
      <c r="E23" s="52"/>
      <c r="F23" s="52">
        <f>Estimate!J29</f>
        <v>80441.333434928369</v>
      </c>
      <c r="G23" s="52"/>
      <c r="H23" s="52"/>
      <c r="I23" s="52" t="e">
        <f>#REF!</f>
        <v>#REF!</v>
      </c>
      <c r="J23" s="53" t="e">
        <f>I23-F23</f>
        <v>#REF!</v>
      </c>
      <c r="K23" s="54"/>
    </row>
    <row r="24" spans="1:13" s="17" customFormat="1" x14ac:dyDescent="0.3">
      <c r="A24" s="27"/>
      <c r="B24" s="30"/>
      <c r="C24" s="52"/>
      <c r="D24" s="52"/>
      <c r="E24" s="52"/>
      <c r="F24" s="52"/>
      <c r="G24" s="52"/>
      <c r="H24" s="52"/>
      <c r="I24" s="52"/>
      <c r="J24" s="53"/>
      <c r="K24" s="54"/>
      <c r="M24" s="63"/>
    </row>
    <row r="25" spans="1:13" s="17" customFormat="1" ht="15.6" x14ac:dyDescent="0.3">
      <c r="A25" s="62">
        <f>Estimate!A37</f>
        <v>5</v>
      </c>
      <c r="B25" s="55" t="str">
        <f>Estimate!B37</f>
        <v>Provisional sum for lab test</v>
      </c>
      <c r="C25" s="52" t="str">
        <f>Estimate!H37</f>
        <v>PS</v>
      </c>
      <c r="D25" s="52">
        <f>Estimate!G37</f>
        <v>1</v>
      </c>
      <c r="E25" s="52">
        <f>Estimate!I37</f>
        <v>15000</v>
      </c>
      <c r="F25" s="52">
        <f>D25*E25</f>
        <v>15000</v>
      </c>
      <c r="G25" s="52" t="e">
        <f>#REF!</f>
        <v>#REF!</v>
      </c>
      <c r="H25" s="52" t="e">
        <f>#REF!</f>
        <v>#REF!</v>
      </c>
      <c r="I25" s="52" t="e">
        <f>G25*H25</f>
        <v>#REF!</v>
      </c>
      <c r="J25" s="53" t="e">
        <f>I25-F25</f>
        <v>#REF!</v>
      </c>
      <c r="K25" s="54"/>
    </row>
    <row r="26" spans="1:13" s="17" customFormat="1" x14ac:dyDescent="0.3">
      <c r="A26" s="27"/>
      <c r="B26" s="30"/>
      <c r="C26" s="52"/>
      <c r="D26" s="52"/>
      <c r="E26" s="52"/>
      <c r="F26" s="52"/>
      <c r="G26" s="52"/>
      <c r="H26" s="52"/>
      <c r="I26" s="52"/>
      <c r="J26" s="53"/>
      <c r="K26" s="54"/>
    </row>
    <row r="27" spans="1:13" s="17" customFormat="1" x14ac:dyDescent="0.3">
      <c r="A27" s="62">
        <f>Estimate!A39</f>
        <v>6</v>
      </c>
      <c r="B27" s="56" t="str">
        <f>Estimate!B39</f>
        <v>Information board (सुचना पाटि)</v>
      </c>
      <c r="C27" s="52" t="str">
        <f>Estimate!H39</f>
        <v>no.</v>
      </c>
      <c r="D27" s="52">
        <f>Estimate!G39</f>
        <v>1</v>
      </c>
      <c r="E27" s="52">
        <f>Estimate!I39</f>
        <v>500</v>
      </c>
      <c r="F27" s="52">
        <f>D27*E27</f>
        <v>500</v>
      </c>
      <c r="G27" s="52" t="e">
        <f>#REF!</f>
        <v>#REF!</v>
      </c>
      <c r="H27" s="52" t="e">
        <f>#REF!</f>
        <v>#REF!</v>
      </c>
      <c r="I27" s="52" t="e">
        <f>G27*H27</f>
        <v>#REF!</v>
      </c>
      <c r="J27" s="53" t="e">
        <f>I27-F27</f>
        <v>#REF!</v>
      </c>
      <c r="K27" s="54"/>
    </row>
    <row r="28" spans="1:13" s="17" customFormat="1" x14ac:dyDescent="0.3">
      <c r="A28" s="30"/>
      <c r="B28" s="30"/>
      <c r="C28" s="52"/>
      <c r="D28" s="52"/>
      <c r="E28" s="52"/>
      <c r="F28" s="52"/>
      <c r="G28" s="52"/>
      <c r="H28" s="52"/>
      <c r="I28" s="52"/>
      <c r="J28" s="53"/>
      <c r="K28" s="54"/>
    </row>
    <row r="29" spans="1:13" x14ac:dyDescent="0.3">
      <c r="A29" s="31"/>
      <c r="B29" s="57" t="s">
        <v>52</v>
      </c>
      <c r="C29" s="57"/>
      <c r="D29" s="58"/>
      <c r="E29" s="58"/>
      <c r="F29" s="58">
        <f>SUM(F13:F27)</f>
        <v>1332814.8320755644</v>
      </c>
      <c r="G29" s="58"/>
      <c r="H29" s="58"/>
      <c r="I29" s="58" t="e">
        <f>SUM(I13:I27)</f>
        <v>#REF!</v>
      </c>
      <c r="J29" s="59" t="e">
        <f>I29-F29</f>
        <v>#REF!</v>
      </c>
      <c r="K29" s="31"/>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Estimate</vt:lpstr>
      <vt:lpstr>WCR</vt:lpstr>
      <vt:lpstr>WCR!Print_Area</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2025-07-07T01:58:07Z</dcterms:modified>
</cp:coreProperties>
</file>