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बद्री पुडासैनीको घर जाने बाटो ढलान\"/>
    </mc:Choice>
  </mc:AlternateContent>
  <bookViews>
    <workbookView xWindow="-120" yWindow="-120" windowWidth="20730" windowHeight="11160" activeTab="3"/>
  </bookViews>
  <sheets>
    <sheet name="estimate" sheetId="19" r:id="rId1"/>
    <sheet name="WCR" sheetId="6" r:id="rId2"/>
    <sheet name="V" sheetId="20" r:id="rId3"/>
    <sheet name="MQ" sheetId="24" r:id="rId4"/>
  </sheets>
  <externalReferences>
    <externalReference r:id="rId5"/>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estimate!$A$1:$K$63</definedName>
    <definedName name="_xlnm.Print_Area" localSheetId="3">MQ!$A$1:$K$78</definedName>
    <definedName name="_xlnm.Print_Area" localSheetId="2">V!$A$1:$K$78</definedName>
    <definedName name="_xlnm.Print_Area" localSheetId="1">WCR!$A$1:$K$39</definedName>
    <definedName name="_xlnm.Print_Titles" localSheetId="0">estimate!$1:$8</definedName>
    <definedName name="_xlnm.Print_Titles" localSheetId="3">MQ!$1:$8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8" i="24" l="1"/>
  <c r="D10" i="24"/>
  <c r="D54" i="20"/>
  <c r="E18" i="20"/>
  <c r="D10" i="20"/>
  <c r="G62" i="24"/>
  <c r="D61" i="24"/>
  <c r="G61" i="24"/>
  <c r="G59" i="24"/>
  <c r="G58" i="24"/>
  <c r="G57" i="24"/>
  <c r="G56" i="24"/>
  <c r="G55" i="24"/>
  <c r="G54" i="24"/>
  <c r="B54" i="24"/>
  <c r="S106" i="24"/>
  <c r="S105" i="24"/>
  <c r="S104" i="24"/>
  <c r="S102" i="24"/>
  <c r="S101" i="24"/>
  <c r="S100" i="24"/>
  <c r="O98" i="24"/>
  <c r="O97" i="24"/>
  <c r="O96" i="24"/>
  <c r="S94" i="24"/>
  <c r="S93" i="24"/>
  <c r="S92" i="24"/>
  <c r="S90" i="24"/>
  <c r="S89" i="24"/>
  <c r="S87" i="24"/>
  <c r="S85" i="24"/>
  <c r="C85" i="24"/>
  <c r="S84" i="24"/>
  <c r="C84" i="24"/>
  <c r="S83" i="24"/>
  <c r="N77" i="24"/>
  <c r="G76" i="24"/>
  <c r="J76" i="24" s="1"/>
  <c r="G72" i="24"/>
  <c r="G71" i="24"/>
  <c r="G73" i="24" s="1"/>
  <c r="G66" i="24"/>
  <c r="G67" i="24" s="1"/>
  <c r="B61" i="24"/>
  <c r="E49" i="24"/>
  <c r="D49" i="24"/>
  <c r="F49" i="24" s="1"/>
  <c r="G49" i="24" s="1"/>
  <c r="E48" i="24"/>
  <c r="D48" i="24"/>
  <c r="F48" i="24" s="1"/>
  <c r="G48" i="24" s="1"/>
  <c r="G50" i="24" s="1"/>
  <c r="G43" i="24"/>
  <c r="F42" i="24"/>
  <c r="E42" i="24"/>
  <c r="G42" i="24" s="1"/>
  <c r="G41" i="24"/>
  <c r="F41" i="24"/>
  <c r="F40" i="24"/>
  <c r="G40" i="24" s="1"/>
  <c r="G39" i="24"/>
  <c r="F39" i="24"/>
  <c r="E39" i="24"/>
  <c r="F38" i="24"/>
  <c r="G38" i="24" s="1"/>
  <c r="F37" i="24"/>
  <c r="G37" i="24" s="1"/>
  <c r="G44" i="24" s="1"/>
  <c r="F32" i="24"/>
  <c r="G32" i="24" s="1"/>
  <c r="G31" i="24"/>
  <c r="G30" i="24"/>
  <c r="G29" i="24"/>
  <c r="E28" i="24"/>
  <c r="G28" i="24" s="1"/>
  <c r="E27" i="24"/>
  <c r="G27" i="24" s="1"/>
  <c r="G26" i="24"/>
  <c r="G25" i="24"/>
  <c r="G20" i="24"/>
  <c r="D19" i="24"/>
  <c r="C19" i="24"/>
  <c r="B19" i="24"/>
  <c r="G18" i="24"/>
  <c r="G13" i="24"/>
  <c r="G12" i="24"/>
  <c r="F12" i="24"/>
  <c r="E12" i="24"/>
  <c r="E19" i="24" s="1"/>
  <c r="G11" i="24"/>
  <c r="G10" i="24"/>
  <c r="G14" i="24" s="1"/>
  <c r="C82" i="24" l="1"/>
  <c r="C100" i="24"/>
  <c r="E100" i="24" s="1"/>
  <c r="J74" i="24"/>
  <c r="J73" i="24"/>
  <c r="G21" i="24"/>
  <c r="C97" i="24"/>
  <c r="E97" i="24" s="1"/>
  <c r="J51" i="24"/>
  <c r="J50" i="24"/>
  <c r="C96" i="24"/>
  <c r="E96" i="24" s="1"/>
  <c r="G33" i="24"/>
  <c r="J45" i="24"/>
  <c r="J44" i="24"/>
  <c r="J62" i="24"/>
  <c r="J63" i="24"/>
  <c r="J14" i="24"/>
  <c r="C89" i="24"/>
  <c r="E89" i="24" s="1"/>
  <c r="J15" i="24"/>
  <c r="G19" i="24"/>
  <c r="J67" i="24"/>
  <c r="C99" i="24"/>
  <c r="E99" i="24" s="1"/>
  <c r="J68" i="24"/>
  <c r="C98" i="24"/>
  <c r="E98" i="24" s="1"/>
  <c r="J22" i="24" l="1"/>
  <c r="E102" i="24" s="1"/>
  <c r="J21" i="24"/>
  <c r="C90" i="24"/>
  <c r="E90" i="24" s="1"/>
  <c r="C94" i="24"/>
  <c r="E94" i="24" s="1"/>
  <c r="C91" i="24"/>
  <c r="E91" i="24" s="1"/>
  <c r="C92" i="24"/>
  <c r="E92" i="24" s="1"/>
  <c r="J34" i="24"/>
  <c r="C93" i="24"/>
  <c r="E93" i="24" s="1"/>
  <c r="J33" i="24"/>
  <c r="C95" i="24"/>
  <c r="E95" i="24" s="1"/>
  <c r="J78" i="24" l="1"/>
  <c r="C80" i="24" s="1"/>
  <c r="C83" i="24" s="1"/>
  <c r="E82" i="24" l="1"/>
  <c r="E83" i="24" s="1"/>
  <c r="G60" i="20" l="1"/>
  <c r="G50" i="20"/>
  <c r="G44" i="20"/>
  <c r="F42" i="20"/>
  <c r="F32" i="20"/>
  <c r="E42" i="20"/>
  <c r="G32" i="20"/>
  <c r="M32" i="6"/>
  <c r="M35" i="6"/>
  <c r="M34" i="6"/>
  <c r="M31" i="6"/>
  <c r="M29" i="6"/>
  <c r="M28" i="6"/>
  <c r="M26" i="6"/>
  <c r="M25" i="6"/>
  <c r="M23" i="6"/>
  <c r="M22" i="6"/>
  <c r="M20" i="6"/>
  <c r="M19" i="6"/>
  <c r="M17" i="6"/>
  <c r="M16" i="6"/>
  <c r="M14" i="6"/>
  <c r="M13" i="6"/>
  <c r="G13" i="20" l="1"/>
  <c r="G20" i="20"/>
  <c r="G31" i="20"/>
  <c r="G33" i="20" s="1"/>
  <c r="G43" i="20" l="1"/>
  <c r="G42" i="20"/>
  <c r="A9" i="6" l="1"/>
  <c r="A8" i="6"/>
  <c r="D19" i="20"/>
  <c r="C19" i="20"/>
  <c r="B19" i="20"/>
  <c r="F12" i="20"/>
  <c r="E12" i="20"/>
  <c r="G12" i="20" s="1"/>
  <c r="E28" i="20"/>
  <c r="G28" i="20" s="1"/>
  <c r="E19" i="20" l="1"/>
  <c r="G19" i="20" s="1"/>
  <c r="D48" i="20"/>
  <c r="D49" i="20"/>
  <c r="F34" i="6"/>
  <c r="F31" i="6"/>
  <c r="H37" i="6"/>
  <c r="E37" i="6"/>
  <c r="D37" i="6"/>
  <c r="C37" i="6"/>
  <c r="B37" i="6"/>
  <c r="A37" i="6"/>
  <c r="H34" i="6"/>
  <c r="F35" i="6"/>
  <c r="E34" i="6"/>
  <c r="D34" i="6"/>
  <c r="C34" i="6"/>
  <c r="B35" i="6"/>
  <c r="B34" i="6"/>
  <c r="A34" i="6"/>
  <c r="H31" i="6"/>
  <c r="F32" i="6"/>
  <c r="E31" i="6"/>
  <c r="D31" i="6"/>
  <c r="C31" i="6"/>
  <c r="B32" i="6"/>
  <c r="B31" i="6"/>
  <c r="A31" i="6"/>
  <c r="H28" i="6"/>
  <c r="F29" i="6"/>
  <c r="E28" i="6"/>
  <c r="D28" i="6"/>
  <c r="C28" i="6"/>
  <c r="B29" i="6"/>
  <c r="B28" i="6"/>
  <c r="A28" i="6"/>
  <c r="H25" i="6"/>
  <c r="F26" i="6"/>
  <c r="E25" i="6"/>
  <c r="D25" i="6"/>
  <c r="C25" i="6"/>
  <c r="B26" i="6"/>
  <c r="B25" i="6"/>
  <c r="A25" i="6"/>
  <c r="H22" i="6"/>
  <c r="F23" i="6"/>
  <c r="E22" i="6"/>
  <c r="D22" i="6"/>
  <c r="C22" i="6"/>
  <c r="B23" i="6"/>
  <c r="B22" i="6"/>
  <c r="A22" i="6"/>
  <c r="H19" i="6"/>
  <c r="F20" i="6"/>
  <c r="E19" i="6"/>
  <c r="D19" i="6"/>
  <c r="C19" i="6"/>
  <c r="B20" i="6"/>
  <c r="B19" i="6"/>
  <c r="A19" i="6"/>
  <c r="H16" i="6"/>
  <c r="F17" i="6"/>
  <c r="E16" i="6"/>
  <c r="D16" i="6"/>
  <c r="C16" i="6"/>
  <c r="B17" i="6"/>
  <c r="B16" i="6"/>
  <c r="A16" i="6"/>
  <c r="H13" i="6"/>
  <c r="F14" i="6"/>
  <c r="E13" i="6"/>
  <c r="D13" i="6"/>
  <c r="C13" i="6"/>
  <c r="B14" i="6"/>
  <c r="B13" i="6"/>
  <c r="A13" i="6"/>
  <c r="G30" i="20"/>
  <c r="G29" i="20"/>
  <c r="E27" i="20"/>
  <c r="G27" i="20" s="1"/>
  <c r="G26" i="20"/>
  <c r="G25" i="20"/>
  <c r="F41" i="20"/>
  <c r="G41" i="20" s="1"/>
  <c r="F40" i="20"/>
  <c r="G40" i="20" s="1"/>
  <c r="F39" i="20"/>
  <c r="F38" i="20"/>
  <c r="G38" i="20" s="1"/>
  <c r="F37" i="20"/>
  <c r="G37" i="20" s="1"/>
  <c r="E39" i="20"/>
  <c r="G65" i="20"/>
  <c r="G19" i="6" l="1"/>
  <c r="G39" i="20"/>
  <c r="Q40" i="19"/>
  <c r="P40" i="19"/>
  <c r="O89" i="20"/>
  <c r="O90" i="20"/>
  <c r="O91" i="20"/>
  <c r="S93" i="20"/>
  <c r="S94" i="20"/>
  <c r="S95" i="20"/>
  <c r="S97" i="20"/>
  <c r="S98" i="20"/>
  <c r="S99" i="20"/>
  <c r="S82" i="20"/>
  <c r="S83" i="20"/>
  <c r="S85" i="20"/>
  <c r="S86" i="20"/>
  <c r="S87" i="20"/>
  <c r="S80" i="20"/>
  <c r="S77" i="20"/>
  <c r="S78" i="20"/>
  <c r="S76" i="20"/>
  <c r="C88" i="20" l="1"/>
  <c r="E88" i="20" s="1"/>
  <c r="G22" i="6"/>
  <c r="I22" i="6" s="1"/>
  <c r="C78" i="20"/>
  <c r="C77" i="20"/>
  <c r="N70" i="20"/>
  <c r="G69" i="20"/>
  <c r="G64" i="20"/>
  <c r="G66" i="20" s="1"/>
  <c r="C93" i="20" s="1"/>
  <c r="E93" i="20" s="1"/>
  <c r="G59" i="20"/>
  <c r="B54" i="20"/>
  <c r="E49" i="20"/>
  <c r="E48" i="20"/>
  <c r="G11" i="20"/>
  <c r="F28" i="6"/>
  <c r="F25" i="6"/>
  <c r="F22" i="6"/>
  <c r="F19" i="6"/>
  <c r="F16" i="6"/>
  <c r="C91" i="20" l="1"/>
  <c r="E91" i="20" s="1"/>
  <c r="C92" i="20"/>
  <c r="E92" i="20" s="1"/>
  <c r="G34" i="6"/>
  <c r="I34" i="6" s="1"/>
  <c r="J34" i="6" s="1"/>
  <c r="J69" i="20"/>
  <c r="G37" i="6"/>
  <c r="J61" i="20"/>
  <c r="I32" i="6" s="1"/>
  <c r="J32" i="6" s="1"/>
  <c r="G31" i="6"/>
  <c r="I31" i="6" s="1"/>
  <c r="J31" i="6" s="1"/>
  <c r="J44" i="20"/>
  <c r="F49" i="20"/>
  <c r="G49" i="20" s="1"/>
  <c r="F48" i="20"/>
  <c r="G48" i="20" s="1"/>
  <c r="J34" i="20"/>
  <c r="I20" i="6" s="1"/>
  <c r="J20" i="6" s="1"/>
  <c r="C75" i="20"/>
  <c r="J67" i="20"/>
  <c r="I35" i="6" s="1"/>
  <c r="J35" i="6" s="1"/>
  <c r="J60" i="20"/>
  <c r="J22" i="6"/>
  <c r="I19" i="6"/>
  <c r="J19" i="6" s="1"/>
  <c r="G11" i="19"/>
  <c r="C89" i="20" l="1"/>
  <c r="E89" i="20" s="1"/>
  <c r="C90" i="20"/>
  <c r="E90" i="20" s="1"/>
  <c r="J66" i="20"/>
  <c r="J45" i="20"/>
  <c r="J33" i="20"/>
  <c r="G50" i="19"/>
  <c r="G49" i="19"/>
  <c r="G51" i="19" s="1"/>
  <c r="J52" i="19" s="1"/>
  <c r="E39" i="19"/>
  <c r="D39" i="19"/>
  <c r="B39" i="19"/>
  <c r="D22" i="19"/>
  <c r="G22" i="19" s="1"/>
  <c r="I23" i="6" l="1"/>
  <c r="J23" i="6" s="1"/>
  <c r="J51" i="20"/>
  <c r="I26" i="6" s="1"/>
  <c r="J26" i="6" s="1"/>
  <c r="G25" i="6"/>
  <c r="I25" i="6" s="1"/>
  <c r="J25" i="6" s="1"/>
  <c r="J50" i="20"/>
  <c r="G39" i="19"/>
  <c r="G40" i="19" s="1"/>
  <c r="J41" i="19" s="1"/>
  <c r="J51" i="19"/>
  <c r="J40" i="19" l="1"/>
  <c r="E34" i="19"/>
  <c r="D34" i="19"/>
  <c r="C33" i="19" s="1"/>
  <c r="D33" i="19"/>
  <c r="C34" i="19" s="1"/>
  <c r="G28" i="19"/>
  <c r="E16" i="19"/>
  <c r="D16" i="19"/>
  <c r="G44" i="19" l="1"/>
  <c r="G45" i="19" l="1"/>
  <c r="J46" i="19" s="1"/>
  <c r="J45" i="19" l="1"/>
  <c r="E33" i="19" l="1"/>
  <c r="B16" i="19"/>
  <c r="F33" i="19" l="1"/>
  <c r="G33" i="19" s="1"/>
  <c r="F34" i="19"/>
  <c r="G34" i="19" s="1"/>
  <c r="G35" i="19" l="1"/>
  <c r="J36" i="19" s="1"/>
  <c r="J35" i="19" l="1"/>
  <c r="N55" i="19"/>
  <c r="C62" i="19" l="1"/>
  <c r="G54" i="19"/>
  <c r="J54" i="19" s="1"/>
  <c r="D21" i="19"/>
  <c r="C63" i="19" l="1"/>
  <c r="C60" i="19" s="1"/>
  <c r="G21" i="19"/>
  <c r="G23" i="19" s="1"/>
  <c r="G27" i="19"/>
  <c r="G29" i="19" s="1"/>
  <c r="G10" i="19" l="1"/>
  <c r="J29" i="19"/>
  <c r="J30" i="19"/>
  <c r="G16" i="19"/>
  <c r="G17" i="19" s="1"/>
  <c r="G12" i="19" l="1"/>
  <c r="J13" i="19" s="1"/>
  <c r="J23" i="19"/>
  <c r="J24" i="19"/>
  <c r="J12" i="19" l="1"/>
  <c r="I37" i="6" l="1"/>
  <c r="F37" i="6"/>
  <c r="J37" i="6" l="1"/>
  <c r="F13" i="6" l="1"/>
  <c r="F39" i="6" l="1"/>
  <c r="C6" i="6" l="1"/>
  <c r="J18" i="19" l="1"/>
  <c r="J17" i="19"/>
  <c r="J56" i="19" s="1"/>
  <c r="C58" i="19" l="1"/>
  <c r="E60" i="19" l="1"/>
  <c r="E61" i="19" s="1"/>
  <c r="C61" i="19"/>
  <c r="G18" i="20"/>
  <c r="G54" i="20"/>
  <c r="G55" i="20" s="1"/>
  <c r="G21" i="20" l="1"/>
  <c r="C83" i="20" s="1"/>
  <c r="E83" i="20" s="1"/>
  <c r="C84" i="20"/>
  <c r="E84" i="20" s="1"/>
  <c r="C85" i="20"/>
  <c r="E85" i="20" s="1"/>
  <c r="C87" i="20"/>
  <c r="E87" i="20" s="1"/>
  <c r="C86" i="20"/>
  <c r="E86" i="20" s="1"/>
  <c r="G10" i="20"/>
  <c r="G14" i="20" s="1"/>
  <c r="J55" i="20"/>
  <c r="J56" i="20"/>
  <c r="I29" i="6" s="1"/>
  <c r="J29" i="6" s="1"/>
  <c r="G28" i="6"/>
  <c r="I28" i="6" s="1"/>
  <c r="J28" i="6" s="1"/>
  <c r="J22" i="20" l="1"/>
  <c r="I17" i="6" s="1"/>
  <c r="J17" i="6" s="1"/>
  <c r="J21" i="20"/>
  <c r="G16" i="6"/>
  <c r="I16" i="6" s="1"/>
  <c r="J16" i="6" s="1"/>
  <c r="C82" i="20"/>
  <c r="E82" i="20" s="1"/>
  <c r="J14" i="20"/>
  <c r="J15" i="20"/>
  <c r="G13" i="6"/>
  <c r="I13" i="6" s="1"/>
  <c r="I14" i="6" l="1"/>
  <c r="J14" i="6" s="1"/>
  <c r="E95" i="20"/>
  <c r="J71" i="20"/>
  <c r="C73" i="20" s="1"/>
  <c r="J13" i="6"/>
  <c r="I39" i="6"/>
  <c r="C76" i="20" l="1"/>
  <c r="E75" i="20"/>
  <c r="E76" i="20" s="1"/>
  <c r="J39" i="6"/>
  <c r="J6" i="6"/>
</calcChain>
</file>

<file path=xl/sharedStrings.xml><?xml version="1.0" encoding="utf-8"?>
<sst xmlns="http://schemas.openxmlformats.org/spreadsheetml/2006/main" count="306" uniqueCount="92">
  <si>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</si>
  <si>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</si>
  <si>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</si>
  <si>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</si>
  <si>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</si>
  <si>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</si>
  <si>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</si>
  <si>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</si>
  <si>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</si>
  <si>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</si>
  <si>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</si>
  <si>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</si>
  <si>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</si>
  <si>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</si>
  <si>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</si>
  <si>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</si>
  <si>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</si>
  <si>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</si>
  <si>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</si>
  <si>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</si>
  <si>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</si>
  <si>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</si>
  <si>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</si>
  <si>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</si>
  <si>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</si>
  <si>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</si>
  <si>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</si>
  <si>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</si>
  <si>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</si>
  <si>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</si>
  <si>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</si>
  <si>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</si>
  <si>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</si>
  <si>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</si>
  <si>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</si>
  <si>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</si>
  <si>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</si>
  <si>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</si>
  <si>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</si>
  <si>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</si>
  <si>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</si>
  <si>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</si>
  <si>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</si>
  <si>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</si>
  <si>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</si>
  <si>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</si>
  <si>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</si>
  <si>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</si>
  <si>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</si>
  <si>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</si>
  <si>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</si>
  <si>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</si>
  <si>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sqm</t>
  </si>
  <si>
    <t>-For stone masonary</t>
  </si>
  <si>
    <t>3fF; sf6\g] To;sf] h/f lemSg], l9:sf] k'm6fpg] / n]en u/L :yn ;kmf ug]{ ;a} jf]sgL ;d]t</t>
  </si>
  <si>
    <t>Unit wt. (kg/m)</t>
  </si>
  <si>
    <t>Total wt. (kg)</t>
  </si>
  <si>
    <t>Total wt. (MT)</t>
  </si>
  <si>
    <t>Date:2081/09/28</t>
  </si>
  <si>
    <t>-for road</t>
  </si>
  <si>
    <t>-For road</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</si>
  <si>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t>
  </si>
  <si>
    <t>-gabion wall</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</si>
  <si>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</si>
  <si>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</si>
  <si>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Laying and fixing of Geo-Textile all complete as per specification., Providing  and laying of a geotextile filter between pitching and embankment slopes as per Drawing and Technical Specifications.</t>
  </si>
  <si>
    <t>-for geotextile laying</t>
  </si>
  <si>
    <t xml:space="preserve">Project:- बद्री पुडासैनीको घर जाने बाटो ढलान </t>
  </si>
  <si>
    <t>Detail Valuated Sheet</t>
  </si>
  <si>
    <t>-as of RCC quantity</t>
  </si>
  <si>
    <t>Area (m2)</t>
  </si>
  <si>
    <t>-for masonary wall</t>
  </si>
  <si>
    <t xml:space="preserve">F.Y:2081/82                </t>
  </si>
  <si>
    <t>JCB</t>
  </si>
  <si>
    <t>Stone</t>
  </si>
  <si>
    <t>13% VAT</t>
  </si>
  <si>
    <t>Cement</t>
  </si>
  <si>
    <t>sand</t>
  </si>
  <si>
    <t>Aggregate</t>
  </si>
  <si>
    <t>water</t>
  </si>
  <si>
    <t>Formwork</t>
  </si>
  <si>
    <t>HYSD Bar</t>
  </si>
  <si>
    <t>Wire binding</t>
  </si>
  <si>
    <t>Mesh wire</t>
  </si>
  <si>
    <t>Selveged wire</t>
  </si>
  <si>
    <t>Geotextile</t>
  </si>
  <si>
    <t xml:space="preserve">Date:                            </t>
  </si>
  <si>
    <t xml:space="preserve">Date:                  </t>
  </si>
  <si>
    <t>Detail Quantity Measurement Sheet</t>
  </si>
  <si>
    <t>Total Valuated</t>
  </si>
  <si>
    <r>
      <t>m</t>
    </r>
    <r>
      <rPr>
        <vertAlign val="superscript"/>
        <sz val="11"/>
        <rFont val="Times New Roman"/>
        <family val="1"/>
      </rPr>
      <t>2</t>
    </r>
  </si>
  <si>
    <r>
      <t>Area (m</t>
    </r>
    <r>
      <rPr>
        <vertAlign val="superscript"/>
        <sz val="11"/>
        <rFont val="Times New Roman"/>
        <family val="1"/>
      </rPr>
      <t>2</t>
    </r>
    <r>
      <rPr>
        <sz val="11"/>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</si>
</sst>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Times New Roman"/>
      <family val="1"/>
    </font>
    <font>
      <sz val="11"/>
      <name val="Calibri"/>
      <family val="2"/>
      <scheme val="minor"/>
    </font>
    <font>
      <vertAlign val="superscript"/>
      <sz val="1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2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1" fontId="6" fillId="0" borderId="1" xfId="0" applyNumberFormat="1" applyFont="1" applyFill="1" applyBorder="1" applyAlignment="1">
      <alignment horizontal="right" vertical="center" wrapText="1"/>
    </xf>
    <xf numFmtId="0" fontId="6" fillId="0" borderId="0" xfId="0" applyFont="1" applyAlignment="1">
      <alignment horizontal="right"/>
    </xf>
    <xf numFmtId="0" fontId="6" fillId="0" borderId="2" xfId="0" applyFont="1" applyBorder="1" applyAlignment="1">
      <alignment horizontal="right"/>
    </xf>
    <xf numFmtId="0" fontId="15" fillId="0" borderId="0" xfId="0" applyFont="1" applyFill="1" applyBorder="1" applyAlignment="1">
      <alignment vertical="center"/>
    </xf>
    <xf numFmtId="2" fontId="0" fillId="0" borderId="0" xfId="0" applyNumberFormat="1" applyBorder="1"/>
    <xf numFmtId="0" fontId="15" fillId="0" borderId="1" xfId="0" applyFont="1" applyBorder="1" applyAlignment="1">
      <alignment wrapText="1"/>
    </xf>
    <xf numFmtId="0" fontId="6" fillId="0" borderId="0" xfId="0" applyFont="1" applyAlignment="1"/>
    <xf numFmtId="0" fontId="6" fillId="0" borderId="2" xfId="0" applyFont="1" applyBorder="1" applyAlignment="1"/>
    <xf numFmtId="0" fontId="16"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0" fillId="0" borderId="0" xfId="0" applyBorder="1" applyAlignment="1">
      <alignment horizontal="center"/>
    </xf>
    <xf numFmtId="2" fontId="0" fillId="0" borderId="0" xfId="0" applyNumberFormat="1" applyBorder="1" applyAlignment="1">
      <alignment horizontal="center"/>
    </xf>
    <xf numFmtId="164" fontId="12" fillId="0" borderId="1" xfId="1" applyNumberFormat="1" applyFont="1" applyFill="1" applyBorder="1" applyAlignment="1">
      <alignment vertical="center"/>
    </xf>
    <xf numFmtId="164" fontId="13" fillId="0" borderId="1" xfId="0" applyNumberFormat="1" applyFont="1" applyBorder="1"/>
    <xf numFmtId="2" fontId="13" fillId="0" borderId="1" xfId="0" applyNumberFormat="1" applyFont="1" applyBorder="1"/>
    <xf numFmtId="2" fontId="13" fillId="0" borderId="1" xfId="0" applyNumberFormat="1" applyFont="1" applyBorder="1" applyAlignment="1">
      <alignment vertical="center"/>
    </xf>
    <xf numFmtId="0" fontId="17" fillId="0" borderId="1" xfId="0" applyFont="1" applyBorder="1" applyAlignment="1">
      <alignment horizontal="center"/>
    </xf>
    <xf numFmtId="0" fontId="17" fillId="0" borderId="1" xfId="0" applyFont="1" applyBorder="1" applyAlignment="1">
      <alignment horizontal="center" vertical="top" wrapText="1"/>
    </xf>
    <xf numFmtId="43" fontId="17" fillId="0" borderId="1" xfId="1" applyFont="1" applyBorder="1" applyAlignment="1">
      <alignment horizontal="center"/>
    </xf>
    <xf numFmtId="0" fontId="17" fillId="0" borderId="1" xfId="0" applyFont="1" applyBorder="1" applyAlignment="1">
      <alignment horizontal="center" wrapText="1"/>
    </xf>
    <xf numFmtId="0" fontId="13" fillId="0" borderId="1" xfId="0" applyFont="1" applyBorder="1" applyAlignment="1">
      <alignment vertical="center"/>
    </xf>
    <xf numFmtId="0" fontId="13" fillId="0" borderId="1" xfId="0" applyFont="1" applyBorder="1"/>
    <xf numFmtId="0" fontId="13" fillId="0" borderId="1" xfId="0" applyFont="1" applyBorder="1" applyAlignment="1">
      <alignment wrapText="1"/>
    </xf>
    <xf numFmtId="0" fontId="13" fillId="0" borderId="1" xfId="0" quotePrefix="1" applyFont="1" applyBorder="1" applyAlignment="1">
      <alignment horizontal="right" wrapText="1"/>
    </xf>
    <xf numFmtId="0" fontId="12" fillId="0" borderId="1" xfId="0" applyFont="1" applyBorder="1"/>
    <xf numFmtId="2" fontId="12" fillId="0" borderId="1" xfId="0" applyNumberFormat="1" applyFont="1" applyBorder="1"/>
    <xf numFmtId="0" fontId="18" fillId="0" borderId="1" xfId="0" applyFont="1" applyBorder="1"/>
    <xf numFmtId="164" fontId="13" fillId="0" borderId="1" xfId="0" applyNumberFormat="1" applyFont="1" applyBorder="1" applyAlignment="1"/>
    <xf numFmtId="2" fontId="13" fillId="0" borderId="1" xfId="0" applyNumberFormat="1" applyFont="1" applyBorder="1" applyAlignment="1"/>
    <xf numFmtId="2" fontId="12" fillId="0" borderId="1" xfId="0" applyNumberFormat="1" applyFont="1" applyBorder="1" applyAlignment="1"/>
    <xf numFmtId="2" fontId="12" fillId="0" borderId="1" xfId="1" applyNumberFormat="1" applyFont="1" applyBorder="1" applyAlignment="1"/>
    <xf numFmtId="2" fontId="12" fillId="0" borderId="1" xfId="1" applyNumberFormat="1" applyFont="1" applyBorder="1" applyAlignment="1">
      <alignment vertical="center"/>
    </xf>
    <xf numFmtId="0" fontId="12" fillId="0" borderId="1" xfId="0" applyFont="1" applyBorder="1" applyAlignment="1">
      <alignment vertical="center"/>
    </xf>
    <xf numFmtId="164" fontId="13" fillId="0" borderId="1" xfId="0" applyNumberFormat="1" applyFont="1" applyBorder="1" applyAlignment="1">
      <alignment vertical="center"/>
    </xf>
    <xf numFmtId="2" fontId="12" fillId="0" borderId="1" xfId="0" applyNumberFormat="1" applyFont="1" applyBorder="1" applyAlignment="1">
      <alignment vertical="center"/>
    </xf>
    <xf numFmtId="0" fontId="12" fillId="0" borderId="1" xfId="0" applyFont="1" applyBorder="1" applyAlignment="1">
      <alignment horizontal="righ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opLeftCell="A7" zoomScaleNormal="100" workbookViewId="0">
      <selection activeCell="E26" sqref="E26"/>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10" width="10.7109375" bestFit="1" customWidth="1"/>
  </cols>
  <sheetData>
    <row r="1" spans="1:21" s="1" customFormat="1" x14ac:dyDescent="0.25">
      <c r="A1" s="81" t="s">
        <v>0</v>
      </c>
      <c r="B1" s="81"/>
      <c r="C1" s="81"/>
      <c r="D1" s="81"/>
      <c r="E1" s="81"/>
      <c r="F1" s="81"/>
      <c r="G1" s="81"/>
      <c r="H1" s="81"/>
      <c r="I1" s="81"/>
      <c r="J1" s="81"/>
      <c r="K1" s="81"/>
    </row>
    <row r="2" spans="1:21" s="1" customFormat="1" ht="22.5" x14ac:dyDescent="0.25">
      <c r="A2" s="82" t="s">
        <v>1</v>
      </c>
      <c r="B2" s="82"/>
      <c r="C2" s="82"/>
      <c r="D2" s="82"/>
      <c r="E2" s="82"/>
      <c r="F2" s="82"/>
      <c r="G2" s="82"/>
      <c r="H2" s="82"/>
      <c r="I2" s="82"/>
      <c r="J2" s="82"/>
      <c r="K2" s="82"/>
    </row>
    <row r="3" spans="1:21" s="1" customFormat="1" x14ac:dyDescent="0.25">
      <c r="A3" s="83" t="s">
        <v>2</v>
      </c>
      <c r="B3" s="83"/>
      <c r="C3" s="83"/>
      <c r="D3" s="83"/>
      <c r="E3" s="83"/>
      <c r="F3" s="83"/>
      <c r="G3" s="83"/>
      <c r="H3" s="83"/>
      <c r="I3" s="83"/>
      <c r="J3" s="83"/>
      <c r="K3" s="83"/>
    </row>
    <row r="4" spans="1:21" s="1" customFormat="1" x14ac:dyDescent="0.25">
      <c r="A4" s="83" t="s">
        <v>3</v>
      </c>
      <c r="B4" s="83"/>
      <c r="C4" s="83"/>
      <c r="D4" s="83"/>
      <c r="E4" s="83"/>
      <c r="F4" s="83"/>
      <c r="G4" s="83"/>
      <c r="H4" s="83"/>
      <c r="I4" s="83"/>
      <c r="J4" s="83"/>
      <c r="K4" s="83"/>
    </row>
    <row r="5" spans="1:21" ht="18.75" x14ac:dyDescent="0.3">
      <c r="A5" s="84" t="s">
        <v>4</v>
      </c>
      <c r="B5" s="84"/>
      <c r="C5" s="84"/>
      <c r="D5" s="84"/>
      <c r="E5" s="84"/>
      <c r="F5" s="84"/>
      <c r="G5" s="84"/>
      <c r="H5" s="84"/>
      <c r="I5" s="84"/>
      <c r="J5" s="84"/>
      <c r="K5" s="84"/>
    </row>
    <row r="6" spans="1:21" ht="15.75" x14ac:dyDescent="0.25">
      <c r="A6" s="79" t="s">
        <v>67</v>
      </c>
      <c r="B6" s="79"/>
      <c r="C6" s="79"/>
      <c r="D6" s="79"/>
      <c r="E6" s="79"/>
      <c r="F6" s="79"/>
      <c r="G6" s="2"/>
      <c r="H6" s="80" t="s">
        <v>43</v>
      </c>
      <c r="I6" s="80"/>
      <c r="J6" s="80"/>
      <c r="K6" s="80"/>
      <c r="O6" t="s">
        <v>48</v>
      </c>
    </row>
    <row r="7" spans="1:21" ht="15.75" x14ac:dyDescent="0.25">
      <c r="A7" s="86" t="s">
        <v>28</v>
      </c>
      <c r="B7" s="86"/>
      <c r="C7" s="86"/>
      <c r="D7" s="86"/>
      <c r="E7" s="86"/>
      <c r="F7" s="86"/>
      <c r="G7" s="3"/>
      <c r="H7" s="87" t="s">
        <v>58</v>
      </c>
      <c r="I7" s="87"/>
      <c r="J7" s="87"/>
      <c r="K7" s="87"/>
    </row>
    <row r="8" spans="1:21" ht="15" customHeight="1" x14ac:dyDescent="0.25">
      <c r="A8" s="4" t="s">
        <v>5</v>
      </c>
      <c r="B8" s="15" t="s">
        <v>6</v>
      </c>
      <c r="C8" s="4" t="s">
        <v>7</v>
      </c>
      <c r="D8" s="16" t="s">
        <v>8</v>
      </c>
      <c r="E8" s="16" t="s">
        <v>9</v>
      </c>
      <c r="F8" s="16" t="s">
        <v>10</v>
      </c>
      <c r="G8" s="16" t="s">
        <v>11</v>
      </c>
      <c r="H8" s="4" t="s">
        <v>12</v>
      </c>
      <c r="I8" s="16" t="s">
        <v>13</v>
      </c>
      <c r="J8" s="16" t="s">
        <v>14</v>
      </c>
      <c r="K8" s="17" t="s">
        <v>15</v>
      </c>
      <c r="N8" t="s">
        <v>44</v>
      </c>
    </row>
    <row r="9" spans="1:21" ht="150" x14ac:dyDescent="0.25">
      <c r="A9" s="29">
        <v>1</v>
      </c>
      <c r="B9" s="30" t="s">
        <v>49</v>
      </c>
      <c r="C9" s="36"/>
      <c r="D9" s="36"/>
      <c r="E9" s="36"/>
      <c r="F9" s="36"/>
      <c r="G9" s="36"/>
      <c r="H9" s="36"/>
      <c r="I9" s="36"/>
      <c r="J9" s="36"/>
      <c r="K9" s="36"/>
      <c r="N9" t="s">
        <v>45</v>
      </c>
      <c r="O9" t="s">
        <v>46</v>
      </c>
    </row>
    <row r="10" spans="1:21" ht="15" customHeight="1" x14ac:dyDescent="0.25">
      <c r="A10" s="18"/>
      <c r="B10" s="37" t="s">
        <v>59</v>
      </c>
      <c r="C10" s="36">
        <v>1</v>
      </c>
      <c r="D10" s="38">
        <v>6.5</v>
      </c>
      <c r="E10" s="38">
        <v>5</v>
      </c>
      <c r="F10" s="38">
        <v>0.15</v>
      </c>
      <c r="G10" s="39">
        <f>PRODUCT(C10:F10)</f>
        <v>4.875</v>
      </c>
      <c r="H10" s="40"/>
      <c r="I10" s="40"/>
      <c r="J10" s="40"/>
      <c r="K10" s="21"/>
      <c r="M10" s="25"/>
      <c r="N10" s="1"/>
      <c r="O10" s="1"/>
      <c r="P10" s="1"/>
      <c r="Q10" s="1"/>
      <c r="R10" s="25"/>
      <c r="S10" s="25"/>
    </row>
    <row r="11" spans="1:21" ht="15" customHeight="1" x14ac:dyDescent="0.25">
      <c r="A11" s="18"/>
      <c r="B11" s="37" t="s">
        <v>66</v>
      </c>
      <c r="C11" s="36">
        <v>1</v>
      </c>
      <c r="D11" s="38">
        <v>3</v>
      </c>
      <c r="E11" s="38">
        <v>1</v>
      </c>
      <c r="F11" s="38">
        <v>1</v>
      </c>
      <c r="G11" s="39">
        <f>PRODUCT(C11:F11)</f>
        <v>3</v>
      </c>
      <c r="H11" s="40"/>
      <c r="I11" s="40"/>
      <c r="J11" s="40"/>
      <c r="K11" s="21"/>
      <c r="M11" s="25"/>
      <c r="N11" s="1"/>
      <c r="O11" s="1"/>
      <c r="P11" s="1"/>
      <c r="Q11" s="1"/>
      <c r="R11" s="25"/>
      <c r="S11" s="25"/>
    </row>
    <row r="12" spans="1:21" ht="15" customHeight="1" x14ac:dyDescent="0.25">
      <c r="A12" s="18"/>
      <c r="B12" s="37" t="s">
        <v>40</v>
      </c>
      <c r="C12" s="19"/>
      <c r="D12" s="20"/>
      <c r="E12" s="21"/>
      <c r="F12" s="21"/>
      <c r="G12" s="23">
        <f>SUM(G10:G11)</f>
        <v>7.875</v>
      </c>
      <c r="H12" s="22" t="s">
        <v>39</v>
      </c>
      <c r="I12" s="23">
        <v>64.63</v>
      </c>
      <c r="J12" s="41">
        <f>G12*I12</f>
        <v>508.96124999999995</v>
      </c>
      <c r="K12" s="21"/>
      <c r="M12" s="25"/>
      <c r="N12" s="1"/>
      <c r="O12" s="1"/>
      <c r="P12" s="1"/>
      <c r="Q12" s="1"/>
      <c r="R12" s="25"/>
      <c r="S12" s="25"/>
    </row>
    <row r="13" spans="1:21" ht="15" customHeight="1" x14ac:dyDescent="0.25">
      <c r="A13" s="18"/>
      <c r="B13" s="37" t="s">
        <v>38</v>
      </c>
      <c r="C13" s="19"/>
      <c r="D13" s="20"/>
      <c r="E13" s="21"/>
      <c r="F13" s="21"/>
      <c r="G13" s="23"/>
      <c r="H13" s="22"/>
      <c r="I13" s="23"/>
      <c r="J13" s="41">
        <f>0.13*G12*19284/360</f>
        <v>54.838874999999994</v>
      </c>
      <c r="K13" s="21"/>
      <c r="M13" s="25"/>
      <c r="N13" s="1"/>
      <c r="O13" s="1"/>
      <c r="P13" s="1"/>
      <c r="Q13" s="1"/>
      <c r="R13" s="25"/>
      <c r="S13" s="25"/>
    </row>
    <row r="14" spans="1:21" ht="15" customHeight="1" x14ac:dyDescent="0.25">
      <c r="A14" s="18"/>
      <c r="B14" s="37"/>
      <c r="C14" s="19"/>
      <c r="D14" s="20"/>
      <c r="E14" s="21"/>
      <c r="F14" s="21"/>
      <c r="G14" s="23"/>
      <c r="H14" s="22"/>
      <c r="I14" s="23"/>
      <c r="J14" s="41"/>
      <c r="K14" s="21"/>
      <c r="M14" s="25"/>
      <c r="N14" s="1"/>
      <c r="O14" s="1"/>
      <c r="P14" s="1"/>
      <c r="Q14" s="1"/>
      <c r="R14" s="25"/>
      <c r="S14" s="25"/>
    </row>
    <row r="15" spans="1:21" ht="90" x14ac:dyDescent="0.25">
      <c r="A15" s="18">
        <v>2</v>
      </c>
      <c r="B15" s="30" t="s">
        <v>42</v>
      </c>
      <c r="C15" s="19"/>
      <c r="D15" s="20"/>
      <c r="E15" s="21"/>
      <c r="F15" s="21"/>
      <c r="G15" s="23"/>
      <c r="H15" s="22"/>
      <c r="I15" s="23"/>
      <c r="J15" s="41"/>
      <c r="K15" s="21"/>
      <c r="M15" s="25"/>
      <c r="N15" s="1"/>
      <c r="O15" s="78" t="s">
        <v>54</v>
      </c>
      <c r="P15" s="78"/>
      <c r="Q15" s="78"/>
      <c r="R15" s="78"/>
      <c r="S15" s="78"/>
      <c r="T15" s="78"/>
      <c r="U15" s="78"/>
    </row>
    <row r="16" spans="1:21" ht="15" customHeight="1" x14ac:dyDescent="0.25">
      <c r="A16" s="18"/>
      <c r="B16" s="37" t="str">
        <f>B21</f>
        <v>-For stone masonary</v>
      </c>
      <c r="C16" s="47">
        <v>1</v>
      </c>
      <c r="D16" s="38">
        <f>D10</f>
        <v>6.5</v>
      </c>
      <c r="E16" s="38">
        <f>E10</f>
        <v>5</v>
      </c>
      <c r="F16" s="38">
        <v>0.15</v>
      </c>
      <c r="G16" s="39">
        <f>PRODUCT(C16:F16)</f>
        <v>4.875</v>
      </c>
      <c r="H16" s="40"/>
      <c r="I16" s="40"/>
      <c r="J16" s="40"/>
      <c r="K16" s="21"/>
      <c r="M16" s="25"/>
      <c r="N16" s="1"/>
      <c r="O16" s="1"/>
      <c r="P16" s="1"/>
      <c r="Q16" s="1"/>
      <c r="R16" s="25"/>
      <c r="S16" s="25"/>
    </row>
    <row r="17" spans="1:19" ht="15" customHeight="1" x14ac:dyDescent="0.25">
      <c r="A17" s="40"/>
      <c r="B17" s="37" t="s">
        <v>40</v>
      </c>
      <c r="C17" s="42"/>
      <c r="D17" s="43"/>
      <c r="E17" s="43"/>
      <c r="F17" s="43"/>
      <c r="G17" s="33">
        <f>SUM(G16)</f>
        <v>4.875</v>
      </c>
      <c r="H17" s="33" t="s">
        <v>39</v>
      </c>
      <c r="I17" s="33">
        <v>4434.5200000000004</v>
      </c>
      <c r="J17" s="44">
        <f>G17*I17</f>
        <v>21618.285000000003</v>
      </c>
      <c r="K17" s="36"/>
    </row>
    <row r="18" spans="1:19" x14ac:dyDescent="0.25">
      <c r="A18" s="40"/>
      <c r="B18" s="37" t="s">
        <v>38</v>
      </c>
      <c r="C18" s="42"/>
      <c r="D18" s="43"/>
      <c r="E18" s="43"/>
      <c r="F18" s="43"/>
      <c r="G18" s="43"/>
      <c r="H18" s="43"/>
      <c r="I18" s="43"/>
      <c r="J18" s="45">
        <f>0.13*G17*(14817.6/5)</f>
        <v>1878.1308000000001</v>
      </c>
      <c r="K18" s="36"/>
    </row>
    <row r="19" spans="1:19" x14ac:dyDescent="0.25">
      <c r="A19" s="40"/>
      <c r="B19" s="37"/>
      <c r="C19" s="42"/>
      <c r="D19" s="43"/>
      <c r="E19" s="43"/>
      <c r="F19" s="43"/>
      <c r="G19" s="43"/>
      <c r="H19" s="43"/>
      <c r="I19" s="43"/>
      <c r="J19" s="45"/>
      <c r="K19" s="36"/>
    </row>
    <row r="20" spans="1:19" ht="75" x14ac:dyDescent="0.25">
      <c r="A20" s="18">
        <v>3</v>
      </c>
      <c r="B20" s="30" t="s">
        <v>41</v>
      </c>
      <c r="C20" s="19"/>
      <c r="D20" s="20"/>
      <c r="E20" s="21"/>
      <c r="F20" s="21"/>
      <c r="G20" s="23"/>
      <c r="H20" s="22"/>
      <c r="I20" s="23"/>
      <c r="J20" s="41"/>
      <c r="K20" s="21"/>
      <c r="M20" s="25"/>
      <c r="N20" s="1"/>
      <c r="O20" s="1"/>
      <c r="P20" s="1"/>
      <c r="Q20" s="1"/>
      <c r="R20" s="25"/>
      <c r="S20" s="25"/>
    </row>
    <row r="21" spans="1:19" ht="15" customHeight="1" x14ac:dyDescent="0.25">
      <c r="A21" s="18"/>
      <c r="B21" s="37" t="s">
        <v>53</v>
      </c>
      <c r="C21" s="47">
        <v>1</v>
      </c>
      <c r="D21" s="38">
        <f>D27</f>
        <v>15</v>
      </c>
      <c r="E21" s="38">
        <v>0.45</v>
      </c>
      <c r="F21" s="38">
        <v>0.05</v>
      </c>
      <c r="G21" s="39">
        <f>PRODUCT(C21:F21)</f>
        <v>0.33750000000000002</v>
      </c>
      <c r="H21" s="40"/>
      <c r="I21" s="40"/>
      <c r="J21" s="40"/>
      <c r="K21" s="21"/>
      <c r="M21" s="25"/>
      <c r="N21" s="1"/>
      <c r="O21" s="1"/>
      <c r="P21" s="1"/>
      <c r="Q21" s="1"/>
      <c r="R21" s="25"/>
      <c r="S21" s="25"/>
    </row>
    <row r="22" spans="1:19" ht="15" customHeight="1" x14ac:dyDescent="0.25">
      <c r="A22" s="18"/>
      <c r="B22" s="37"/>
      <c r="C22" s="47">
        <v>1</v>
      </c>
      <c r="D22" s="38">
        <f>D28</f>
        <v>7</v>
      </c>
      <c r="E22" s="38">
        <v>0.45</v>
      </c>
      <c r="F22" s="38">
        <v>0.05</v>
      </c>
      <c r="G22" s="39">
        <f>PRODUCT(C22:F22)</f>
        <v>0.1575</v>
      </c>
      <c r="H22" s="40"/>
      <c r="I22" s="40"/>
      <c r="J22" s="40"/>
      <c r="K22" s="21"/>
      <c r="M22" s="25"/>
      <c r="N22" s="1"/>
      <c r="O22" s="1"/>
      <c r="P22" s="1"/>
      <c r="Q22" s="1"/>
      <c r="R22" s="25"/>
      <c r="S22" s="25"/>
    </row>
    <row r="23" spans="1:19" ht="15" customHeight="1" x14ac:dyDescent="0.25">
      <c r="A23" s="40"/>
      <c r="B23" s="37" t="s">
        <v>40</v>
      </c>
      <c r="C23" s="42"/>
      <c r="D23" s="43"/>
      <c r="E23" s="43"/>
      <c r="F23" s="43"/>
      <c r="G23" s="33">
        <f>SUM(G21:G22)</f>
        <v>0.495</v>
      </c>
      <c r="H23" s="33" t="s">
        <v>39</v>
      </c>
      <c r="I23" s="33">
        <v>10634.5</v>
      </c>
      <c r="J23" s="44">
        <f>G23*I23</f>
        <v>5264.0775000000003</v>
      </c>
      <c r="K23" s="36"/>
    </row>
    <row r="24" spans="1:19" ht="15" customHeight="1" x14ac:dyDescent="0.25">
      <c r="A24" s="40"/>
      <c r="B24" s="37" t="s">
        <v>38</v>
      </c>
      <c r="C24" s="42"/>
      <c r="D24" s="43"/>
      <c r="E24" s="43"/>
      <c r="F24" s="43"/>
      <c r="G24" s="43"/>
      <c r="H24" s="43"/>
      <c r="I24" s="43"/>
      <c r="J24" s="45">
        <f>0.13*G23*((114907.3+6135.3)/15)</f>
        <v>519.27275400000008</v>
      </c>
      <c r="K24" s="36"/>
    </row>
    <row r="25" spans="1:19" ht="15" customHeight="1" x14ac:dyDescent="0.25">
      <c r="A25" s="40"/>
      <c r="B25" s="37"/>
      <c r="C25" s="42"/>
      <c r="D25" s="43"/>
      <c r="E25" s="43"/>
      <c r="F25" s="43"/>
      <c r="G25" s="43"/>
      <c r="H25" s="43"/>
      <c r="I25" s="43"/>
      <c r="J25" s="45"/>
      <c r="K25" s="36"/>
    </row>
    <row r="26" spans="1:19" s="1" customFormat="1" ht="90" x14ac:dyDescent="0.25">
      <c r="A26" s="63">
        <v>4</v>
      </c>
      <c r="B26" s="30" t="s">
        <v>47</v>
      </c>
      <c r="C26" s="64"/>
      <c r="D26" s="39"/>
      <c r="E26" s="39"/>
      <c r="F26" s="39"/>
      <c r="G26" s="39"/>
      <c r="H26" s="39"/>
      <c r="I26" s="39"/>
      <c r="J26" s="45"/>
      <c r="K26" s="29"/>
    </row>
    <row r="27" spans="1:19" ht="15" customHeight="1" x14ac:dyDescent="0.25">
      <c r="A27" s="18"/>
      <c r="B27" s="37" t="s">
        <v>53</v>
      </c>
      <c r="C27" s="47">
        <v>1</v>
      </c>
      <c r="D27" s="38">
        <v>15</v>
      </c>
      <c r="E27" s="38">
        <v>0.45</v>
      </c>
      <c r="F27" s="38">
        <v>0.75</v>
      </c>
      <c r="G27" s="39">
        <f>PRODUCT(C27:F27)</f>
        <v>5.0625</v>
      </c>
      <c r="H27" s="40"/>
      <c r="I27" s="40"/>
      <c r="J27" s="40"/>
      <c r="K27" s="21"/>
      <c r="M27" s="25"/>
      <c r="N27" s="1"/>
      <c r="O27" s="1"/>
      <c r="P27" s="1"/>
      <c r="Q27" s="1"/>
      <c r="R27" s="25"/>
      <c r="S27" s="25"/>
    </row>
    <row r="28" spans="1:19" ht="15" customHeight="1" x14ac:dyDescent="0.25">
      <c r="A28" s="18"/>
      <c r="B28" s="37"/>
      <c r="C28" s="47">
        <v>1</v>
      </c>
      <c r="D28" s="38">
        <v>7</v>
      </c>
      <c r="E28" s="38">
        <v>0.45</v>
      </c>
      <c r="F28" s="38">
        <v>0.75</v>
      </c>
      <c r="G28" s="39">
        <f>PRODUCT(C28:F28)</f>
        <v>2.3624999999999998</v>
      </c>
      <c r="H28" s="40"/>
      <c r="I28" s="40"/>
      <c r="J28" s="40"/>
      <c r="K28" s="21"/>
      <c r="M28" s="25"/>
      <c r="N28" s="1"/>
      <c r="O28" s="1"/>
      <c r="P28" s="1"/>
      <c r="Q28" s="1"/>
      <c r="R28" s="25"/>
      <c r="S28" s="25"/>
    </row>
    <row r="29" spans="1:19" ht="15" customHeight="1" x14ac:dyDescent="0.25">
      <c r="A29" s="40"/>
      <c r="B29" s="37" t="s">
        <v>40</v>
      </c>
      <c r="C29" s="42"/>
      <c r="D29" s="43"/>
      <c r="E29" s="43"/>
      <c r="F29" s="43"/>
      <c r="G29" s="33">
        <f>SUM(G27:G28)</f>
        <v>7.4249999999999998</v>
      </c>
      <c r="H29" s="33" t="s">
        <v>39</v>
      </c>
      <c r="I29" s="33">
        <v>9709.43</v>
      </c>
      <c r="J29" s="44">
        <f>G29*I29</f>
        <v>72092.517749999999</v>
      </c>
      <c r="K29" s="36"/>
    </row>
    <row r="30" spans="1:19" ht="15" customHeight="1" x14ac:dyDescent="0.25">
      <c r="A30" s="40"/>
      <c r="B30" s="37" t="s">
        <v>38</v>
      </c>
      <c r="C30" s="42"/>
      <c r="D30" s="43"/>
      <c r="E30" s="43"/>
      <c r="F30" s="43"/>
      <c r="G30" s="43"/>
      <c r="H30" s="43"/>
      <c r="I30" s="43"/>
      <c r="J30" s="45">
        <f>0.13*G29*((27092.1)/5)</f>
        <v>5230.1299050000007</v>
      </c>
      <c r="K30" s="36"/>
    </row>
    <row r="31" spans="1:19" ht="15" customHeight="1" x14ac:dyDescent="0.25">
      <c r="A31" s="40"/>
      <c r="B31" s="37"/>
      <c r="C31" s="42"/>
      <c r="D31" s="43"/>
      <c r="E31" s="43"/>
      <c r="F31" s="43"/>
      <c r="G31" s="33"/>
      <c r="H31" s="33"/>
      <c r="I31" s="33"/>
      <c r="J31" s="44"/>
      <c r="K31" s="36"/>
    </row>
    <row r="32" spans="1:19" ht="75" x14ac:dyDescent="0.25">
      <c r="A32" s="18">
        <v>5</v>
      </c>
      <c r="B32" s="30" t="s">
        <v>64</v>
      </c>
      <c r="C32" s="19" t="s">
        <v>7</v>
      </c>
      <c r="D32" s="65" t="s">
        <v>50</v>
      </c>
      <c r="E32" s="66" t="s">
        <v>55</v>
      </c>
      <c r="F32" s="66" t="s">
        <v>56</v>
      </c>
      <c r="G32" s="66" t="s">
        <v>57</v>
      </c>
      <c r="H32" s="22"/>
      <c r="I32" s="23"/>
      <c r="J32" s="41"/>
      <c r="K32" s="21"/>
    </row>
    <row r="33" spans="1:19" ht="15" customHeight="1" x14ac:dyDescent="0.25">
      <c r="A33" s="18"/>
      <c r="B33" s="37" t="s">
        <v>60</v>
      </c>
      <c r="C33" s="19">
        <f>TRUNC(D34/0.15,0)</f>
        <v>32</v>
      </c>
      <c r="D33" s="20">
        <f>D10-0.1</f>
        <v>6.4</v>
      </c>
      <c r="E33" s="21">
        <f>10*10/162</f>
        <v>0.61728395061728392</v>
      </c>
      <c r="F33" s="21">
        <f>PRODUCT(C33:E33)</f>
        <v>126.41975308641975</v>
      </c>
      <c r="G33" s="67">
        <f>F33/1000</f>
        <v>0.12641975308641976</v>
      </c>
      <c r="H33" s="22"/>
      <c r="I33" s="23"/>
      <c r="J33" s="41"/>
      <c r="K33" s="21"/>
    </row>
    <row r="34" spans="1:19" ht="15" customHeight="1" x14ac:dyDescent="0.25">
      <c r="A34" s="18"/>
      <c r="B34" s="37"/>
      <c r="C34" s="19">
        <f>TRUNC(D33/0.15,0)</f>
        <v>42</v>
      </c>
      <c r="D34" s="20">
        <f>E10-0.1</f>
        <v>4.9000000000000004</v>
      </c>
      <c r="E34" s="21">
        <f>10*10/162</f>
        <v>0.61728395061728392</v>
      </c>
      <c r="F34" s="21">
        <f>PRODUCT(C34:E34)</f>
        <v>127.03703703703704</v>
      </c>
      <c r="G34" s="67">
        <f>F34/1000</f>
        <v>0.12703703703703703</v>
      </c>
      <c r="H34" s="22"/>
      <c r="I34" s="23"/>
      <c r="J34" s="41"/>
      <c r="K34" s="21"/>
    </row>
    <row r="35" spans="1:19" ht="15" customHeight="1" x14ac:dyDescent="0.25">
      <c r="A35" s="18"/>
      <c r="B35" s="37" t="s">
        <v>40</v>
      </c>
      <c r="C35" s="19"/>
      <c r="D35" s="20"/>
      <c r="E35" s="21"/>
      <c r="F35" s="21"/>
      <c r="G35" s="23">
        <f>SUM(G33:G34)</f>
        <v>0.25345679012345679</v>
      </c>
      <c r="H35" s="22" t="s">
        <v>51</v>
      </c>
      <c r="I35" s="23">
        <v>124140</v>
      </c>
      <c r="J35" s="41">
        <f>G35*I35</f>
        <v>31464.125925925924</v>
      </c>
      <c r="K35" s="21"/>
    </row>
    <row r="36" spans="1:19" ht="15" customHeight="1" x14ac:dyDescent="0.25">
      <c r="A36" s="18"/>
      <c r="B36" s="37" t="s">
        <v>38</v>
      </c>
      <c r="C36" s="19"/>
      <c r="D36" s="20"/>
      <c r="E36" s="21"/>
      <c r="F36" s="21"/>
      <c r="G36" s="23"/>
      <c r="H36" s="22"/>
      <c r="I36" s="23"/>
      <c r="J36" s="41">
        <f>0.13*G35*110960</f>
        <v>3656.0635061728399</v>
      </c>
      <c r="K36" s="21"/>
    </row>
    <row r="37" spans="1:19" ht="15" customHeight="1" x14ac:dyDescent="0.25">
      <c r="A37" s="18"/>
      <c r="B37" s="37"/>
      <c r="C37" s="19"/>
      <c r="D37" s="20"/>
      <c r="E37" s="21"/>
      <c r="F37" s="21"/>
      <c r="G37" s="23"/>
      <c r="H37" s="22"/>
      <c r="I37" s="23"/>
      <c r="J37" s="41"/>
      <c r="K37" s="21"/>
    </row>
    <row r="38" spans="1:19" ht="75" x14ac:dyDescent="0.25">
      <c r="A38" s="18">
        <v>6</v>
      </c>
      <c r="B38" s="30" t="s">
        <v>63</v>
      </c>
      <c r="C38" s="19"/>
      <c r="D38" s="20"/>
      <c r="E38" s="21"/>
      <c r="F38" s="21"/>
      <c r="G38" s="23"/>
      <c r="H38" s="22"/>
      <c r="I38" s="23"/>
      <c r="J38" s="41"/>
      <c r="K38" s="21"/>
    </row>
    <row r="39" spans="1:19" ht="15" customHeight="1" x14ac:dyDescent="0.25">
      <c r="A39" s="18"/>
      <c r="B39" s="37" t="str">
        <f>B10</f>
        <v>-for road</v>
      </c>
      <c r="C39" s="47">
        <v>1</v>
      </c>
      <c r="D39" s="38">
        <f>D10</f>
        <v>6.5</v>
      </c>
      <c r="E39" s="38">
        <f>E10</f>
        <v>5</v>
      </c>
      <c r="F39" s="38">
        <v>0.15</v>
      </c>
      <c r="G39" s="39">
        <f>PRODUCT(C39:F39)</f>
        <v>4.875</v>
      </c>
      <c r="H39" s="40"/>
      <c r="I39" s="40"/>
      <c r="J39" s="40"/>
      <c r="K39" s="21"/>
      <c r="M39" s="25"/>
      <c r="N39" s="1"/>
      <c r="O39" s="1"/>
      <c r="P39" s="1"/>
      <c r="Q39" s="1"/>
      <c r="R39" s="25"/>
      <c r="S39" s="25"/>
    </row>
    <row r="40" spans="1:19" ht="15" customHeight="1" x14ac:dyDescent="0.25">
      <c r="A40" s="40"/>
      <c r="B40" s="37" t="s">
        <v>40</v>
      </c>
      <c r="C40" s="42"/>
      <c r="D40" s="43"/>
      <c r="E40" s="43"/>
      <c r="F40" s="43"/>
      <c r="G40" s="33">
        <f>SUM(G39:G39)</f>
        <v>4.875</v>
      </c>
      <c r="H40" s="33" t="s">
        <v>39</v>
      </c>
      <c r="I40" s="33">
        <v>11588.17</v>
      </c>
      <c r="J40" s="44">
        <f>G40*I40</f>
        <v>56492.328750000001</v>
      </c>
      <c r="K40" s="36"/>
      <c r="P40">
        <f>301.32/10.76</f>
        <v>28.003717472118961</v>
      </c>
      <c r="Q40">
        <f>P40*0.15</f>
        <v>4.2005576208178441</v>
      </c>
    </row>
    <row r="41" spans="1:19" ht="15" customHeight="1" x14ac:dyDescent="0.25">
      <c r="A41" s="40"/>
      <c r="B41" s="37" t="s">
        <v>38</v>
      </c>
      <c r="C41" s="42"/>
      <c r="D41" s="43"/>
      <c r="E41" s="43"/>
      <c r="F41" s="43"/>
      <c r="G41" s="43"/>
      <c r="H41" s="43"/>
      <c r="I41" s="43"/>
      <c r="J41" s="45">
        <f>0.13*G40*(128662.2+6685.5)/15</f>
        <v>5718.4403250000014</v>
      </c>
      <c r="K41" s="36"/>
    </row>
    <row r="42" spans="1:19" ht="15" customHeight="1" x14ac:dyDescent="0.25">
      <c r="A42" s="40"/>
      <c r="B42" s="37"/>
      <c r="C42" s="42"/>
      <c r="D42" s="43"/>
      <c r="E42" s="43"/>
      <c r="F42" s="43"/>
      <c r="G42" s="33"/>
      <c r="H42" s="33"/>
      <c r="I42" s="33"/>
      <c r="J42" s="44"/>
      <c r="K42" s="36"/>
    </row>
    <row r="43" spans="1:19" ht="225" x14ac:dyDescent="0.25">
      <c r="A43" s="18">
        <v>7</v>
      </c>
      <c r="B43" s="30" t="s">
        <v>61</v>
      </c>
      <c r="C43" s="19"/>
      <c r="D43" s="20"/>
      <c r="E43" s="21"/>
      <c r="F43" s="21"/>
      <c r="G43" s="23"/>
      <c r="H43" s="22"/>
      <c r="I43" s="23"/>
      <c r="J43" s="41"/>
      <c r="K43" s="21"/>
    </row>
    <row r="44" spans="1:19" ht="15" customHeight="1" x14ac:dyDescent="0.25">
      <c r="A44" s="18"/>
      <c r="B44" s="37" t="s">
        <v>62</v>
      </c>
      <c r="C44" s="19">
        <v>1</v>
      </c>
      <c r="D44" s="38">
        <v>3</v>
      </c>
      <c r="E44" s="38">
        <v>1</v>
      </c>
      <c r="F44" s="38">
        <v>1</v>
      </c>
      <c r="G44" s="39">
        <f t="shared" ref="G44" si="0">PRODUCT(C44:F44)</f>
        <v>3</v>
      </c>
      <c r="H44" s="40"/>
      <c r="I44" s="40"/>
      <c r="J44" s="40"/>
      <c r="K44" s="21"/>
    </row>
    <row r="45" spans="1:19" ht="15" customHeight="1" x14ac:dyDescent="0.25">
      <c r="A45" s="18"/>
      <c r="B45" s="37" t="s">
        <v>40</v>
      </c>
      <c r="C45" s="19"/>
      <c r="D45" s="20"/>
      <c r="E45" s="21"/>
      <c r="F45" s="21"/>
      <c r="G45" s="23">
        <f>SUM(G44:G44)</f>
        <v>3</v>
      </c>
      <c r="H45" s="22" t="s">
        <v>39</v>
      </c>
      <c r="I45" s="23">
        <v>6152.23</v>
      </c>
      <c r="J45" s="41">
        <f>G45*I45</f>
        <v>18456.689999999999</v>
      </c>
      <c r="K45" s="21"/>
    </row>
    <row r="46" spans="1:19" ht="15" customHeight="1" x14ac:dyDescent="0.25">
      <c r="A46" s="18"/>
      <c r="B46" s="37" t="s">
        <v>38</v>
      </c>
      <c r="C46" s="19"/>
      <c r="D46" s="20"/>
      <c r="E46" s="21"/>
      <c r="F46" s="21"/>
      <c r="G46" s="23"/>
      <c r="H46" s="22"/>
      <c r="I46" s="23"/>
      <c r="J46" s="41">
        <f>0.13*G45*26798.3/6</f>
        <v>1741.8895</v>
      </c>
      <c r="K46" s="21"/>
    </row>
    <row r="47" spans="1:19" ht="15" customHeight="1" x14ac:dyDescent="0.25">
      <c r="A47" s="18"/>
      <c r="B47" s="37"/>
      <c r="C47" s="19"/>
      <c r="D47" s="20"/>
      <c r="E47" s="21"/>
      <c r="F47" s="21"/>
      <c r="G47" s="23"/>
      <c r="H47" s="22"/>
      <c r="I47" s="23"/>
      <c r="J47" s="41"/>
      <c r="K47" s="21"/>
    </row>
    <row r="48" spans="1:19" ht="105" x14ac:dyDescent="0.25">
      <c r="A48" s="18">
        <v>8</v>
      </c>
      <c r="B48" s="30" t="s">
        <v>65</v>
      </c>
      <c r="C48" s="19"/>
      <c r="D48" s="20"/>
      <c r="E48" s="21"/>
      <c r="F48" s="21"/>
      <c r="G48" s="23"/>
      <c r="H48" s="22"/>
      <c r="I48" s="23"/>
      <c r="J48" s="41"/>
      <c r="K48" s="21"/>
    </row>
    <row r="49" spans="1:19" ht="15" customHeight="1" x14ac:dyDescent="0.25">
      <c r="A49" s="18"/>
      <c r="B49" s="37" t="s">
        <v>62</v>
      </c>
      <c r="C49" s="19">
        <v>1</v>
      </c>
      <c r="D49" s="38">
        <v>3</v>
      </c>
      <c r="E49" s="38"/>
      <c r="F49" s="38">
        <v>2</v>
      </c>
      <c r="G49" s="39">
        <f t="shared" ref="G49:G50" si="1">PRODUCT(C49:F49)</f>
        <v>6</v>
      </c>
      <c r="H49" s="40"/>
      <c r="I49" s="40"/>
      <c r="J49" s="40"/>
      <c r="K49" s="21"/>
    </row>
    <row r="50" spans="1:19" ht="15" customHeight="1" x14ac:dyDescent="0.25">
      <c r="A50" s="18"/>
      <c r="B50" s="37"/>
      <c r="C50" s="19">
        <v>1</v>
      </c>
      <c r="D50" s="38">
        <v>3</v>
      </c>
      <c r="E50" s="38"/>
      <c r="F50" s="38">
        <v>1</v>
      </c>
      <c r="G50" s="39">
        <f t="shared" si="1"/>
        <v>3</v>
      </c>
      <c r="H50" s="40"/>
      <c r="I50" s="40"/>
      <c r="J50" s="40"/>
      <c r="K50" s="21"/>
    </row>
    <row r="51" spans="1:19" ht="15" customHeight="1" x14ac:dyDescent="0.25">
      <c r="A51" s="18"/>
      <c r="B51" s="37" t="s">
        <v>40</v>
      </c>
      <c r="C51" s="19"/>
      <c r="D51" s="20"/>
      <c r="E51" s="21"/>
      <c r="F51" s="21"/>
      <c r="G51" s="23">
        <f>SUM(G49:G50)</f>
        <v>9</v>
      </c>
      <c r="H51" s="22" t="s">
        <v>52</v>
      </c>
      <c r="I51" s="23">
        <v>161.41999999999999</v>
      </c>
      <c r="J51" s="41">
        <f>G51*I51</f>
        <v>1452.78</v>
      </c>
      <c r="K51" s="21"/>
    </row>
    <row r="52" spans="1:19" ht="15" customHeight="1" x14ac:dyDescent="0.25">
      <c r="A52" s="18"/>
      <c r="B52" s="37" t="s">
        <v>38</v>
      </c>
      <c r="C52" s="19"/>
      <c r="D52" s="20"/>
      <c r="E52" s="21"/>
      <c r="F52" s="21"/>
      <c r="G52" s="23"/>
      <c r="H52" s="22"/>
      <c r="I52" s="23"/>
      <c r="J52" s="41">
        <f>0.13*G51*45360/300</f>
        <v>176.904</v>
      </c>
      <c r="K52" s="21"/>
    </row>
    <row r="53" spans="1:19" ht="15" customHeight="1" x14ac:dyDescent="0.25">
      <c r="A53" s="18"/>
      <c r="B53" s="37"/>
      <c r="C53" s="19"/>
      <c r="D53" s="20"/>
      <c r="E53" s="21"/>
      <c r="F53" s="21"/>
      <c r="G53" s="23"/>
      <c r="H53" s="22"/>
      <c r="I53" s="23"/>
      <c r="J53" s="41"/>
      <c r="K53" s="21"/>
    </row>
    <row r="54" spans="1:19" ht="15" customHeight="1" x14ac:dyDescent="0.25">
      <c r="A54" s="18">
        <v>9</v>
      </c>
      <c r="B54" s="30" t="s">
        <v>30</v>
      </c>
      <c r="C54" s="19">
        <v>1</v>
      </c>
      <c r="D54" s="20"/>
      <c r="E54" s="21"/>
      <c r="F54" s="21"/>
      <c r="G54" s="34">
        <f t="shared" ref="G54" si="2">PRODUCT(C54:F54)</f>
        <v>1</v>
      </c>
      <c r="H54" s="22" t="s">
        <v>31</v>
      </c>
      <c r="I54" s="23">
        <v>500</v>
      </c>
      <c r="J54" s="34">
        <f>G54*I54</f>
        <v>500</v>
      </c>
      <c r="K54" s="21"/>
      <c r="M54" s="25"/>
      <c r="N54" s="1"/>
      <c r="O54" s="1"/>
      <c r="P54" s="1"/>
      <c r="Q54" s="1"/>
      <c r="R54" s="25"/>
      <c r="S54" s="25"/>
    </row>
    <row r="55" spans="1:19" ht="15" customHeight="1" x14ac:dyDescent="0.25">
      <c r="A55" s="18"/>
      <c r="B55" s="24"/>
      <c r="C55" s="19"/>
      <c r="D55" s="20"/>
      <c r="E55" s="21"/>
      <c r="F55" s="21"/>
      <c r="G55" s="23"/>
      <c r="H55" s="22"/>
      <c r="I55" s="23"/>
      <c r="J55" s="41"/>
      <c r="K55" s="21"/>
      <c r="M55" s="25"/>
      <c r="N55" s="1">
        <f>2.4*3.281</f>
        <v>7.8743999999999996</v>
      </c>
      <c r="O55" s="1"/>
      <c r="P55" s="1"/>
      <c r="Q55" s="1"/>
      <c r="R55" s="25"/>
      <c r="S55" s="25"/>
    </row>
    <row r="56" spans="1:19" x14ac:dyDescent="0.25">
      <c r="A56" s="40"/>
      <c r="B56" s="46" t="s">
        <v>17</v>
      </c>
      <c r="C56" s="47"/>
      <c r="D56" s="38"/>
      <c r="E56" s="38"/>
      <c r="F56" s="38"/>
      <c r="G56" s="41"/>
      <c r="H56" s="41"/>
      <c r="I56" s="41"/>
      <c r="J56" s="41">
        <f>SUM(J10:J54)</f>
        <v>226825.43584109875</v>
      </c>
      <c r="K56" s="36"/>
    </row>
    <row r="57" spans="1:19" x14ac:dyDescent="0.25">
      <c r="A57" s="58"/>
      <c r="B57" s="61"/>
      <c r="C57" s="62"/>
      <c r="D57" s="59"/>
      <c r="E57" s="59"/>
      <c r="F57" s="59"/>
      <c r="G57" s="60"/>
      <c r="H57" s="60"/>
      <c r="I57" s="60"/>
      <c r="J57" s="60"/>
      <c r="K57" s="57"/>
    </row>
    <row r="58" spans="1:19" s="1" customFormat="1" x14ac:dyDescent="0.25">
      <c r="A58" s="50"/>
      <c r="B58" s="29" t="s">
        <v>27</v>
      </c>
      <c r="C58" s="85">
        <f>J56</f>
        <v>226825.43584109875</v>
      </c>
      <c r="D58" s="85"/>
      <c r="E58" s="39">
        <v>100</v>
      </c>
      <c r="F58" s="51"/>
      <c r="G58" s="52"/>
      <c r="H58" s="51"/>
      <c r="I58" s="53"/>
      <c r="J58" s="54"/>
      <c r="K58" s="55"/>
    </row>
    <row r="59" spans="1:19" x14ac:dyDescent="0.25">
      <c r="A59" s="56"/>
      <c r="B59" s="29" t="s">
        <v>32</v>
      </c>
      <c r="C59" s="88">
        <v>200000</v>
      </c>
      <c r="D59" s="88"/>
      <c r="E59" s="39"/>
      <c r="F59" s="49"/>
      <c r="G59" s="48"/>
      <c r="H59" s="48"/>
      <c r="I59" s="48"/>
      <c r="J59" s="48"/>
      <c r="K59" s="49"/>
    </row>
    <row r="60" spans="1:19" x14ac:dyDescent="0.25">
      <c r="A60" s="56"/>
      <c r="B60" s="29" t="s">
        <v>33</v>
      </c>
      <c r="C60" s="88">
        <f>C59-C62-C63</f>
        <v>190000</v>
      </c>
      <c r="D60" s="88"/>
      <c r="E60" s="39">
        <f>C60/C58*100</f>
        <v>83.764856130642869</v>
      </c>
      <c r="F60" s="49"/>
      <c r="G60" s="48"/>
      <c r="H60" s="48"/>
      <c r="I60" s="48"/>
      <c r="J60" s="48"/>
      <c r="K60" s="49"/>
    </row>
    <row r="61" spans="1:19" x14ac:dyDescent="0.25">
      <c r="A61" s="56"/>
      <c r="B61" s="29" t="s">
        <v>34</v>
      </c>
      <c r="C61" s="85">
        <f>C58-C60</f>
        <v>36825.435841098748</v>
      </c>
      <c r="D61" s="85"/>
      <c r="E61" s="39">
        <f>100-E60</f>
        <v>16.235143869357131</v>
      </c>
      <c r="F61" s="49"/>
      <c r="G61" s="48"/>
      <c r="H61" s="48"/>
      <c r="I61" s="48"/>
      <c r="J61" s="48"/>
      <c r="K61" s="49"/>
    </row>
    <row r="62" spans="1:19" x14ac:dyDescent="0.25">
      <c r="A62" s="56"/>
      <c r="B62" s="29" t="s">
        <v>35</v>
      </c>
      <c r="C62" s="85">
        <f>C59*0.03</f>
        <v>6000</v>
      </c>
      <c r="D62" s="85"/>
      <c r="E62" s="39">
        <v>3</v>
      </c>
      <c r="F62" s="49"/>
      <c r="G62" s="48"/>
      <c r="H62" s="48"/>
      <c r="I62" s="48"/>
      <c r="J62" s="48"/>
      <c r="K62" s="49"/>
    </row>
    <row r="63" spans="1:19" x14ac:dyDescent="0.25">
      <c r="A63" s="56"/>
      <c r="B63" s="29" t="s">
        <v>36</v>
      </c>
      <c r="C63" s="85">
        <f>C59*0.02</f>
        <v>4000</v>
      </c>
      <c r="D63" s="85"/>
      <c r="E63" s="39">
        <v>2</v>
      </c>
      <c r="F63" s="49"/>
      <c r="G63" s="48"/>
      <c r="H63" s="48"/>
      <c r="I63" s="48"/>
      <c r="J63" s="48"/>
      <c r="K63" s="49"/>
    </row>
    <row r="64" spans="1:19" s="35" customFormat="1" x14ac:dyDescent="0.25">
      <c r="A64" s="57"/>
      <c r="B64" s="57"/>
      <c r="C64" s="57"/>
      <c r="D64" s="57"/>
      <c r="E64" s="57"/>
      <c r="F64" s="57"/>
      <c r="G64" s="57"/>
      <c r="H64" s="57"/>
      <c r="I64" s="57"/>
      <c r="J64" s="57"/>
      <c r="K64" s="57"/>
    </row>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sheetData>
  <mergeCells count="16">
    <mergeCell ref="C62:D62"/>
    <mergeCell ref="C63:D63"/>
    <mergeCell ref="A7:F7"/>
    <mergeCell ref="H7:K7"/>
    <mergeCell ref="C58:D58"/>
    <mergeCell ref="C59:D59"/>
    <mergeCell ref="C60:D60"/>
    <mergeCell ref="C61:D61"/>
    <mergeCell ref="O15:U15"/>
    <mergeCell ref="A6:F6"/>
    <mergeCell ref="H6:K6"/>
    <mergeCell ref="A1:K1"/>
    <mergeCell ref="A2:K2"/>
    <mergeCell ref="A3:K3"/>
    <mergeCell ref="A4:K4"/>
    <mergeCell ref="A5:K5"/>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view="pageBreakPreview" zoomScale="60" zoomScaleNormal="100" workbookViewId="0">
      <selection activeCell="D7" sqref="D7"/>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91" t="s">
        <v>0</v>
      </c>
      <c r="B1" s="91"/>
      <c r="C1" s="91"/>
      <c r="D1" s="91"/>
      <c r="E1" s="91"/>
      <c r="F1" s="91"/>
      <c r="G1" s="91"/>
      <c r="H1" s="91"/>
      <c r="I1" s="91"/>
      <c r="J1" s="91"/>
      <c r="K1" s="91"/>
    </row>
    <row r="2" spans="1:13" ht="25.5" x14ac:dyDescent="0.35">
      <c r="A2" s="92" t="s">
        <v>1</v>
      </c>
      <c r="B2" s="92"/>
      <c r="C2" s="92"/>
      <c r="D2" s="92"/>
      <c r="E2" s="92"/>
      <c r="F2" s="92"/>
      <c r="G2" s="92"/>
      <c r="H2" s="92"/>
      <c r="I2" s="92"/>
      <c r="J2" s="92"/>
      <c r="K2" s="92"/>
    </row>
    <row r="3" spans="1:13" s="1" customFormat="1" x14ac:dyDescent="0.25">
      <c r="A3" s="83" t="s">
        <v>2</v>
      </c>
      <c r="B3" s="83"/>
      <c r="C3" s="83"/>
      <c r="D3" s="83"/>
      <c r="E3" s="83"/>
      <c r="F3" s="83"/>
      <c r="G3" s="83"/>
      <c r="H3" s="83"/>
      <c r="I3" s="83"/>
      <c r="J3" s="83"/>
      <c r="K3" s="83"/>
    </row>
    <row r="4" spans="1:13" s="1" customFormat="1" x14ac:dyDescent="0.25">
      <c r="A4" s="83" t="s">
        <v>3</v>
      </c>
      <c r="B4" s="83"/>
      <c r="C4" s="83"/>
      <c r="D4" s="83"/>
      <c r="E4" s="83"/>
      <c r="F4" s="83"/>
      <c r="G4" s="83"/>
      <c r="H4" s="83"/>
      <c r="I4" s="83"/>
      <c r="J4" s="83"/>
      <c r="K4" s="83"/>
    </row>
    <row r="5" spans="1:13" ht="18.75" x14ac:dyDescent="0.3">
      <c r="A5" s="93" t="s">
        <v>18</v>
      </c>
      <c r="B5" s="93"/>
      <c r="C5" s="93"/>
      <c r="D5" s="93"/>
      <c r="E5" s="93"/>
      <c r="F5" s="93"/>
      <c r="G5" s="93"/>
      <c r="H5" s="93"/>
      <c r="I5" s="93"/>
      <c r="J5" s="93"/>
      <c r="K5" s="93"/>
    </row>
    <row r="6" spans="1:13" ht="18.75" x14ac:dyDescent="0.3">
      <c r="A6" s="8" t="s">
        <v>19</v>
      </c>
      <c r="B6" s="8"/>
      <c r="C6" s="89">
        <f>F39</f>
        <v>226825.43584109875</v>
      </c>
      <c r="D6" s="90"/>
      <c r="E6" s="9"/>
      <c r="F6" s="8"/>
      <c r="G6" s="8"/>
      <c r="H6" s="8" t="s">
        <v>20</v>
      </c>
      <c r="I6" s="8"/>
      <c r="J6" s="89">
        <f>I39</f>
        <v>226981.99528937391</v>
      </c>
      <c r="K6" s="90"/>
    </row>
    <row r="7" spans="1:13" x14ac:dyDescent="0.25">
      <c r="A7" s="26" t="s">
        <v>29</v>
      </c>
      <c r="B7" s="10"/>
      <c r="C7" s="10"/>
      <c r="D7" s="10"/>
      <c r="F7" s="96"/>
      <c r="G7" s="96"/>
      <c r="I7" s="97" t="s">
        <v>37</v>
      </c>
      <c r="J7" s="97"/>
      <c r="K7" s="97"/>
    </row>
    <row r="8" spans="1:13" ht="15.75" x14ac:dyDescent="0.25">
      <c r="A8" s="79" t="str">
        <f>estimate!A6</f>
        <v xml:space="preserve">Project:- बद्री पुडासैनीको घर जाने बाटो ढलान </v>
      </c>
      <c r="B8" s="79"/>
      <c r="C8" s="79"/>
      <c r="D8" s="79"/>
      <c r="E8" s="79"/>
      <c r="F8" s="79"/>
      <c r="I8" s="98" t="s">
        <v>72</v>
      </c>
      <c r="J8" s="98"/>
      <c r="K8" s="98"/>
    </row>
    <row r="9" spans="1:13" x14ac:dyDescent="0.25">
      <c r="A9" s="99" t="str">
        <f>estimate!A7</f>
        <v>Location:- Shankharapur Municipality 9</v>
      </c>
      <c r="B9" s="99"/>
      <c r="C9" s="99"/>
      <c r="D9" s="99"/>
      <c r="E9" s="99"/>
      <c r="F9" s="99"/>
      <c r="I9" s="98" t="s">
        <v>86</v>
      </c>
      <c r="J9" s="98"/>
      <c r="K9" s="98"/>
    </row>
    <row r="11" spans="1:13" x14ac:dyDescent="0.25">
      <c r="A11" s="94" t="s">
        <v>21</v>
      </c>
      <c r="B11" s="94" t="s">
        <v>22</v>
      </c>
      <c r="C11" s="94" t="s">
        <v>12</v>
      </c>
      <c r="D11" s="100" t="s">
        <v>23</v>
      </c>
      <c r="E11" s="100"/>
      <c r="F11" s="100"/>
      <c r="G11" s="100" t="s">
        <v>24</v>
      </c>
      <c r="H11" s="100"/>
      <c r="I11" s="100"/>
      <c r="J11" s="94" t="s">
        <v>25</v>
      </c>
      <c r="K11" s="95" t="s">
        <v>15</v>
      </c>
    </row>
    <row r="12" spans="1:13" x14ac:dyDescent="0.25">
      <c r="A12" s="94"/>
      <c r="B12" s="94"/>
      <c r="C12" s="94"/>
      <c r="D12" s="11" t="s">
        <v>26</v>
      </c>
      <c r="E12" s="11" t="s">
        <v>13</v>
      </c>
      <c r="F12" s="11" t="s">
        <v>14</v>
      </c>
      <c r="G12" s="11" t="s">
        <v>26</v>
      </c>
      <c r="H12" s="11" t="s">
        <v>13</v>
      </c>
      <c r="I12" s="11" t="s">
        <v>14</v>
      </c>
      <c r="J12" s="94"/>
      <c r="K12" s="95"/>
    </row>
    <row r="13" spans="1:13" s="1" customFormat="1" ht="148.15" customHeight="1"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estimate!H12</f>
        <v>m3</v>
      </c>
      <c r="D13" s="12">
        <f>estimate!G12</f>
        <v>7.875</v>
      </c>
      <c r="E13" s="12">
        <f>estimate!I12</f>
        <v>64.63</v>
      </c>
      <c r="F13" s="12">
        <f>D13*E13</f>
        <v>508.96124999999995</v>
      </c>
      <c r="G13" s="12">
        <f>V!G14</f>
        <v>9.7576917475763096</v>
      </c>
      <c r="H13" s="12">
        <f>V!I14</f>
        <v>64.63</v>
      </c>
      <c r="I13" s="12">
        <f>G13*H13</f>
        <v>630.6396176458569</v>
      </c>
      <c r="J13" s="28">
        <f>I13-F13</f>
        <v>121.67836764585695</v>
      </c>
      <c r="K13" s="14"/>
      <c r="M13" s="1">
        <f>1.25*F13</f>
        <v>636.20156249999991</v>
      </c>
    </row>
    <row r="14" spans="1:13" s="1" customFormat="1" ht="15.75" x14ac:dyDescent="0.25">
      <c r="A14" s="27"/>
      <c r="B14" s="70" t="str">
        <f>estimate!B13</f>
        <v>VAT calculation</v>
      </c>
      <c r="C14" s="12"/>
      <c r="D14" s="12"/>
      <c r="E14" s="12"/>
      <c r="F14" s="12">
        <f>estimate!J13</f>
        <v>54.838874999999994</v>
      </c>
      <c r="G14" s="12"/>
      <c r="H14" s="12"/>
      <c r="I14" s="12">
        <f>V!J15</f>
        <v>67.949312766205566</v>
      </c>
      <c r="J14" s="28">
        <f>I14-F14</f>
        <v>13.110437766205571</v>
      </c>
      <c r="K14" s="14"/>
      <c r="M14" s="1">
        <f>1.25*F14</f>
        <v>68.548593749999995</v>
      </c>
    </row>
    <row r="15" spans="1:13" s="1" customFormat="1" x14ac:dyDescent="0.25">
      <c r="A15" s="29"/>
      <c r="B15" s="29"/>
      <c r="C15" s="12"/>
      <c r="D15" s="12"/>
      <c r="E15" s="12"/>
      <c r="F15" s="12"/>
      <c r="G15" s="12"/>
      <c r="H15" s="12"/>
      <c r="I15" s="12"/>
      <c r="J15" s="28"/>
      <c r="K15" s="14"/>
    </row>
    <row r="16" spans="1:13" s="1" customFormat="1" ht="78.75" x14ac:dyDescent="0.25">
      <c r="A16" s="27">
        <f>estimate!A15</f>
        <v>2</v>
      </c>
      <c r="B16" s="32" t="str">
        <f>estimate!B15</f>
        <v>Providing and laying of hand pack Stone soling with 150 to 200 mm thick stones and packing with smaller stone on prepared surface as per Drawing and Technical Specifications.</v>
      </c>
      <c r="C16" s="12" t="str">
        <f>estimate!H17</f>
        <v>m3</v>
      </c>
      <c r="D16" s="12">
        <f>estimate!G17</f>
        <v>4.875</v>
      </c>
      <c r="E16" s="12">
        <f>estimate!I17</f>
        <v>4434.5200000000004</v>
      </c>
      <c r="F16" s="12">
        <f>D16*E16</f>
        <v>21618.285000000003</v>
      </c>
      <c r="G16" s="12">
        <f>V!G21</f>
        <v>4.8026917475763096</v>
      </c>
      <c r="H16" s="12">
        <f>V!I21</f>
        <v>4434.5200000000004</v>
      </c>
      <c r="I16" s="12">
        <f>G16*H16</f>
        <v>21297.6326084621</v>
      </c>
      <c r="J16" s="28">
        <f>I16-F16</f>
        <v>-320.6523915379039</v>
      </c>
      <c r="K16" s="14"/>
      <c r="M16" s="1">
        <f>1.25*F16</f>
        <v>27022.856250000004</v>
      </c>
    </row>
    <row r="17" spans="1:13" s="1" customFormat="1" ht="15.75" x14ac:dyDescent="0.25">
      <c r="A17" s="27"/>
      <c r="B17" s="70" t="str">
        <f>estimate!B18</f>
        <v>VAT calculation</v>
      </c>
      <c r="C17" s="12"/>
      <c r="D17" s="12"/>
      <c r="E17" s="12"/>
      <c r="F17" s="12">
        <f>estimate!J18</f>
        <v>1878.1308000000001</v>
      </c>
      <c r="G17" s="12"/>
      <c r="H17" s="12"/>
      <c r="I17" s="12">
        <f>V!J22</f>
        <v>1850.2734962110549</v>
      </c>
      <c r="J17" s="28">
        <f>I17-F17</f>
        <v>-27.857303788945273</v>
      </c>
      <c r="K17" s="14"/>
      <c r="M17" s="1">
        <f>1.25*F17</f>
        <v>2347.6635000000001</v>
      </c>
    </row>
    <row r="18" spans="1:13" s="1" customFormat="1" x14ac:dyDescent="0.25">
      <c r="A18" s="29"/>
      <c r="B18" s="29"/>
      <c r="C18" s="12"/>
      <c r="D18" s="12"/>
      <c r="E18" s="12"/>
      <c r="F18" s="12"/>
      <c r="G18" s="12"/>
      <c r="H18" s="12"/>
      <c r="I18" s="12"/>
      <c r="J18" s="28"/>
      <c r="K18" s="14"/>
    </row>
    <row r="19" spans="1:13" s="1" customFormat="1" ht="63" x14ac:dyDescent="0.25">
      <c r="A19" s="27">
        <f>estimate!A20</f>
        <v>3</v>
      </c>
      <c r="B19" s="32" t="str">
        <f>estimate!B20</f>
        <v>Providing and laying of Plain/Reinforced Cement Concrete in Foundation complete as per Drawing and Technical Specifications, PCC Grade M 15</v>
      </c>
      <c r="C19" s="12" t="str">
        <f>estimate!H23</f>
        <v>m3</v>
      </c>
      <c r="D19" s="12">
        <f>estimate!G23</f>
        <v>0.495</v>
      </c>
      <c r="E19" s="12">
        <f>estimate!I23</f>
        <v>10634.5</v>
      </c>
      <c r="F19" s="12">
        <f>D19*E19</f>
        <v>5264.0775000000003</v>
      </c>
      <c r="G19" s="12">
        <f>V!G33</f>
        <v>0.61083274916184083</v>
      </c>
      <c r="H19" s="12">
        <f>V!I33</f>
        <v>10634.5</v>
      </c>
      <c r="I19" s="12">
        <f>G19*H19</f>
        <v>6495.9008709615964</v>
      </c>
      <c r="J19" s="28">
        <f>I19-F19</f>
        <v>1231.8233709615961</v>
      </c>
      <c r="K19" s="14"/>
      <c r="M19" s="1">
        <f>1.25*F19</f>
        <v>6580.0968750000002</v>
      </c>
    </row>
    <row r="20" spans="1:13" s="1" customFormat="1" ht="15.75" x14ac:dyDescent="0.25">
      <c r="A20" s="27"/>
      <c r="B20" s="32" t="str">
        <f>estimate!B24</f>
        <v>VAT calculation</v>
      </c>
      <c r="C20" s="12"/>
      <c r="D20" s="12"/>
      <c r="E20" s="12"/>
      <c r="F20" s="12">
        <f>estimate!J24</f>
        <v>519.27275400000008</v>
      </c>
      <c r="G20" s="12"/>
      <c r="H20" s="12"/>
      <c r="I20" s="12">
        <f>V!J34</f>
        <v>640.78546240537435</v>
      </c>
      <c r="J20" s="28">
        <f>I20-F20</f>
        <v>121.51270840537427</v>
      </c>
      <c r="K20" s="14"/>
      <c r="M20" s="1">
        <f>1.25*F20</f>
        <v>649.0909425000001</v>
      </c>
    </row>
    <row r="21" spans="1:13" s="1" customFormat="1" x14ac:dyDescent="0.25">
      <c r="A21" s="29"/>
      <c r="B21" s="29"/>
      <c r="C21" s="12"/>
      <c r="D21" s="12"/>
      <c r="E21" s="12"/>
      <c r="F21" s="12"/>
      <c r="G21" s="12"/>
      <c r="H21" s="12"/>
      <c r="I21" s="12"/>
      <c r="J21" s="28"/>
      <c r="K21" s="14"/>
    </row>
    <row r="22" spans="1:13" s="1" customFormat="1" ht="78.75" x14ac:dyDescent="0.25">
      <c r="A22" s="27">
        <f>estimate!A26</f>
        <v>4</v>
      </c>
      <c r="B22" s="32" t="str">
        <f>estimate!B26</f>
        <v>Random Rubble Masonry, Providing and laying of Stone Masonry Work in Cement Mortar 1:6 in Foundation complete as per Drawing and Technical Specifications.</v>
      </c>
      <c r="C22" s="12" t="str">
        <f>estimate!H29</f>
        <v>m3</v>
      </c>
      <c r="D22" s="12">
        <f>estimate!G29</f>
        <v>7.4249999999999998</v>
      </c>
      <c r="E22" s="12">
        <f>estimate!I29</f>
        <v>9709.43</v>
      </c>
      <c r="F22" s="12">
        <f>D22*E22</f>
        <v>72092.517749999999</v>
      </c>
      <c r="G22" s="12">
        <f>V!G44</f>
        <v>8.798474999999998</v>
      </c>
      <c r="H22" s="12">
        <f>V!I44</f>
        <v>9709.43</v>
      </c>
      <c r="I22" s="12">
        <f>G22*H22</f>
        <v>85428.177119249987</v>
      </c>
      <c r="J22" s="28">
        <f>I22-F22</f>
        <v>13335.659369249988</v>
      </c>
      <c r="K22" s="14"/>
      <c r="M22" s="1">
        <f>1.25*F22</f>
        <v>90115.647187499999</v>
      </c>
    </row>
    <row r="23" spans="1:13" s="1" customFormat="1" ht="15.75" x14ac:dyDescent="0.25">
      <c r="A23" s="27"/>
      <c r="B23" s="32" t="str">
        <f>estimate!B30</f>
        <v>VAT calculation</v>
      </c>
      <c r="C23" s="12"/>
      <c r="D23" s="12"/>
      <c r="E23" s="12"/>
      <c r="F23" s="12">
        <f>estimate!J30</f>
        <v>5230.1299050000007</v>
      </c>
      <c r="G23" s="12"/>
      <c r="H23" s="12"/>
      <c r="I23" s="12">
        <f>V!J45</f>
        <v>6197.5982782349984</v>
      </c>
      <c r="J23" s="28">
        <f>I23-F23</f>
        <v>967.46837323499767</v>
      </c>
      <c r="K23" s="14"/>
      <c r="M23" s="1">
        <f>1.25*F23</f>
        <v>6537.6623812500011</v>
      </c>
    </row>
    <row r="24" spans="1:13" s="1" customFormat="1" x14ac:dyDescent="0.25">
      <c r="A24" s="29"/>
      <c r="B24" s="29"/>
      <c r="C24" s="12"/>
      <c r="D24" s="12"/>
      <c r="E24" s="12"/>
      <c r="F24" s="12"/>
      <c r="G24" s="12"/>
      <c r="H24" s="12"/>
      <c r="I24" s="12"/>
      <c r="J24" s="28"/>
      <c r="K24" s="14"/>
    </row>
    <row r="25" spans="1:13" s="1" customFormat="1" ht="63" x14ac:dyDescent="0.25">
      <c r="A25" s="27">
        <f>estimate!A32</f>
        <v>5</v>
      </c>
      <c r="B25" s="32" t="str">
        <f>estimate!B32</f>
        <v>Providing and laying , fitting and placing HYSD bar reinforcement in sub-structure complete as per Drawing and Technical Specifications</v>
      </c>
      <c r="C25" s="12" t="str">
        <f>estimate!H35</f>
        <v>MT</v>
      </c>
      <c r="D25" s="12">
        <f>estimate!G35</f>
        <v>0.25345679012345679</v>
      </c>
      <c r="E25" s="12">
        <f>estimate!I35</f>
        <v>124140</v>
      </c>
      <c r="F25" s="12">
        <f>D25*E25</f>
        <v>31464.125925925924</v>
      </c>
      <c r="G25" s="12">
        <f>V!G50</f>
        <v>0.20540071718574204</v>
      </c>
      <c r="H25" s="12">
        <f>V!I50</f>
        <v>124140</v>
      </c>
      <c r="I25" s="12">
        <f>G25*H25</f>
        <v>25498.445031438016</v>
      </c>
      <c r="J25" s="28">
        <f>I25-F25</f>
        <v>-5965.6808944879085</v>
      </c>
      <c r="K25" s="14"/>
      <c r="M25" s="1">
        <f>1.25*F25</f>
        <v>39330.157407407401</v>
      </c>
    </row>
    <row r="26" spans="1:13" s="1" customFormat="1" ht="15.75" x14ac:dyDescent="0.25">
      <c r="A26" s="27"/>
      <c r="B26" s="32" t="str">
        <f>estimate!B36</f>
        <v>VAT calculation</v>
      </c>
      <c r="C26" s="12"/>
      <c r="D26" s="12"/>
      <c r="E26" s="12"/>
      <c r="F26" s="12">
        <f>estimate!J36</f>
        <v>3656.0635061728399</v>
      </c>
      <c r="G26" s="12"/>
      <c r="H26" s="12"/>
      <c r="I26" s="12">
        <f>V!J51</f>
        <v>2962.8642652608919</v>
      </c>
      <c r="J26" s="28">
        <f>I26-F26</f>
        <v>-693.19924091194798</v>
      </c>
      <c r="K26" s="14"/>
      <c r="M26" s="1">
        <f>1.25*F26</f>
        <v>4570.0793827160496</v>
      </c>
    </row>
    <row r="27" spans="1:13" s="1" customFormat="1" x14ac:dyDescent="0.25">
      <c r="A27" s="29"/>
      <c r="B27" s="29"/>
      <c r="C27" s="12"/>
      <c r="D27" s="12"/>
      <c r="E27" s="12"/>
      <c r="F27" s="12"/>
      <c r="G27" s="12"/>
      <c r="H27" s="12"/>
      <c r="I27" s="12"/>
      <c r="J27" s="28"/>
      <c r="K27" s="14"/>
    </row>
    <row r="28" spans="1:13" s="1" customFormat="1" ht="63" x14ac:dyDescent="0.25">
      <c r="A28" s="27">
        <f>estimate!A38</f>
        <v>6</v>
      </c>
      <c r="B28" s="32" t="str">
        <f>estimate!B38</f>
        <v>Providing and laying of Plain/Reinforced Cement Concrete in Foundation complete as per Drawing and Technical Specifications., RCC Grade M 20</v>
      </c>
      <c r="C28" s="12" t="str">
        <f>estimate!H40</f>
        <v>m3</v>
      </c>
      <c r="D28" s="12">
        <f>estimate!G40</f>
        <v>4.875</v>
      </c>
      <c r="E28" s="12">
        <f>estimate!I40</f>
        <v>11588.17</v>
      </c>
      <c r="F28" s="12">
        <f>D28*E28</f>
        <v>56492.328750000001</v>
      </c>
      <c r="G28" s="12">
        <f>V!G55</f>
        <v>4.1989417475763098</v>
      </c>
      <c r="H28" s="12">
        <f>V!I55</f>
        <v>11588.17</v>
      </c>
      <c r="I28" s="12">
        <f>G28*H28</f>
        <v>48658.050791011367</v>
      </c>
      <c r="J28" s="28">
        <f>I28-F28</f>
        <v>-7834.2779589886341</v>
      </c>
      <c r="K28" s="14"/>
      <c r="M28" s="1">
        <f>1.25*F28</f>
        <v>70615.410937499997</v>
      </c>
    </row>
    <row r="29" spans="1:13" s="1" customFormat="1" ht="15.75" x14ac:dyDescent="0.25">
      <c r="A29" s="27"/>
      <c r="B29" s="32" t="str">
        <f>estimate!B41</f>
        <v>VAT calculation</v>
      </c>
      <c r="C29" s="12"/>
      <c r="D29" s="12"/>
      <c r="E29" s="12"/>
      <c r="F29" s="12">
        <f>estimate!J41</f>
        <v>5718.4403250000014</v>
      </c>
      <c r="G29" s="12"/>
      <c r="H29" s="12"/>
      <c r="I29" s="12">
        <f>V!J56</f>
        <v>4925.4149357264296</v>
      </c>
      <c r="J29" s="28">
        <f>I29-F29</f>
        <v>-793.02538927357182</v>
      </c>
      <c r="K29" s="14"/>
      <c r="M29" s="1">
        <f>1.25*F29</f>
        <v>7148.0504062500022</v>
      </c>
    </row>
    <row r="30" spans="1:13" s="1" customFormat="1" ht="15.75" x14ac:dyDescent="0.25">
      <c r="A30" s="27"/>
      <c r="B30" s="32"/>
      <c r="C30" s="12"/>
      <c r="D30" s="12"/>
      <c r="E30" s="12"/>
      <c r="F30" s="12"/>
      <c r="G30" s="12"/>
      <c r="H30" s="12"/>
      <c r="I30" s="12"/>
      <c r="J30" s="28"/>
      <c r="K30" s="14"/>
    </row>
    <row r="31" spans="1:13" s="1" customFormat="1" ht="204.75" x14ac:dyDescent="0.25">
      <c r="A31" s="27">
        <f>estimate!A43</f>
        <v>7</v>
      </c>
      <c r="B31" s="32" t="str">
        <f>estimate!B43</f>
        <v>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v>
      </c>
      <c r="C31" s="12" t="str">
        <f>estimate!H45</f>
        <v>m3</v>
      </c>
      <c r="D31" s="12">
        <f>estimate!G45</f>
        <v>3</v>
      </c>
      <c r="E31" s="12">
        <f>estimate!I45</f>
        <v>6152.23</v>
      </c>
      <c r="F31" s="12">
        <f>D31*E31</f>
        <v>18456.689999999999</v>
      </c>
      <c r="G31" s="12">
        <f>V!G60</f>
        <v>3</v>
      </c>
      <c r="H31" s="12">
        <f>V!I60</f>
        <v>6152.23</v>
      </c>
      <c r="I31" s="12">
        <f>G31*H31</f>
        <v>18456.689999999999</v>
      </c>
      <c r="J31" s="28">
        <f>I31-F31</f>
        <v>0</v>
      </c>
      <c r="K31" s="14"/>
      <c r="M31" s="1">
        <f>1.25*F31</f>
        <v>23070.862499999999</v>
      </c>
    </row>
    <row r="32" spans="1:13" s="1" customFormat="1" ht="15.75" x14ac:dyDescent="0.25">
      <c r="A32" s="27"/>
      <c r="B32" s="32" t="str">
        <f>estimate!B46</f>
        <v>VAT calculation</v>
      </c>
      <c r="C32" s="12"/>
      <c r="D32" s="12"/>
      <c r="E32" s="12"/>
      <c r="F32" s="12">
        <f>estimate!J46</f>
        <v>1741.8895</v>
      </c>
      <c r="G32" s="12"/>
      <c r="H32" s="12"/>
      <c r="I32" s="12">
        <f>V!J61</f>
        <v>1741.8895</v>
      </c>
      <c r="J32" s="28">
        <f>I32-F32</f>
        <v>0</v>
      </c>
      <c r="K32" s="14"/>
      <c r="M32" s="1">
        <f>1.25*F32</f>
        <v>2177.3618750000001</v>
      </c>
    </row>
    <row r="33" spans="1:13" s="1" customFormat="1" ht="15.75" x14ac:dyDescent="0.25">
      <c r="A33" s="27"/>
      <c r="B33" s="32"/>
      <c r="C33" s="12"/>
      <c r="D33" s="12"/>
      <c r="E33" s="12"/>
      <c r="F33" s="12"/>
      <c r="G33" s="12"/>
      <c r="H33" s="12"/>
      <c r="I33" s="12"/>
      <c r="J33" s="28"/>
      <c r="K33" s="14"/>
    </row>
    <row r="34" spans="1:13" s="1" customFormat="1" ht="94.5" x14ac:dyDescent="0.25">
      <c r="A34" s="27">
        <f>estimate!A48</f>
        <v>8</v>
      </c>
      <c r="B34" s="32" t="str">
        <f>estimate!B48</f>
        <v>Laying and fixing of Geo-Textile all complete as per specification., Providing  and laying of a geotextile filter between pitching and embankment slopes as per Drawing and Technical Specifications.</v>
      </c>
      <c r="C34" s="12" t="str">
        <f>estimate!H51</f>
        <v>sqm</v>
      </c>
      <c r="D34" s="12">
        <f>estimate!G51</f>
        <v>9</v>
      </c>
      <c r="E34" s="12">
        <f>estimate!I51</f>
        <v>161.41999999999999</v>
      </c>
      <c r="F34" s="12">
        <f>D34*E34</f>
        <v>1452.78</v>
      </c>
      <c r="G34" s="12">
        <f>V!G66</f>
        <v>9</v>
      </c>
      <c r="H34" s="12">
        <f>V!I66</f>
        <v>161.41999999999999</v>
      </c>
      <c r="I34" s="12">
        <f>G34*H34</f>
        <v>1452.78</v>
      </c>
      <c r="J34" s="28">
        <f>I34-F34</f>
        <v>0</v>
      </c>
      <c r="K34" s="14"/>
      <c r="M34" s="1">
        <f>1.25*F34</f>
        <v>1815.9749999999999</v>
      </c>
    </row>
    <row r="35" spans="1:13" s="1" customFormat="1" ht="15.75" x14ac:dyDescent="0.25">
      <c r="A35" s="27"/>
      <c r="B35" s="32" t="str">
        <f>estimate!B52</f>
        <v>VAT calculation</v>
      </c>
      <c r="C35" s="12"/>
      <c r="D35" s="12"/>
      <c r="E35" s="12"/>
      <c r="F35" s="12">
        <f>estimate!J52</f>
        <v>176.904</v>
      </c>
      <c r="G35" s="12"/>
      <c r="H35" s="12"/>
      <c r="I35" s="12">
        <f>V!J67</f>
        <v>176.904</v>
      </c>
      <c r="J35" s="28">
        <f>I35-F35</f>
        <v>0</v>
      </c>
      <c r="K35" s="14"/>
      <c r="M35" s="1">
        <f>1.25*F35</f>
        <v>221.13</v>
      </c>
    </row>
    <row r="36" spans="1:13" s="1" customFormat="1" ht="15.75" x14ac:dyDescent="0.25">
      <c r="A36" s="27"/>
      <c r="B36" s="32"/>
      <c r="C36" s="12"/>
      <c r="D36" s="12"/>
      <c r="E36" s="12"/>
      <c r="F36" s="12"/>
      <c r="G36" s="12"/>
      <c r="H36" s="12"/>
      <c r="I36" s="12"/>
      <c r="J36" s="28"/>
      <c r="K36" s="14"/>
    </row>
    <row r="37" spans="1:13" s="1" customFormat="1" x14ac:dyDescent="0.25">
      <c r="A37" s="27">
        <f>estimate!A54</f>
        <v>9</v>
      </c>
      <c r="B37" s="31" t="str">
        <f>estimate!B54</f>
        <v>Information board (सुचना पाटि)</v>
      </c>
      <c r="C37" s="12" t="str">
        <f>estimate!H54</f>
        <v>no.</v>
      </c>
      <c r="D37" s="12">
        <f>estimate!G54</f>
        <v>1</v>
      </c>
      <c r="E37" s="12">
        <f>estimate!I54</f>
        <v>500</v>
      </c>
      <c r="F37" s="12">
        <f>D37*E37</f>
        <v>500</v>
      </c>
      <c r="G37" s="12">
        <f>V!G69</f>
        <v>1</v>
      </c>
      <c r="H37" s="12">
        <f>V!I69</f>
        <v>500</v>
      </c>
      <c r="I37" s="12">
        <f>G37*H37</f>
        <v>500</v>
      </c>
      <c r="J37" s="28">
        <f>I37-F37</f>
        <v>0</v>
      </c>
      <c r="K37" s="14"/>
    </row>
    <row r="38" spans="1:13" s="1" customFormat="1" x14ac:dyDescent="0.25">
      <c r="A38" s="29"/>
      <c r="B38" s="29"/>
      <c r="C38" s="12"/>
      <c r="D38" s="12"/>
      <c r="E38" s="12"/>
      <c r="F38" s="12"/>
      <c r="G38" s="12"/>
      <c r="H38" s="12"/>
      <c r="I38" s="12"/>
      <c r="J38" s="28"/>
      <c r="K38" s="14"/>
    </row>
    <row r="39" spans="1:13" x14ac:dyDescent="0.25">
      <c r="A39" s="5"/>
      <c r="B39" s="6" t="s">
        <v>16</v>
      </c>
      <c r="C39" s="6"/>
      <c r="D39" s="7"/>
      <c r="E39" s="7"/>
      <c r="F39" s="7">
        <f>SUM(F13:F37)</f>
        <v>226825.43584109875</v>
      </c>
      <c r="G39" s="7"/>
      <c r="H39" s="7"/>
      <c r="I39" s="7">
        <f>SUM(I13:I37)</f>
        <v>226981.99528937391</v>
      </c>
      <c r="J39" s="13">
        <f>I39-F39</f>
        <v>156.55944827516214</v>
      </c>
      <c r="K39"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6"/>
  <sheetViews>
    <sheetView zoomScaleNormal="100" workbookViewId="0">
      <selection activeCell="B74" sqref="B74"/>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9.5703125" bestFit="1" customWidth="1"/>
    <col min="10" max="10" width="10.7109375" bestFit="1" customWidth="1"/>
  </cols>
  <sheetData>
    <row r="1" spans="1:19" s="1" customFormat="1" x14ac:dyDescent="0.25">
      <c r="A1" s="81" t="s">
        <v>0</v>
      </c>
      <c r="B1" s="81"/>
      <c r="C1" s="81"/>
      <c r="D1" s="81"/>
      <c r="E1" s="81"/>
      <c r="F1" s="81"/>
      <c r="G1" s="81"/>
      <c r="H1" s="81"/>
      <c r="I1" s="81"/>
      <c r="J1" s="81"/>
      <c r="K1" s="81"/>
    </row>
    <row r="2" spans="1:19" s="1" customFormat="1" ht="22.5" x14ac:dyDescent="0.25">
      <c r="A2" s="82" t="s">
        <v>1</v>
      </c>
      <c r="B2" s="82"/>
      <c r="C2" s="82"/>
      <c r="D2" s="82"/>
      <c r="E2" s="82"/>
      <c r="F2" s="82"/>
      <c r="G2" s="82"/>
      <c r="H2" s="82"/>
      <c r="I2" s="82"/>
      <c r="J2" s="82"/>
      <c r="K2" s="82"/>
    </row>
    <row r="3" spans="1:19" s="1" customFormat="1" x14ac:dyDescent="0.25">
      <c r="A3" s="83" t="s">
        <v>2</v>
      </c>
      <c r="B3" s="83"/>
      <c r="C3" s="83"/>
      <c r="D3" s="83"/>
      <c r="E3" s="83"/>
      <c r="F3" s="83"/>
      <c r="G3" s="83"/>
      <c r="H3" s="83"/>
      <c r="I3" s="83"/>
      <c r="J3" s="83"/>
      <c r="K3" s="83"/>
    </row>
    <row r="4" spans="1:19" s="1" customFormat="1" x14ac:dyDescent="0.25">
      <c r="A4" s="83" t="s">
        <v>3</v>
      </c>
      <c r="B4" s="83"/>
      <c r="C4" s="83"/>
      <c r="D4" s="83"/>
      <c r="E4" s="83"/>
      <c r="F4" s="83"/>
      <c r="G4" s="83"/>
      <c r="H4" s="83"/>
      <c r="I4" s="83"/>
      <c r="J4" s="83"/>
      <c r="K4" s="83"/>
    </row>
    <row r="5" spans="1:19" ht="18.75" x14ac:dyDescent="0.3">
      <c r="A5" s="84" t="s">
        <v>68</v>
      </c>
      <c r="B5" s="84"/>
      <c r="C5" s="84"/>
      <c r="D5" s="84"/>
      <c r="E5" s="84"/>
      <c r="F5" s="84"/>
      <c r="G5" s="84"/>
      <c r="H5" s="84"/>
      <c r="I5" s="84"/>
      <c r="J5" s="84"/>
      <c r="K5" s="84"/>
    </row>
    <row r="6" spans="1:19" ht="15.75" x14ac:dyDescent="0.25">
      <c r="A6" s="79" t="s">
        <v>67</v>
      </c>
      <c r="B6" s="79"/>
      <c r="C6" s="79"/>
      <c r="D6" s="79"/>
      <c r="E6" s="79"/>
      <c r="F6" s="79"/>
      <c r="G6" s="2"/>
      <c r="H6" s="80" t="s">
        <v>43</v>
      </c>
      <c r="I6" s="80"/>
      <c r="J6" s="80"/>
      <c r="K6" s="80"/>
      <c r="O6" t="s">
        <v>48</v>
      </c>
    </row>
    <row r="7" spans="1:19" ht="15.75" x14ac:dyDescent="0.25">
      <c r="A7" s="86" t="s">
        <v>28</v>
      </c>
      <c r="B7" s="86"/>
      <c r="C7" s="86"/>
      <c r="D7" s="86"/>
      <c r="E7" s="86"/>
      <c r="F7" s="86"/>
      <c r="G7" s="3"/>
      <c r="H7" s="87" t="s">
        <v>87</v>
      </c>
      <c r="I7" s="87"/>
      <c r="J7" s="87"/>
      <c r="K7" s="87"/>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44</v>
      </c>
    </row>
    <row r="9" spans="1:19" ht="150" x14ac:dyDescent="0.25">
      <c r="A9" s="29">
        <v>1</v>
      </c>
      <c r="B9" s="30" t="s">
        <v>49</v>
      </c>
      <c r="C9" s="36"/>
      <c r="D9" s="75" t="s">
        <v>70</v>
      </c>
      <c r="E9" s="36"/>
      <c r="F9" s="36"/>
      <c r="G9" s="36"/>
      <c r="H9" s="36"/>
      <c r="I9" s="36"/>
      <c r="J9" s="36"/>
      <c r="K9" s="36"/>
      <c r="N9" t="s">
        <v>45</v>
      </c>
      <c r="O9" t="s">
        <v>46</v>
      </c>
    </row>
    <row r="10" spans="1:19" ht="15" customHeight="1" x14ac:dyDescent="0.25">
      <c r="A10" s="18"/>
      <c r="B10" s="37" t="s">
        <v>59</v>
      </c>
      <c r="C10" s="47">
        <v>1</v>
      </c>
      <c r="D10" s="38">
        <f>MQ!D61</f>
        <v>27.992944983842065</v>
      </c>
      <c r="E10" s="38"/>
      <c r="F10" s="38">
        <v>0.15</v>
      </c>
      <c r="G10" s="39">
        <f>PRODUCT(C10:F10)</f>
        <v>4.1989417475763098</v>
      </c>
      <c r="H10" s="40"/>
      <c r="I10" s="40"/>
      <c r="J10" s="40"/>
      <c r="K10" s="21"/>
      <c r="M10" s="25"/>
      <c r="N10" s="1"/>
      <c r="O10" s="1"/>
      <c r="P10" s="1"/>
      <c r="S10" s="25"/>
    </row>
    <row r="11" spans="1:19" ht="15" customHeight="1" x14ac:dyDescent="0.25">
      <c r="A11" s="18"/>
      <c r="B11" s="37" t="s">
        <v>66</v>
      </c>
      <c r="C11" s="36">
        <v>1</v>
      </c>
      <c r="D11" s="38">
        <v>3</v>
      </c>
      <c r="E11" s="38">
        <v>1</v>
      </c>
      <c r="F11" s="38">
        <v>1</v>
      </c>
      <c r="G11" s="39">
        <f>PRODUCT(C11:F11)</f>
        <v>3</v>
      </c>
      <c r="H11" s="40"/>
      <c r="I11" s="40"/>
      <c r="J11" s="40"/>
      <c r="K11" s="21"/>
      <c r="M11" s="25"/>
      <c r="N11" s="1"/>
      <c r="O11" s="1"/>
      <c r="P11" s="1"/>
      <c r="S11" s="25"/>
    </row>
    <row r="12" spans="1:19" ht="15" customHeight="1" x14ac:dyDescent="0.25">
      <c r="A12" s="18"/>
      <c r="B12" s="37" t="s">
        <v>71</v>
      </c>
      <c r="C12" s="36">
        <v>1</v>
      </c>
      <c r="D12" s="38">
        <v>1</v>
      </c>
      <c r="E12" s="38">
        <f>0.5/2</f>
        <v>0.25</v>
      </c>
      <c r="F12" s="38">
        <f>(1+0.85)/2-0.05</f>
        <v>0.875</v>
      </c>
      <c r="G12" s="39">
        <f>PRODUCT(C12:F12)</f>
        <v>0.21875</v>
      </c>
      <c r="H12" s="40"/>
      <c r="I12" s="40"/>
      <c r="J12" s="40"/>
      <c r="K12" s="21"/>
      <c r="M12" s="25"/>
      <c r="N12" s="1"/>
      <c r="O12" s="1"/>
      <c r="P12" s="1"/>
      <c r="S12" s="25"/>
    </row>
    <row r="13" spans="1:19" ht="15" customHeight="1" x14ac:dyDescent="0.25">
      <c r="A13" s="18"/>
      <c r="B13" s="37"/>
      <c r="C13" s="104">
        <v>1</v>
      </c>
      <c r="D13" s="105">
        <v>7.8</v>
      </c>
      <c r="E13" s="105">
        <v>0.6</v>
      </c>
      <c r="F13" s="105">
        <v>0.5</v>
      </c>
      <c r="G13" s="106">
        <f t="shared" ref="G13" si="0">PRODUCT(C13:F13)</f>
        <v>2.34</v>
      </c>
      <c r="H13" s="40"/>
      <c r="I13" s="40"/>
      <c r="J13" s="40"/>
      <c r="K13" s="21"/>
      <c r="M13" s="25"/>
      <c r="N13" s="1"/>
      <c r="O13" s="1"/>
      <c r="P13" s="1"/>
      <c r="Q13" s="1"/>
      <c r="R13" s="25"/>
      <c r="S13" s="25"/>
    </row>
    <row r="14" spans="1:19" ht="15" customHeight="1" x14ac:dyDescent="0.25">
      <c r="A14" s="18"/>
      <c r="B14" s="37" t="s">
        <v>40</v>
      </c>
      <c r="C14" s="19"/>
      <c r="D14" s="20"/>
      <c r="E14" s="21"/>
      <c r="F14" s="21"/>
      <c r="G14" s="23">
        <f>SUM(G10:G13)</f>
        <v>9.7576917475763096</v>
      </c>
      <c r="H14" s="22" t="s">
        <v>39</v>
      </c>
      <c r="I14" s="23">
        <v>64.63</v>
      </c>
      <c r="J14" s="41">
        <f>G14*I14</f>
        <v>630.6396176458569</v>
      </c>
      <c r="K14" s="21"/>
      <c r="M14" s="25"/>
      <c r="N14" s="1"/>
      <c r="O14" s="1"/>
      <c r="P14" s="1"/>
      <c r="S14" s="25"/>
    </row>
    <row r="15" spans="1:19" ht="15" customHeight="1" x14ac:dyDescent="0.25">
      <c r="A15" s="18"/>
      <c r="B15" s="37" t="s">
        <v>38</v>
      </c>
      <c r="C15" s="19"/>
      <c r="D15" s="20"/>
      <c r="E15" s="21"/>
      <c r="F15" s="21"/>
      <c r="G15" s="23"/>
      <c r="H15" s="22"/>
      <c r="I15" s="23"/>
      <c r="J15" s="41">
        <f>0.13*G14*19284/360</f>
        <v>67.949312766205566</v>
      </c>
      <c r="K15" s="21"/>
      <c r="M15" s="25"/>
      <c r="N15" s="1"/>
      <c r="O15" s="1"/>
      <c r="P15" s="1"/>
      <c r="S15" s="25"/>
    </row>
    <row r="16" spans="1:19" ht="15" customHeight="1" x14ac:dyDescent="0.25">
      <c r="A16" s="18"/>
      <c r="B16" s="37"/>
      <c r="C16" s="19"/>
      <c r="D16" s="20"/>
      <c r="E16" s="21"/>
      <c r="F16" s="21"/>
      <c r="G16" s="23"/>
      <c r="H16" s="22"/>
      <c r="I16" s="23"/>
      <c r="J16" s="41"/>
      <c r="K16" s="21"/>
      <c r="M16" s="25"/>
      <c r="N16" s="1"/>
      <c r="O16" s="1"/>
      <c r="P16" s="1"/>
      <c r="Q16" s="1"/>
      <c r="R16" s="25"/>
      <c r="S16" s="25"/>
    </row>
    <row r="17" spans="1:21" ht="90" x14ac:dyDescent="0.25">
      <c r="A17" s="18">
        <v>2</v>
      </c>
      <c r="B17" s="30" t="s">
        <v>42</v>
      </c>
      <c r="C17" s="19"/>
      <c r="D17" s="5"/>
      <c r="E17" s="65" t="s">
        <v>70</v>
      </c>
      <c r="F17" s="21"/>
      <c r="G17" s="23"/>
      <c r="H17" s="22"/>
      <c r="I17" s="23"/>
      <c r="J17" s="41"/>
      <c r="K17" s="21"/>
      <c r="M17" s="25"/>
      <c r="N17" s="1"/>
      <c r="O17" s="78" t="s">
        <v>54</v>
      </c>
      <c r="P17" s="78"/>
      <c r="Q17" s="78"/>
      <c r="R17" s="78"/>
      <c r="S17" s="78"/>
      <c r="T17" s="78"/>
      <c r="U17" s="78"/>
    </row>
    <row r="18" spans="1:21" ht="15" customHeight="1" x14ac:dyDescent="0.25">
      <c r="A18" s="18"/>
      <c r="B18" s="37" t="s">
        <v>69</v>
      </c>
      <c r="C18" s="47">
        <v>1</v>
      </c>
      <c r="D18" s="5"/>
      <c r="E18" s="38">
        <f>MQ!D61</f>
        <v>27.992944983842065</v>
      </c>
      <c r="F18" s="38">
        <v>0.15</v>
      </c>
      <c r="G18" s="39">
        <f>PRODUCT(C18:F18)</f>
        <v>4.1989417475763098</v>
      </c>
      <c r="H18" s="40"/>
      <c r="I18" s="40"/>
      <c r="J18" s="40"/>
      <c r="K18" s="21"/>
      <c r="M18" s="25"/>
      <c r="N18" s="1"/>
      <c r="O18" s="1"/>
      <c r="P18" s="1"/>
      <c r="Q18" s="1"/>
      <c r="R18" s="25"/>
      <c r="S18" s="25"/>
    </row>
    <row r="19" spans="1:21" ht="15" customHeight="1" x14ac:dyDescent="0.25">
      <c r="A19" s="18"/>
      <c r="B19" s="37" t="str">
        <f>B12</f>
        <v>-for masonary wall</v>
      </c>
      <c r="C19" s="47">
        <f>C12</f>
        <v>1</v>
      </c>
      <c r="D19" s="38">
        <f>D12</f>
        <v>1</v>
      </c>
      <c r="E19" s="38">
        <f>E12</f>
        <v>0.25</v>
      </c>
      <c r="F19" s="38">
        <v>7.4999999999999997E-2</v>
      </c>
      <c r="G19" s="39">
        <f>PRODUCT(C19:F19)</f>
        <v>1.8749999999999999E-2</v>
      </c>
      <c r="H19" s="40"/>
      <c r="I19" s="40"/>
      <c r="J19" s="40"/>
      <c r="K19" s="21"/>
      <c r="M19" s="25"/>
      <c r="N19" s="1"/>
      <c r="O19" s="1"/>
      <c r="P19" s="1"/>
      <c r="Q19" s="1"/>
      <c r="R19" s="25"/>
      <c r="S19" s="25"/>
    </row>
    <row r="20" spans="1:21" ht="15" customHeight="1" x14ac:dyDescent="0.25">
      <c r="A20" s="18"/>
      <c r="B20" s="37"/>
      <c r="C20" s="104">
        <v>1</v>
      </c>
      <c r="D20" s="105">
        <v>7.8</v>
      </c>
      <c r="E20" s="105">
        <v>0.6</v>
      </c>
      <c r="F20" s="105">
        <v>0.125</v>
      </c>
      <c r="G20" s="106">
        <f t="shared" ref="G20" si="1">PRODUCT(C20:F20)</f>
        <v>0.58499999999999996</v>
      </c>
      <c r="H20" s="40"/>
      <c r="I20" s="40"/>
      <c r="J20" s="40"/>
      <c r="K20" s="21"/>
      <c r="M20" s="25"/>
      <c r="N20" s="1"/>
      <c r="O20" s="1"/>
      <c r="P20" s="1"/>
      <c r="Q20" s="1"/>
      <c r="R20" s="25"/>
      <c r="S20" s="25"/>
    </row>
    <row r="21" spans="1:21" ht="15" customHeight="1" x14ac:dyDescent="0.25">
      <c r="A21" s="40"/>
      <c r="B21" s="37" t="s">
        <v>40</v>
      </c>
      <c r="C21" s="42"/>
      <c r="D21" s="43"/>
      <c r="E21" s="43"/>
      <c r="F21" s="43"/>
      <c r="G21" s="33">
        <f>SUM(G18:G20)</f>
        <v>4.8026917475763096</v>
      </c>
      <c r="H21" s="33" t="s">
        <v>39</v>
      </c>
      <c r="I21" s="33">
        <v>4434.5200000000004</v>
      </c>
      <c r="J21" s="44">
        <f>G21*I21</f>
        <v>21297.6326084621</v>
      </c>
      <c r="K21" s="36"/>
    </row>
    <row r="22" spans="1:21" x14ac:dyDescent="0.25">
      <c r="A22" s="40"/>
      <c r="B22" s="37" t="s">
        <v>38</v>
      </c>
      <c r="C22" s="42"/>
      <c r="D22" s="43"/>
      <c r="E22" s="43"/>
      <c r="F22" s="43"/>
      <c r="G22" s="43"/>
      <c r="H22" s="43"/>
      <c r="I22" s="43"/>
      <c r="J22" s="45">
        <f>0.13*G21*(14817.6/5)</f>
        <v>1850.2734962110549</v>
      </c>
      <c r="K22" s="36"/>
    </row>
    <row r="23" spans="1:21" x14ac:dyDescent="0.25">
      <c r="A23" s="40"/>
      <c r="B23" s="37"/>
      <c r="C23" s="42"/>
      <c r="D23" s="43"/>
      <c r="E23" s="43"/>
      <c r="F23" s="43"/>
      <c r="G23" s="43"/>
      <c r="H23" s="43"/>
      <c r="I23" s="43"/>
      <c r="J23" s="45"/>
      <c r="K23" s="36"/>
    </row>
    <row r="24" spans="1:21" ht="75" x14ac:dyDescent="0.25">
      <c r="A24" s="18">
        <v>3</v>
      </c>
      <c r="B24" s="30" t="s">
        <v>41</v>
      </c>
      <c r="C24" s="19"/>
      <c r="D24" s="20"/>
      <c r="E24" s="21"/>
      <c r="F24" s="21"/>
      <c r="G24" s="23"/>
      <c r="H24" s="22"/>
      <c r="I24" s="23"/>
      <c r="J24" s="41"/>
      <c r="K24" s="21"/>
      <c r="M24" s="25"/>
      <c r="N24" s="1"/>
      <c r="O24" s="1"/>
      <c r="P24" s="1"/>
      <c r="Q24" s="1"/>
      <c r="R24" s="25"/>
      <c r="S24" s="25"/>
    </row>
    <row r="25" spans="1:21" ht="15" customHeight="1" x14ac:dyDescent="0.25">
      <c r="A25" s="18"/>
      <c r="B25" s="37" t="s">
        <v>53</v>
      </c>
      <c r="C25" s="47">
        <v>1</v>
      </c>
      <c r="D25" s="38">
        <v>1.75</v>
      </c>
      <c r="E25" s="38">
        <v>0.5</v>
      </c>
      <c r="F25" s="38">
        <v>0.05</v>
      </c>
      <c r="G25" s="39">
        <f t="shared" ref="G25:G31" si="2">PRODUCT(C25:F25)</f>
        <v>4.3750000000000004E-2</v>
      </c>
      <c r="H25" s="40"/>
      <c r="I25" s="40"/>
      <c r="J25" s="40"/>
      <c r="K25" s="21"/>
      <c r="M25" s="25"/>
      <c r="N25" s="1"/>
      <c r="O25" s="1"/>
      <c r="P25" s="1"/>
      <c r="Q25" s="1"/>
      <c r="R25" s="25"/>
      <c r="S25" s="25"/>
    </row>
    <row r="26" spans="1:21" ht="15" customHeight="1" x14ac:dyDescent="0.25">
      <c r="A26" s="18"/>
      <c r="B26" s="37"/>
      <c r="C26" s="47">
        <v>1</v>
      </c>
      <c r="D26" s="38">
        <v>1</v>
      </c>
      <c r="E26" s="38">
        <v>0.5</v>
      </c>
      <c r="F26" s="38">
        <v>0.05</v>
      </c>
      <c r="G26" s="39">
        <f t="shared" si="2"/>
        <v>2.5000000000000001E-2</v>
      </c>
      <c r="H26" s="40"/>
      <c r="I26" s="40"/>
      <c r="J26" s="40"/>
      <c r="K26" s="21"/>
      <c r="M26" s="25"/>
      <c r="N26" s="1"/>
      <c r="O26" s="1"/>
      <c r="P26" s="1"/>
      <c r="Q26" s="1"/>
      <c r="R26" s="25"/>
      <c r="S26" s="25"/>
    </row>
    <row r="27" spans="1:21" ht="15" customHeight="1" x14ac:dyDescent="0.25">
      <c r="A27" s="18"/>
      <c r="B27" s="37"/>
      <c r="C27" s="47">
        <v>1</v>
      </c>
      <c r="D27" s="38">
        <v>1</v>
      </c>
      <c r="E27" s="38">
        <f>0.5/2</f>
        <v>0.25</v>
      </c>
      <c r="F27" s="38">
        <v>0.05</v>
      </c>
      <c r="G27" s="39">
        <f t="shared" si="2"/>
        <v>1.2500000000000001E-2</v>
      </c>
      <c r="H27" s="40"/>
      <c r="I27" s="40"/>
      <c r="J27" s="40"/>
      <c r="K27" s="21"/>
      <c r="M27" s="25"/>
      <c r="N27" s="1"/>
      <c r="O27" s="1"/>
      <c r="P27" s="1"/>
      <c r="Q27" s="1"/>
      <c r="R27" s="25"/>
      <c r="S27" s="25"/>
    </row>
    <row r="28" spans="1:21" ht="15" customHeight="1" x14ac:dyDescent="0.25">
      <c r="A28" s="18"/>
      <c r="B28" s="37"/>
      <c r="C28" s="47">
        <v>1</v>
      </c>
      <c r="D28" s="38">
        <v>1</v>
      </c>
      <c r="E28" s="38">
        <f>0.5/2</f>
        <v>0.25</v>
      </c>
      <c r="F28" s="38">
        <v>0.05</v>
      </c>
      <c r="G28" s="39">
        <f t="shared" ref="G28" si="3">PRODUCT(C28:F28)</f>
        <v>1.2500000000000001E-2</v>
      </c>
      <c r="H28" s="40"/>
      <c r="I28" s="40"/>
      <c r="J28" s="40"/>
      <c r="K28" s="21"/>
      <c r="M28" s="25"/>
      <c r="N28" s="1"/>
      <c r="O28" s="1"/>
      <c r="P28" s="1"/>
      <c r="Q28" s="1"/>
      <c r="R28" s="25"/>
      <c r="S28" s="25"/>
    </row>
    <row r="29" spans="1:21" ht="15" customHeight="1" x14ac:dyDescent="0.25">
      <c r="A29" s="18"/>
      <c r="B29" s="37"/>
      <c r="C29" s="47">
        <v>1</v>
      </c>
      <c r="D29" s="38">
        <v>2.98</v>
      </c>
      <c r="E29" s="38">
        <v>0.5</v>
      </c>
      <c r="F29" s="38">
        <v>0.05</v>
      </c>
      <c r="G29" s="39">
        <f t="shared" si="2"/>
        <v>7.4499999999999997E-2</v>
      </c>
      <c r="H29" s="40"/>
      <c r="I29" s="40"/>
      <c r="J29" s="40"/>
      <c r="K29" s="21"/>
      <c r="M29" s="25"/>
      <c r="N29" s="1"/>
      <c r="O29" s="1"/>
      <c r="P29" s="1"/>
      <c r="Q29" s="1"/>
      <c r="R29" s="25"/>
      <c r="S29" s="25"/>
    </row>
    <row r="30" spans="1:21" ht="15" customHeight="1" x14ac:dyDescent="0.25">
      <c r="A30" s="18"/>
      <c r="B30" s="37"/>
      <c r="C30" s="47">
        <v>1</v>
      </c>
      <c r="D30" s="38">
        <v>2.4</v>
      </c>
      <c r="E30" s="38">
        <v>0.5</v>
      </c>
      <c r="F30" s="38">
        <v>0.05</v>
      </c>
      <c r="G30" s="39">
        <f t="shared" si="2"/>
        <v>0.06</v>
      </c>
      <c r="H30" s="40"/>
      <c r="I30" s="40"/>
      <c r="J30" s="40"/>
      <c r="K30" s="21"/>
      <c r="M30" s="25"/>
      <c r="N30" s="1"/>
      <c r="O30" s="1"/>
      <c r="P30" s="1"/>
      <c r="Q30" s="1"/>
      <c r="R30" s="25"/>
      <c r="S30" s="25"/>
    </row>
    <row r="31" spans="1:21" ht="15" customHeight="1" x14ac:dyDescent="0.25">
      <c r="A31" s="18"/>
      <c r="B31" s="37"/>
      <c r="C31" s="104">
        <v>1</v>
      </c>
      <c r="D31" s="105">
        <v>7.8</v>
      </c>
      <c r="E31" s="105">
        <v>0.6</v>
      </c>
      <c r="F31" s="105">
        <v>0.05</v>
      </c>
      <c r="G31" s="106">
        <f t="shared" si="2"/>
        <v>0.23399999999999999</v>
      </c>
      <c r="H31" s="40"/>
      <c r="I31" s="40"/>
      <c r="J31" s="40"/>
      <c r="K31" s="21"/>
      <c r="M31" s="25"/>
      <c r="N31" s="1"/>
      <c r="O31" s="1"/>
      <c r="P31" s="1"/>
      <c r="Q31" s="1"/>
      <c r="R31" s="25"/>
      <c r="S31" s="25"/>
    </row>
    <row r="32" spans="1:21" ht="15" customHeight="1" x14ac:dyDescent="0.25">
      <c r="A32" s="18"/>
      <c r="B32" s="37"/>
      <c r="C32" s="104">
        <v>1</v>
      </c>
      <c r="D32" s="105">
        <v>7.8</v>
      </c>
      <c r="E32" s="105">
        <v>0.5</v>
      </c>
      <c r="F32" s="105">
        <f>1.5/12/3.281</f>
        <v>3.8098140810728431E-2</v>
      </c>
      <c r="G32" s="106">
        <f t="shared" ref="G32" si="4">PRODUCT(C32:F32)</f>
        <v>0.14858274916184089</v>
      </c>
      <c r="H32" s="40"/>
      <c r="I32" s="40"/>
      <c r="J32" s="40"/>
      <c r="K32" s="21"/>
      <c r="M32" s="25"/>
      <c r="N32" s="1"/>
      <c r="O32" s="1"/>
      <c r="P32" s="1"/>
      <c r="Q32" s="1"/>
      <c r="R32" s="25"/>
      <c r="S32" s="25"/>
    </row>
    <row r="33" spans="1:19" ht="15" customHeight="1" x14ac:dyDescent="0.25">
      <c r="A33" s="40"/>
      <c r="B33" s="37" t="s">
        <v>40</v>
      </c>
      <c r="C33" s="42"/>
      <c r="D33" s="43"/>
      <c r="E33" s="43"/>
      <c r="F33" s="43"/>
      <c r="G33" s="33">
        <f>SUM(G25:G32)</f>
        <v>0.61083274916184083</v>
      </c>
      <c r="H33" s="33" t="s">
        <v>39</v>
      </c>
      <c r="I33" s="33">
        <v>10634.5</v>
      </c>
      <c r="J33" s="44">
        <f>G33*I33</f>
        <v>6495.9008709615964</v>
      </c>
      <c r="K33" s="36"/>
    </row>
    <row r="34" spans="1:19" ht="15" customHeight="1" x14ac:dyDescent="0.25">
      <c r="A34" s="40"/>
      <c r="B34" s="37" t="s">
        <v>38</v>
      </c>
      <c r="C34" s="42"/>
      <c r="D34" s="43"/>
      <c r="E34" s="43"/>
      <c r="F34" s="43"/>
      <c r="G34" s="43"/>
      <c r="H34" s="43"/>
      <c r="I34" s="43"/>
      <c r="J34" s="45">
        <f>0.13*G33*((114907.3+6135.3)/15)</f>
        <v>640.78546240537435</v>
      </c>
      <c r="K34" s="36"/>
    </row>
    <row r="35" spans="1:19" ht="15" customHeight="1" x14ac:dyDescent="0.25">
      <c r="A35" s="40"/>
      <c r="B35" s="37"/>
      <c r="C35" s="42"/>
      <c r="D35" s="43"/>
      <c r="E35" s="43"/>
      <c r="F35" s="43"/>
      <c r="G35" s="43"/>
      <c r="H35" s="43"/>
      <c r="I35" s="43"/>
      <c r="J35" s="45"/>
      <c r="K35" s="36"/>
    </row>
    <row r="36" spans="1:19" s="1" customFormat="1" ht="90" x14ac:dyDescent="0.25">
      <c r="A36" s="63">
        <v>4</v>
      </c>
      <c r="B36" s="30" t="s">
        <v>47</v>
      </c>
      <c r="C36" s="64"/>
      <c r="D36" s="39"/>
      <c r="E36" s="39"/>
      <c r="F36" s="39"/>
      <c r="G36" s="39"/>
      <c r="H36" s="39"/>
      <c r="I36" s="39"/>
      <c r="J36" s="45"/>
      <c r="K36" s="29"/>
    </row>
    <row r="37" spans="1:19" ht="15" customHeight="1" x14ac:dyDescent="0.25">
      <c r="A37" s="18"/>
      <c r="B37" s="37" t="s">
        <v>53</v>
      </c>
      <c r="C37" s="47">
        <v>1</v>
      </c>
      <c r="D37" s="38">
        <v>1.75</v>
      </c>
      <c r="E37" s="38">
        <v>0.5</v>
      </c>
      <c r="F37" s="38">
        <f>(0.65+0.5)/2-0.05</f>
        <v>0.52499999999999991</v>
      </c>
      <c r="G37" s="39">
        <f t="shared" ref="G37:G43" si="5">PRODUCT(C37:F37)</f>
        <v>0.45937499999999992</v>
      </c>
      <c r="H37" s="40"/>
      <c r="I37" s="40"/>
      <c r="J37" s="40"/>
      <c r="K37" s="21"/>
      <c r="M37" s="25"/>
      <c r="N37" s="1"/>
      <c r="O37" s="1"/>
      <c r="P37" s="1"/>
      <c r="Q37" s="1"/>
      <c r="R37" s="25"/>
      <c r="S37" s="25"/>
    </row>
    <row r="38" spans="1:19" ht="15" customHeight="1" x14ac:dyDescent="0.25">
      <c r="A38" s="18"/>
      <c r="B38" s="37"/>
      <c r="C38" s="47">
        <v>1</v>
      </c>
      <c r="D38" s="38">
        <v>1</v>
      </c>
      <c r="E38" s="38">
        <v>0.5</v>
      </c>
      <c r="F38" s="38">
        <f>(1.15+1)/2-0.05</f>
        <v>1.0249999999999999</v>
      </c>
      <c r="G38" s="39">
        <f t="shared" si="5"/>
        <v>0.51249999999999996</v>
      </c>
      <c r="H38" s="40"/>
      <c r="I38" s="40"/>
      <c r="J38" s="40"/>
      <c r="K38" s="21"/>
      <c r="M38" s="25"/>
      <c r="N38" s="1"/>
      <c r="O38" s="1"/>
      <c r="P38" s="1"/>
      <c r="Q38" s="1"/>
      <c r="R38" s="25"/>
      <c r="S38" s="25"/>
    </row>
    <row r="39" spans="1:19" ht="15" customHeight="1" x14ac:dyDescent="0.25">
      <c r="A39" s="18"/>
      <c r="B39" s="37"/>
      <c r="C39" s="47">
        <v>1</v>
      </c>
      <c r="D39" s="38">
        <v>1</v>
      </c>
      <c r="E39" s="38">
        <f>0.5/2</f>
        <v>0.25</v>
      </c>
      <c r="F39" s="38">
        <f>(1+0.85)/2-0.05</f>
        <v>0.875</v>
      </c>
      <c r="G39" s="39">
        <f t="shared" si="5"/>
        <v>0.21875</v>
      </c>
      <c r="H39" s="40"/>
      <c r="I39" s="40"/>
      <c r="J39" s="40"/>
      <c r="K39" s="21"/>
      <c r="M39" s="25"/>
      <c r="N39" s="1"/>
      <c r="O39" s="1"/>
      <c r="P39" s="1"/>
      <c r="Q39" s="1"/>
      <c r="R39" s="25"/>
      <c r="S39" s="25"/>
    </row>
    <row r="40" spans="1:19" ht="15" customHeight="1" x14ac:dyDescent="0.25">
      <c r="A40" s="18"/>
      <c r="B40" s="37"/>
      <c r="C40" s="47">
        <v>1</v>
      </c>
      <c r="D40" s="38">
        <v>2.98</v>
      </c>
      <c r="E40" s="38">
        <v>0.5</v>
      </c>
      <c r="F40" s="38">
        <f>(0.6)-0.05</f>
        <v>0.54999999999999993</v>
      </c>
      <c r="G40" s="39">
        <f t="shared" si="5"/>
        <v>0.8194999999999999</v>
      </c>
      <c r="H40" s="40"/>
      <c r="I40" s="40"/>
      <c r="J40" s="40"/>
      <c r="K40" s="21"/>
      <c r="M40" s="25"/>
      <c r="N40" s="1"/>
      <c r="O40" s="1"/>
      <c r="P40" s="1"/>
      <c r="Q40" s="1"/>
      <c r="R40" s="25"/>
      <c r="S40" s="25"/>
    </row>
    <row r="41" spans="1:19" ht="15" customHeight="1" x14ac:dyDescent="0.25">
      <c r="A41" s="18"/>
      <c r="B41" s="37"/>
      <c r="C41" s="47">
        <v>1</v>
      </c>
      <c r="D41" s="38">
        <v>2.4</v>
      </c>
      <c r="E41" s="38">
        <v>0.5</v>
      </c>
      <c r="F41" s="38">
        <f>(0.7+0.75)/2-0.05</f>
        <v>0.67499999999999993</v>
      </c>
      <c r="G41" s="39">
        <f t="shared" si="5"/>
        <v>0.80999999999999994</v>
      </c>
      <c r="H41" s="40"/>
      <c r="I41" s="40"/>
      <c r="J41" s="40"/>
      <c r="K41" s="21"/>
      <c r="M41" s="25"/>
      <c r="N41" s="1"/>
      <c r="O41" s="1"/>
      <c r="P41" s="1"/>
      <c r="Q41" s="1"/>
      <c r="R41" s="25"/>
      <c r="S41" s="25"/>
    </row>
    <row r="42" spans="1:19" ht="15" customHeight="1" x14ac:dyDescent="0.25">
      <c r="A42" s="18"/>
      <c r="B42" s="37"/>
      <c r="C42" s="104">
        <v>1</v>
      </c>
      <c r="D42" s="105">
        <v>7.8</v>
      </c>
      <c r="E42" s="105">
        <f>(0.61+0.5)/2</f>
        <v>0.55499999999999994</v>
      </c>
      <c r="F42" s="105">
        <f>1.3-0.1-0.05</f>
        <v>1.1499999999999999</v>
      </c>
      <c r="G42" s="39">
        <f t="shared" si="5"/>
        <v>4.9783499999999989</v>
      </c>
      <c r="H42" s="40"/>
      <c r="I42" s="40"/>
      <c r="J42" s="40"/>
      <c r="K42" s="21"/>
      <c r="M42" s="25"/>
      <c r="N42" s="1"/>
      <c r="O42" s="1"/>
      <c r="P42" s="1"/>
      <c r="Q42" s="1"/>
      <c r="R42" s="25"/>
      <c r="S42" s="25"/>
    </row>
    <row r="43" spans="1:19" ht="15" customHeight="1" x14ac:dyDescent="0.25">
      <c r="A43" s="18"/>
      <c r="B43" s="37"/>
      <c r="C43" s="104">
        <v>1</v>
      </c>
      <c r="D43" s="105">
        <v>5</v>
      </c>
      <c r="E43" s="105">
        <v>0.5</v>
      </c>
      <c r="F43" s="105">
        <v>0.4</v>
      </c>
      <c r="G43" s="39">
        <f t="shared" si="5"/>
        <v>1</v>
      </c>
      <c r="H43" s="40"/>
      <c r="I43" s="40"/>
      <c r="J43" s="40"/>
      <c r="K43" s="21"/>
      <c r="M43" s="25"/>
      <c r="N43" s="1"/>
      <c r="O43" s="1"/>
      <c r="P43" s="1"/>
      <c r="Q43" s="1"/>
      <c r="R43" s="25"/>
      <c r="S43" s="25"/>
    </row>
    <row r="44" spans="1:19" ht="15" customHeight="1" x14ac:dyDescent="0.25">
      <c r="A44" s="40"/>
      <c r="B44" s="37" t="s">
        <v>40</v>
      </c>
      <c r="C44" s="42"/>
      <c r="D44" s="43"/>
      <c r="E44" s="43"/>
      <c r="F44" s="43"/>
      <c r="G44" s="33">
        <f>SUM(G37:G43)</f>
        <v>8.798474999999998</v>
      </c>
      <c r="H44" s="33" t="s">
        <v>39</v>
      </c>
      <c r="I44" s="33">
        <v>9709.43</v>
      </c>
      <c r="J44" s="44">
        <f>G44*I44</f>
        <v>85428.177119249987</v>
      </c>
      <c r="K44" s="36"/>
    </row>
    <row r="45" spans="1:19" ht="15" customHeight="1" x14ac:dyDescent="0.25">
      <c r="A45" s="40"/>
      <c r="B45" s="37" t="s">
        <v>38</v>
      </c>
      <c r="C45" s="42"/>
      <c r="D45" s="43"/>
      <c r="E45" s="43"/>
      <c r="F45" s="43"/>
      <c r="G45" s="43"/>
      <c r="H45" s="43"/>
      <c r="I45" s="43"/>
      <c r="J45" s="45">
        <f>0.13*G44*((27092.1)/5)</f>
        <v>6197.5982782349984</v>
      </c>
      <c r="K45" s="36"/>
    </row>
    <row r="46" spans="1:19" ht="15" customHeight="1" x14ac:dyDescent="0.25">
      <c r="A46" s="40"/>
      <c r="B46" s="37"/>
      <c r="C46" s="42"/>
      <c r="D46" s="43"/>
      <c r="E46" s="43"/>
      <c r="F46" s="43"/>
      <c r="G46" s="33"/>
      <c r="H46" s="33"/>
      <c r="I46" s="33"/>
      <c r="J46" s="44"/>
      <c r="K46" s="36"/>
    </row>
    <row r="47" spans="1:19" ht="75" x14ac:dyDescent="0.25">
      <c r="A47" s="18">
        <v>5</v>
      </c>
      <c r="B47" s="30" t="s">
        <v>64</v>
      </c>
      <c r="C47" s="19" t="s">
        <v>7</v>
      </c>
      <c r="D47" s="65" t="s">
        <v>50</v>
      </c>
      <c r="E47" s="66" t="s">
        <v>55</v>
      </c>
      <c r="F47" s="66" t="s">
        <v>56</v>
      </c>
      <c r="G47" s="66" t="s">
        <v>57</v>
      </c>
      <c r="H47" s="22"/>
      <c r="I47" s="23"/>
      <c r="J47" s="41"/>
      <c r="K47" s="21"/>
    </row>
    <row r="48" spans="1:19" ht="15" customHeight="1" x14ac:dyDescent="0.25">
      <c r="A48" s="18"/>
      <c r="B48" s="37" t="s">
        <v>60</v>
      </c>
      <c r="C48" s="19">
        <v>25</v>
      </c>
      <c r="D48" s="20">
        <f>22.25/3.281</f>
        <v>6.7814690643096611</v>
      </c>
      <c r="E48" s="21">
        <f>10*10/162</f>
        <v>0.61728395061728392</v>
      </c>
      <c r="F48" s="21">
        <f>PRODUCT(C48:E48)</f>
        <v>104.65230037514908</v>
      </c>
      <c r="G48" s="67">
        <f>F48/1000</f>
        <v>0.10465230037514908</v>
      </c>
      <c r="H48" s="22"/>
      <c r="I48" s="23"/>
      <c r="J48" s="41"/>
      <c r="K48" s="21"/>
    </row>
    <row r="49" spans="1:19" ht="15" customHeight="1" x14ac:dyDescent="0.25">
      <c r="A49" s="18"/>
      <c r="B49" s="37"/>
      <c r="C49" s="19">
        <v>42</v>
      </c>
      <c r="D49" s="20">
        <f>12.75/3.281</f>
        <v>3.8860103626943006</v>
      </c>
      <c r="E49" s="21">
        <f>10*10/162</f>
        <v>0.61728395061728392</v>
      </c>
      <c r="F49" s="21">
        <f>PRODUCT(C49:E49)</f>
        <v>100.74841681059297</v>
      </c>
      <c r="G49" s="67">
        <f>F49/1000</f>
        <v>0.10074841681059298</v>
      </c>
      <c r="H49" s="22"/>
      <c r="I49" s="23"/>
      <c r="J49" s="41"/>
      <c r="K49" s="21"/>
    </row>
    <row r="50" spans="1:19" ht="15" customHeight="1" x14ac:dyDescent="0.25">
      <c r="A50" s="18"/>
      <c r="B50" s="37" t="s">
        <v>40</v>
      </c>
      <c r="C50" s="19"/>
      <c r="D50" s="20"/>
      <c r="E50" s="21"/>
      <c r="F50" s="21"/>
      <c r="G50" s="23">
        <f>SUM(G48:G49)</f>
        <v>0.20540071718574204</v>
      </c>
      <c r="H50" s="22" t="s">
        <v>51</v>
      </c>
      <c r="I50" s="103">
        <v>124140</v>
      </c>
      <c r="J50" s="41">
        <f>G50*I50</f>
        <v>25498.445031438016</v>
      </c>
      <c r="K50" s="21"/>
    </row>
    <row r="51" spans="1:19" ht="15" customHeight="1" x14ac:dyDescent="0.25">
      <c r="A51" s="18"/>
      <c r="B51" s="37" t="s">
        <v>38</v>
      </c>
      <c r="C51" s="19"/>
      <c r="D51" s="20"/>
      <c r="E51" s="21"/>
      <c r="F51" s="21"/>
      <c r="G51" s="23"/>
      <c r="H51" s="22"/>
      <c r="I51" s="23"/>
      <c r="J51" s="41">
        <f>0.13*G50*110960</f>
        <v>2962.8642652608919</v>
      </c>
      <c r="K51" s="21"/>
    </row>
    <row r="52" spans="1:19" ht="15" customHeight="1" x14ac:dyDescent="0.25">
      <c r="A52" s="18"/>
      <c r="B52" s="37"/>
      <c r="C52" s="19"/>
      <c r="D52" s="20"/>
      <c r="E52" s="21"/>
      <c r="F52" s="21"/>
      <c r="G52" s="23"/>
      <c r="H52" s="22"/>
      <c r="I52" s="23"/>
      <c r="J52" s="41"/>
      <c r="K52" s="21"/>
    </row>
    <row r="53" spans="1:19" ht="75" x14ac:dyDescent="0.25">
      <c r="A53" s="18">
        <v>6</v>
      </c>
      <c r="B53" s="30" t="s">
        <v>63</v>
      </c>
      <c r="C53" s="19"/>
      <c r="D53" s="65" t="s">
        <v>70</v>
      </c>
      <c r="E53" s="21"/>
      <c r="F53" s="21"/>
      <c r="G53" s="23"/>
      <c r="H53" s="22"/>
      <c r="I53" s="23"/>
      <c r="J53" s="41"/>
      <c r="K53" s="21"/>
    </row>
    <row r="54" spans="1:19" ht="15" customHeight="1" x14ac:dyDescent="0.25">
      <c r="A54" s="18"/>
      <c r="B54" s="37" t="str">
        <f>B10</f>
        <v>-for road</v>
      </c>
      <c r="C54" s="47">
        <v>1</v>
      </c>
      <c r="D54" s="38">
        <f>MQ!D61</f>
        <v>27.992944983842065</v>
      </c>
      <c r="E54" s="38"/>
      <c r="F54" s="38">
        <v>0.15</v>
      </c>
      <c r="G54" s="39">
        <f>PRODUCT(C54:F54)</f>
        <v>4.1989417475763098</v>
      </c>
      <c r="H54" s="40"/>
      <c r="I54" s="40"/>
      <c r="J54" s="40"/>
      <c r="K54" s="21"/>
      <c r="M54" s="25"/>
      <c r="N54" s="1"/>
      <c r="O54" s="1"/>
      <c r="P54" s="1"/>
      <c r="Q54" s="1"/>
      <c r="R54" s="25"/>
      <c r="S54" s="25"/>
    </row>
    <row r="55" spans="1:19" ht="15" customHeight="1" x14ac:dyDescent="0.25">
      <c r="A55" s="40"/>
      <c r="B55" s="37" t="s">
        <v>40</v>
      </c>
      <c r="C55" s="42"/>
      <c r="D55" s="43"/>
      <c r="E55" s="43"/>
      <c r="F55" s="43"/>
      <c r="G55" s="33">
        <f>SUM(G54:G54)</f>
        <v>4.1989417475763098</v>
      </c>
      <c r="H55" s="33" t="s">
        <v>39</v>
      </c>
      <c r="I55" s="33">
        <v>11588.17</v>
      </c>
      <c r="J55" s="44">
        <f>G55*I55</f>
        <v>48658.050791011367</v>
      </c>
      <c r="K55" s="36"/>
    </row>
    <row r="56" spans="1:19" ht="15" customHeight="1" x14ac:dyDescent="0.25">
      <c r="A56" s="40"/>
      <c r="B56" s="37" t="s">
        <v>38</v>
      </c>
      <c r="C56" s="42"/>
      <c r="D56" s="43"/>
      <c r="E56" s="43"/>
      <c r="F56" s="43"/>
      <c r="G56" s="43"/>
      <c r="H56" s="43"/>
      <c r="I56" s="43"/>
      <c r="J56" s="45">
        <f>0.13*G55*(128662.2+6685.5)/15</f>
        <v>4925.4149357264296</v>
      </c>
      <c r="K56" s="36"/>
    </row>
    <row r="57" spans="1:19" ht="15" customHeight="1" x14ac:dyDescent="0.25">
      <c r="A57" s="40"/>
      <c r="B57" s="37"/>
      <c r="C57" s="42"/>
      <c r="D57" s="43"/>
      <c r="E57" s="43"/>
      <c r="F57" s="43"/>
      <c r="G57" s="33"/>
      <c r="H57" s="33"/>
      <c r="I57" s="33"/>
      <c r="J57" s="44"/>
      <c r="K57" s="36"/>
    </row>
    <row r="58" spans="1:19" ht="225" x14ac:dyDescent="0.25">
      <c r="A58" s="18">
        <v>7</v>
      </c>
      <c r="B58" s="30" t="s">
        <v>61</v>
      </c>
      <c r="C58" s="19"/>
      <c r="D58" s="20"/>
      <c r="E58" s="21"/>
      <c r="F58" s="21"/>
      <c r="G58" s="23"/>
      <c r="H58" s="22"/>
      <c r="I58" s="23"/>
      <c r="J58" s="41"/>
      <c r="K58" s="21"/>
    </row>
    <row r="59" spans="1:19" ht="15" customHeight="1" x14ac:dyDescent="0.25">
      <c r="A59" s="18"/>
      <c r="B59" s="37" t="s">
        <v>62</v>
      </c>
      <c r="C59" s="19">
        <v>1</v>
      </c>
      <c r="D59" s="38">
        <v>3</v>
      </c>
      <c r="E59" s="38">
        <v>1</v>
      </c>
      <c r="F59" s="38">
        <v>1</v>
      </c>
      <c r="G59" s="39">
        <f t="shared" ref="G59" si="6">PRODUCT(C59:F59)</f>
        <v>3</v>
      </c>
      <c r="H59" s="40"/>
      <c r="I59" s="40"/>
      <c r="J59" s="40"/>
      <c r="K59" s="21"/>
    </row>
    <row r="60" spans="1:19" ht="15" customHeight="1" x14ac:dyDescent="0.25">
      <c r="A60" s="18"/>
      <c r="B60" s="37" t="s">
        <v>40</v>
      </c>
      <c r="C60" s="19"/>
      <c r="D60" s="20"/>
      <c r="E60" s="21"/>
      <c r="F60" s="21"/>
      <c r="G60" s="23">
        <f>SUM(G59:G59)</f>
        <v>3</v>
      </c>
      <c r="H60" s="22" t="s">
        <v>39</v>
      </c>
      <c r="I60" s="23">
        <v>6152.23</v>
      </c>
      <c r="J60" s="41">
        <f>G60*I60</f>
        <v>18456.689999999999</v>
      </c>
      <c r="K60" s="21"/>
    </row>
    <row r="61" spans="1:19" ht="15" customHeight="1" x14ac:dyDescent="0.25">
      <c r="A61" s="18"/>
      <c r="B61" s="37" t="s">
        <v>38</v>
      </c>
      <c r="C61" s="19"/>
      <c r="D61" s="20"/>
      <c r="E61" s="21"/>
      <c r="F61" s="21"/>
      <c r="G61" s="23"/>
      <c r="H61" s="22"/>
      <c r="I61" s="23"/>
      <c r="J61" s="41">
        <f>0.13*G60*26798.3/6</f>
        <v>1741.8895</v>
      </c>
      <c r="K61" s="21"/>
    </row>
    <row r="62" spans="1:19" ht="15" customHeight="1" x14ac:dyDescent="0.25">
      <c r="A62" s="18"/>
      <c r="B62" s="37"/>
      <c r="C62" s="19"/>
      <c r="D62" s="20"/>
      <c r="E62" s="21"/>
      <c r="F62" s="21"/>
      <c r="G62" s="23"/>
      <c r="H62" s="22"/>
      <c r="I62" s="23"/>
      <c r="J62" s="41"/>
      <c r="K62" s="21"/>
    </row>
    <row r="63" spans="1:19" ht="105" x14ac:dyDescent="0.25">
      <c r="A63" s="18">
        <v>8</v>
      </c>
      <c r="B63" s="30" t="s">
        <v>65</v>
      </c>
      <c r="C63" s="19"/>
      <c r="D63" s="20"/>
      <c r="E63" s="21"/>
      <c r="F63" s="21"/>
      <c r="G63" s="23"/>
      <c r="H63" s="22"/>
      <c r="I63" s="23"/>
      <c r="J63" s="41"/>
      <c r="K63" s="21"/>
    </row>
    <row r="64" spans="1:19" ht="15" customHeight="1" x14ac:dyDescent="0.25">
      <c r="A64" s="18"/>
      <c r="B64" s="37" t="s">
        <v>62</v>
      </c>
      <c r="C64" s="19">
        <v>1</v>
      </c>
      <c r="D64" s="38">
        <v>3</v>
      </c>
      <c r="E64" s="38"/>
      <c r="F64" s="38">
        <v>2</v>
      </c>
      <c r="G64" s="39">
        <f t="shared" ref="G64:G65" si="7">PRODUCT(C64:F64)</f>
        <v>6</v>
      </c>
      <c r="H64" s="40"/>
      <c r="I64" s="40"/>
      <c r="J64" s="40"/>
      <c r="K64" s="21"/>
    </row>
    <row r="65" spans="1:19" ht="15" customHeight="1" x14ac:dyDescent="0.25">
      <c r="A65" s="18"/>
      <c r="B65" s="37"/>
      <c r="C65" s="19">
        <v>1</v>
      </c>
      <c r="D65" s="38">
        <v>3</v>
      </c>
      <c r="E65" s="38"/>
      <c r="F65" s="38">
        <v>1</v>
      </c>
      <c r="G65" s="39">
        <f t="shared" si="7"/>
        <v>3</v>
      </c>
      <c r="H65" s="40"/>
      <c r="I65" s="40"/>
      <c r="J65" s="40"/>
      <c r="K65" s="21"/>
    </row>
    <row r="66" spans="1:19" ht="15" customHeight="1" x14ac:dyDescent="0.25">
      <c r="A66" s="18"/>
      <c r="B66" s="37" t="s">
        <v>40</v>
      </c>
      <c r="C66" s="19"/>
      <c r="D66" s="20"/>
      <c r="E66" s="21"/>
      <c r="F66" s="21"/>
      <c r="G66" s="23">
        <f>SUM(G64:G65)</f>
        <v>9</v>
      </c>
      <c r="H66" s="22" t="s">
        <v>52</v>
      </c>
      <c r="I66" s="23">
        <v>161.41999999999999</v>
      </c>
      <c r="J66" s="41">
        <f>G66*I66</f>
        <v>1452.78</v>
      </c>
      <c r="K66" s="21"/>
    </row>
    <row r="67" spans="1:19" ht="15" customHeight="1" x14ac:dyDescent="0.25">
      <c r="A67" s="18"/>
      <c r="B67" s="37" t="s">
        <v>38</v>
      </c>
      <c r="C67" s="19"/>
      <c r="D67" s="20"/>
      <c r="E67" s="21"/>
      <c r="F67" s="21"/>
      <c r="G67" s="23"/>
      <c r="H67" s="22"/>
      <c r="I67" s="23"/>
      <c r="J67" s="41">
        <f>0.13*G66*45360/300</f>
        <v>176.904</v>
      </c>
      <c r="K67" s="21"/>
    </row>
    <row r="68" spans="1:19" ht="15" customHeight="1" x14ac:dyDescent="0.25">
      <c r="A68" s="18"/>
      <c r="B68" s="37"/>
      <c r="C68" s="19"/>
      <c r="D68" s="20"/>
      <c r="E68" s="21"/>
      <c r="F68" s="21"/>
      <c r="G68" s="23"/>
      <c r="H68" s="22"/>
      <c r="I68" s="23"/>
      <c r="J68" s="41"/>
      <c r="K68" s="21"/>
    </row>
    <row r="69" spans="1:19" ht="15" customHeight="1" x14ac:dyDescent="0.25">
      <c r="A69" s="18">
        <v>9</v>
      </c>
      <c r="B69" s="30" t="s">
        <v>30</v>
      </c>
      <c r="C69" s="19">
        <v>1</v>
      </c>
      <c r="D69" s="20"/>
      <c r="E69" s="21"/>
      <c r="F69" s="21"/>
      <c r="G69" s="34">
        <f t="shared" ref="G69" si="8">PRODUCT(C69:F69)</f>
        <v>1</v>
      </c>
      <c r="H69" s="22" t="s">
        <v>31</v>
      </c>
      <c r="I69" s="23">
        <v>500</v>
      </c>
      <c r="J69" s="34">
        <f>G69*I69</f>
        <v>500</v>
      </c>
      <c r="K69" s="21"/>
      <c r="M69" s="25"/>
      <c r="N69" s="1"/>
      <c r="O69" s="1"/>
      <c r="P69" s="1"/>
      <c r="Q69" s="1"/>
      <c r="R69" s="25"/>
      <c r="S69" s="25"/>
    </row>
    <row r="70" spans="1:19" ht="15" customHeight="1" x14ac:dyDescent="0.25">
      <c r="A70" s="18"/>
      <c r="B70" s="24"/>
      <c r="C70" s="19"/>
      <c r="D70" s="20"/>
      <c r="E70" s="21"/>
      <c r="F70" s="21"/>
      <c r="G70" s="23"/>
      <c r="H70" s="22"/>
      <c r="I70" s="23"/>
      <c r="J70" s="41"/>
      <c r="K70" s="21"/>
      <c r="M70" s="25"/>
      <c r="N70" s="1">
        <f>2.4*3.281</f>
        <v>7.8743999999999996</v>
      </c>
      <c r="O70" s="1"/>
      <c r="P70" s="1"/>
      <c r="Q70" s="1"/>
      <c r="R70" s="25"/>
      <c r="S70" s="25"/>
    </row>
    <row r="71" spans="1:19" x14ac:dyDescent="0.25">
      <c r="A71" s="40"/>
      <c r="B71" s="46" t="s">
        <v>17</v>
      </c>
      <c r="C71" s="47"/>
      <c r="D71" s="38"/>
      <c r="E71" s="38"/>
      <c r="F71" s="38"/>
      <c r="G71" s="41"/>
      <c r="H71" s="41"/>
      <c r="I71" s="41"/>
      <c r="J71" s="41">
        <f>SUM(J10:J69)</f>
        <v>226981.99528937391</v>
      </c>
      <c r="K71" s="36"/>
    </row>
    <row r="72" spans="1:19" x14ac:dyDescent="0.25">
      <c r="A72" s="58"/>
      <c r="B72" s="61"/>
      <c r="C72" s="62"/>
      <c r="D72" s="59"/>
      <c r="E72" s="59"/>
      <c r="F72" s="59"/>
      <c r="G72" s="60"/>
      <c r="H72" s="60"/>
      <c r="I72" s="60"/>
      <c r="J72" s="60"/>
      <c r="K72" s="57"/>
    </row>
    <row r="73" spans="1:19" s="1" customFormat="1" x14ac:dyDescent="0.25">
      <c r="A73" s="50"/>
      <c r="B73" s="29" t="s">
        <v>89</v>
      </c>
      <c r="C73" s="85">
        <f>J71</f>
        <v>226981.99528937391</v>
      </c>
      <c r="D73" s="85"/>
      <c r="E73" s="39">
        <v>100</v>
      </c>
      <c r="F73" s="51"/>
      <c r="G73" s="52"/>
      <c r="H73" s="51"/>
      <c r="I73" s="53"/>
      <c r="J73" s="54"/>
      <c r="K73" s="55"/>
    </row>
    <row r="74" spans="1:19" x14ac:dyDescent="0.25">
      <c r="A74" s="56"/>
      <c r="B74" s="29" t="s">
        <v>32</v>
      </c>
      <c r="C74" s="88">
        <v>200000</v>
      </c>
      <c r="D74" s="88"/>
      <c r="E74" s="39"/>
      <c r="F74" s="49"/>
      <c r="G74" s="48"/>
      <c r="H74" s="48"/>
      <c r="I74" s="48"/>
      <c r="J74" s="48"/>
      <c r="K74" s="49"/>
    </row>
    <row r="75" spans="1:19" x14ac:dyDescent="0.25">
      <c r="A75" s="56"/>
      <c r="B75" s="29" t="s">
        <v>33</v>
      </c>
      <c r="C75" s="88">
        <f>C74-C77-C78</f>
        <v>190000</v>
      </c>
      <c r="D75" s="88"/>
      <c r="E75" s="39">
        <f>C75/C73*100</f>
        <v>83.707079831496571</v>
      </c>
      <c r="F75" s="49"/>
      <c r="G75" s="48"/>
      <c r="H75" s="48"/>
      <c r="I75" s="48"/>
      <c r="J75" s="48"/>
      <c r="K75" s="49"/>
    </row>
    <row r="76" spans="1:19" x14ac:dyDescent="0.25">
      <c r="A76" s="56"/>
      <c r="B76" s="29" t="s">
        <v>34</v>
      </c>
      <c r="C76" s="85">
        <f>C73-C75</f>
        <v>36981.99528937391</v>
      </c>
      <c r="D76" s="85"/>
      <c r="E76" s="39">
        <f>100-E75</f>
        <v>16.292920168503429</v>
      </c>
      <c r="F76" s="49"/>
      <c r="G76" s="48"/>
      <c r="H76" s="48"/>
      <c r="I76" s="48"/>
      <c r="J76" s="48"/>
      <c r="K76" s="49"/>
      <c r="R76" s="1">
        <v>3.2</v>
      </c>
      <c r="S76" s="1">
        <f>CONVERT(R76,"m","ft")</f>
        <v>10.498687664041995</v>
      </c>
    </row>
    <row r="77" spans="1:19" x14ac:dyDescent="0.25">
      <c r="A77" s="56"/>
      <c r="B77" s="29" t="s">
        <v>35</v>
      </c>
      <c r="C77" s="85">
        <f>C74*0.03</f>
        <v>6000</v>
      </c>
      <c r="D77" s="85"/>
      <c r="E77" s="39">
        <v>3</v>
      </c>
      <c r="F77" s="49"/>
      <c r="G77" s="48"/>
      <c r="H77" s="48"/>
      <c r="I77" s="48"/>
      <c r="J77" s="48"/>
      <c r="K77" s="49"/>
      <c r="R77" s="1">
        <v>2.2000000000000002</v>
      </c>
      <c r="S77" s="1">
        <f t="shared" ref="O77:S99" si="9">CONVERT(R77,"m","ft")</f>
        <v>7.2178477690288716</v>
      </c>
    </row>
    <row r="78" spans="1:19" x14ac:dyDescent="0.25">
      <c r="A78" s="56"/>
      <c r="B78" s="29" t="s">
        <v>36</v>
      </c>
      <c r="C78" s="85">
        <f>C74*0.02</f>
        <v>4000</v>
      </c>
      <c r="D78" s="85"/>
      <c r="E78" s="39">
        <v>2</v>
      </c>
      <c r="F78" s="49"/>
      <c r="G78" s="48"/>
      <c r="H78" s="48"/>
      <c r="I78" s="48"/>
      <c r="J78" s="48"/>
      <c r="K78" s="49"/>
      <c r="R78" s="1">
        <v>4.2</v>
      </c>
      <c r="S78" s="1">
        <f t="shared" si="9"/>
        <v>13.779527559055119</v>
      </c>
    </row>
    <row r="79" spans="1:19" s="35" customFormat="1" x14ac:dyDescent="0.25">
      <c r="A79" s="57"/>
      <c r="B79" s="57"/>
      <c r="C79" s="57"/>
      <c r="D79" s="57"/>
      <c r="E79" s="57"/>
      <c r="F79" s="57"/>
      <c r="G79" s="57"/>
      <c r="H79" s="57"/>
      <c r="I79" s="57"/>
      <c r="J79" s="57"/>
      <c r="K79" s="57"/>
      <c r="R79"/>
      <c r="S79"/>
    </row>
    <row r="80" spans="1:19" s="35" customFormat="1" x14ac:dyDescent="0.25">
      <c r="R80" s="1">
        <v>4.2</v>
      </c>
      <c r="S80" s="1">
        <f t="shared" si="9"/>
        <v>13.779527559055119</v>
      </c>
    </row>
    <row r="81" spans="2:19" s="35" customFormat="1" x14ac:dyDescent="0.25">
      <c r="B81" s="73" t="s">
        <v>22</v>
      </c>
      <c r="C81" s="101" t="s">
        <v>14</v>
      </c>
      <c r="D81" s="101"/>
      <c r="E81" s="35" t="s">
        <v>75</v>
      </c>
      <c r="R81" s="1"/>
      <c r="S81" s="1"/>
    </row>
    <row r="82" spans="2:19" s="35" customFormat="1" x14ac:dyDescent="0.25">
      <c r="B82" s="73" t="s">
        <v>73</v>
      </c>
      <c r="C82" s="102">
        <f>19284/360*G14</f>
        <v>522.6870212785044</v>
      </c>
      <c r="D82" s="102"/>
      <c r="E82" s="74">
        <f>C82*0.13</f>
        <v>67.94931276620558</v>
      </c>
      <c r="F82" s="74"/>
      <c r="G82" s="74"/>
      <c r="H82" s="74"/>
      <c r="I82" s="74"/>
      <c r="R82" s="1">
        <v>4.5</v>
      </c>
      <c r="S82" s="1">
        <f t="shared" si="9"/>
        <v>14.763779527559056</v>
      </c>
    </row>
    <row r="83" spans="2:19" s="35" customFormat="1" x14ac:dyDescent="0.25">
      <c r="B83" s="73" t="s">
        <v>74</v>
      </c>
      <c r="C83" s="102">
        <f>(14817.6/5*G21)+(14808.78/5*G44)+(16299.36/6*G60)</f>
        <v>48441.489169877343</v>
      </c>
      <c r="D83" s="102"/>
      <c r="E83" s="74">
        <f>C83*0.13+200</f>
        <v>6497.3935920840549</v>
      </c>
      <c r="F83" s="74"/>
      <c r="G83" s="74"/>
      <c r="H83" s="74"/>
      <c r="I83" s="74"/>
      <c r="R83" s="1">
        <v>4.17</v>
      </c>
      <c r="S83" s="1">
        <f t="shared" si="9"/>
        <v>13.681102362204724</v>
      </c>
    </row>
    <row r="84" spans="2:19" s="35" customFormat="1" x14ac:dyDescent="0.25">
      <c r="B84" s="73" t="s">
        <v>76</v>
      </c>
      <c r="C84" s="102">
        <f>(49275.03/15*G33)+(5368.95/5*G44)+(62160.51/15*G55)</f>
        <v>28854.858638887788</v>
      </c>
      <c r="D84" s="102"/>
      <c r="E84" s="74">
        <f>C84*0.13+200</f>
        <v>3951.1316230554125</v>
      </c>
      <c r="F84" s="74"/>
      <c r="G84" s="74"/>
      <c r="H84" s="74"/>
      <c r="I84" s="74"/>
      <c r="R84"/>
      <c r="S84" s="1"/>
    </row>
    <row r="85" spans="2:19" s="35" customFormat="1" x14ac:dyDescent="0.25">
      <c r="B85" s="73" t="s">
        <v>77</v>
      </c>
      <c r="C85" s="102">
        <f>(21432.6/15*G33)+(6604.42/5*G44)+(21432.6/15*G55)</f>
        <v>18494.163043819335</v>
      </c>
      <c r="D85" s="102"/>
      <c r="E85" s="74">
        <f>C85*0.13+100</f>
        <v>2504.2411956965138</v>
      </c>
      <c r="F85" s="74"/>
      <c r="G85" s="74"/>
      <c r="H85" s="74"/>
      <c r="I85" s="74"/>
      <c r="R85" s="1">
        <v>4.5</v>
      </c>
      <c r="S85" s="1">
        <f t="shared" si="9"/>
        <v>14.763779527559056</v>
      </c>
    </row>
    <row r="86" spans="2:19" s="35" customFormat="1" x14ac:dyDescent="0.25">
      <c r="B86" s="73" t="s">
        <v>78</v>
      </c>
      <c r="C86" s="102">
        <f>((25719.12+13573.98+4286.52)/15*G33)+((27147.96+17146.08)/15*G55)</f>
        <v>14173.863521122888</v>
      </c>
      <c r="D86" s="102"/>
      <c r="E86" s="74">
        <f t="shared" ref="E86:E93" si="10">C86*0.13</f>
        <v>1842.6022577459755</v>
      </c>
      <c r="F86" s="74"/>
      <c r="G86" s="74"/>
      <c r="H86" s="74"/>
      <c r="I86" s="74"/>
      <c r="R86" s="1">
        <v>4.5</v>
      </c>
      <c r="S86" s="1">
        <f t="shared" si="9"/>
        <v>14.763779527559056</v>
      </c>
    </row>
    <row r="87" spans="2:19" s="35" customFormat="1" x14ac:dyDescent="0.25">
      <c r="B87" s="73" t="s">
        <v>79</v>
      </c>
      <c r="C87" s="102">
        <f>(620/15*G33)+(310/5*G44)+(775/15*G55)</f>
        <v>787.69852725679857</v>
      </c>
      <c r="D87" s="102"/>
      <c r="E87" s="74">
        <f t="shared" si="10"/>
        <v>102.40080854338382</v>
      </c>
      <c r="F87" s="74"/>
      <c r="G87" s="74"/>
      <c r="H87" s="74"/>
      <c r="I87" s="74"/>
      <c r="R87" s="1">
        <v>2.9</v>
      </c>
      <c r="S87" s="1">
        <f t="shared" si="9"/>
        <v>9.514435695538058</v>
      </c>
    </row>
    <row r="88" spans="2:19" s="35" customFormat="1" x14ac:dyDescent="0.25">
      <c r="B88" s="73" t="s">
        <v>80</v>
      </c>
      <c r="C88" s="102">
        <f>6135.3/15*G33</f>
        <v>249.84281106217617</v>
      </c>
      <c r="D88" s="102"/>
      <c r="E88" s="74">
        <f>C88*0.13+10</f>
        <v>42.479565438082901</v>
      </c>
      <c r="F88" s="74"/>
      <c r="G88" s="74"/>
      <c r="H88" s="74"/>
      <c r="I88" s="74"/>
    </row>
    <row r="89" spans="2:19" s="35" customFormat="1" x14ac:dyDescent="0.25">
      <c r="B89" s="73" t="s">
        <v>81</v>
      </c>
      <c r="C89" s="102">
        <f>110000/1*G50</f>
        <v>22594.078890431625</v>
      </c>
      <c r="D89" s="102"/>
      <c r="E89" s="74">
        <f>C89*0.13+26</f>
        <v>2963.2302557561115</v>
      </c>
      <c r="F89" s="74"/>
      <c r="G89" s="74"/>
      <c r="H89" s="74"/>
      <c r="I89" s="74"/>
      <c r="N89" s="68">
        <v>4.5</v>
      </c>
      <c r="O89" s="1">
        <f t="shared" si="9"/>
        <v>14.763779527559056</v>
      </c>
    </row>
    <row r="90" spans="2:19" s="35" customFormat="1" x14ac:dyDescent="0.25">
      <c r="B90" s="73" t="s">
        <v>82</v>
      </c>
      <c r="C90" s="102">
        <f>(960/1*G50)+(434.4/6*G60)</f>
        <v>414.38468849831236</v>
      </c>
      <c r="D90" s="102"/>
      <c r="E90" s="74">
        <f t="shared" si="10"/>
        <v>53.870009504780612</v>
      </c>
      <c r="F90" s="74"/>
      <c r="G90" s="74"/>
      <c r="H90" s="74"/>
      <c r="I90" s="74"/>
      <c r="N90" s="69">
        <v>4.3499999999999996</v>
      </c>
      <c r="O90" s="1">
        <f t="shared" si="9"/>
        <v>14.271653543307087</v>
      </c>
    </row>
    <row r="91" spans="2:19" s="35" customFormat="1" x14ac:dyDescent="0.25">
      <c r="B91" s="73" t="s">
        <v>83</v>
      </c>
      <c r="C91" s="101">
        <f>(9055.8/6*G60)</f>
        <v>4527.8999999999996</v>
      </c>
      <c r="D91" s="101"/>
      <c r="E91" s="74">
        <f t="shared" si="10"/>
        <v>588.62699999999995</v>
      </c>
      <c r="F91" s="74"/>
      <c r="G91" s="74"/>
      <c r="H91" s="74"/>
      <c r="I91" s="74"/>
      <c r="N91" s="69">
        <v>4.2300000000000004</v>
      </c>
      <c r="O91" s="1">
        <f t="shared" si="9"/>
        <v>13.877952755905515</v>
      </c>
    </row>
    <row r="92" spans="2:19" s="35" customFormat="1" x14ac:dyDescent="0.25">
      <c r="B92" s="73" t="s">
        <v>84</v>
      </c>
      <c r="C92" s="101">
        <f>(1008.78/6*G60)</f>
        <v>504.39</v>
      </c>
      <c r="D92" s="101"/>
      <c r="E92" s="74">
        <f t="shared" si="10"/>
        <v>65.570700000000002</v>
      </c>
      <c r="F92" s="74"/>
      <c r="G92" s="74"/>
      <c r="H92" s="74"/>
      <c r="I92" s="74"/>
    </row>
    <row r="93" spans="2:19" s="35" customFormat="1" x14ac:dyDescent="0.25">
      <c r="B93" s="73" t="s">
        <v>85</v>
      </c>
      <c r="C93" s="101">
        <f>(45360/300*G66)</f>
        <v>1360.8</v>
      </c>
      <c r="D93" s="101"/>
      <c r="E93" s="74">
        <f t="shared" si="10"/>
        <v>176.904</v>
      </c>
      <c r="F93" s="74"/>
      <c r="G93" s="74"/>
      <c r="H93" s="74"/>
      <c r="I93" s="74"/>
      <c r="R93" s="69">
        <v>4.3499999999999996</v>
      </c>
      <c r="S93" s="1">
        <f t="shared" si="9"/>
        <v>14.271653543307087</v>
      </c>
    </row>
    <row r="94" spans="2:19" s="35" customFormat="1" x14ac:dyDescent="0.25">
      <c r="C94" s="101"/>
      <c r="D94" s="101"/>
      <c r="R94" s="69">
        <v>1.42</v>
      </c>
      <c r="S94" s="1">
        <f t="shared" si="9"/>
        <v>4.6587926509186355</v>
      </c>
    </row>
    <row r="95" spans="2:19" s="35" customFormat="1" x14ac:dyDescent="0.25">
      <c r="E95" s="74">
        <f>J15+J22+J34+J45+J51+J56+J61+J67</f>
        <v>18563.679250604957</v>
      </c>
      <c r="R95" s="69">
        <v>2.95</v>
      </c>
      <c r="S95" s="1">
        <f t="shared" si="9"/>
        <v>9.6784776902887142</v>
      </c>
    </row>
    <row r="96" spans="2:19" s="35" customFormat="1" x14ac:dyDescent="0.25"/>
    <row r="97" spans="18:19" s="35" customFormat="1" x14ac:dyDescent="0.25">
      <c r="R97" s="69">
        <v>1.42</v>
      </c>
      <c r="S97" s="1">
        <f t="shared" si="9"/>
        <v>4.6587926509186355</v>
      </c>
    </row>
    <row r="98" spans="18:19" s="35" customFormat="1" x14ac:dyDescent="0.25">
      <c r="R98" s="69">
        <v>2.9</v>
      </c>
      <c r="S98" s="1">
        <f t="shared" si="9"/>
        <v>9.514435695538058</v>
      </c>
    </row>
    <row r="99" spans="18:19" s="35" customFormat="1" x14ac:dyDescent="0.25">
      <c r="R99" s="69">
        <v>2.5</v>
      </c>
      <c r="S99" s="1">
        <f t="shared" si="9"/>
        <v>8.2020997375328086</v>
      </c>
    </row>
    <row r="100" spans="18:19" s="35" customFormat="1" x14ac:dyDescent="0.25"/>
    <row r="101" spans="18:19" s="35" customFormat="1" x14ac:dyDescent="0.25"/>
    <row r="102" spans="18:19" s="35" customFormat="1" x14ac:dyDescent="0.25"/>
    <row r="103" spans="18:19" s="35" customFormat="1" x14ac:dyDescent="0.25"/>
    <row r="104" spans="18:19" s="35" customFormat="1" x14ac:dyDescent="0.25"/>
    <row r="105" spans="18:19" s="35" customFormat="1" x14ac:dyDescent="0.25"/>
    <row r="106" spans="18:19" s="35" customFormat="1" x14ac:dyDescent="0.25"/>
    <row r="107" spans="18:19" s="35" customFormat="1" x14ac:dyDescent="0.25"/>
    <row r="108" spans="18:19" s="35" customFormat="1" x14ac:dyDescent="0.25"/>
    <row r="109" spans="18:19" s="35" customFormat="1" x14ac:dyDescent="0.25"/>
    <row r="110" spans="18:19" s="35" customFormat="1" x14ac:dyDescent="0.25"/>
    <row r="111" spans="18:19" s="35" customFormat="1" x14ac:dyDescent="0.25"/>
    <row r="112" spans="18:19"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sheetData>
  <mergeCells count="30">
    <mergeCell ref="C81:D81"/>
    <mergeCell ref="C92:D92"/>
    <mergeCell ref="C93:D93"/>
    <mergeCell ref="C94:D94"/>
    <mergeCell ref="C87:D87"/>
    <mergeCell ref="C88:D88"/>
    <mergeCell ref="C89:D89"/>
    <mergeCell ref="C90:D90"/>
    <mergeCell ref="C91:D91"/>
    <mergeCell ref="C82:D82"/>
    <mergeCell ref="C83:D83"/>
    <mergeCell ref="C84:D84"/>
    <mergeCell ref="C85:D85"/>
    <mergeCell ref="C86:D86"/>
    <mergeCell ref="O17:U17"/>
    <mergeCell ref="C73:D73"/>
    <mergeCell ref="C74:D74"/>
    <mergeCell ref="C75:D75"/>
    <mergeCell ref="A1:K1"/>
    <mergeCell ref="A2:K2"/>
    <mergeCell ref="A3:K3"/>
    <mergeCell ref="A4:K4"/>
    <mergeCell ref="A5:K5"/>
    <mergeCell ref="A6:F6"/>
    <mergeCell ref="H6:K6"/>
    <mergeCell ref="C76:D76"/>
    <mergeCell ref="C77:D77"/>
    <mergeCell ref="C78:D78"/>
    <mergeCell ref="A7:F7"/>
    <mergeCell ref="H7:K7"/>
  </mergeCells>
  <pageMargins left="0.70866141732283505" right="0.70866141732283505" top="0.74803149606299202" bottom="0.74803149606299202" header="0.31496062992126" footer="0.31496062992126"/>
  <pageSetup paperSize="9" scale="80" orientation="portrait" r:id="rId1"/>
  <headerFooter>
    <oddFooter>&amp;LPrepared By:&amp;CChecked By:&amp;RApproved By:</oddFooter>
  </headerFooter>
  <rowBreaks count="1" manualBreakCount="1">
    <brk id="62"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3"/>
  <sheetViews>
    <sheetView tabSelected="1" zoomScaleNormal="100" workbookViewId="0">
      <selection activeCell="E9" sqref="E9"/>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10" width="10.7109375" hidden="1" customWidth="1"/>
  </cols>
  <sheetData>
    <row r="1" spans="1:19" s="1" customFormat="1" x14ac:dyDescent="0.25">
      <c r="A1" s="81" t="s">
        <v>0</v>
      </c>
      <c r="B1" s="81"/>
      <c r="C1" s="81"/>
      <c r="D1" s="81"/>
      <c r="E1" s="81"/>
      <c r="F1" s="81"/>
      <c r="G1" s="81"/>
      <c r="H1" s="81"/>
      <c r="I1" s="81"/>
      <c r="J1" s="81"/>
      <c r="K1" s="81"/>
    </row>
    <row r="2" spans="1:19" s="1" customFormat="1" ht="22.5" x14ac:dyDescent="0.25">
      <c r="A2" s="82" t="s">
        <v>1</v>
      </c>
      <c r="B2" s="82"/>
      <c r="C2" s="82"/>
      <c r="D2" s="82"/>
      <c r="E2" s="82"/>
      <c r="F2" s="82"/>
      <c r="G2" s="82"/>
      <c r="H2" s="82"/>
      <c r="I2" s="82"/>
      <c r="J2" s="82"/>
      <c r="K2" s="82"/>
    </row>
    <row r="3" spans="1:19" s="1" customFormat="1" x14ac:dyDescent="0.25">
      <c r="A3" s="83" t="s">
        <v>2</v>
      </c>
      <c r="B3" s="83"/>
      <c r="C3" s="83"/>
      <c r="D3" s="83"/>
      <c r="E3" s="83"/>
      <c r="F3" s="83"/>
      <c r="G3" s="83"/>
      <c r="H3" s="83"/>
      <c r="I3" s="83"/>
      <c r="J3" s="83"/>
      <c r="K3" s="83"/>
    </row>
    <row r="4" spans="1:19" s="1" customFormat="1" x14ac:dyDescent="0.25">
      <c r="A4" s="83" t="s">
        <v>3</v>
      </c>
      <c r="B4" s="83"/>
      <c r="C4" s="83"/>
      <c r="D4" s="83"/>
      <c r="E4" s="83"/>
      <c r="F4" s="83"/>
      <c r="G4" s="83"/>
      <c r="H4" s="83"/>
      <c r="I4" s="83"/>
      <c r="J4" s="83"/>
      <c r="K4" s="83"/>
    </row>
    <row r="5" spans="1:19" ht="18.75" x14ac:dyDescent="0.3">
      <c r="A5" s="84" t="s">
        <v>88</v>
      </c>
      <c r="B5" s="84"/>
      <c r="C5" s="84"/>
      <c r="D5" s="84"/>
      <c r="E5" s="84"/>
      <c r="F5" s="84"/>
      <c r="G5" s="84"/>
      <c r="H5" s="84"/>
      <c r="I5" s="84"/>
      <c r="J5" s="84"/>
      <c r="K5" s="84"/>
    </row>
    <row r="6" spans="1:19" ht="15.75" x14ac:dyDescent="0.25">
      <c r="A6" s="79" t="s">
        <v>67</v>
      </c>
      <c r="B6" s="79"/>
      <c r="C6" s="79"/>
      <c r="D6" s="79"/>
      <c r="E6" s="79"/>
      <c r="F6" s="79"/>
      <c r="G6" s="2"/>
      <c r="I6" s="76"/>
      <c r="J6" s="76"/>
      <c r="K6" s="71" t="s">
        <v>43</v>
      </c>
      <c r="O6" t="s">
        <v>48</v>
      </c>
    </row>
    <row r="7" spans="1:19" ht="15.75" x14ac:dyDescent="0.25">
      <c r="A7" s="86" t="s">
        <v>28</v>
      </c>
      <c r="B7" s="86"/>
      <c r="C7" s="86"/>
      <c r="D7" s="86"/>
      <c r="E7" s="86"/>
      <c r="F7" s="86"/>
      <c r="G7" s="3"/>
      <c r="I7" s="77"/>
      <c r="J7" s="77"/>
      <c r="K7" s="72" t="s">
        <v>87</v>
      </c>
    </row>
    <row r="8" spans="1:19" ht="15" customHeight="1" x14ac:dyDescent="0.25">
      <c r="A8" s="107" t="s">
        <v>5</v>
      </c>
      <c r="B8" s="108" t="s">
        <v>6</v>
      </c>
      <c r="C8" s="107" t="s">
        <v>7</v>
      </c>
      <c r="D8" s="109" t="s">
        <v>8</v>
      </c>
      <c r="E8" s="109" t="s">
        <v>9</v>
      </c>
      <c r="F8" s="109" t="s">
        <v>10</v>
      </c>
      <c r="G8" s="109" t="s">
        <v>11</v>
      </c>
      <c r="H8" s="107" t="s">
        <v>12</v>
      </c>
      <c r="I8" s="109" t="s">
        <v>13</v>
      </c>
      <c r="J8" s="109" t="s">
        <v>14</v>
      </c>
      <c r="K8" s="110" t="s">
        <v>15</v>
      </c>
      <c r="N8" t="s">
        <v>44</v>
      </c>
    </row>
    <row r="9" spans="1:19" ht="150" x14ac:dyDescent="0.25">
      <c r="A9" s="111">
        <v>1</v>
      </c>
      <c r="B9" s="30" t="s">
        <v>49</v>
      </c>
      <c r="C9" s="112"/>
      <c r="D9" s="113" t="s">
        <v>70</v>
      </c>
      <c r="E9" s="112"/>
      <c r="F9" s="112"/>
      <c r="G9" s="112"/>
      <c r="H9" s="112"/>
      <c r="I9" s="112"/>
      <c r="J9" s="112"/>
      <c r="K9" s="112"/>
      <c r="N9" t="s">
        <v>45</v>
      </c>
      <c r="O9" t="s">
        <v>46</v>
      </c>
    </row>
    <row r="10" spans="1:19" ht="15" customHeight="1" x14ac:dyDescent="0.25">
      <c r="A10" s="18"/>
      <c r="B10" s="114" t="s">
        <v>59</v>
      </c>
      <c r="C10" s="104">
        <v>1</v>
      </c>
      <c r="D10" s="105">
        <f>D61</f>
        <v>27.992944983842065</v>
      </c>
      <c r="E10" s="105"/>
      <c r="F10" s="105">
        <v>0.15</v>
      </c>
      <c r="G10" s="106">
        <f>PRODUCT(C10:F10)</f>
        <v>4.1989417475763098</v>
      </c>
      <c r="H10" s="115"/>
      <c r="I10" s="115"/>
      <c r="J10" s="115"/>
      <c r="K10" s="21"/>
      <c r="M10" s="25"/>
      <c r="N10" s="1"/>
      <c r="O10" s="1"/>
      <c r="P10" s="1"/>
      <c r="S10" s="25"/>
    </row>
    <row r="11" spans="1:19" ht="15" customHeight="1" x14ac:dyDescent="0.25">
      <c r="A11" s="18"/>
      <c r="B11" s="114" t="s">
        <v>66</v>
      </c>
      <c r="C11" s="112">
        <v>1</v>
      </c>
      <c r="D11" s="105">
        <v>3</v>
      </c>
      <c r="E11" s="105">
        <v>1</v>
      </c>
      <c r="F11" s="105">
        <v>1</v>
      </c>
      <c r="G11" s="106">
        <f>PRODUCT(C11:F11)</f>
        <v>3</v>
      </c>
      <c r="H11" s="115"/>
      <c r="I11" s="115"/>
      <c r="J11" s="115"/>
      <c r="K11" s="21"/>
      <c r="M11" s="25"/>
      <c r="N11" s="1"/>
      <c r="O11" s="1"/>
      <c r="P11" s="1"/>
      <c r="S11" s="25"/>
    </row>
    <row r="12" spans="1:19" ht="15" customHeight="1" x14ac:dyDescent="0.25">
      <c r="A12" s="18"/>
      <c r="B12" s="114" t="s">
        <v>71</v>
      </c>
      <c r="C12" s="112">
        <v>1</v>
      </c>
      <c r="D12" s="105">
        <v>1</v>
      </c>
      <c r="E12" s="105">
        <f>0.5/2</f>
        <v>0.25</v>
      </c>
      <c r="F12" s="105">
        <f>(1+0.85)/2-0.05</f>
        <v>0.875</v>
      </c>
      <c r="G12" s="106">
        <f>PRODUCT(C12:F12)</f>
        <v>0.21875</v>
      </c>
      <c r="H12" s="115"/>
      <c r="I12" s="115"/>
      <c r="J12" s="115"/>
      <c r="K12" s="21"/>
      <c r="M12" s="25"/>
      <c r="N12" s="1"/>
      <c r="O12" s="1"/>
      <c r="P12" s="1"/>
      <c r="S12" s="25"/>
    </row>
    <row r="13" spans="1:19" ht="15" customHeight="1" x14ac:dyDescent="0.25">
      <c r="A13" s="18"/>
      <c r="B13" s="114"/>
      <c r="C13" s="104">
        <v>1</v>
      </c>
      <c r="D13" s="105">
        <v>7.8</v>
      </c>
      <c r="E13" s="105">
        <v>0.6</v>
      </c>
      <c r="F13" s="105">
        <v>0.5</v>
      </c>
      <c r="G13" s="106">
        <f t="shared" ref="G13" si="0">PRODUCT(C13:F13)</f>
        <v>2.34</v>
      </c>
      <c r="H13" s="115"/>
      <c r="I13" s="115"/>
      <c r="J13" s="115"/>
      <c r="K13" s="21"/>
      <c r="M13" s="25"/>
      <c r="N13" s="1"/>
      <c r="O13" s="1"/>
      <c r="P13" s="1"/>
      <c r="Q13" s="1"/>
      <c r="R13" s="25"/>
      <c r="S13" s="25"/>
    </row>
    <row r="14" spans="1:19" ht="15" customHeight="1" x14ac:dyDescent="0.25">
      <c r="A14" s="18"/>
      <c r="B14" s="114" t="s">
        <v>40</v>
      </c>
      <c r="C14" s="19"/>
      <c r="D14" s="20"/>
      <c r="E14" s="21"/>
      <c r="F14" s="21"/>
      <c r="G14" s="23">
        <f>SUM(G10:G13)</f>
        <v>9.7576917475763096</v>
      </c>
      <c r="H14" s="22" t="s">
        <v>39</v>
      </c>
      <c r="I14" s="23">
        <v>64.63</v>
      </c>
      <c r="J14" s="116">
        <f>G14*I14</f>
        <v>630.6396176458569</v>
      </c>
      <c r="K14" s="21"/>
      <c r="M14" s="25"/>
      <c r="N14" s="1"/>
      <c r="O14" s="1"/>
      <c r="P14" s="1"/>
      <c r="S14" s="25"/>
    </row>
    <row r="15" spans="1:19" ht="15" hidden="1" customHeight="1" x14ac:dyDescent="0.25">
      <c r="A15" s="18"/>
      <c r="B15" s="114" t="s">
        <v>38</v>
      </c>
      <c r="C15" s="19"/>
      <c r="D15" s="20"/>
      <c r="E15" s="21"/>
      <c r="F15" s="21"/>
      <c r="G15" s="23"/>
      <c r="H15" s="22"/>
      <c r="I15" s="23"/>
      <c r="J15" s="116">
        <f>0.13*G14*19284/360</f>
        <v>67.949312766205566</v>
      </c>
      <c r="K15" s="21"/>
      <c r="M15" s="25"/>
      <c r="N15" s="1"/>
      <c r="O15" s="1"/>
      <c r="P15" s="1"/>
      <c r="S15" s="25"/>
    </row>
    <row r="16" spans="1:19" ht="15" customHeight="1" x14ac:dyDescent="0.25">
      <c r="A16" s="18"/>
      <c r="B16" s="114"/>
      <c r="C16" s="19"/>
      <c r="D16" s="20"/>
      <c r="E16" s="21"/>
      <c r="F16" s="21"/>
      <c r="G16" s="23"/>
      <c r="H16" s="22"/>
      <c r="I16" s="23"/>
      <c r="J16" s="116"/>
      <c r="K16" s="21"/>
      <c r="M16" s="25"/>
      <c r="N16" s="1"/>
      <c r="O16" s="1"/>
      <c r="P16" s="1"/>
      <c r="Q16" s="1"/>
      <c r="R16" s="25"/>
      <c r="S16" s="25"/>
    </row>
    <row r="17" spans="1:21" ht="90" x14ac:dyDescent="0.25">
      <c r="A17" s="18">
        <v>2</v>
      </c>
      <c r="B17" s="30" t="s">
        <v>42</v>
      </c>
      <c r="C17" s="19"/>
      <c r="D17" s="117"/>
      <c r="E17" s="65" t="s">
        <v>70</v>
      </c>
      <c r="F17" s="21"/>
      <c r="G17" s="23"/>
      <c r="H17" s="22"/>
      <c r="I17" s="23"/>
      <c r="J17" s="116"/>
      <c r="K17" s="21"/>
      <c r="M17" s="25"/>
      <c r="N17" s="1"/>
      <c r="O17" s="78" t="s">
        <v>54</v>
      </c>
      <c r="P17" s="78"/>
      <c r="Q17" s="78"/>
      <c r="R17" s="78"/>
      <c r="S17" s="78"/>
      <c r="T17" s="78"/>
      <c r="U17" s="78"/>
    </row>
    <row r="18" spans="1:21" ht="15" customHeight="1" x14ac:dyDescent="0.25">
      <c r="A18" s="18"/>
      <c r="B18" s="114" t="s">
        <v>69</v>
      </c>
      <c r="C18" s="104">
        <v>1</v>
      </c>
      <c r="D18" s="117"/>
      <c r="E18" s="105">
        <f>D61</f>
        <v>27.992944983842065</v>
      </c>
      <c r="F18" s="105">
        <v>0.15</v>
      </c>
      <c r="G18" s="106">
        <f>PRODUCT(C18:F18)</f>
        <v>4.1989417475763098</v>
      </c>
      <c r="H18" s="115"/>
      <c r="I18" s="115"/>
      <c r="J18" s="115"/>
      <c r="K18" s="21"/>
      <c r="M18" s="25"/>
      <c r="N18" s="1"/>
      <c r="O18" s="1"/>
      <c r="P18" s="1"/>
      <c r="Q18" s="1"/>
      <c r="R18" s="25"/>
      <c r="S18" s="25"/>
    </row>
    <row r="19" spans="1:21" ht="15" customHeight="1" x14ac:dyDescent="0.25">
      <c r="A19" s="18"/>
      <c r="B19" s="114" t="str">
        <f>B12</f>
        <v>-for masonary wall</v>
      </c>
      <c r="C19" s="104">
        <f>C12</f>
        <v>1</v>
      </c>
      <c r="D19" s="105">
        <f>D12</f>
        <v>1</v>
      </c>
      <c r="E19" s="105">
        <f>E12</f>
        <v>0.25</v>
      </c>
      <c r="F19" s="105">
        <v>7.4999999999999997E-2</v>
      </c>
      <c r="G19" s="106">
        <f>PRODUCT(C19:F19)</f>
        <v>1.8749999999999999E-2</v>
      </c>
      <c r="H19" s="115"/>
      <c r="I19" s="115"/>
      <c r="J19" s="115"/>
      <c r="K19" s="21"/>
      <c r="M19" s="25"/>
      <c r="N19" s="1"/>
      <c r="O19" s="1"/>
      <c r="P19" s="1"/>
      <c r="Q19" s="1"/>
      <c r="R19" s="25"/>
      <c r="S19" s="25"/>
    </row>
    <row r="20" spans="1:21" ht="15" customHeight="1" x14ac:dyDescent="0.25">
      <c r="A20" s="18"/>
      <c r="B20" s="114"/>
      <c r="C20" s="104">
        <v>1</v>
      </c>
      <c r="D20" s="105">
        <v>7.8</v>
      </c>
      <c r="E20" s="105">
        <v>0.6</v>
      </c>
      <c r="F20" s="105">
        <v>0.125</v>
      </c>
      <c r="G20" s="106">
        <f t="shared" ref="G20" si="1">PRODUCT(C20:F20)</f>
        <v>0.58499999999999996</v>
      </c>
      <c r="H20" s="115"/>
      <c r="I20" s="115"/>
      <c r="J20" s="115"/>
      <c r="K20" s="21"/>
      <c r="M20" s="25"/>
      <c r="N20" s="1"/>
      <c r="O20" s="1"/>
      <c r="P20" s="1"/>
      <c r="Q20" s="1"/>
      <c r="R20" s="25"/>
      <c r="S20" s="25"/>
    </row>
    <row r="21" spans="1:21" ht="15" customHeight="1" x14ac:dyDescent="0.25">
      <c r="A21" s="115"/>
      <c r="B21" s="114" t="s">
        <v>40</v>
      </c>
      <c r="C21" s="118"/>
      <c r="D21" s="119"/>
      <c r="E21" s="119"/>
      <c r="F21" s="119"/>
      <c r="G21" s="120">
        <f>SUM(G18:G20)</f>
        <v>4.8026917475763096</v>
      </c>
      <c r="H21" s="120" t="s">
        <v>39</v>
      </c>
      <c r="I21" s="120">
        <v>4434.5200000000004</v>
      </c>
      <c r="J21" s="121">
        <f>G21*I21</f>
        <v>21297.6326084621</v>
      </c>
      <c r="K21" s="112"/>
    </row>
    <row r="22" spans="1:21" hidden="1" x14ac:dyDescent="0.25">
      <c r="A22" s="115"/>
      <c r="B22" s="114" t="s">
        <v>38</v>
      </c>
      <c r="C22" s="118"/>
      <c r="D22" s="119"/>
      <c r="E22" s="119"/>
      <c r="F22" s="119"/>
      <c r="G22" s="119"/>
      <c r="H22" s="119"/>
      <c r="I22" s="119"/>
      <c r="J22" s="122">
        <f>0.13*G21*(14817.6/5)</f>
        <v>1850.2734962110549</v>
      </c>
      <c r="K22" s="112"/>
    </row>
    <row r="23" spans="1:21" x14ac:dyDescent="0.25">
      <c r="A23" s="115"/>
      <c r="B23" s="114"/>
      <c r="C23" s="118"/>
      <c r="D23" s="119"/>
      <c r="E23" s="119"/>
      <c r="F23" s="119"/>
      <c r="G23" s="119"/>
      <c r="H23" s="119"/>
      <c r="I23" s="119"/>
      <c r="J23" s="122"/>
      <c r="K23" s="112"/>
    </row>
    <row r="24" spans="1:21" ht="75" x14ac:dyDescent="0.25">
      <c r="A24" s="18">
        <v>3</v>
      </c>
      <c r="B24" s="30" t="s">
        <v>41</v>
      </c>
      <c r="C24" s="19"/>
      <c r="D24" s="20"/>
      <c r="E24" s="21"/>
      <c r="F24" s="21"/>
      <c r="G24" s="23"/>
      <c r="H24" s="22"/>
      <c r="I24" s="23"/>
      <c r="J24" s="116"/>
      <c r="K24" s="21"/>
      <c r="M24" s="25"/>
      <c r="N24" s="1"/>
      <c r="O24" s="1"/>
      <c r="P24" s="1"/>
      <c r="Q24" s="1"/>
      <c r="R24" s="25"/>
      <c r="S24" s="25"/>
    </row>
    <row r="25" spans="1:21" ht="15" customHeight="1" x14ac:dyDescent="0.25">
      <c r="A25" s="18"/>
      <c r="B25" s="114" t="s">
        <v>53</v>
      </c>
      <c r="C25" s="104">
        <v>1</v>
      </c>
      <c r="D25" s="105">
        <v>1.75</v>
      </c>
      <c r="E25" s="105">
        <v>0.5</v>
      </c>
      <c r="F25" s="105">
        <v>0.05</v>
      </c>
      <c r="G25" s="106">
        <f t="shared" ref="G25:G32" si="2">PRODUCT(C25:F25)</f>
        <v>4.3750000000000004E-2</v>
      </c>
      <c r="H25" s="115"/>
      <c r="I25" s="115"/>
      <c r="J25" s="115"/>
      <c r="K25" s="21"/>
      <c r="M25" s="25"/>
      <c r="N25" s="1"/>
      <c r="O25" s="1"/>
      <c r="P25" s="1"/>
      <c r="Q25" s="1"/>
      <c r="R25" s="25"/>
      <c r="S25" s="25"/>
    </row>
    <row r="26" spans="1:21" ht="15" customHeight="1" x14ac:dyDescent="0.25">
      <c r="A26" s="18"/>
      <c r="B26" s="114"/>
      <c r="C26" s="104">
        <v>1</v>
      </c>
      <c r="D26" s="105">
        <v>1</v>
      </c>
      <c r="E26" s="105">
        <v>0.5</v>
      </c>
      <c r="F26" s="105">
        <v>0.05</v>
      </c>
      <c r="G26" s="106">
        <f t="shared" si="2"/>
        <v>2.5000000000000001E-2</v>
      </c>
      <c r="H26" s="115"/>
      <c r="I26" s="115"/>
      <c r="J26" s="115"/>
      <c r="K26" s="21"/>
      <c r="M26" s="25"/>
      <c r="N26" s="1"/>
      <c r="O26" s="1"/>
      <c r="P26" s="1"/>
      <c r="Q26" s="1"/>
      <c r="R26" s="25"/>
      <c r="S26" s="25"/>
    </row>
    <row r="27" spans="1:21" ht="15" customHeight="1" x14ac:dyDescent="0.25">
      <c r="A27" s="18"/>
      <c r="B27" s="114"/>
      <c r="C27" s="104">
        <v>1</v>
      </c>
      <c r="D27" s="105">
        <v>1</v>
      </c>
      <c r="E27" s="105">
        <f>0.5/2</f>
        <v>0.25</v>
      </c>
      <c r="F27" s="105">
        <v>0.05</v>
      </c>
      <c r="G27" s="106">
        <f t="shared" si="2"/>
        <v>1.2500000000000001E-2</v>
      </c>
      <c r="H27" s="115"/>
      <c r="I27" s="115"/>
      <c r="J27" s="115"/>
      <c r="K27" s="21"/>
      <c r="M27" s="25"/>
      <c r="N27" s="1"/>
      <c r="O27" s="1"/>
      <c r="P27" s="1"/>
      <c r="Q27" s="1"/>
      <c r="R27" s="25"/>
      <c r="S27" s="25"/>
    </row>
    <row r="28" spans="1:21" ht="15" customHeight="1" x14ac:dyDescent="0.25">
      <c r="A28" s="18"/>
      <c r="B28" s="114"/>
      <c r="C28" s="104">
        <v>1</v>
      </c>
      <c r="D28" s="105">
        <v>1</v>
      </c>
      <c r="E28" s="105">
        <f>0.5/2</f>
        <v>0.25</v>
      </c>
      <c r="F28" s="105">
        <v>0.05</v>
      </c>
      <c r="G28" s="106">
        <f t="shared" si="2"/>
        <v>1.2500000000000001E-2</v>
      </c>
      <c r="H28" s="115"/>
      <c r="I28" s="115"/>
      <c r="J28" s="115"/>
      <c r="K28" s="21"/>
      <c r="M28" s="25"/>
      <c r="N28" s="1"/>
      <c r="O28" s="1"/>
      <c r="P28" s="1"/>
      <c r="Q28" s="1"/>
      <c r="R28" s="25"/>
      <c r="S28" s="25"/>
    </row>
    <row r="29" spans="1:21" ht="15" customHeight="1" x14ac:dyDescent="0.25">
      <c r="A29" s="18"/>
      <c r="B29" s="114"/>
      <c r="C29" s="104">
        <v>1</v>
      </c>
      <c r="D29" s="105">
        <v>2.98</v>
      </c>
      <c r="E29" s="105">
        <v>0.5</v>
      </c>
      <c r="F29" s="105">
        <v>0.05</v>
      </c>
      <c r="G29" s="106">
        <f t="shared" si="2"/>
        <v>7.4499999999999997E-2</v>
      </c>
      <c r="H29" s="115"/>
      <c r="I29" s="115"/>
      <c r="J29" s="115"/>
      <c r="K29" s="21"/>
      <c r="M29" s="25"/>
      <c r="N29" s="1"/>
      <c r="O29" s="1"/>
      <c r="P29" s="1"/>
      <c r="Q29" s="1"/>
      <c r="R29" s="25"/>
      <c r="S29" s="25"/>
    </row>
    <row r="30" spans="1:21" ht="15" customHeight="1" x14ac:dyDescent="0.25">
      <c r="A30" s="18"/>
      <c r="B30" s="114"/>
      <c r="C30" s="104">
        <v>1</v>
      </c>
      <c r="D30" s="105">
        <v>2.4</v>
      </c>
      <c r="E30" s="105">
        <v>0.5</v>
      </c>
      <c r="F30" s="105">
        <v>0.05</v>
      </c>
      <c r="G30" s="106">
        <f t="shared" si="2"/>
        <v>0.06</v>
      </c>
      <c r="H30" s="115"/>
      <c r="I30" s="115"/>
      <c r="J30" s="115"/>
      <c r="K30" s="21"/>
      <c r="M30" s="25"/>
      <c r="N30" s="1"/>
      <c r="O30" s="1"/>
      <c r="P30" s="1"/>
      <c r="Q30" s="1"/>
      <c r="R30" s="25"/>
      <c r="S30" s="25"/>
    </row>
    <row r="31" spans="1:21" ht="15" customHeight="1" x14ac:dyDescent="0.25">
      <c r="A31" s="18"/>
      <c r="B31" s="114"/>
      <c r="C31" s="104">
        <v>1</v>
      </c>
      <c r="D31" s="105">
        <v>7.8</v>
      </c>
      <c r="E31" s="105">
        <v>0.6</v>
      </c>
      <c r="F31" s="105">
        <v>0.05</v>
      </c>
      <c r="G31" s="106">
        <f t="shared" si="2"/>
        <v>0.23399999999999999</v>
      </c>
      <c r="H31" s="115"/>
      <c r="I31" s="115"/>
      <c r="J31" s="115"/>
      <c r="K31" s="21"/>
      <c r="M31" s="25"/>
      <c r="N31" s="1"/>
      <c r="O31" s="1"/>
      <c r="P31" s="1"/>
      <c r="Q31" s="1"/>
      <c r="R31" s="25"/>
      <c r="S31" s="25"/>
    </row>
    <row r="32" spans="1:21" ht="15" customHeight="1" x14ac:dyDescent="0.25">
      <c r="A32" s="18"/>
      <c r="B32" s="114"/>
      <c r="C32" s="104">
        <v>1</v>
      </c>
      <c r="D32" s="105">
        <v>7.8</v>
      </c>
      <c r="E32" s="105">
        <v>0.5</v>
      </c>
      <c r="F32" s="105">
        <f>1.5/12/3.281</f>
        <v>3.8098140810728431E-2</v>
      </c>
      <c r="G32" s="106">
        <f t="shared" si="2"/>
        <v>0.14858274916184089</v>
      </c>
      <c r="H32" s="115"/>
      <c r="I32" s="115"/>
      <c r="J32" s="115"/>
      <c r="K32" s="21"/>
      <c r="M32" s="25"/>
      <c r="N32" s="1"/>
      <c r="O32" s="1"/>
      <c r="P32" s="1"/>
      <c r="Q32" s="1"/>
      <c r="R32" s="25"/>
      <c r="S32" s="25"/>
    </row>
    <row r="33" spans="1:19" ht="15" customHeight="1" x14ac:dyDescent="0.25">
      <c r="A33" s="115"/>
      <c r="B33" s="114" t="s">
        <v>40</v>
      </c>
      <c r="C33" s="118"/>
      <c r="D33" s="119"/>
      <c r="E33" s="119"/>
      <c r="F33" s="119"/>
      <c r="G33" s="120">
        <f>SUM(G25:G32)</f>
        <v>0.61083274916184083</v>
      </c>
      <c r="H33" s="120" t="s">
        <v>39</v>
      </c>
      <c r="I33" s="120">
        <v>10634.5</v>
      </c>
      <c r="J33" s="121">
        <f>G33*I33</f>
        <v>6495.9008709615964</v>
      </c>
      <c r="K33" s="112"/>
    </row>
    <row r="34" spans="1:19" ht="15" hidden="1" customHeight="1" x14ac:dyDescent="0.25">
      <c r="A34" s="115"/>
      <c r="B34" s="114" t="s">
        <v>38</v>
      </c>
      <c r="C34" s="118"/>
      <c r="D34" s="119"/>
      <c r="E34" s="119"/>
      <c r="F34" s="119"/>
      <c r="G34" s="119"/>
      <c r="H34" s="119"/>
      <c r="I34" s="119"/>
      <c r="J34" s="122">
        <f>0.13*G33*((114907.3+6135.3)/15)</f>
        <v>640.78546240537435</v>
      </c>
      <c r="K34" s="112"/>
    </row>
    <row r="35" spans="1:19" ht="15" customHeight="1" x14ac:dyDescent="0.25">
      <c r="A35" s="115"/>
      <c r="B35" s="114"/>
      <c r="C35" s="118"/>
      <c r="D35" s="119"/>
      <c r="E35" s="119"/>
      <c r="F35" s="119"/>
      <c r="G35" s="119"/>
      <c r="H35" s="119"/>
      <c r="I35" s="119"/>
      <c r="J35" s="122"/>
      <c r="K35" s="112"/>
    </row>
    <row r="36" spans="1:19" s="1" customFormat="1" ht="90" x14ac:dyDescent="0.25">
      <c r="A36" s="123">
        <v>4</v>
      </c>
      <c r="B36" s="30" t="s">
        <v>47</v>
      </c>
      <c r="C36" s="124"/>
      <c r="D36" s="106"/>
      <c r="E36" s="106"/>
      <c r="F36" s="106"/>
      <c r="G36" s="106"/>
      <c r="H36" s="106"/>
      <c r="I36" s="106"/>
      <c r="J36" s="122"/>
      <c r="K36" s="111"/>
    </row>
    <row r="37" spans="1:19" ht="15" customHeight="1" x14ac:dyDescent="0.25">
      <c r="A37" s="18"/>
      <c r="B37" s="114" t="s">
        <v>53</v>
      </c>
      <c r="C37" s="104">
        <v>1</v>
      </c>
      <c r="D37" s="105">
        <v>1.75</v>
      </c>
      <c r="E37" s="105">
        <v>0.5</v>
      </c>
      <c r="F37" s="105">
        <f>(0.65+0.5)/2-0.05</f>
        <v>0.52499999999999991</v>
      </c>
      <c r="G37" s="106">
        <f t="shared" ref="G37:G43" si="3">PRODUCT(C37:F37)</f>
        <v>0.45937499999999992</v>
      </c>
      <c r="H37" s="115"/>
      <c r="I37" s="115"/>
      <c r="J37" s="115"/>
      <c r="K37" s="21"/>
      <c r="M37" s="25"/>
      <c r="N37" s="1"/>
      <c r="O37" s="1"/>
      <c r="P37" s="1"/>
      <c r="Q37" s="1"/>
      <c r="R37" s="25"/>
      <c r="S37" s="25"/>
    </row>
    <row r="38" spans="1:19" ht="15" customHeight="1" x14ac:dyDescent="0.25">
      <c r="A38" s="18"/>
      <c r="B38" s="114"/>
      <c r="C38" s="104">
        <v>1</v>
      </c>
      <c r="D38" s="105">
        <v>1</v>
      </c>
      <c r="E38" s="105">
        <v>0.5</v>
      </c>
      <c r="F38" s="105">
        <f>(1.15+1)/2-0.05</f>
        <v>1.0249999999999999</v>
      </c>
      <c r="G38" s="106">
        <f t="shared" si="3"/>
        <v>0.51249999999999996</v>
      </c>
      <c r="H38" s="115"/>
      <c r="I38" s="115"/>
      <c r="J38" s="115"/>
      <c r="K38" s="21"/>
      <c r="M38" s="25"/>
      <c r="N38" s="1"/>
      <c r="O38" s="1"/>
      <c r="P38" s="1"/>
      <c r="Q38" s="1"/>
      <c r="R38" s="25"/>
      <c r="S38" s="25"/>
    </row>
    <row r="39" spans="1:19" ht="15" customHeight="1" x14ac:dyDescent="0.25">
      <c r="A39" s="18"/>
      <c r="B39" s="114"/>
      <c r="C39" s="104">
        <v>1</v>
      </c>
      <c r="D39" s="105">
        <v>1</v>
      </c>
      <c r="E39" s="105">
        <f>0.5/2</f>
        <v>0.25</v>
      </c>
      <c r="F39" s="105">
        <f>(1+0.85)/2-0.05</f>
        <v>0.875</v>
      </c>
      <c r="G39" s="106">
        <f t="shared" si="3"/>
        <v>0.21875</v>
      </c>
      <c r="H39" s="115"/>
      <c r="I39" s="115"/>
      <c r="J39" s="115"/>
      <c r="K39" s="21"/>
      <c r="M39" s="25"/>
      <c r="N39" s="1"/>
      <c r="O39" s="1"/>
      <c r="P39" s="1"/>
      <c r="Q39" s="1"/>
      <c r="R39" s="25"/>
      <c r="S39" s="25"/>
    </row>
    <row r="40" spans="1:19" ht="15" customHeight="1" x14ac:dyDescent="0.25">
      <c r="A40" s="18"/>
      <c r="B40" s="114"/>
      <c r="C40" s="104">
        <v>1</v>
      </c>
      <c r="D40" s="105">
        <v>2.98</v>
      </c>
      <c r="E40" s="105">
        <v>0.5</v>
      </c>
      <c r="F40" s="105">
        <f>(0.6)-0.05</f>
        <v>0.54999999999999993</v>
      </c>
      <c r="G40" s="106">
        <f t="shared" si="3"/>
        <v>0.8194999999999999</v>
      </c>
      <c r="H40" s="115"/>
      <c r="I40" s="115"/>
      <c r="J40" s="115"/>
      <c r="K40" s="21"/>
      <c r="M40" s="25"/>
      <c r="N40" s="1"/>
      <c r="O40" s="1"/>
      <c r="P40" s="1"/>
      <c r="Q40" s="1"/>
      <c r="R40" s="25"/>
      <c r="S40" s="25"/>
    </row>
    <row r="41" spans="1:19" ht="15" customHeight="1" x14ac:dyDescent="0.25">
      <c r="A41" s="18"/>
      <c r="B41" s="114"/>
      <c r="C41" s="104">
        <v>1</v>
      </c>
      <c r="D41" s="105">
        <v>2.4</v>
      </c>
      <c r="E41" s="105">
        <v>0.5</v>
      </c>
      <c r="F41" s="105">
        <f>(0.7+0.75)/2-0.05</f>
        <v>0.67499999999999993</v>
      </c>
      <c r="G41" s="106">
        <f t="shared" si="3"/>
        <v>0.80999999999999994</v>
      </c>
      <c r="H41" s="115"/>
      <c r="I41" s="115"/>
      <c r="J41" s="115"/>
      <c r="K41" s="21"/>
      <c r="M41" s="25"/>
      <c r="N41" s="1"/>
      <c r="O41" s="1"/>
      <c r="P41" s="1"/>
      <c r="Q41" s="1"/>
      <c r="R41" s="25"/>
      <c r="S41" s="25"/>
    </row>
    <row r="42" spans="1:19" ht="15" customHeight="1" x14ac:dyDescent="0.25">
      <c r="A42" s="18"/>
      <c r="B42" s="114"/>
      <c r="C42" s="104">
        <v>1</v>
      </c>
      <c r="D42" s="105">
        <v>7.8</v>
      </c>
      <c r="E42" s="105">
        <f>(0.61+0.5)/2</f>
        <v>0.55499999999999994</v>
      </c>
      <c r="F42" s="105">
        <f>1.3-0.1-0.05</f>
        <v>1.1499999999999999</v>
      </c>
      <c r="G42" s="106">
        <f t="shared" si="3"/>
        <v>4.9783499999999989</v>
      </c>
      <c r="H42" s="115"/>
      <c r="I42" s="115"/>
      <c r="J42" s="115"/>
      <c r="K42" s="21"/>
      <c r="M42" s="25"/>
      <c r="N42" s="1"/>
      <c r="O42" s="1"/>
      <c r="P42" s="1"/>
      <c r="Q42" s="1"/>
      <c r="R42" s="25"/>
      <c r="S42" s="25"/>
    </row>
    <row r="43" spans="1:19" ht="15" customHeight="1" x14ac:dyDescent="0.25">
      <c r="A43" s="18"/>
      <c r="B43" s="114"/>
      <c r="C43" s="104">
        <v>1</v>
      </c>
      <c r="D43" s="105">
        <v>5</v>
      </c>
      <c r="E43" s="105">
        <v>0.5</v>
      </c>
      <c r="F43" s="105">
        <v>0.4</v>
      </c>
      <c r="G43" s="106">
        <f t="shared" si="3"/>
        <v>1</v>
      </c>
      <c r="H43" s="115"/>
      <c r="I43" s="115"/>
      <c r="J43" s="115"/>
      <c r="K43" s="21"/>
      <c r="M43" s="25"/>
      <c r="N43" s="1"/>
      <c r="O43" s="1"/>
      <c r="P43" s="1"/>
      <c r="Q43" s="1"/>
      <c r="R43" s="25"/>
      <c r="S43" s="25"/>
    </row>
    <row r="44" spans="1:19" ht="15" customHeight="1" x14ac:dyDescent="0.25">
      <c r="A44" s="115"/>
      <c r="B44" s="114" t="s">
        <v>40</v>
      </c>
      <c r="C44" s="118"/>
      <c r="D44" s="119"/>
      <c r="E44" s="119"/>
      <c r="F44" s="119"/>
      <c r="G44" s="120">
        <f>SUM(G37:G43)</f>
        <v>8.798474999999998</v>
      </c>
      <c r="H44" s="120" t="s">
        <v>39</v>
      </c>
      <c r="I44" s="120">
        <v>9709.43</v>
      </c>
      <c r="J44" s="121">
        <f>G44*I44</f>
        <v>85428.177119249987</v>
      </c>
      <c r="K44" s="112"/>
    </row>
    <row r="45" spans="1:19" ht="15" hidden="1" customHeight="1" x14ac:dyDescent="0.25">
      <c r="A45" s="115"/>
      <c r="B45" s="114" t="s">
        <v>38</v>
      </c>
      <c r="C45" s="118"/>
      <c r="D45" s="119"/>
      <c r="E45" s="119"/>
      <c r="F45" s="119"/>
      <c r="G45" s="119"/>
      <c r="H45" s="119"/>
      <c r="I45" s="119"/>
      <c r="J45" s="122">
        <f>0.13*G44*((27092.1)/5)</f>
        <v>6197.5982782349984</v>
      </c>
      <c r="K45" s="112"/>
    </row>
    <row r="46" spans="1:19" ht="15" customHeight="1" x14ac:dyDescent="0.25">
      <c r="A46" s="115"/>
      <c r="B46" s="114"/>
      <c r="C46" s="118"/>
      <c r="D46" s="119"/>
      <c r="E46" s="119"/>
      <c r="F46" s="119"/>
      <c r="G46" s="120"/>
      <c r="H46" s="120"/>
      <c r="I46" s="120"/>
      <c r="J46" s="121"/>
      <c r="K46" s="112"/>
    </row>
    <row r="47" spans="1:19" ht="75" x14ac:dyDescent="0.25">
      <c r="A47" s="18">
        <v>5</v>
      </c>
      <c r="B47" s="30" t="s">
        <v>64</v>
      </c>
      <c r="C47" s="19" t="s">
        <v>7</v>
      </c>
      <c r="D47" s="65" t="s">
        <v>50</v>
      </c>
      <c r="E47" s="66" t="s">
        <v>55</v>
      </c>
      <c r="F47" s="66" t="s">
        <v>56</v>
      </c>
      <c r="G47" s="66" t="s">
        <v>57</v>
      </c>
      <c r="H47" s="22"/>
      <c r="I47" s="23"/>
      <c r="J47" s="116"/>
      <c r="K47" s="21"/>
    </row>
    <row r="48" spans="1:19" ht="15" customHeight="1" x14ac:dyDescent="0.25">
      <c r="A48" s="18"/>
      <c r="B48" s="114" t="s">
        <v>60</v>
      </c>
      <c r="C48" s="19">
        <v>25</v>
      </c>
      <c r="D48" s="20">
        <f>22.25/3.281</f>
        <v>6.7814690643096611</v>
      </c>
      <c r="E48" s="21">
        <f>10*10/162</f>
        <v>0.61728395061728392</v>
      </c>
      <c r="F48" s="21">
        <f>PRODUCT(C48:E48)</f>
        <v>104.65230037514908</v>
      </c>
      <c r="G48" s="67">
        <f>F48/1000</f>
        <v>0.10465230037514908</v>
      </c>
      <c r="H48" s="22"/>
      <c r="I48" s="23"/>
      <c r="J48" s="116"/>
      <c r="K48" s="21"/>
    </row>
    <row r="49" spans="1:19" ht="15" customHeight="1" x14ac:dyDescent="0.25">
      <c r="A49" s="18"/>
      <c r="B49" s="114"/>
      <c r="C49" s="19">
        <v>42</v>
      </c>
      <c r="D49" s="20">
        <f>12.75/3.281</f>
        <v>3.8860103626943006</v>
      </c>
      <c r="E49" s="21">
        <f>10*10/162</f>
        <v>0.61728395061728392</v>
      </c>
      <c r="F49" s="21">
        <f>PRODUCT(C49:E49)</f>
        <v>100.74841681059297</v>
      </c>
      <c r="G49" s="67">
        <f>F49/1000</f>
        <v>0.10074841681059298</v>
      </c>
      <c r="H49" s="22"/>
      <c r="I49" s="23"/>
      <c r="J49" s="116"/>
      <c r="K49" s="21"/>
    </row>
    <row r="50" spans="1:19" ht="15" customHeight="1" x14ac:dyDescent="0.25">
      <c r="A50" s="18"/>
      <c r="B50" s="114" t="s">
        <v>40</v>
      </c>
      <c r="C50" s="19"/>
      <c r="D50" s="20"/>
      <c r="E50" s="21"/>
      <c r="F50" s="21"/>
      <c r="G50" s="23">
        <f>SUM(G48:G49)</f>
        <v>0.20540071718574204</v>
      </c>
      <c r="H50" s="22" t="s">
        <v>51</v>
      </c>
      <c r="I50" s="23">
        <v>124140</v>
      </c>
      <c r="J50" s="116">
        <f>G50*I50</f>
        <v>25498.445031438016</v>
      </c>
      <c r="K50" s="21"/>
    </row>
    <row r="51" spans="1:19" ht="15" hidden="1" customHeight="1" x14ac:dyDescent="0.25">
      <c r="A51" s="18"/>
      <c r="B51" s="114" t="s">
        <v>38</v>
      </c>
      <c r="C51" s="19"/>
      <c r="D51" s="20"/>
      <c r="E51" s="21"/>
      <c r="F51" s="21"/>
      <c r="G51" s="23"/>
      <c r="H51" s="22"/>
      <c r="I51" s="23"/>
      <c r="J51" s="116">
        <f>0.13*G50*110960</f>
        <v>2962.8642652608919</v>
      </c>
      <c r="K51" s="21"/>
    </row>
    <row r="52" spans="1:19" ht="15" customHeight="1" x14ac:dyDescent="0.25">
      <c r="A52" s="18"/>
      <c r="B52" s="114"/>
      <c r="C52" s="19"/>
      <c r="D52" s="20"/>
      <c r="E52" s="21"/>
      <c r="F52" s="21"/>
      <c r="G52" s="23"/>
      <c r="H52" s="22"/>
      <c r="I52" s="23"/>
      <c r="J52" s="116"/>
      <c r="K52" s="21"/>
    </row>
    <row r="53" spans="1:19" ht="75" x14ac:dyDescent="0.25">
      <c r="A53" s="18">
        <v>6</v>
      </c>
      <c r="B53" s="30" t="s">
        <v>63</v>
      </c>
      <c r="C53" s="19"/>
      <c r="D53" s="65"/>
      <c r="E53" s="21"/>
      <c r="F53" s="21"/>
      <c r="G53" s="65" t="s">
        <v>70</v>
      </c>
      <c r="H53" s="22"/>
      <c r="I53" s="23"/>
      <c r="J53" s="116"/>
      <c r="K53" s="21"/>
    </row>
    <row r="54" spans="1:19" ht="15" customHeight="1" x14ac:dyDescent="0.25">
      <c r="A54" s="18"/>
      <c r="B54" s="114" t="str">
        <f>B14</f>
        <v>Sub-total</v>
      </c>
      <c r="C54" s="104">
        <v>1</v>
      </c>
      <c r="D54" s="105">
        <v>3.2</v>
      </c>
      <c r="E54" s="105">
        <v>2.2000000000000002</v>
      </c>
      <c r="F54" s="105">
        <v>4.2</v>
      </c>
      <c r="G54" s="106">
        <f>SQRT(((SUM(D54:F54))/2)*(((SUM(D54:F54))/2)-D54)*(((SUM(D54:F54))/2)-E54)*(((SUM(D54:F54))/2)-F54))</f>
        <v>3.4613292244454326</v>
      </c>
      <c r="H54" s="112" t="s">
        <v>90</v>
      </c>
      <c r="I54" s="115"/>
      <c r="J54" s="115"/>
      <c r="K54" s="21"/>
      <c r="M54" s="25"/>
      <c r="N54" s="1"/>
      <c r="O54" s="1"/>
      <c r="P54" s="1"/>
      <c r="Q54" s="1"/>
      <c r="R54" s="25"/>
      <c r="S54" s="25"/>
    </row>
    <row r="55" spans="1:19" ht="15" customHeight="1" x14ac:dyDescent="0.25">
      <c r="A55" s="18"/>
      <c r="B55" s="114"/>
      <c r="C55" s="104">
        <v>1</v>
      </c>
      <c r="D55" s="105">
        <v>4.2</v>
      </c>
      <c r="E55" s="105">
        <v>4.5</v>
      </c>
      <c r="F55" s="105">
        <v>4.17</v>
      </c>
      <c r="G55" s="106">
        <f t="shared" ref="G55:G59" si="4">SQRT(((SUM(D55:F55))/2)*(((SUM(D55:F55))/2)-D55)*(((SUM(D55:F55))/2)-E55)*(((SUM(D55:F55))/2)-F55))</f>
        <v>7.939398980676998</v>
      </c>
      <c r="H55" s="112" t="s">
        <v>90</v>
      </c>
      <c r="I55" s="115"/>
      <c r="J55" s="115"/>
      <c r="K55" s="21"/>
      <c r="M55" s="25"/>
      <c r="N55" s="1"/>
      <c r="O55" s="1"/>
      <c r="P55" s="1"/>
      <c r="Q55" s="1"/>
      <c r="R55" s="25"/>
      <c r="S55" s="25"/>
    </row>
    <row r="56" spans="1:19" ht="15" customHeight="1" x14ac:dyDescent="0.25">
      <c r="A56" s="18"/>
      <c r="B56" s="114"/>
      <c r="C56" s="104">
        <v>1</v>
      </c>
      <c r="D56" s="105">
        <v>4.5</v>
      </c>
      <c r="E56" s="105">
        <v>4.5</v>
      </c>
      <c r="F56" s="105">
        <v>2.9</v>
      </c>
      <c r="G56" s="106">
        <f t="shared" si="4"/>
        <v>6.176982981197213</v>
      </c>
      <c r="H56" s="112" t="s">
        <v>90</v>
      </c>
      <c r="I56" s="115"/>
      <c r="J56" s="115"/>
      <c r="K56" s="21"/>
      <c r="M56" s="25"/>
      <c r="N56" s="1"/>
      <c r="O56" s="1"/>
      <c r="P56" s="1"/>
      <c r="Q56" s="1"/>
      <c r="R56" s="25"/>
      <c r="S56" s="25"/>
    </row>
    <row r="57" spans="1:19" ht="15" customHeight="1" x14ac:dyDescent="0.25">
      <c r="A57" s="18"/>
      <c r="B57" s="114"/>
      <c r="C57" s="104">
        <v>1</v>
      </c>
      <c r="D57" s="105">
        <v>4.5</v>
      </c>
      <c r="E57" s="105">
        <v>4.3499999999999996</v>
      </c>
      <c r="F57" s="105">
        <v>4.2300000000000004</v>
      </c>
      <c r="G57" s="106">
        <f t="shared" si="4"/>
        <v>8.2154622657523042</v>
      </c>
      <c r="H57" s="112" t="s">
        <v>90</v>
      </c>
      <c r="I57" s="115"/>
      <c r="J57" s="115"/>
      <c r="K57" s="21"/>
      <c r="M57" s="25"/>
      <c r="N57" s="1"/>
      <c r="O57" s="1"/>
      <c r="P57" s="1"/>
      <c r="Q57" s="1"/>
      <c r="R57" s="25"/>
      <c r="S57" s="25"/>
    </row>
    <row r="58" spans="1:19" ht="15" customHeight="1" x14ac:dyDescent="0.25">
      <c r="A58" s="18"/>
      <c r="B58" s="114"/>
      <c r="C58" s="104">
        <v>1</v>
      </c>
      <c r="D58" s="105">
        <v>4.3499999999999996</v>
      </c>
      <c r="E58" s="105">
        <v>1.42</v>
      </c>
      <c r="F58" s="105">
        <v>2.95</v>
      </c>
      <c r="G58" s="106">
        <f t="shared" si="4"/>
        <v>0.42513461397538072</v>
      </c>
      <c r="H58" s="112" t="s">
        <v>90</v>
      </c>
      <c r="I58" s="115"/>
      <c r="J58" s="115"/>
      <c r="K58" s="21"/>
      <c r="M58" s="25"/>
      <c r="N58" s="1"/>
      <c r="O58" s="1"/>
      <c r="P58" s="1"/>
      <c r="Q58" s="1"/>
      <c r="R58" s="25"/>
      <c r="S58" s="25"/>
    </row>
    <row r="59" spans="1:19" ht="15" customHeight="1" x14ac:dyDescent="0.25">
      <c r="A59" s="18"/>
      <c r="B59" s="114"/>
      <c r="C59" s="104">
        <v>1</v>
      </c>
      <c r="D59" s="105">
        <v>1.42</v>
      </c>
      <c r="E59" s="105">
        <v>2.9</v>
      </c>
      <c r="F59" s="105">
        <v>2.5</v>
      </c>
      <c r="G59" s="106">
        <f t="shared" si="4"/>
        <v>1.7746369177947365</v>
      </c>
      <c r="H59" s="112" t="s">
        <v>90</v>
      </c>
      <c r="I59" s="115"/>
      <c r="J59" s="115"/>
      <c r="K59" s="21"/>
      <c r="M59" s="25"/>
      <c r="N59" s="1"/>
      <c r="O59" s="1"/>
      <c r="P59" s="1"/>
      <c r="Q59" s="1"/>
      <c r="R59" s="25"/>
      <c r="S59" s="25"/>
    </row>
    <row r="60" spans="1:19" ht="15" customHeight="1" x14ac:dyDescent="0.25">
      <c r="A60" s="18"/>
      <c r="B60" s="114"/>
      <c r="C60" s="104"/>
      <c r="D60" s="105" t="s">
        <v>91</v>
      </c>
      <c r="E60" s="105"/>
      <c r="F60" s="105"/>
      <c r="G60" s="106"/>
      <c r="H60" s="112"/>
      <c r="I60" s="115"/>
      <c r="J60" s="115"/>
      <c r="K60" s="21"/>
      <c r="M60" s="25"/>
      <c r="N60" s="1"/>
      <c r="O60" s="1"/>
      <c r="P60" s="1"/>
      <c r="Q60" s="1"/>
      <c r="R60" s="25"/>
      <c r="S60" s="25"/>
    </row>
    <row r="61" spans="1:19" ht="15" customHeight="1" x14ac:dyDescent="0.25">
      <c r="A61" s="18"/>
      <c r="B61" s="114" t="str">
        <f>B10</f>
        <v>-for road</v>
      </c>
      <c r="C61" s="104">
        <v>1</v>
      </c>
      <c r="D61" s="105">
        <f>SUM(G54:G59)</f>
        <v>27.992944983842065</v>
      </c>
      <c r="E61" s="105"/>
      <c r="F61" s="105">
        <v>0.15</v>
      </c>
      <c r="G61" s="125">
        <f>PRODUCT(C61:F61)</f>
        <v>4.1989417475763098</v>
      </c>
      <c r="H61" s="115"/>
      <c r="I61" s="115"/>
      <c r="J61" s="115"/>
      <c r="K61" s="21"/>
      <c r="M61" s="25"/>
      <c r="N61" s="1"/>
      <c r="O61" s="1"/>
      <c r="P61" s="1"/>
      <c r="Q61" s="1"/>
      <c r="R61" s="25"/>
      <c r="S61" s="25"/>
    </row>
    <row r="62" spans="1:19" ht="15" customHeight="1" x14ac:dyDescent="0.25">
      <c r="A62" s="115"/>
      <c r="B62" s="114" t="s">
        <v>40</v>
      </c>
      <c r="C62" s="118"/>
      <c r="D62" s="119"/>
      <c r="E62" s="119"/>
      <c r="F62" s="119"/>
      <c r="G62" s="120">
        <f>SUM(G61:G61)</f>
        <v>4.1989417475763098</v>
      </c>
      <c r="H62" s="120" t="s">
        <v>39</v>
      </c>
      <c r="I62" s="120">
        <v>11588.17</v>
      </c>
      <c r="J62" s="121">
        <f>G62*I62</f>
        <v>48658.050791011367</v>
      </c>
      <c r="K62" s="112"/>
    </row>
    <row r="63" spans="1:19" ht="15" hidden="1" customHeight="1" x14ac:dyDescent="0.25">
      <c r="A63" s="115"/>
      <c r="B63" s="114" t="s">
        <v>38</v>
      </c>
      <c r="C63" s="118"/>
      <c r="D63" s="119"/>
      <c r="E63" s="119"/>
      <c r="F63" s="119"/>
      <c r="G63" s="119"/>
      <c r="H63" s="119"/>
      <c r="I63" s="119"/>
      <c r="J63" s="122">
        <f>0.13*G62*(128662.2+6685.5)/15</f>
        <v>4925.4149357264296</v>
      </c>
      <c r="K63" s="112"/>
    </row>
    <row r="64" spans="1:19" ht="15" customHeight="1" x14ac:dyDescent="0.25">
      <c r="A64" s="115"/>
      <c r="B64" s="114"/>
      <c r="C64" s="118"/>
      <c r="D64" s="119"/>
      <c r="E64" s="119"/>
      <c r="F64" s="119"/>
      <c r="G64" s="120"/>
      <c r="H64" s="120"/>
      <c r="I64" s="120"/>
      <c r="J64" s="121"/>
      <c r="K64" s="112"/>
    </row>
    <row r="65" spans="1:19" ht="225" x14ac:dyDescent="0.25">
      <c r="A65" s="18">
        <v>7</v>
      </c>
      <c r="B65" s="30" t="s">
        <v>61</v>
      </c>
      <c r="C65" s="19"/>
      <c r="D65" s="20"/>
      <c r="E65" s="21"/>
      <c r="F65" s="21"/>
      <c r="G65" s="23"/>
      <c r="H65" s="22"/>
      <c r="I65" s="23"/>
      <c r="J65" s="116"/>
      <c r="K65" s="21"/>
    </row>
    <row r="66" spans="1:19" ht="15" customHeight="1" x14ac:dyDescent="0.25">
      <c r="A66" s="18"/>
      <c r="B66" s="114" t="s">
        <v>62</v>
      </c>
      <c r="C66" s="19">
        <v>1</v>
      </c>
      <c r="D66" s="105">
        <v>3</v>
      </c>
      <c r="E66" s="105">
        <v>1</v>
      </c>
      <c r="F66" s="105">
        <v>1</v>
      </c>
      <c r="G66" s="106">
        <f t="shared" ref="G66" si="5">PRODUCT(C66:F66)</f>
        <v>3</v>
      </c>
      <c r="H66" s="115"/>
      <c r="I66" s="115"/>
      <c r="J66" s="115"/>
      <c r="K66" s="21"/>
    </row>
    <row r="67" spans="1:19" ht="15" customHeight="1" x14ac:dyDescent="0.25">
      <c r="A67" s="18"/>
      <c r="B67" s="114" t="s">
        <v>40</v>
      </c>
      <c r="C67" s="19"/>
      <c r="D67" s="20"/>
      <c r="E67" s="21"/>
      <c r="F67" s="21"/>
      <c r="G67" s="23">
        <f>SUM(G66:G66)</f>
        <v>3</v>
      </c>
      <c r="H67" s="22" t="s">
        <v>39</v>
      </c>
      <c r="I67" s="23">
        <v>6152.23</v>
      </c>
      <c r="J67" s="116">
        <f>G67*I67</f>
        <v>18456.689999999999</v>
      </c>
      <c r="K67" s="21"/>
    </row>
    <row r="68" spans="1:19" ht="15" hidden="1" customHeight="1" x14ac:dyDescent="0.25">
      <c r="A68" s="18"/>
      <c r="B68" s="114" t="s">
        <v>38</v>
      </c>
      <c r="C68" s="19"/>
      <c r="D68" s="20"/>
      <c r="E68" s="21"/>
      <c r="F68" s="21"/>
      <c r="G68" s="23"/>
      <c r="H68" s="22"/>
      <c r="I68" s="23"/>
      <c r="J68" s="116">
        <f>0.13*G67*26798.3/6</f>
        <v>1741.8895</v>
      </c>
      <c r="K68" s="21"/>
    </row>
    <row r="69" spans="1:19" ht="15" customHeight="1" x14ac:dyDescent="0.25">
      <c r="A69" s="18"/>
      <c r="B69" s="114"/>
      <c r="C69" s="19"/>
      <c r="D69" s="20"/>
      <c r="E69" s="21"/>
      <c r="F69" s="21"/>
      <c r="G69" s="23"/>
      <c r="H69" s="22"/>
      <c r="I69" s="23"/>
      <c r="J69" s="116"/>
      <c r="K69" s="21"/>
    </row>
    <row r="70" spans="1:19" ht="105" x14ac:dyDescent="0.25">
      <c r="A70" s="18">
        <v>8</v>
      </c>
      <c r="B70" s="30" t="s">
        <v>65</v>
      </c>
      <c r="C70" s="19"/>
      <c r="D70" s="20"/>
      <c r="E70" s="21"/>
      <c r="F70" s="21"/>
      <c r="G70" s="23"/>
      <c r="H70" s="22"/>
      <c r="I70" s="23"/>
      <c r="J70" s="116"/>
      <c r="K70" s="21"/>
    </row>
    <row r="71" spans="1:19" ht="15" customHeight="1" x14ac:dyDescent="0.25">
      <c r="A71" s="18"/>
      <c r="B71" s="114" t="s">
        <v>62</v>
      </c>
      <c r="C71" s="19">
        <v>1</v>
      </c>
      <c r="D71" s="105">
        <v>3</v>
      </c>
      <c r="E71" s="105"/>
      <c r="F71" s="105">
        <v>2</v>
      </c>
      <c r="G71" s="106">
        <f t="shared" ref="G71:G72" si="6">PRODUCT(C71:F71)</f>
        <v>6</v>
      </c>
      <c r="H71" s="115"/>
      <c r="I71" s="115"/>
      <c r="J71" s="115"/>
      <c r="K71" s="21"/>
    </row>
    <row r="72" spans="1:19" ht="15" customHeight="1" x14ac:dyDescent="0.25">
      <c r="A72" s="18"/>
      <c r="B72" s="114"/>
      <c r="C72" s="19">
        <v>1</v>
      </c>
      <c r="D72" s="105">
        <v>3</v>
      </c>
      <c r="E72" s="105"/>
      <c r="F72" s="105">
        <v>1</v>
      </c>
      <c r="G72" s="106">
        <f t="shared" si="6"/>
        <v>3</v>
      </c>
      <c r="H72" s="115"/>
      <c r="I72" s="115"/>
      <c r="J72" s="115"/>
      <c r="K72" s="21"/>
    </row>
    <row r="73" spans="1:19" ht="15" customHeight="1" x14ac:dyDescent="0.25">
      <c r="A73" s="18"/>
      <c r="B73" s="114" t="s">
        <v>40</v>
      </c>
      <c r="C73" s="19"/>
      <c r="D73" s="20"/>
      <c r="E73" s="21"/>
      <c r="F73" s="21"/>
      <c r="G73" s="23">
        <f>SUM(G71:G72)</f>
        <v>9</v>
      </c>
      <c r="H73" s="22" t="s">
        <v>52</v>
      </c>
      <c r="I73" s="23">
        <v>161.41999999999999</v>
      </c>
      <c r="J73" s="116">
        <f>G73*I73</f>
        <v>1452.78</v>
      </c>
      <c r="K73" s="21"/>
    </row>
    <row r="74" spans="1:19" ht="15" hidden="1" customHeight="1" x14ac:dyDescent="0.25">
      <c r="A74" s="18"/>
      <c r="B74" s="114" t="s">
        <v>38</v>
      </c>
      <c r="C74" s="19"/>
      <c r="D74" s="20"/>
      <c r="E74" s="21"/>
      <c r="F74" s="21"/>
      <c r="G74" s="23"/>
      <c r="H74" s="22"/>
      <c r="I74" s="23"/>
      <c r="J74" s="116">
        <f>0.13*G73*45360/300</f>
        <v>176.904</v>
      </c>
      <c r="K74" s="21"/>
    </row>
    <row r="75" spans="1:19" ht="15" customHeight="1" x14ac:dyDescent="0.25">
      <c r="A75" s="18"/>
      <c r="B75" s="114"/>
      <c r="C75" s="19"/>
      <c r="D75" s="20"/>
      <c r="E75" s="21"/>
      <c r="F75" s="21"/>
      <c r="G75" s="23"/>
      <c r="H75" s="22"/>
      <c r="I75" s="23"/>
      <c r="J75" s="116"/>
      <c r="K75" s="21"/>
    </row>
    <row r="76" spans="1:19" ht="15" customHeight="1" x14ac:dyDescent="0.25">
      <c r="A76" s="18">
        <v>9</v>
      </c>
      <c r="B76" s="30" t="s">
        <v>30</v>
      </c>
      <c r="C76" s="19">
        <v>1</v>
      </c>
      <c r="D76" s="20"/>
      <c r="E76" s="21"/>
      <c r="F76" s="21"/>
      <c r="G76" s="125">
        <f t="shared" ref="G76" si="7">PRODUCT(C76:F76)</f>
        <v>1</v>
      </c>
      <c r="H76" s="22" t="s">
        <v>31</v>
      </c>
      <c r="I76" s="23">
        <v>500</v>
      </c>
      <c r="J76" s="125">
        <f>G76*I76</f>
        <v>500</v>
      </c>
      <c r="K76" s="21"/>
      <c r="M76" s="25"/>
      <c r="N76" s="1"/>
      <c r="O76" s="1"/>
      <c r="P76" s="1"/>
      <c r="Q76" s="1"/>
      <c r="R76" s="25"/>
      <c r="S76" s="25"/>
    </row>
    <row r="77" spans="1:19" ht="15" customHeight="1" x14ac:dyDescent="0.25">
      <c r="A77" s="18"/>
      <c r="B77" s="24"/>
      <c r="C77" s="19"/>
      <c r="D77" s="20"/>
      <c r="E77" s="21"/>
      <c r="F77" s="21"/>
      <c r="G77" s="23"/>
      <c r="H77" s="22"/>
      <c r="I77" s="23"/>
      <c r="J77" s="116"/>
      <c r="K77" s="21"/>
      <c r="M77" s="25"/>
      <c r="N77" s="1">
        <f>2.4*3.281</f>
        <v>7.8743999999999996</v>
      </c>
      <c r="O77" s="1"/>
      <c r="P77" s="1"/>
      <c r="Q77" s="1"/>
      <c r="R77" s="25"/>
      <c r="S77" s="25"/>
    </row>
    <row r="78" spans="1:19" x14ac:dyDescent="0.25">
      <c r="A78" s="115"/>
      <c r="B78" s="126" t="s">
        <v>17</v>
      </c>
      <c r="C78" s="104"/>
      <c r="D78" s="105"/>
      <c r="E78" s="105"/>
      <c r="F78" s="105"/>
      <c r="G78" s="116"/>
      <c r="H78" s="116"/>
      <c r="I78" s="116"/>
      <c r="J78" s="116">
        <f>SUM(J10:J76)</f>
        <v>226981.99528937391</v>
      </c>
      <c r="K78" s="112"/>
    </row>
    <row r="79" spans="1:19" x14ac:dyDescent="0.25">
      <c r="A79" s="58"/>
      <c r="B79" s="61"/>
      <c r="C79" s="62"/>
      <c r="D79" s="59"/>
      <c r="E79" s="59"/>
      <c r="F79" s="59"/>
      <c r="G79" s="60"/>
      <c r="H79" s="60"/>
      <c r="I79" s="60"/>
      <c r="J79" s="60"/>
      <c r="K79" s="57"/>
    </row>
    <row r="80" spans="1:19" s="1" customFormat="1" hidden="1" x14ac:dyDescent="0.25">
      <c r="A80" s="50"/>
      <c r="B80" s="29" t="s">
        <v>27</v>
      </c>
      <c r="C80" s="85">
        <f>J78</f>
        <v>226981.99528937391</v>
      </c>
      <c r="D80" s="85"/>
      <c r="E80" s="39">
        <v>100</v>
      </c>
      <c r="F80" s="51"/>
      <c r="G80" s="52"/>
      <c r="H80" s="51"/>
      <c r="I80" s="53"/>
      <c r="J80" s="54"/>
      <c r="K80" s="55"/>
    </row>
    <row r="81" spans="1:19" hidden="1" x14ac:dyDescent="0.25">
      <c r="A81" s="56"/>
      <c r="B81" s="29" t="s">
        <v>32</v>
      </c>
      <c r="C81" s="88">
        <v>200000</v>
      </c>
      <c r="D81" s="88"/>
      <c r="E81" s="39"/>
      <c r="F81" s="49"/>
      <c r="G81" s="48"/>
      <c r="H81" s="48"/>
      <c r="I81" s="48"/>
      <c r="J81" s="48"/>
      <c r="K81" s="49"/>
    </row>
    <row r="82" spans="1:19" hidden="1" x14ac:dyDescent="0.25">
      <c r="A82" s="56"/>
      <c r="B82" s="29" t="s">
        <v>33</v>
      </c>
      <c r="C82" s="88">
        <f>C81-C84-C85</f>
        <v>190000</v>
      </c>
      <c r="D82" s="88"/>
      <c r="E82" s="39">
        <f>C82/C80*100</f>
        <v>83.707079831496571</v>
      </c>
      <c r="F82" s="49"/>
      <c r="G82" s="48"/>
      <c r="H82" s="48"/>
      <c r="I82" s="48"/>
      <c r="J82" s="48"/>
      <c r="K82" s="49"/>
    </row>
    <row r="83" spans="1:19" hidden="1" x14ac:dyDescent="0.25">
      <c r="A83" s="56"/>
      <c r="B83" s="29" t="s">
        <v>34</v>
      </c>
      <c r="C83" s="85">
        <f>C80-C82</f>
        <v>36981.99528937391</v>
      </c>
      <c r="D83" s="85"/>
      <c r="E83" s="39">
        <f>100-E82</f>
        <v>16.292920168503429</v>
      </c>
      <c r="F83" s="49"/>
      <c r="G83" s="48"/>
      <c r="H83" s="48"/>
      <c r="I83" s="48"/>
      <c r="J83" s="48"/>
      <c r="K83" s="49"/>
      <c r="R83" s="1">
        <v>3.2</v>
      </c>
      <c r="S83" s="1">
        <f>CONVERT(R83,"m","ft")</f>
        <v>10.498687664041995</v>
      </c>
    </row>
    <row r="84" spans="1:19" hidden="1" x14ac:dyDescent="0.25">
      <c r="A84" s="56"/>
      <c r="B84" s="29" t="s">
        <v>35</v>
      </c>
      <c r="C84" s="85">
        <f>C81*0.03</f>
        <v>6000</v>
      </c>
      <c r="D84" s="85"/>
      <c r="E84" s="39">
        <v>3</v>
      </c>
      <c r="F84" s="49"/>
      <c r="G84" s="48"/>
      <c r="H84" s="48"/>
      <c r="I84" s="48"/>
      <c r="J84" s="48"/>
      <c r="K84" s="49"/>
      <c r="R84" s="1">
        <v>2.2000000000000002</v>
      </c>
      <c r="S84" s="1">
        <f t="shared" ref="O84:S106" si="8">CONVERT(R84,"m","ft")</f>
        <v>7.2178477690288716</v>
      </c>
    </row>
    <row r="85" spans="1:19" hidden="1" x14ac:dyDescent="0.25">
      <c r="A85" s="56"/>
      <c r="B85" s="29" t="s">
        <v>36</v>
      </c>
      <c r="C85" s="85">
        <f>C81*0.02</f>
        <v>4000</v>
      </c>
      <c r="D85" s="85"/>
      <c r="E85" s="39">
        <v>2</v>
      </c>
      <c r="F85" s="49"/>
      <c r="G85" s="48"/>
      <c r="H85" s="48"/>
      <c r="I85" s="48"/>
      <c r="J85" s="48"/>
      <c r="K85" s="49"/>
      <c r="R85" s="1">
        <v>4.2</v>
      </c>
      <c r="S85" s="1">
        <f t="shared" si="8"/>
        <v>13.779527559055119</v>
      </c>
    </row>
    <row r="86" spans="1:19" s="35" customFormat="1" x14ac:dyDescent="0.25">
      <c r="A86" s="57"/>
      <c r="B86" s="57"/>
      <c r="C86" s="57"/>
      <c r="D86" s="57"/>
      <c r="E86" s="57"/>
      <c r="F86" s="57"/>
      <c r="G86" s="57"/>
      <c r="H86" s="57"/>
      <c r="I86" s="57"/>
      <c r="J86" s="57"/>
      <c r="K86" s="57"/>
      <c r="R86"/>
      <c r="S86"/>
    </row>
    <row r="87" spans="1:19" s="35" customFormat="1" x14ac:dyDescent="0.25">
      <c r="R87" s="1">
        <v>4.2</v>
      </c>
      <c r="S87" s="1">
        <f t="shared" si="8"/>
        <v>13.779527559055119</v>
      </c>
    </row>
    <row r="88" spans="1:19" s="35" customFormat="1" x14ac:dyDescent="0.25">
      <c r="B88" s="73" t="s">
        <v>22</v>
      </c>
      <c r="C88" s="101" t="s">
        <v>14</v>
      </c>
      <c r="D88" s="101"/>
      <c r="E88" s="35" t="s">
        <v>75</v>
      </c>
      <c r="R88" s="1"/>
      <c r="S88" s="1"/>
    </row>
    <row r="89" spans="1:19" s="35" customFormat="1" x14ac:dyDescent="0.25">
      <c r="B89" s="73" t="s">
        <v>73</v>
      </c>
      <c r="C89" s="102">
        <f>19284/360*G14</f>
        <v>522.6870212785044</v>
      </c>
      <c r="D89" s="102"/>
      <c r="E89" s="74">
        <f>C89*0.13</f>
        <v>67.94931276620558</v>
      </c>
      <c r="F89" s="74"/>
      <c r="G89" s="74"/>
      <c r="H89" s="74"/>
      <c r="I89" s="74"/>
      <c r="R89" s="1">
        <v>4.5</v>
      </c>
      <c r="S89" s="1">
        <f t="shared" si="8"/>
        <v>14.763779527559056</v>
      </c>
    </row>
    <row r="90" spans="1:19" s="35" customFormat="1" x14ac:dyDescent="0.25">
      <c r="B90" s="73" t="s">
        <v>74</v>
      </c>
      <c r="C90" s="102">
        <f>(14817.6/5*G21)+(14808.78/5*G44)+(16299.36/6*G67)</f>
        <v>48441.489169877343</v>
      </c>
      <c r="D90" s="102"/>
      <c r="E90" s="74">
        <f>C90*0.13+200</f>
        <v>6497.3935920840549</v>
      </c>
      <c r="F90" s="74"/>
      <c r="G90" s="74"/>
      <c r="H90" s="74"/>
      <c r="I90" s="74"/>
      <c r="R90" s="1">
        <v>4.17</v>
      </c>
      <c r="S90" s="1">
        <f t="shared" si="8"/>
        <v>13.681102362204724</v>
      </c>
    </row>
    <row r="91" spans="1:19" s="35" customFormat="1" x14ac:dyDescent="0.25">
      <c r="B91" s="73" t="s">
        <v>76</v>
      </c>
      <c r="C91" s="102">
        <f>(49275.03/15*G33)+(5368.95/5*G44)+(62160.51/15*G62)</f>
        <v>28854.858638887788</v>
      </c>
      <c r="D91" s="102"/>
      <c r="E91" s="74">
        <f>C91*0.13+200</f>
        <v>3951.1316230554125</v>
      </c>
      <c r="F91" s="74"/>
      <c r="G91" s="74"/>
      <c r="H91" s="74"/>
      <c r="I91" s="74"/>
      <c r="R91"/>
      <c r="S91" s="1"/>
    </row>
    <row r="92" spans="1:19" s="35" customFormat="1" x14ac:dyDescent="0.25">
      <c r="B92" s="73" t="s">
        <v>77</v>
      </c>
      <c r="C92" s="102">
        <f>(21432.6/15*G33)+(6604.42/5*G44)+(21432.6/15*G62)</f>
        <v>18494.163043819335</v>
      </c>
      <c r="D92" s="102"/>
      <c r="E92" s="74">
        <f>C92*0.13+100</f>
        <v>2504.2411956965138</v>
      </c>
      <c r="F92" s="74"/>
      <c r="G92" s="74"/>
      <c r="H92" s="74"/>
      <c r="I92" s="74"/>
      <c r="R92" s="1">
        <v>4.5</v>
      </c>
      <c r="S92" s="1">
        <f t="shared" si="8"/>
        <v>14.763779527559056</v>
      </c>
    </row>
    <row r="93" spans="1:19" s="35" customFormat="1" x14ac:dyDescent="0.25">
      <c r="B93" s="73" t="s">
        <v>78</v>
      </c>
      <c r="C93" s="102">
        <f>((25719.12+13573.98+4286.52)/15*G33)+((27147.96+17146.08)/15*G62)</f>
        <v>14173.863521122888</v>
      </c>
      <c r="D93" s="102"/>
      <c r="E93" s="74">
        <f t="shared" ref="E93:E100" si="9">C93*0.13</f>
        <v>1842.6022577459755</v>
      </c>
      <c r="F93" s="74"/>
      <c r="G93" s="74"/>
      <c r="H93" s="74"/>
      <c r="I93" s="74"/>
      <c r="R93" s="1">
        <v>4.5</v>
      </c>
      <c r="S93" s="1">
        <f t="shared" si="8"/>
        <v>14.763779527559056</v>
      </c>
    </row>
    <row r="94" spans="1:19" s="35" customFormat="1" x14ac:dyDescent="0.25">
      <c r="B94" s="73" t="s">
        <v>79</v>
      </c>
      <c r="C94" s="102">
        <f>(620/15*G33)+(310/5*G44)+(775/15*G62)</f>
        <v>787.69852725679857</v>
      </c>
      <c r="D94" s="102"/>
      <c r="E94" s="74">
        <f t="shared" si="9"/>
        <v>102.40080854338382</v>
      </c>
      <c r="F94" s="74"/>
      <c r="G94" s="74"/>
      <c r="H94" s="74"/>
      <c r="I94" s="74"/>
      <c r="R94" s="1">
        <v>2.9</v>
      </c>
      <c r="S94" s="1">
        <f t="shared" si="8"/>
        <v>9.514435695538058</v>
      </c>
    </row>
    <row r="95" spans="1:19" s="35" customFormat="1" x14ac:dyDescent="0.25">
      <c r="B95" s="73" t="s">
        <v>80</v>
      </c>
      <c r="C95" s="102">
        <f>6135.3/15*G33</f>
        <v>249.84281106217617</v>
      </c>
      <c r="D95" s="102"/>
      <c r="E95" s="74">
        <f>C95*0.13+10</f>
        <v>42.479565438082901</v>
      </c>
      <c r="F95" s="74"/>
      <c r="G95" s="74"/>
      <c r="H95" s="74"/>
      <c r="I95" s="74"/>
    </row>
    <row r="96" spans="1:19" s="35" customFormat="1" x14ac:dyDescent="0.25">
      <c r="B96" s="73" t="s">
        <v>81</v>
      </c>
      <c r="C96" s="102">
        <f>110000/1*G50</f>
        <v>22594.078890431625</v>
      </c>
      <c r="D96" s="102"/>
      <c r="E96" s="74">
        <f>C96*0.13+26</f>
        <v>2963.2302557561115</v>
      </c>
      <c r="F96" s="74"/>
      <c r="G96" s="74"/>
      <c r="H96" s="74"/>
      <c r="I96" s="74"/>
      <c r="N96" s="68">
        <v>4.5</v>
      </c>
      <c r="O96" s="1">
        <f t="shared" si="8"/>
        <v>14.763779527559056</v>
      </c>
    </row>
    <row r="97" spans="2:19" s="35" customFormat="1" x14ac:dyDescent="0.25">
      <c r="B97" s="73" t="s">
        <v>82</v>
      </c>
      <c r="C97" s="102">
        <f>(960/1*G50)+(434.4/6*G67)</f>
        <v>414.38468849831236</v>
      </c>
      <c r="D97" s="102"/>
      <c r="E97" s="74">
        <f t="shared" si="9"/>
        <v>53.870009504780612</v>
      </c>
      <c r="F97" s="74"/>
      <c r="G97" s="74"/>
      <c r="H97" s="74"/>
      <c r="I97" s="74"/>
      <c r="N97" s="69">
        <v>4.3499999999999996</v>
      </c>
      <c r="O97" s="1">
        <f t="shared" si="8"/>
        <v>14.271653543307087</v>
      </c>
    </row>
    <row r="98" spans="2:19" s="35" customFormat="1" x14ac:dyDescent="0.25">
      <c r="B98" s="73" t="s">
        <v>83</v>
      </c>
      <c r="C98" s="101">
        <f>(9055.8/6*G67)</f>
        <v>4527.8999999999996</v>
      </c>
      <c r="D98" s="101"/>
      <c r="E98" s="74">
        <f t="shared" si="9"/>
        <v>588.62699999999995</v>
      </c>
      <c r="F98" s="74"/>
      <c r="G98" s="74"/>
      <c r="H98" s="74"/>
      <c r="I98" s="74"/>
      <c r="N98" s="69">
        <v>4.2300000000000004</v>
      </c>
      <c r="O98" s="1">
        <f t="shared" si="8"/>
        <v>13.877952755905515</v>
      </c>
    </row>
    <row r="99" spans="2:19" s="35" customFormat="1" x14ac:dyDescent="0.25">
      <c r="B99" s="73" t="s">
        <v>84</v>
      </c>
      <c r="C99" s="101">
        <f>(1008.78/6*G67)</f>
        <v>504.39</v>
      </c>
      <c r="D99" s="101"/>
      <c r="E99" s="74">
        <f t="shared" si="9"/>
        <v>65.570700000000002</v>
      </c>
      <c r="F99" s="74"/>
      <c r="G99" s="74"/>
      <c r="H99" s="74"/>
      <c r="I99" s="74"/>
    </row>
    <row r="100" spans="2:19" s="35" customFormat="1" x14ac:dyDescent="0.25">
      <c r="B100" s="73" t="s">
        <v>85</v>
      </c>
      <c r="C100" s="101">
        <f>(45360/300*G73)</f>
        <v>1360.8</v>
      </c>
      <c r="D100" s="101"/>
      <c r="E100" s="74">
        <f t="shared" si="9"/>
        <v>176.904</v>
      </c>
      <c r="F100" s="74"/>
      <c r="G100" s="74"/>
      <c r="H100" s="74"/>
      <c r="I100" s="74"/>
      <c r="R100" s="69">
        <v>4.3499999999999996</v>
      </c>
      <c r="S100" s="1">
        <f t="shared" si="8"/>
        <v>14.271653543307087</v>
      </c>
    </row>
    <row r="101" spans="2:19" s="35" customFormat="1" x14ac:dyDescent="0.25">
      <c r="C101" s="101"/>
      <c r="D101" s="101"/>
      <c r="R101" s="69">
        <v>1.42</v>
      </c>
      <c r="S101" s="1">
        <f t="shared" si="8"/>
        <v>4.6587926509186355</v>
      </c>
    </row>
    <row r="102" spans="2:19" s="35" customFormat="1" x14ac:dyDescent="0.25">
      <c r="E102" s="74">
        <f>J15+J22+J34+J45+J51+J63+J68+J74</f>
        <v>18563.679250604957</v>
      </c>
      <c r="R102" s="69">
        <v>2.95</v>
      </c>
      <c r="S102" s="1">
        <f t="shared" si="8"/>
        <v>9.6784776902887142</v>
      </c>
    </row>
    <row r="103" spans="2:19" s="35" customFormat="1" x14ac:dyDescent="0.25"/>
    <row r="104" spans="2:19" s="35" customFormat="1" x14ac:dyDescent="0.25">
      <c r="R104" s="69">
        <v>1.42</v>
      </c>
      <c r="S104" s="1">
        <f t="shared" si="8"/>
        <v>4.6587926509186355</v>
      </c>
    </row>
    <row r="105" spans="2:19" s="35" customFormat="1" x14ac:dyDescent="0.25">
      <c r="R105" s="69">
        <v>2.9</v>
      </c>
      <c r="S105" s="1">
        <f t="shared" si="8"/>
        <v>9.514435695538058</v>
      </c>
    </row>
    <row r="106" spans="2:19" s="35" customFormat="1" x14ac:dyDescent="0.25">
      <c r="R106" s="69">
        <v>2.5</v>
      </c>
      <c r="S106" s="1">
        <f t="shared" si="8"/>
        <v>8.2020997375328086</v>
      </c>
    </row>
    <row r="107" spans="2:19" s="35" customFormat="1" x14ac:dyDescent="0.25"/>
    <row r="108" spans="2:19" s="35" customFormat="1" x14ac:dyDescent="0.25"/>
    <row r="109" spans="2:19" s="35" customFormat="1" x14ac:dyDescent="0.25"/>
    <row r="110" spans="2:19" s="35" customFormat="1" x14ac:dyDescent="0.25"/>
    <row r="111" spans="2:19" s="35" customFormat="1" x14ac:dyDescent="0.25"/>
    <row r="112" spans="2:19"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sheetData>
  <mergeCells count="28">
    <mergeCell ref="A6:F6"/>
    <mergeCell ref="A1:K1"/>
    <mergeCell ref="A2:K2"/>
    <mergeCell ref="A3:K3"/>
    <mergeCell ref="A4:K4"/>
    <mergeCell ref="A5:K5"/>
    <mergeCell ref="A7:F7"/>
    <mergeCell ref="O17:U17"/>
    <mergeCell ref="C80:D80"/>
    <mergeCell ref="C81:D81"/>
    <mergeCell ref="C82:D82"/>
    <mergeCell ref="C96:D96"/>
    <mergeCell ref="C83:D83"/>
    <mergeCell ref="C84:D84"/>
    <mergeCell ref="C85:D85"/>
    <mergeCell ref="C88:D88"/>
    <mergeCell ref="C89:D89"/>
    <mergeCell ref="C90:D90"/>
    <mergeCell ref="C91:D91"/>
    <mergeCell ref="C92:D92"/>
    <mergeCell ref="C93:D93"/>
    <mergeCell ref="C94:D94"/>
    <mergeCell ref="C95:D95"/>
    <mergeCell ref="C97:D97"/>
    <mergeCell ref="C98:D98"/>
    <mergeCell ref="C99:D99"/>
    <mergeCell ref="C100:D100"/>
    <mergeCell ref="C101:D101"/>
  </mergeCells>
  <pageMargins left="0.70866141732283505" right="0.70866141732283505" top="0.74803149606299202" bottom="0.74803149606299202" header="0.31496062992126" footer="0.31496062992126"/>
  <pageSetup paperSize="9" scale="9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estimate</vt:lpstr>
      <vt:lpstr>WCR</vt:lpstr>
      <vt:lpstr>V</vt:lpstr>
      <vt:lpstr>MQ</vt:lpstr>
      <vt:lpstr>estimate!Print_Area</vt:lpstr>
      <vt:lpstr>MQ!Print_Area</vt:lpstr>
      <vt:lpstr>V!Print_Area</vt:lpstr>
      <vt:lpstr>WCR!Print_Area</vt:lpstr>
      <vt:lpstr>estimate!Print_Titles</vt:lpstr>
      <vt:lpstr>MQ!Print_Titles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2025-06-30T05:40:37Z</cp:lastPrinted>
  <dcterms:created xsi:type="dcterms:W3CDTF">2015-06-05T18:17:20Z</dcterms:created>
  <dcterms:modified xsi:type="dcterms:W3CDTF">2025-06-30T05:41:51Z</dcterms:modified>
</cp:coreProperties>
</file>