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chool lilaami\"/>
    </mc:Choice>
  </mc:AlternateContent>
  <bookViews>
    <workbookView xWindow="-120" yWindow="-120" windowWidth="20736" windowHeight="11160" activeTab="7"/>
  </bookViews>
  <sheets>
    <sheet name="quqntity cqlculqtion" sheetId="18" r:id="rId1"/>
    <sheet name="demolition cost" sheetId="20" state="hidden" r:id="rId2"/>
    <sheet name="Compilation 1" sheetId="22" r:id="rId3"/>
    <sheet name="COD-1" sheetId="23" r:id="rId4"/>
    <sheet name="COD-sum" sheetId="27" r:id="rId5"/>
    <sheet name="Brick rate" sheetId="24" r:id="rId6"/>
    <sheet name="wood frame" sheetId="25" r:id="rId7"/>
    <sheet name="MS rate" sheetId="2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heskini150">'[2]update Rate'!$M$65</definedName>
    <definedName name="cheskini300">'[2]update Rate'!$M$66</definedName>
    <definedName name="concrete_mixer">[1]Equipment_Rate!$J$10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[1]Equipment_Rate!$J$19</definedName>
    <definedName name="generator">[1]Equipment_Rate!$J$20</definedName>
    <definedName name="holpass">'[7]update Rate'!$J$62</definedName>
    <definedName name="Kabja100">'[2]update Rate'!$M$62</definedName>
    <definedName name="lucking300">'[2]update Rate'!$M$67</definedName>
    <definedName name="_xlnm.Print_Area" localSheetId="5">'Brick rate'!$A$1:$F$31</definedName>
    <definedName name="_xlnm.Print_Area" localSheetId="3">'COD-1'!$A$1:$G$30</definedName>
    <definedName name="_xlnm.Print_Area" localSheetId="2">'Compilation 1'!$A$1:$H$20</definedName>
    <definedName name="_xlnm.Print_Area" localSheetId="1">'demolition cost'!$A$1:$K$170</definedName>
    <definedName name="_xlnm.Print_Area" localSheetId="7">'MS rate'!$A$1:$F$30</definedName>
    <definedName name="_xlnm.Print_Area" localSheetId="0">'quqntity cqlculqtion'!$A$1:$K$165</definedName>
    <definedName name="_xlnm.Print_Area" localSheetId="6">'wood frame'!$A$1:$F$30</definedName>
    <definedName name="_xlnm.Print_Titles" localSheetId="2">'Compilation 1'!$1:$11</definedName>
    <definedName name="_xlnm.Print_Titles" localSheetId="1">'demolition cost'!$1:$8</definedName>
    <definedName name="_xlnm.Print_Titles" localSheetId="0">'quqntity cqlculqtion'!$1:$8</definedName>
    <definedName name="shandle">'[2]update Rate'!$M$92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27" l="1"/>
  <c r="F15" i="27"/>
  <c r="F22" i="27"/>
  <c r="F17" i="27"/>
  <c r="A3" i="27"/>
  <c r="A2" i="27"/>
  <c r="A1" i="27"/>
  <c r="F18" i="23"/>
  <c r="F29" i="23"/>
  <c r="F27" i="23"/>
  <c r="E27" i="23"/>
  <c r="F14" i="26"/>
  <c r="D27" i="23"/>
  <c r="D26" i="23"/>
  <c r="E25" i="23"/>
  <c r="F14" i="25"/>
  <c r="F24" i="26"/>
  <c r="F23" i="26"/>
  <c r="F12" i="26"/>
  <c r="F16" i="26" s="1"/>
  <c r="A3" i="26"/>
  <c r="A2" i="26"/>
  <c r="A1" i="26"/>
  <c r="F22" i="25"/>
  <c r="F23" i="25" s="1"/>
  <c r="F27" i="25" s="1"/>
  <c r="F29" i="25" s="1"/>
  <c r="F16" i="25"/>
  <c r="F18" i="25" s="1"/>
  <c r="F12" i="25"/>
  <c r="A3" i="25"/>
  <c r="A2" i="25"/>
  <c r="A1" i="25"/>
  <c r="D25" i="23"/>
  <c r="D23" i="23"/>
  <c r="F14" i="24"/>
  <c r="F27" i="26" l="1"/>
  <c r="F29" i="26" s="1"/>
  <c r="F24" i="27"/>
  <c r="F18" i="26"/>
  <c r="F25" i="27" l="1"/>
  <c r="F26" i="27" s="1"/>
  <c r="F23" i="24" l="1"/>
  <c r="F12" i="24"/>
  <c r="F16" i="24" s="1"/>
  <c r="F26" i="23"/>
  <c r="F23" i="23"/>
  <c r="B18" i="22"/>
  <c r="B14" i="22"/>
  <c r="F18" i="24" l="1"/>
  <c r="E21" i="23" s="1"/>
  <c r="F24" i="24"/>
  <c r="F28" i="24" s="1"/>
  <c r="F30" i="24" s="1"/>
  <c r="F25" i="23"/>
  <c r="J18" i="22" l="1"/>
  <c r="C170" i="20" l="1"/>
  <c r="C169" i="20"/>
  <c r="F159" i="20"/>
  <c r="E159" i="20"/>
  <c r="D159" i="20"/>
  <c r="F157" i="20"/>
  <c r="E157" i="20"/>
  <c r="D157" i="20"/>
  <c r="F156" i="20"/>
  <c r="E156" i="20"/>
  <c r="D156" i="20"/>
  <c r="G156" i="20" s="1"/>
  <c r="F155" i="20"/>
  <c r="E155" i="20"/>
  <c r="D155" i="20"/>
  <c r="G155" i="20" s="1"/>
  <c r="F154" i="20"/>
  <c r="E154" i="20"/>
  <c r="G154" i="20" s="1"/>
  <c r="F153" i="20"/>
  <c r="E153" i="20"/>
  <c r="G153" i="20" s="1"/>
  <c r="D153" i="20"/>
  <c r="D149" i="20"/>
  <c r="C149" i="20"/>
  <c r="D148" i="20"/>
  <c r="C148" i="20"/>
  <c r="D147" i="20"/>
  <c r="F147" i="20" s="1"/>
  <c r="G147" i="20" s="1"/>
  <c r="C147" i="20"/>
  <c r="D145" i="20"/>
  <c r="F145" i="20" s="1"/>
  <c r="G145" i="20" s="1"/>
  <c r="C145" i="20"/>
  <c r="D144" i="20"/>
  <c r="F144" i="20" s="1"/>
  <c r="G144" i="20" s="1"/>
  <c r="F143" i="20"/>
  <c r="G143" i="20" s="1"/>
  <c r="E143" i="20"/>
  <c r="C143" i="20"/>
  <c r="E142" i="20"/>
  <c r="C142" i="20"/>
  <c r="F141" i="20"/>
  <c r="G141" i="20" s="1"/>
  <c r="F140" i="20"/>
  <c r="G140" i="20" s="1"/>
  <c r="C139" i="20"/>
  <c r="F139" i="20" s="1"/>
  <c r="G139" i="20" s="1"/>
  <c r="E137" i="20"/>
  <c r="C137" i="20"/>
  <c r="E136" i="20"/>
  <c r="C136" i="20"/>
  <c r="F136" i="20" s="1"/>
  <c r="G136" i="20" s="1"/>
  <c r="C134" i="20"/>
  <c r="F134" i="20" s="1"/>
  <c r="G134" i="20" s="1"/>
  <c r="F133" i="20"/>
  <c r="G133" i="20" s="1"/>
  <c r="D133" i="20"/>
  <c r="C133" i="20"/>
  <c r="F131" i="20"/>
  <c r="G131" i="20" s="1"/>
  <c r="C131" i="20"/>
  <c r="C130" i="20"/>
  <c r="F130" i="20" s="1"/>
  <c r="G130" i="20" s="1"/>
  <c r="F127" i="20"/>
  <c r="G127" i="20" s="1"/>
  <c r="C126" i="20"/>
  <c r="F126" i="20" s="1"/>
  <c r="G126" i="20" s="1"/>
  <c r="C125" i="20"/>
  <c r="F125" i="20" s="1"/>
  <c r="G125" i="20" s="1"/>
  <c r="C124" i="20"/>
  <c r="F124" i="20" s="1"/>
  <c r="G124" i="20" s="1"/>
  <c r="C123" i="20"/>
  <c r="F123" i="20" s="1"/>
  <c r="G123" i="20" s="1"/>
  <c r="C122" i="20"/>
  <c r="F122" i="20" s="1"/>
  <c r="G122" i="20" s="1"/>
  <c r="C120" i="20"/>
  <c r="F120" i="20" s="1"/>
  <c r="G120" i="20" s="1"/>
  <c r="D119" i="20"/>
  <c r="F119" i="20" s="1"/>
  <c r="G119" i="20" s="1"/>
  <c r="C119" i="20"/>
  <c r="C117" i="20"/>
  <c r="F117" i="20" s="1"/>
  <c r="G117" i="20" s="1"/>
  <c r="C116" i="20"/>
  <c r="F116" i="20" s="1"/>
  <c r="G116" i="20" s="1"/>
  <c r="E114" i="20"/>
  <c r="C114" i="20"/>
  <c r="F114" i="20" s="1"/>
  <c r="G114" i="20" s="1"/>
  <c r="E113" i="20"/>
  <c r="F113" i="20" s="1"/>
  <c r="G113" i="20" s="1"/>
  <c r="C113" i="20"/>
  <c r="E112" i="20"/>
  <c r="F112" i="20" s="1"/>
  <c r="G112" i="20" s="1"/>
  <c r="C112" i="20"/>
  <c r="E111" i="20"/>
  <c r="F111" i="20" s="1"/>
  <c r="G111" i="20" s="1"/>
  <c r="C111" i="20"/>
  <c r="F110" i="20"/>
  <c r="G110" i="20" s="1"/>
  <c r="E110" i="20"/>
  <c r="C110" i="20"/>
  <c r="F108" i="20"/>
  <c r="G108" i="20" s="1"/>
  <c r="E108" i="20"/>
  <c r="C108" i="20"/>
  <c r="F107" i="20"/>
  <c r="G107" i="20" s="1"/>
  <c r="E107" i="20"/>
  <c r="C107" i="20"/>
  <c r="O105" i="20"/>
  <c r="F105" i="20"/>
  <c r="G105" i="20" s="1"/>
  <c r="F104" i="20"/>
  <c r="G104" i="20" s="1"/>
  <c r="C103" i="20"/>
  <c r="F103" i="20" s="1"/>
  <c r="G103" i="20" s="1"/>
  <c r="D102" i="20"/>
  <c r="F102" i="20" s="1"/>
  <c r="G102" i="20" s="1"/>
  <c r="C102" i="20"/>
  <c r="D101" i="20"/>
  <c r="F101" i="20" s="1"/>
  <c r="G101" i="20" s="1"/>
  <c r="C101" i="20"/>
  <c r="D100" i="20"/>
  <c r="F100" i="20" s="1"/>
  <c r="G100" i="20" s="1"/>
  <c r="C100" i="20"/>
  <c r="E94" i="20"/>
  <c r="D94" i="20"/>
  <c r="E93" i="20"/>
  <c r="G93" i="20" s="1"/>
  <c r="D93" i="20"/>
  <c r="N92" i="20"/>
  <c r="O92" i="20" s="1"/>
  <c r="E92" i="20"/>
  <c r="D92" i="20"/>
  <c r="G88" i="20"/>
  <c r="F88" i="20"/>
  <c r="E87" i="20"/>
  <c r="G87" i="20" s="1"/>
  <c r="F85" i="20"/>
  <c r="G85" i="20" s="1"/>
  <c r="D84" i="20"/>
  <c r="G84" i="20" s="1"/>
  <c r="G83" i="20"/>
  <c r="N82" i="20"/>
  <c r="O82" i="20" s="1"/>
  <c r="G82" i="20"/>
  <c r="B82" i="20"/>
  <c r="F81" i="20"/>
  <c r="G81" i="20" s="1"/>
  <c r="D80" i="20"/>
  <c r="G80" i="20" s="1"/>
  <c r="G79" i="20"/>
  <c r="G78" i="20"/>
  <c r="B78" i="20"/>
  <c r="F77" i="20"/>
  <c r="G77" i="20" s="1"/>
  <c r="D76" i="20"/>
  <c r="G76" i="20" s="1"/>
  <c r="G75" i="20"/>
  <c r="G74" i="20"/>
  <c r="B74" i="20"/>
  <c r="F70" i="20"/>
  <c r="G70" i="20" s="1"/>
  <c r="F69" i="20"/>
  <c r="D69" i="20"/>
  <c r="G69" i="20" s="1"/>
  <c r="G68" i="20"/>
  <c r="F67" i="20"/>
  <c r="G67" i="20" s="1"/>
  <c r="F66" i="20"/>
  <c r="G66" i="20" s="1"/>
  <c r="F65" i="20"/>
  <c r="G65" i="20" s="1"/>
  <c r="F64" i="20"/>
  <c r="G64" i="20" s="1"/>
  <c r="G62" i="20"/>
  <c r="F61" i="20"/>
  <c r="G61" i="20" s="1"/>
  <c r="G60" i="20"/>
  <c r="F60" i="20"/>
  <c r="D60" i="20"/>
  <c r="F59" i="20"/>
  <c r="G59" i="20" s="1"/>
  <c r="F58" i="20"/>
  <c r="D58" i="20"/>
  <c r="G58" i="20" s="1"/>
  <c r="G57" i="20"/>
  <c r="F57" i="20"/>
  <c r="F55" i="20"/>
  <c r="D55" i="20"/>
  <c r="F54" i="20"/>
  <c r="D54" i="20"/>
  <c r="G54" i="20" s="1"/>
  <c r="F53" i="20"/>
  <c r="G53" i="20" s="1"/>
  <c r="G52" i="20"/>
  <c r="D52" i="20"/>
  <c r="G51" i="20"/>
  <c r="F51" i="20"/>
  <c r="D51" i="20"/>
  <c r="F50" i="20"/>
  <c r="G50" i="20" s="1"/>
  <c r="D50" i="20"/>
  <c r="G49" i="20"/>
  <c r="F49" i="20"/>
  <c r="F47" i="20"/>
  <c r="G47" i="20" s="1"/>
  <c r="D47" i="20"/>
  <c r="N46" i="20"/>
  <c r="F46" i="20"/>
  <c r="D46" i="20"/>
  <c r="G46" i="20" s="1"/>
  <c r="G45" i="20"/>
  <c r="G44" i="20"/>
  <c r="E43" i="20"/>
  <c r="D43" i="20"/>
  <c r="E42" i="20"/>
  <c r="D42" i="20"/>
  <c r="C41" i="20"/>
  <c r="G41" i="20" s="1"/>
  <c r="O40" i="20"/>
  <c r="C40" i="20"/>
  <c r="G40" i="20" s="1"/>
  <c r="O39" i="20"/>
  <c r="N39" i="20"/>
  <c r="G39" i="20"/>
  <c r="F39" i="20"/>
  <c r="F38" i="20"/>
  <c r="F43" i="20" s="1"/>
  <c r="G36" i="20"/>
  <c r="F36" i="20"/>
  <c r="F37" i="20" s="1"/>
  <c r="G37" i="20" s="1"/>
  <c r="G35" i="20"/>
  <c r="F35" i="20"/>
  <c r="D33" i="20"/>
  <c r="D32" i="20"/>
  <c r="G31" i="20"/>
  <c r="F31" i="20"/>
  <c r="F33" i="20" s="1"/>
  <c r="F32" i="20" s="1"/>
  <c r="D31" i="20"/>
  <c r="E30" i="20"/>
  <c r="D30" i="20"/>
  <c r="E29" i="20"/>
  <c r="D29" i="20"/>
  <c r="F28" i="20"/>
  <c r="G28" i="20" s="1"/>
  <c r="D28" i="20"/>
  <c r="F27" i="20"/>
  <c r="D27" i="20"/>
  <c r="G27" i="20" s="1"/>
  <c r="D26" i="20"/>
  <c r="F25" i="20"/>
  <c r="D25" i="20"/>
  <c r="G25" i="20" s="1"/>
  <c r="F24" i="20"/>
  <c r="D24" i="20"/>
  <c r="D22" i="20"/>
  <c r="D21" i="20"/>
  <c r="F19" i="20"/>
  <c r="G19" i="20" s="1"/>
  <c r="D19" i="20"/>
  <c r="E18" i="20"/>
  <c r="D18" i="20"/>
  <c r="E17" i="20"/>
  <c r="D17" i="20"/>
  <c r="F16" i="20"/>
  <c r="D16" i="20"/>
  <c r="F15" i="20"/>
  <c r="D15" i="20"/>
  <c r="D14" i="20"/>
  <c r="F13" i="20"/>
  <c r="F22" i="20" s="1"/>
  <c r="F21" i="20" s="1"/>
  <c r="D13" i="20"/>
  <c r="F12" i="20"/>
  <c r="G12" i="20" s="1"/>
  <c r="D12" i="20"/>
  <c r="G157" i="20" l="1"/>
  <c r="G15" i="20"/>
  <c r="G24" i="20"/>
  <c r="F137" i="20"/>
  <c r="G137" i="20" s="1"/>
  <c r="F148" i="20"/>
  <c r="G148" i="20" s="1"/>
  <c r="G33" i="20"/>
  <c r="F149" i="20"/>
  <c r="G149" i="20" s="1"/>
  <c r="G150" i="20" s="1"/>
  <c r="J150" i="20" s="1"/>
  <c r="G159" i="20"/>
  <c r="G32" i="20"/>
  <c r="F42" i="20"/>
  <c r="G42" i="20" s="1"/>
  <c r="G16" i="20"/>
  <c r="G21" i="20"/>
  <c r="G55" i="20"/>
  <c r="G94" i="20"/>
  <c r="G13" i="20"/>
  <c r="G22" i="20"/>
  <c r="G92" i="20"/>
  <c r="G95" i="20" s="1"/>
  <c r="F142" i="20"/>
  <c r="G142" i="20" s="1"/>
  <c r="C167" i="20"/>
  <c r="G14" i="20"/>
  <c r="G89" i="20"/>
  <c r="J89" i="20" s="1"/>
  <c r="G43" i="20"/>
  <c r="G161" i="20"/>
  <c r="J161" i="20" s="1"/>
  <c r="F26" i="20"/>
  <c r="G38" i="20"/>
  <c r="F14" i="20"/>
  <c r="D139" i="18"/>
  <c r="F139" i="18" s="1"/>
  <c r="G139" i="18" s="1"/>
  <c r="J95" i="20" l="1"/>
  <c r="F30" i="20"/>
  <c r="G30" i="20" s="1"/>
  <c r="F29" i="20"/>
  <c r="G29" i="20" s="1"/>
  <c r="G26" i="20"/>
  <c r="F17" i="20"/>
  <c r="G17" i="20" s="1"/>
  <c r="F18" i="20"/>
  <c r="G18" i="20" s="1"/>
  <c r="G71" i="20" s="1"/>
  <c r="J71" i="20" s="1"/>
  <c r="J163" i="20" s="1"/>
  <c r="C165" i="20" s="1"/>
  <c r="D144" i="18"/>
  <c r="C168" i="20" l="1"/>
  <c r="E167" i="20"/>
  <c r="E168" i="20" s="1"/>
  <c r="C144" i="18"/>
  <c r="D143" i="18"/>
  <c r="C143" i="18"/>
  <c r="C142" i="18"/>
  <c r="D142" i="18"/>
  <c r="D140" i="18"/>
  <c r="C140" i="18"/>
  <c r="E137" i="18"/>
  <c r="E138" i="18"/>
  <c r="C138" i="18"/>
  <c r="C137" i="18"/>
  <c r="F136" i="18"/>
  <c r="G136" i="18" s="1"/>
  <c r="C134" i="18"/>
  <c r="F134" i="18" s="1"/>
  <c r="G134" i="18" s="1"/>
  <c r="F135" i="18"/>
  <c r="G135" i="18" s="1"/>
  <c r="D128" i="18"/>
  <c r="C126" i="18"/>
  <c r="C125" i="18"/>
  <c r="F125" i="18" s="1"/>
  <c r="G125" i="18" s="1"/>
  <c r="E131" i="18"/>
  <c r="C131" i="18"/>
  <c r="C132" i="18"/>
  <c r="E132" i="18"/>
  <c r="C129" i="18"/>
  <c r="F129" i="18" s="1"/>
  <c r="G129" i="18" s="1"/>
  <c r="C128" i="18"/>
  <c r="F126" i="18"/>
  <c r="G126" i="18" s="1"/>
  <c r="F122" i="18"/>
  <c r="G122" i="18" s="1"/>
  <c r="C119" i="18"/>
  <c r="F119" i="18" s="1"/>
  <c r="G119" i="18" s="1"/>
  <c r="C120" i="18"/>
  <c r="F120" i="18" s="1"/>
  <c r="G120" i="18" s="1"/>
  <c r="C121" i="18"/>
  <c r="F121" i="18" s="1"/>
  <c r="G121" i="18" s="1"/>
  <c r="C118" i="18"/>
  <c r="F118" i="18" s="1"/>
  <c r="G118" i="18" s="1"/>
  <c r="C117" i="18"/>
  <c r="F117" i="18" s="1"/>
  <c r="G117" i="18" s="1"/>
  <c r="C115" i="18"/>
  <c r="F115" i="18" s="1"/>
  <c r="G115" i="18" s="1"/>
  <c r="D114" i="18"/>
  <c r="C114" i="18"/>
  <c r="C112" i="18"/>
  <c r="F112" i="18" s="1"/>
  <c r="G112" i="18" s="1"/>
  <c r="C111" i="18"/>
  <c r="F111" i="18" s="1"/>
  <c r="G111" i="18" s="1"/>
  <c r="E109" i="18"/>
  <c r="C109" i="18"/>
  <c r="C106" i="18"/>
  <c r="C105" i="18"/>
  <c r="E105" i="18"/>
  <c r="E106" i="18"/>
  <c r="C108" i="18"/>
  <c r="C107" i="18"/>
  <c r="E107" i="18"/>
  <c r="E108" i="18"/>
  <c r="E103" i="18"/>
  <c r="C103" i="18"/>
  <c r="E102" i="18"/>
  <c r="C102" i="18"/>
  <c r="O100" i="18"/>
  <c r="F100" i="18"/>
  <c r="G100" i="18" s="1"/>
  <c r="C98" i="18"/>
  <c r="F98" i="18" s="1"/>
  <c r="G98" i="18" s="1"/>
  <c r="C97" i="18"/>
  <c r="C96" i="18"/>
  <c r="C95" i="18"/>
  <c r="F99" i="18"/>
  <c r="G99" i="18" s="1"/>
  <c r="D95" i="18"/>
  <c r="D97" i="18"/>
  <c r="D96" i="18"/>
  <c r="F138" i="18" l="1"/>
  <c r="G138" i="18" s="1"/>
  <c r="F137" i="18"/>
  <c r="G137" i="18" s="1"/>
  <c r="F142" i="18"/>
  <c r="G142" i="18" s="1"/>
  <c r="F96" i="18"/>
  <c r="G96" i="18" s="1"/>
  <c r="F102" i="18"/>
  <c r="G102" i="18" s="1"/>
  <c r="F140" i="18"/>
  <c r="G140" i="18" s="1"/>
  <c r="F144" i="18"/>
  <c r="G144" i="18" s="1"/>
  <c r="F143" i="18"/>
  <c r="G143" i="18" s="1"/>
  <c r="F106" i="18"/>
  <c r="G106" i="18" s="1"/>
  <c r="F131" i="18"/>
  <c r="G131" i="18" s="1"/>
  <c r="F132" i="18"/>
  <c r="G132" i="18" s="1"/>
  <c r="F109" i="18"/>
  <c r="G109" i="18" s="1"/>
  <c r="F107" i="18"/>
  <c r="G107" i="18" s="1"/>
  <c r="F103" i="18"/>
  <c r="G103" i="18" s="1"/>
  <c r="F97" i="18"/>
  <c r="G97" i="18" s="1"/>
  <c r="F128" i="18"/>
  <c r="G128" i="18" s="1"/>
  <c r="F95" i="18"/>
  <c r="G95" i="18" s="1"/>
  <c r="F108" i="18"/>
  <c r="G108" i="18" s="1"/>
  <c r="F114" i="18"/>
  <c r="G114" i="18" s="1"/>
  <c r="F105" i="18"/>
  <c r="G105" i="18" s="1"/>
  <c r="F70" i="18"/>
  <c r="G70" i="18" s="1"/>
  <c r="F69" i="18"/>
  <c r="D69" i="18"/>
  <c r="F67" i="18"/>
  <c r="G67" i="18" s="1"/>
  <c r="G68" i="18"/>
  <c r="F65" i="18"/>
  <c r="G65" i="18" s="1"/>
  <c r="F66" i="18"/>
  <c r="G66" i="18" s="1"/>
  <c r="F64" i="18"/>
  <c r="G64" i="18" s="1"/>
  <c r="F88" i="18"/>
  <c r="G88" i="18" s="1"/>
  <c r="F85" i="18"/>
  <c r="G85" i="18" s="1"/>
  <c r="F81" i="18"/>
  <c r="G81" i="18" s="1"/>
  <c r="F77" i="18"/>
  <c r="G77" i="18" s="1"/>
  <c r="F154" i="18"/>
  <c r="E154" i="18"/>
  <c r="D154" i="18"/>
  <c r="F152" i="18"/>
  <c r="E152" i="18"/>
  <c r="D152" i="18"/>
  <c r="F151" i="18"/>
  <c r="E151" i="18"/>
  <c r="D151" i="18"/>
  <c r="F150" i="18"/>
  <c r="E150" i="18"/>
  <c r="D150" i="18"/>
  <c r="F149" i="18"/>
  <c r="E149" i="18"/>
  <c r="F148" i="18"/>
  <c r="E148" i="18"/>
  <c r="D148" i="18"/>
  <c r="G62" i="18"/>
  <c r="F61" i="18"/>
  <c r="G61" i="18" s="1"/>
  <c r="G145" i="18" l="1"/>
  <c r="G69" i="18"/>
  <c r="G149" i="18"/>
  <c r="G150" i="18"/>
  <c r="G148" i="18"/>
  <c r="G152" i="18"/>
  <c r="G154" i="18"/>
  <c r="G151" i="18"/>
  <c r="J145" i="18" l="1"/>
  <c r="C16" i="22"/>
  <c r="F16" i="22" s="1"/>
  <c r="L16" i="22" s="1"/>
  <c r="G156" i="18"/>
  <c r="F60" i="18"/>
  <c r="D60" i="18"/>
  <c r="F59" i="18"/>
  <c r="G59" i="18" s="1"/>
  <c r="F58" i="18"/>
  <c r="D58" i="18"/>
  <c r="G58" i="18" s="1"/>
  <c r="N82" i="18"/>
  <c r="O82" i="18" s="1"/>
  <c r="E87" i="18"/>
  <c r="G87" i="18" s="1"/>
  <c r="F57" i="18"/>
  <c r="G57" i="18" s="1"/>
  <c r="D55" i="18"/>
  <c r="F55" i="18"/>
  <c r="F54" i="18"/>
  <c r="D54" i="18"/>
  <c r="F53" i="18"/>
  <c r="G53" i="18" s="1"/>
  <c r="D52" i="18"/>
  <c r="G52" i="18" s="1"/>
  <c r="F51" i="18"/>
  <c r="D51" i="18"/>
  <c r="F50" i="18"/>
  <c r="D50" i="18"/>
  <c r="G50" i="18" s="1"/>
  <c r="F49" i="18"/>
  <c r="G49" i="18" s="1"/>
  <c r="J156" i="18" l="1"/>
  <c r="C18" i="22"/>
  <c r="F18" i="22" s="1"/>
  <c r="L18" i="22" s="1"/>
  <c r="G51" i="18"/>
  <c r="G54" i="18"/>
  <c r="G60" i="18"/>
  <c r="G55" i="18"/>
  <c r="G83" i="18"/>
  <c r="G82" i="18"/>
  <c r="G79" i="18"/>
  <c r="G78" i="18"/>
  <c r="G75" i="18"/>
  <c r="G74" i="18"/>
  <c r="D76" i="18"/>
  <c r="G76" i="18" s="1"/>
  <c r="D84" i="18"/>
  <c r="G84" i="18" s="1"/>
  <c r="D80" i="18"/>
  <c r="G80" i="18" s="1"/>
  <c r="B82" i="18"/>
  <c r="B78" i="18"/>
  <c r="B74" i="18"/>
  <c r="G45" i="18"/>
  <c r="F39" i="18"/>
  <c r="O39" i="18"/>
  <c r="N39" i="18"/>
  <c r="O40" i="18"/>
  <c r="G89" i="18" l="1"/>
  <c r="C41" i="18"/>
  <c r="G41" i="18" s="1"/>
  <c r="C40" i="18"/>
  <c r="G40" i="18" s="1"/>
  <c r="N46" i="18"/>
  <c r="F46" i="18"/>
  <c r="F38" i="18"/>
  <c r="F36" i="18"/>
  <c r="F35" i="18"/>
  <c r="D24" i="18"/>
  <c r="D25" i="18"/>
  <c r="D12" i="18"/>
  <c r="D13" i="18"/>
  <c r="F47" i="18"/>
  <c r="D47" i="18"/>
  <c r="D46" i="18"/>
  <c r="G44" i="18"/>
  <c r="E43" i="18"/>
  <c r="D43" i="18"/>
  <c r="E42" i="18"/>
  <c r="D42" i="18"/>
  <c r="G39" i="18"/>
  <c r="G38" i="18"/>
  <c r="G36" i="18"/>
  <c r="G35" i="18"/>
  <c r="J89" i="18" l="1"/>
  <c r="C14" i="22"/>
  <c r="F37" i="18"/>
  <c r="G37" i="18" s="1"/>
  <c r="F42" i="18"/>
  <c r="G42" i="18" s="1"/>
  <c r="F43" i="18"/>
  <c r="G43" i="18" s="1"/>
  <c r="G47" i="18"/>
  <c r="G46" i="18"/>
  <c r="F14" i="22" l="1"/>
  <c r="L14" i="22" s="1"/>
  <c r="D16" i="23"/>
  <c r="F16" i="23" s="1"/>
  <c r="F28" i="18"/>
  <c r="F27" i="18"/>
  <c r="F24" i="18"/>
  <c r="F25" i="18"/>
  <c r="D30" i="18"/>
  <c r="F26" i="18" l="1"/>
  <c r="F29" i="18" s="1"/>
  <c r="D28" i="18"/>
  <c r="G28" i="18" s="1"/>
  <c r="D27" i="18"/>
  <c r="G27" i="18" s="1"/>
  <c r="D26" i="18"/>
  <c r="G25" i="18"/>
  <c r="G24" i="18"/>
  <c r="D33" i="18"/>
  <c r="D32" i="18"/>
  <c r="F31" i="18"/>
  <c r="D31" i="18"/>
  <c r="E30" i="18"/>
  <c r="E29" i="18"/>
  <c r="D29" i="18"/>
  <c r="D22" i="18"/>
  <c r="D21" i="18"/>
  <c r="F19" i="18"/>
  <c r="D19" i="18"/>
  <c r="E18" i="18"/>
  <c r="D18" i="18"/>
  <c r="E17" i="18"/>
  <c r="D17" i="18"/>
  <c r="D14" i="18"/>
  <c r="F16" i="18"/>
  <c r="F13" i="18"/>
  <c r="F22" i="18" s="1"/>
  <c r="D16" i="18"/>
  <c r="F15" i="18"/>
  <c r="F12" i="18"/>
  <c r="D15" i="18"/>
  <c r="G16" i="18" l="1"/>
  <c r="G19" i="18"/>
  <c r="G15" i="18"/>
  <c r="F14" i="18"/>
  <c r="F18" i="18" s="1"/>
  <c r="G18" i="18" s="1"/>
  <c r="G12" i="18"/>
  <c r="G13" i="18"/>
  <c r="G31" i="18"/>
  <c r="F33" i="18"/>
  <c r="F32" i="18" s="1"/>
  <c r="G32" i="18" s="1"/>
  <c r="G22" i="18"/>
  <c r="F21" i="18"/>
  <c r="G21" i="18" s="1"/>
  <c r="G29" i="18"/>
  <c r="G26" i="18"/>
  <c r="F30" i="18"/>
  <c r="G30" i="18" s="1"/>
  <c r="G14" i="18" l="1"/>
  <c r="F17" i="18"/>
  <c r="G17" i="18" s="1"/>
  <c r="G33" i="18"/>
  <c r="G71" i="18" l="1"/>
  <c r="J71" i="18" l="1"/>
  <c r="J158" i="18" s="1"/>
  <c r="C12" i="22"/>
  <c r="C165" i="18"/>
  <c r="C164" i="18"/>
  <c r="F12" i="22" l="1"/>
  <c r="L12" i="22" s="1"/>
  <c r="L20" i="22" s="1"/>
  <c r="D21" i="23"/>
  <c r="F21" i="23" s="1"/>
  <c r="D15" i="23"/>
  <c r="F15" i="23" s="1"/>
  <c r="C162" i="18"/>
  <c r="C160" i="18" l="1"/>
  <c r="C163" i="18" l="1"/>
  <c r="E162" i="18"/>
  <c r="E163" i="18" s="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comments2.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<sst xmlns="http://schemas.openxmlformats.org/spreadsheetml/2006/main" count="468" uniqueCount="185">
  <si>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</si>
  <si>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</si>
  <si>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</si>
  <si>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</si>
  <si>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</si>
  <si>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</si>
  <si>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</si>
  <si>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</si>
  <si>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</si>
  <si>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</si>
  <si>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</si>
  <si>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</si>
  <si>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</si>
  <si>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</si>
  <si>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</si>
  <si>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</si>
  <si>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</si>
  <si>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</si>
  <si>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</si>
  <si>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</si>
  <si>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</si>
  <si>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</si>
  <si>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</si>
  <si>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</si>
  <si>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cum</t>
  </si>
  <si>
    <t xml:space="preserve">F.Y.: 2081/082     </t>
  </si>
  <si>
    <t xml:space="preserve">Date: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</si>
  <si>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</si>
  <si>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</si>
  <si>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</si>
  <si>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</si>
  <si>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</si>
  <si>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</si>
  <si>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</si>
  <si>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</si>
  <si>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</si>
  <si>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</si>
  <si>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</si>
  <si>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</si>
  <si>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</si>
  <si>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</si>
  <si>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</si>
  <si>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</si>
  <si>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-at toilet</t>
  </si>
  <si>
    <t>-roof</t>
  </si>
  <si>
    <t>Kn]g l;d]G6 sqmL6 jf jh| s+qmL6 eTsfO{ !) dL= k/ x6fpg] sfd</t>
  </si>
  <si>
    <t>-toilet 2nd</t>
  </si>
  <si>
    <t>Project:- Seti Devi Secondary School demolish work</t>
  </si>
  <si>
    <t>Wood from Roof</t>
  </si>
  <si>
    <t>-rafter</t>
  </si>
  <si>
    <t>-purlin from wooden plank</t>
  </si>
  <si>
    <t>-chaukosh</t>
  </si>
  <si>
    <t>-Mandir</t>
  </si>
  <si>
    <t>- Inner toilet</t>
  </si>
  <si>
    <t>-Wooden door</t>
  </si>
  <si>
    <t>-at door</t>
  </si>
  <si>
    <t>-Long wall</t>
  </si>
  <si>
    <t>-mandir</t>
  </si>
  <si>
    <t>-inclined slope</t>
  </si>
  <si>
    <t>-step</t>
  </si>
  <si>
    <t>kmnfd] sfd -Rofgn PËn 6L cflb_ x6fpg] sfo{ lemSg]</t>
  </si>
  <si>
    <t>Length (m)</t>
  </si>
  <si>
    <t>Total Weight (kg)</t>
  </si>
  <si>
    <t>Unit length (Kg/m)</t>
  </si>
  <si>
    <t>-at truss</t>
  </si>
  <si>
    <t>MS steel pipe 1" diagnal member of 2.5mm thickness</t>
  </si>
  <si>
    <t>MS steel pipe 3/4" diagnal member of 2.5mm thickness</t>
  </si>
  <si>
    <t>MS steel pipe 1 1/4" inclined member of 2.5mm thickness</t>
  </si>
  <si>
    <t>MS steel pipe 1 1/4" bottom member of 2.5mm thickness</t>
  </si>
  <si>
    <t>MS steel pipe 1" bottom member of 2.5mm thickness</t>
  </si>
  <si>
    <t>-Purlins</t>
  </si>
  <si>
    <t>-At long window</t>
  </si>
  <si>
    <t>-horizontal bar as grill</t>
  </si>
  <si>
    <t>-vertical bars as grill</t>
  </si>
  <si>
    <t>-At small window</t>
  </si>
  <si>
    <t>-Ventilation part</t>
  </si>
  <si>
    <t>-35*35*4mm Equal angles at windows</t>
  </si>
  <si>
    <t>-horizontal element</t>
  </si>
  <si>
    <t>-vertical element</t>
  </si>
  <si>
    <t>-35*35*4mm Equal angles at ventilations</t>
  </si>
  <si>
    <t>-Block 1 &amp; 2</t>
  </si>
  <si>
    <t>-rebars at windows</t>
  </si>
  <si>
    <t>-diagnol members as grill</t>
  </si>
  <si>
    <t>-vertical members as grill</t>
  </si>
  <si>
    <t>-Light Channel section of size 150*50*4 as vertical post</t>
  </si>
  <si>
    <t>assume 2.5ft below GL</t>
  </si>
  <si>
    <t>-For truss at block 1 &amp; 2</t>
  </si>
  <si>
    <t>-Light Channel section of size ISMC 75 as top chord</t>
  </si>
  <si>
    <t>-Light Channel section of size 40*32*5 as purlins</t>
  </si>
  <si>
    <t>-Light Channel section of size ISMC 75 as purlins</t>
  </si>
  <si>
    <t>MT</t>
  </si>
  <si>
    <t>-55*55*5mm equal angle at Long wall lintel level</t>
  </si>
  <si>
    <t>-35*35*4mm equal angle at doors</t>
  </si>
  <si>
    <t>-55*55*5mm equal angle at Long wall vertical post</t>
  </si>
  <si>
    <t>Shankharapur Municipality</t>
  </si>
  <si>
    <t>Office of The Municipal Executive</t>
  </si>
  <si>
    <t>Shankhu,Kathmandu</t>
  </si>
  <si>
    <t>Scrap Valuation of Buldings and all other properties (Compilation)</t>
  </si>
  <si>
    <t xml:space="preserve">Project name:Scrap Valuation </t>
  </si>
  <si>
    <t xml:space="preserve">Location: </t>
  </si>
  <si>
    <t>Qty per unit</t>
  </si>
  <si>
    <t>M.Rate</t>
  </si>
  <si>
    <t>I. Scrap Valuation of Buldings and all other properties (Compilation)</t>
  </si>
  <si>
    <t>Description of works</t>
  </si>
  <si>
    <t>Quantity of works</t>
  </si>
  <si>
    <t>Recovery material</t>
  </si>
  <si>
    <t>Cum</t>
  </si>
  <si>
    <t>Brick</t>
  </si>
  <si>
    <t>Nos</t>
  </si>
  <si>
    <t>Assuming 50% brick remains undamaged</t>
  </si>
  <si>
    <t>Sal wood</t>
  </si>
  <si>
    <t>Sqm</t>
  </si>
  <si>
    <t>0.45mm thick CGI sheet for roofing</t>
  </si>
  <si>
    <t>0.45mm thick CGI sheet</t>
  </si>
  <si>
    <t>kg</t>
  </si>
  <si>
    <t>Unit wt=4.235 kg/sq.m.</t>
  </si>
  <si>
    <t>0.75% per year</t>
  </si>
  <si>
    <t>for 20 years</t>
  </si>
  <si>
    <t xml:space="preserve">Brick masonry work in c/s mortar </t>
  </si>
  <si>
    <r>
      <t xml:space="preserve">sfnf] kmnfd] kfO{ksf] 6«; agfO{ h8fg ug]{ sfd </t>
    </r>
    <r>
      <rPr>
        <b/>
        <sz val="11"/>
        <rFont val="Calibri"/>
        <family val="2"/>
        <scheme val="minor"/>
      </rPr>
      <t>(MS Steel Works)</t>
    </r>
  </si>
  <si>
    <t>Sal Wood from Roof, doors and windows</t>
  </si>
  <si>
    <t>ABSTRACT OF COST-1</t>
  </si>
  <si>
    <t xml:space="preserve">Project:- Dismantling and auction of </t>
  </si>
  <si>
    <t xml:space="preserve">Site :- </t>
  </si>
  <si>
    <t xml:space="preserve">F/Y: </t>
  </si>
  <si>
    <t>Cost of dismantling and material at site</t>
  </si>
  <si>
    <t>DESCRIPTION OF WORKS</t>
  </si>
  <si>
    <t>UNIT</t>
  </si>
  <si>
    <t>QUANTITY</t>
  </si>
  <si>
    <t>RATE</t>
  </si>
  <si>
    <t>AMOUNT</t>
  </si>
  <si>
    <t>REMARKS</t>
  </si>
  <si>
    <t>A</t>
  </si>
  <si>
    <t>TOTAL COST CALCULATION FOR DISMANTLING AND MATERIAL AT SITE</t>
  </si>
  <si>
    <r>
      <t>M</t>
    </r>
    <r>
      <rPr>
        <vertAlign val="superscript"/>
        <sz val="10"/>
        <rFont val="Arial"/>
        <family val="2"/>
      </rPr>
      <t>3</t>
    </r>
    <r>
      <rPr>
        <sz val="10"/>
        <rFont val="Arial"/>
        <family val="2"/>
      </rPr>
      <t/>
    </r>
  </si>
  <si>
    <t>Dismantling of existing CGI sheet roofing, rafter, battens etc. as per instruction</t>
  </si>
  <si>
    <r>
      <t>M</t>
    </r>
    <r>
      <rPr>
        <vertAlign val="superscript"/>
        <sz val="10"/>
        <rFont val="Arial"/>
        <family val="2"/>
      </rPr>
      <t>2</t>
    </r>
  </si>
  <si>
    <t>Total cost of dismantling</t>
  </si>
  <si>
    <t>MATERIAL AT SITE</t>
  </si>
  <si>
    <t>B</t>
  </si>
  <si>
    <t>COST CALCULATION FOR AUCTION</t>
  </si>
  <si>
    <t>1(i)</t>
  </si>
  <si>
    <t>Brick from dismantling of masonry wall</t>
  </si>
  <si>
    <t>Assuming 50% brick taken out without damaged after dismantling</t>
  </si>
  <si>
    <t>Deduction of depreciation cost of brick</t>
  </si>
  <si>
    <t>1(ii)</t>
  </si>
  <si>
    <t>Brick bat from dismantling of masonry wall</t>
  </si>
  <si>
    <t>Deduction of depreciation cost of brick bat</t>
  </si>
  <si>
    <t>m3</t>
  </si>
  <si>
    <t>CGI roofing sheet for auction purpose</t>
  </si>
  <si>
    <t>Total cost of material at site for auction purpose</t>
  </si>
  <si>
    <t>Dismantling of existing brick masonry wall of C/S mortar as per instruction</t>
  </si>
  <si>
    <t>Depreciated rate of materials</t>
  </si>
  <si>
    <t>A.1</t>
  </si>
  <si>
    <t xml:space="preserve">Brick:1 nos </t>
  </si>
  <si>
    <t>Straight Line Method</t>
  </si>
  <si>
    <t>Rate at present ©</t>
  </si>
  <si>
    <t>Scrap Value @ 10% (S)</t>
  </si>
  <si>
    <t>Life in Years (n)</t>
  </si>
  <si>
    <t>Number of years Built (N )</t>
  </si>
  <si>
    <t>Annual Depreciation (D)</t>
  </si>
  <si>
    <t>(C-S)/n</t>
  </si>
  <si>
    <t>Booked Value (BV)</t>
  </si>
  <si>
    <t>(Origial cost -N*D)</t>
  </si>
  <si>
    <t>BV</t>
  </si>
  <si>
    <t>A.2</t>
  </si>
  <si>
    <t>Brick:1 nos</t>
  </si>
  <si>
    <t>(For structures constructed at around 2057 B.S.)</t>
  </si>
  <si>
    <t>Sal Wood from Roof, doors and windows for auction purpose</t>
  </si>
  <si>
    <t>C.1</t>
  </si>
  <si>
    <t>agrakh: 1 cum old building</t>
  </si>
  <si>
    <t>C.2</t>
  </si>
  <si>
    <t>agrakh : 1 cum new building</t>
  </si>
  <si>
    <t>B.</t>
  </si>
  <si>
    <t>MS steel sections :1 kg</t>
  </si>
  <si>
    <t>MS steel sections grills and other works</t>
  </si>
  <si>
    <t xml:space="preserve">Project:- </t>
  </si>
  <si>
    <t>(For all structures)</t>
  </si>
  <si>
    <t>Dismantling cost from AOC-1</t>
  </si>
  <si>
    <t>Total cost of material at site for auction from AOC-1</t>
  </si>
  <si>
    <t>Total cost of material at site for auction</t>
  </si>
  <si>
    <r>
      <t xml:space="preserve">SUB - TOTAL COST  = NRs. </t>
    </r>
    <r>
      <rPr>
        <b/>
        <sz val="10"/>
        <rFont val="Arial"/>
        <family val="2"/>
      </rPr>
      <t>(B-A)</t>
    </r>
  </si>
  <si>
    <t xml:space="preserve"> VAT @ 13% of total cost  = NRs.</t>
  </si>
  <si>
    <t xml:space="preserve"> TOTAL COST WITH VAT  = NRs.</t>
  </si>
  <si>
    <t>ABSTRACT OF COST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</si>
</sst>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0.000"/>
    <numFmt numFmtId="167" formatCode="_(* #,##0.000_);_(* \(#,##0.000\);_(* &quot;-&quot;??_);_(@_)"/>
  </numFmts>
  <fonts count="5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
      <b/>
      <sz val="12"/>
      <name val="Preeti"/>
    </font>
    <font>
      <sz val="11"/>
      <name val="Calibri"/>
      <family val="2"/>
      <scheme val="minor"/>
    </font>
    <font>
      <b/>
      <sz val="12"/>
      <name val="Times New Roman"/>
      <family val="1"/>
    </font>
    <font>
      <b/>
      <sz val="11"/>
      <name val="Calibri"/>
      <family val="2"/>
      <scheme val="minor"/>
    </font>
    <font>
      <b/>
      <sz val="11"/>
      <color rgb="FFC00000"/>
      <name val="Calibri"/>
      <family val="2"/>
      <scheme val="minor"/>
    </font>
    <font>
      <b/>
      <sz val="11"/>
      <color rgb="FFC00000"/>
      <name val="Times New Roman"/>
      <family val="1"/>
    </font>
    <font>
      <b/>
      <sz val="16"/>
      <name val="Arial Narrow"/>
      <family val="2"/>
    </font>
    <font>
      <sz val="14"/>
      <name val="Arial Narrow"/>
      <family val="2"/>
    </font>
    <font>
      <b/>
      <sz val="14"/>
      <name val="Times New Roman"/>
      <family val="1"/>
    </font>
    <font>
      <sz val="14"/>
      <name val="Times New Roman"/>
      <family val="1"/>
    </font>
    <font>
      <sz val="10"/>
      <name val="Arial"/>
    </font>
    <font>
      <sz val="12"/>
      <name val="Times New Roman"/>
      <family val="1"/>
    </font>
    <font>
      <b/>
      <sz val="8"/>
      <name val="Times New Roman"/>
      <family val="1"/>
    </font>
    <font>
      <b/>
      <sz val="10"/>
      <name val="Times New Roman"/>
      <family val="1"/>
    </font>
    <font>
      <sz val="10"/>
      <name val="Times New Roman"/>
      <family val="1"/>
    </font>
    <font>
      <b/>
      <sz val="11"/>
      <name val="Preeti"/>
    </font>
    <font>
      <sz val="11"/>
      <name val="Arial"/>
      <family val="2"/>
    </font>
    <font>
      <b/>
      <sz val="12"/>
      <name val="Arial"/>
      <family val="2"/>
    </font>
    <font>
      <b/>
      <sz val="10"/>
      <name val="Arial"/>
      <family val="2"/>
    </font>
    <font>
      <b/>
      <sz val="11"/>
      <name val="Arial"/>
      <family val="2"/>
    </font>
    <font>
      <vertAlign val="superscript"/>
      <sz val="10"/>
      <name val="Arial"/>
      <family val="2"/>
    </font>
    <font>
      <sz val="8"/>
      <name val="Arial"/>
      <family val="2"/>
    </font>
    <font>
      <b/>
      <sz val="16"/>
      <name val="Times New Roman"/>
      <family val="1"/>
    </font>
    <font>
      <i/>
      <sz val="12"/>
      <name val="Times New Roman"/>
      <family val="1"/>
    </font>
    <font>
      <i/>
      <sz val="10"/>
      <name val="Times New Roman"/>
      <family val="1"/>
    </font>
    <font>
      <b/>
      <i/>
      <sz val="10"/>
      <name val="Times New Roman"/>
      <family val="1"/>
    </font>
    <font>
      <b/>
      <sz val="12"/>
      <name val="Arial Narrow"/>
      <family val="2"/>
    </font>
    <font>
      <b/>
      <sz val="9"/>
      <name val="Times New Roman"/>
      <family val="1"/>
    </font>
    <font>
      <sz val="8"/>
      <name val="Times New Roman"/>
      <family val="1"/>
    </font>
    <font>
      <sz val="11"/>
      <color indexed="8"/>
      <name val="Calibri"/>
      <family val="2"/>
    </font>
    <font>
      <sz val="9"/>
      <name val="Times New Roman"/>
      <family val="1"/>
    </font>
    <font>
      <b/>
      <sz val="16"/>
      <name val="Arial"/>
      <family val="2"/>
    </font>
    <font>
      <b/>
      <i/>
      <u/>
      <sz val="11"/>
      <color indexed="8"/>
      <name val="Calibri"/>
      <family val="2"/>
    </font>
    <font>
      <sz val="16"/>
      <name val="Arial"/>
      <family val="2"/>
    </font>
    <font>
      <sz val="11"/>
      <name val="Calibri"/>
      <family val="2"/>
    </font>
    <font>
      <sz val="11"/>
      <color indexed="10"/>
      <name val="Calibri"/>
      <family val="2"/>
    </font>
    <font>
      <sz val="12"/>
      <name val="Arial"/>
      <family val="2"/>
    </font>
    <font>
      <b/>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style="thin">
        <color indexed="64"/>
      </left>
      <right style="medium">
        <color indexed="64"/>
      </right>
      <top style="medium">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11">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xf numFmtId="0" fontId="28" fillId="0" borderId="0"/>
    <xf numFmtId="164" fontId="28" fillId="0" borderId="0" applyFont="0" applyFill="0" applyBorder="0" applyAlignment="0" applyProtection="0"/>
    <xf numFmtId="164" fontId="47" fillId="0" borderId="0" applyFont="0" applyFill="0" applyBorder="0" applyAlignment="0" applyProtection="0"/>
  </cellStyleXfs>
  <cellXfs count="448">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0" fontId="2" fillId="0" borderId="0" xfId="0" applyFont="1" applyFill="1" applyBorder="1"/>
    <xf numFmtId="2" fontId="0" fillId="0" borderId="0" xfId="0" applyNumberFormat="1" applyBorder="1"/>
    <xf numFmtId="0" fontId="3" fillId="0" borderId="1" xfId="0" quotePrefix="1" applyFont="1" applyBorder="1" applyAlignment="1">
      <alignment horizontal="right" wrapText="1"/>
    </xf>
    <xf numFmtId="0" fontId="13" fillId="0" borderId="1" xfId="0" applyFont="1" applyBorder="1" applyAlignment="1">
      <alignment vertical="center" wrapText="1"/>
    </xf>
    <xf numFmtId="2" fontId="0" fillId="0" borderId="1" xfId="0" applyNumberFormat="1" applyFont="1" applyBorder="1"/>
    <xf numFmtId="0" fontId="10" fillId="0" borderId="1" xfId="0" quotePrefix="1" applyFont="1" applyBorder="1" applyAlignment="1">
      <alignment horizontal="center" wrapText="1"/>
    </xf>
    <xf numFmtId="0" fontId="10" fillId="0" borderId="1" xfId="0" quotePrefix="1" applyFont="1" applyBorder="1" applyAlignment="1">
      <alignment horizontal="right" wrapText="1"/>
    </xf>
    <xf numFmtId="2" fontId="14" fillId="0" borderId="1" xfId="0" applyNumberFormat="1" applyFont="1" applyBorder="1" applyAlignment="1">
      <alignment vertical="center"/>
    </xf>
    <xf numFmtId="166" fontId="0" fillId="0" borderId="0" xfId="0" applyNumberFormat="1" applyBorder="1"/>
    <xf numFmtId="0" fontId="2" fillId="0" borderId="0" xfId="0" applyFont="1" applyFill="1" applyBorder="1" applyAlignment="1">
      <alignment vertical="center"/>
    </xf>
    <xf numFmtId="0" fontId="3" fillId="0" borderId="1" xfId="0" quotePrefix="1" applyFont="1" applyBorder="1" applyAlignment="1">
      <alignment wrapText="1"/>
    </xf>
    <xf numFmtId="0" fontId="18" fillId="2" borderId="1" xfId="0" applyFont="1" applyFill="1" applyBorder="1" applyAlignment="1">
      <alignment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0" fontId="0" fillId="0" borderId="1" xfId="0" quotePrefix="1" applyBorder="1" applyAlignment="1">
      <alignment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0" fillId="0" borderId="1" xfId="0" quotePrefix="1" applyBorder="1" applyAlignment="1">
      <alignment vertical="center" wrapText="1"/>
    </xf>
    <xf numFmtId="0" fontId="15" fillId="0" borderId="1" xfId="0" quotePrefix="1" applyFont="1" applyBorder="1" applyAlignment="1">
      <alignment horizontal="right" wrapText="1"/>
    </xf>
    <xf numFmtId="165" fontId="14" fillId="0" borderId="1" xfId="0" applyNumberFormat="1" applyFont="1" applyBorder="1"/>
    <xf numFmtId="2" fontId="14" fillId="0" borderId="1" xfId="0" applyNumberFormat="1" applyFont="1" applyBorder="1"/>
    <xf numFmtId="2" fontId="19" fillId="0" borderId="1" xfId="0" applyNumberFormat="1" applyFont="1" applyBorder="1" applyAlignment="1">
      <alignment vertical="center"/>
    </xf>
    <xf numFmtId="0" fontId="9" fillId="0" borderId="1" xfId="0" quotePrefix="1" applyFont="1" applyBorder="1" applyAlignment="1">
      <alignment horizontal="right" wrapText="1"/>
    </xf>
    <xf numFmtId="165" fontId="19" fillId="0" borderId="1" xfId="0" applyNumberFormat="1" applyFont="1" applyBorder="1"/>
    <xf numFmtId="2" fontId="19" fillId="0" borderId="1" xfId="0" applyNumberFormat="1" applyFont="1" applyBorder="1"/>
    <xf numFmtId="164" fontId="20" fillId="0" borderId="1" xfId="1" applyFont="1" applyBorder="1" applyAlignment="1">
      <alignment horizontal="center"/>
    </xf>
    <xf numFmtId="2" fontId="21" fillId="0" borderId="1" xfId="0" applyNumberFormat="1" applyFont="1" applyBorder="1" applyAlignment="1">
      <alignment vertical="center"/>
    </xf>
    <xf numFmtId="2" fontId="22" fillId="0" borderId="1" xfId="0" applyNumberFormat="1" applyFont="1" applyBorder="1" applyAlignment="1">
      <alignment vertical="center"/>
    </xf>
    <xf numFmtId="2" fontId="23" fillId="0" borderId="1" xfId="0" applyNumberFormat="1" applyFont="1" applyFill="1" applyBorder="1" applyAlignment="1">
      <alignment vertical="center"/>
    </xf>
    <xf numFmtId="2" fontId="23" fillId="0" borderId="1" xfId="1" applyNumberFormat="1" applyFont="1" applyFill="1" applyBorder="1" applyAlignment="1">
      <alignment vertical="center"/>
    </xf>
    <xf numFmtId="2" fontId="22" fillId="0" borderId="1" xfId="0" applyNumberFormat="1" applyFont="1" applyBorder="1"/>
    <xf numFmtId="0" fontId="29" fillId="2" borderId="8" xfId="4" applyFont="1" applyFill="1" applyBorder="1" applyAlignment="1">
      <alignment horizontal="center" vertical="center" wrapText="1"/>
    </xf>
    <xf numFmtId="0" fontId="29" fillId="2" borderId="1" xfId="4" applyFont="1" applyFill="1" applyBorder="1" applyAlignment="1">
      <alignment horizontal="left" vertical="center" wrapText="1"/>
    </xf>
    <xf numFmtId="167" fontId="8" fillId="0" borderId="9" xfId="3" applyNumberFormat="1" applyFont="1" applyBorder="1" applyAlignment="1">
      <alignment horizontal="center" vertical="center"/>
    </xf>
    <xf numFmtId="0" fontId="8" fillId="2" borderId="1" xfId="4" applyFont="1" applyFill="1" applyBorder="1" applyAlignment="1">
      <alignment horizontal="left" vertical="center" wrapText="1"/>
    </xf>
    <xf numFmtId="164" fontId="8" fillId="0" borderId="1" xfId="3" applyNumberFormat="1" applyFont="1" applyBorder="1" applyAlignment="1">
      <alignment horizontal="right" vertical="center"/>
    </xf>
    <xf numFmtId="0" fontId="9" fillId="2" borderId="1" xfId="4" applyFont="1" applyFill="1" applyBorder="1" applyAlignment="1">
      <alignment horizontal="left" vertical="center" wrapText="1"/>
    </xf>
    <xf numFmtId="0" fontId="29" fillId="2" borderId="1" xfId="4" applyFont="1" applyFill="1" applyBorder="1" applyAlignment="1">
      <alignment horizontal="right" vertical="center" wrapText="1"/>
    </xf>
    <xf numFmtId="164" fontId="8" fillId="0" borderId="13" xfId="3" applyFont="1" applyBorder="1" applyAlignment="1">
      <alignment horizontal="right" vertical="center"/>
    </xf>
    <xf numFmtId="0" fontId="28" fillId="0" borderId="0" xfId="8" applyFill="1"/>
    <xf numFmtId="2" fontId="25" fillId="0" borderId="0" xfId="8" applyNumberFormat="1" applyFont="1" applyFill="1" applyAlignment="1">
      <alignment horizontal="center"/>
    </xf>
    <xf numFmtId="0" fontId="28" fillId="0" borderId="0" xfId="8" applyFill="1" applyAlignment="1">
      <alignment horizontal="center" vertical="center"/>
    </xf>
    <xf numFmtId="0" fontId="26" fillId="0" borderId="0" xfId="8" applyFont="1" applyFill="1" applyAlignment="1">
      <alignment horizontal="right"/>
    </xf>
    <xf numFmtId="0" fontId="26" fillId="0" borderId="0" xfId="8" applyFont="1" applyFill="1"/>
    <xf numFmtId="0" fontId="8" fillId="0" borderId="0" xfId="8" applyFont="1" applyFill="1"/>
    <xf numFmtId="0" fontId="20" fillId="0" borderId="0" xfId="8" applyFont="1" applyFill="1" applyBorder="1" applyAlignment="1">
      <alignment horizontal="left"/>
    </xf>
    <xf numFmtId="0" fontId="26" fillId="0" borderId="0" xfId="8" quotePrefix="1" applyFont="1" applyFill="1"/>
    <xf numFmtId="2" fontId="8" fillId="0" borderId="0" xfId="8" applyNumberFormat="1" applyFont="1" applyFill="1" applyAlignment="1"/>
    <xf numFmtId="2" fontId="8" fillId="0" borderId="0" xfId="8" applyNumberFormat="1" applyFont="1" applyFill="1" applyAlignment="1">
      <alignment horizontal="right"/>
    </xf>
    <xf numFmtId="0" fontId="27" fillId="0" borderId="0" xfId="8" applyFont="1" applyFill="1" applyBorder="1"/>
    <xf numFmtId="0" fontId="9" fillId="0" borderId="0" xfId="8" applyFont="1" applyFill="1" applyBorder="1"/>
    <xf numFmtId="2" fontId="9" fillId="0" borderId="0" xfId="8" applyNumberFormat="1" applyFont="1" applyFill="1" applyBorder="1"/>
    <xf numFmtId="164" fontId="9" fillId="0" borderId="0" xfId="9" applyFont="1" applyFill="1" applyBorder="1" applyAlignment="1"/>
    <xf numFmtId="0" fontId="9" fillId="0" borderId="0" xfId="8" applyFont="1" applyFill="1"/>
    <xf numFmtId="0" fontId="28" fillId="0" borderId="0" xfId="8" applyFill="1" applyBorder="1"/>
    <xf numFmtId="0" fontId="11" fillId="0" borderId="0" xfId="8" applyFont="1" applyFill="1" applyBorder="1"/>
    <xf numFmtId="0" fontId="20" fillId="3" borderId="5" xfId="8" applyFont="1" applyFill="1" applyBorder="1" applyAlignment="1">
      <alignment horizontal="right" vertical="center"/>
    </xf>
    <xf numFmtId="0" fontId="20" fillId="3" borderId="6" xfId="8" applyFont="1" applyFill="1" applyBorder="1" applyAlignment="1">
      <alignment horizontal="center" vertical="center"/>
    </xf>
    <xf numFmtId="2" fontId="20" fillId="3" borderId="6" xfId="8" applyNumberFormat="1" applyFont="1" applyFill="1" applyBorder="1" applyAlignment="1">
      <alignment horizontal="center" vertical="center"/>
    </xf>
    <xf numFmtId="164" fontId="20" fillId="3" borderId="6" xfId="9" applyFont="1" applyFill="1" applyBorder="1" applyAlignment="1">
      <alignment horizontal="center" vertical="center"/>
    </xf>
    <xf numFmtId="0" fontId="20" fillId="3" borderId="7" xfId="8" applyFont="1" applyFill="1" applyBorder="1" applyAlignment="1">
      <alignment horizontal="center" vertical="center"/>
    </xf>
    <xf numFmtId="0" fontId="28" fillId="2" borderId="0" xfId="8" applyFill="1" applyBorder="1" applyAlignment="1"/>
    <xf numFmtId="0" fontId="28" fillId="2" borderId="0" xfId="8" applyFill="1"/>
    <xf numFmtId="2" fontId="9" fillId="0" borderId="1" xfId="8" applyNumberFormat="1" applyFont="1" applyBorder="1" applyAlignment="1">
      <alignment horizontal="center" vertical="center"/>
    </xf>
    <xf numFmtId="2" fontId="8" fillId="0" borderId="9" xfId="8" applyNumberFormat="1" applyFont="1" applyBorder="1" applyAlignment="1">
      <alignment horizontal="center" vertical="center"/>
    </xf>
    <xf numFmtId="2" fontId="9" fillId="0" borderId="9" xfId="8" applyNumberFormat="1" applyFont="1" applyBorder="1" applyAlignment="1">
      <alignment horizontal="center" vertical="center"/>
    </xf>
    <xf numFmtId="1" fontId="9" fillId="0" borderId="1" xfId="8" applyNumberFormat="1" applyFont="1" applyBorder="1" applyAlignment="1">
      <alignment horizontal="center" vertical="center"/>
    </xf>
    <xf numFmtId="0" fontId="9" fillId="0" borderId="10" xfId="8" applyFont="1" applyBorder="1" applyAlignment="1">
      <alignment horizontal="right" vertical="center" wrapText="1"/>
    </xf>
    <xf numFmtId="0" fontId="28" fillId="0" borderId="0" xfId="8" applyBorder="1"/>
    <xf numFmtId="0" fontId="28" fillId="0" borderId="0" xfId="8"/>
    <xf numFmtId="2" fontId="8" fillId="0" borderId="1" xfId="8" applyNumberFormat="1" applyFont="1" applyBorder="1" applyAlignment="1">
      <alignment horizontal="center" vertical="center"/>
    </xf>
    <xf numFmtId="2" fontId="9" fillId="0" borderId="1" xfId="8" applyNumberFormat="1" applyFont="1" applyBorder="1" applyAlignment="1">
      <alignment horizontal="center" vertical="top"/>
    </xf>
    <xf numFmtId="0" fontId="29" fillId="2" borderId="8" xfId="8" applyFont="1" applyFill="1" applyBorder="1" applyAlignment="1">
      <alignment horizontal="center"/>
    </xf>
    <xf numFmtId="0" fontId="28" fillId="2" borderId="0" xfId="8" applyFill="1" applyBorder="1"/>
    <xf numFmtId="2" fontId="28" fillId="2" borderId="0" xfId="8" applyNumberFormat="1" applyFill="1" applyBorder="1"/>
    <xf numFmtId="0" fontId="29" fillId="0" borderId="8" xfId="8" applyFont="1" applyBorder="1" applyAlignment="1">
      <alignment horizontal="center"/>
    </xf>
    <xf numFmtId="1" fontId="9" fillId="0" borderId="1" xfId="8" applyNumberFormat="1" applyFont="1" applyBorder="1" applyAlignment="1">
      <alignment horizontal="right" vertical="center"/>
    </xf>
    <xf numFmtId="2" fontId="8" fillId="0" borderId="1" xfId="8" applyNumberFormat="1" applyFont="1" applyBorder="1" applyAlignment="1">
      <alignment horizontal="right" vertical="center"/>
    </xf>
    <xf numFmtId="2" fontId="9" fillId="0" borderId="1" xfId="8" applyNumberFormat="1" applyFont="1" applyBorder="1" applyAlignment="1">
      <alignment horizontal="right" vertical="center"/>
    </xf>
    <xf numFmtId="0" fontId="9" fillId="0" borderId="11" xfId="8" applyFont="1" applyBorder="1" applyAlignment="1">
      <alignment horizontal="right" vertical="center" wrapText="1"/>
    </xf>
    <xf numFmtId="2" fontId="28" fillId="0" borderId="0" xfId="8" applyNumberFormat="1" applyBorder="1"/>
    <xf numFmtId="2" fontId="9" fillId="0" borderId="1" xfId="8" applyNumberFormat="1" applyFont="1" applyBorder="1" applyAlignment="1">
      <alignment horizontal="center" vertical="center" wrapText="1"/>
    </xf>
    <xf numFmtId="0" fontId="30" fillId="0" borderId="12" xfId="8" applyFont="1" applyFill="1" applyBorder="1" applyAlignment="1">
      <alignment horizontal="right"/>
    </xf>
    <xf numFmtId="0" fontId="31" fillId="0" borderId="13" xfId="8" applyFont="1" applyFill="1" applyBorder="1" applyAlignment="1">
      <alignment horizontal="right"/>
    </xf>
    <xf numFmtId="0" fontId="32" fillId="0" borderId="13" xfId="8" applyFont="1" applyFill="1" applyBorder="1" applyAlignment="1">
      <alignment horizontal="right" vertical="center"/>
    </xf>
    <xf numFmtId="164" fontId="32" fillId="0" borderId="13" xfId="9" applyFont="1" applyFill="1" applyBorder="1" applyAlignment="1">
      <alignment horizontal="right" vertical="center"/>
    </xf>
    <xf numFmtId="2" fontId="32" fillId="0" borderId="13" xfId="8" applyNumberFormat="1" applyFont="1" applyFill="1" applyBorder="1" applyAlignment="1">
      <alignment horizontal="right" vertical="center"/>
    </xf>
    <xf numFmtId="164" fontId="31" fillId="0" borderId="13" xfId="9" applyFont="1" applyFill="1" applyBorder="1" applyAlignment="1">
      <alignment horizontal="right" vertical="center"/>
    </xf>
    <xf numFmtId="0" fontId="32" fillId="0" borderId="14" xfId="8" applyFont="1" applyFill="1" applyBorder="1" applyAlignment="1">
      <alignment horizontal="right" vertical="center"/>
    </xf>
    <xf numFmtId="164" fontId="28" fillId="0" borderId="0" xfId="8" applyNumberFormat="1" applyFill="1" applyBorder="1"/>
    <xf numFmtId="0" fontId="11" fillId="0" borderId="0" xfId="8" applyFont="1" applyFill="1"/>
    <xf numFmtId="0" fontId="33" fillId="2" borderId="1" xfId="0" applyFont="1" applyFill="1" applyBorder="1" applyAlignment="1">
      <alignment vertical="center" wrapText="1"/>
    </xf>
    <xf numFmtId="0" fontId="11" fillId="0" borderId="0" xfId="4"/>
    <xf numFmtId="0" fontId="11" fillId="0" borderId="18" xfId="4" applyFont="1" applyBorder="1" applyAlignment="1">
      <alignment horizontal="center"/>
    </xf>
    <xf numFmtId="0" fontId="11" fillId="0" borderId="0" xfId="4" applyFont="1" applyBorder="1" applyAlignment="1">
      <alignment horizontal="center"/>
    </xf>
    <xf numFmtId="0" fontId="11" fillId="0" borderId="19" xfId="4" applyFont="1" applyBorder="1" applyAlignment="1">
      <alignment horizontal="center"/>
    </xf>
    <xf numFmtId="0" fontId="11" fillId="0" borderId="18" xfId="4" applyBorder="1" applyAlignment="1">
      <alignment horizontal="center"/>
    </xf>
    <xf numFmtId="0" fontId="11" fillId="0" borderId="0" xfId="4" applyBorder="1" applyAlignment="1">
      <alignment horizontal="center"/>
    </xf>
    <xf numFmtId="0" fontId="11" fillId="0" borderId="19" xfId="4" applyBorder="1" applyAlignment="1">
      <alignment horizontal="center"/>
    </xf>
    <xf numFmtId="0" fontId="11" fillId="0" borderId="18" xfId="4" applyFont="1" applyBorder="1" applyAlignment="1">
      <alignment horizontal="left"/>
    </xf>
    <xf numFmtId="0" fontId="11" fillId="0" borderId="0" xfId="4" applyBorder="1"/>
    <xf numFmtId="0" fontId="11" fillId="0" borderId="19" xfId="4" applyBorder="1"/>
    <xf numFmtId="0" fontId="11" fillId="0" borderId="0" xfId="4" applyFont="1" applyBorder="1"/>
    <xf numFmtId="0" fontId="36" fillId="0" borderId="28" xfId="4" applyFont="1" applyBorder="1" applyAlignment="1">
      <alignment horizontal="center" vertical="center"/>
    </xf>
    <xf numFmtId="0" fontId="11" fillId="0" borderId="8" xfId="4" applyBorder="1" applyAlignment="1">
      <alignment horizontal="center" vertical="top"/>
    </xf>
    <xf numFmtId="0" fontId="11" fillId="0" borderId="32" xfId="4" applyFont="1" applyBorder="1" applyAlignment="1">
      <alignment horizontal="left" vertical="top" wrapText="1"/>
    </xf>
    <xf numFmtId="0" fontId="11" fillId="0" borderId="1" xfId="4" applyFont="1" applyBorder="1" applyAlignment="1">
      <alignment horizontal="center"/>
    </xf>
    <xf numFmtId="2" fontId="11" fillId="0" borderId="9" xfId="4" applyNumberFormat="1" applyFont="1" applyBorder="1" applyAlignment="1">
      <alignment horizontal="right" wrapText="1"/>
    </xf>
    <xf numFmtId="164" fontId="11" fillId="0" borderId="9" xfId="3" applyFont="1" applyBorder="1" applyAlignment="1">
      <alignment horizontal="right"/>
    </xf>
    <xf numFmtId="164" fontId="11" fillId="0" borderId="9" xfId="4" applyNumberFormat="1" applyFont="1" applyBorder="1" applyAlignment="1">
      <alignment horizontal="right"/>
    </xf>
    <xf numFmtId="2" fontId="39" fillId="0" borderId="10" xfId="4" applyNumberFormat="1" applyFont="1" applyBorder="1" applyAlignment="1">
      <alignment wrapText="1"/>
    </xf>
    <xf numFmtId="0" fontId="11" fillId="0" borderId="1" xfId="4" applyFill="1" applyBorder="1" applyAlignment="1">
      <alignment wrapText="1"/>
    </xf>
    <xf numFmtId="164" fontId="11" fillId="0" borderId="1" xfId="3" applyFont="1" applyBorder="1" applyAlignment="1">
      <alignment horizontal="right"/>
    </xf>
    <xf numFmtId="0" fontId="36" fillId="0" borderId="1" xfId="4" applyFont="1" applyFill="1" applyBorder="1" applyAlignment="1">
      <alignment wrapText="1"/>
    </xf>
    <xf numFmtId="2" fontId="11" fillId="0" borderId="1" xfId="4" applyNumberFormat="1" applyFont="1" applyBorder="1" applyAlignment="1">
      <alignment horizontal="right" wrapText="1"/>
    </xf>
    <xf numFmtId="164" fontId="36" fillId="0" borderId="1" xfId="4" applyNumberFormat="1" applyFont="1" applyBorder="1" applyAlignment="1">
      <alignment horizontal="right"/>
    </xf>
    <xf numFmtId="2" fontId="39" fillId="0" borderId="11" xfId="4" applyNumberFormat="1" applyFont="1" applyBorder="1" applyAlignment="1">
      <alignment wrapText="1"/>
    </xf>
    <xf numFmtId="0" fontId="36" fillId="0" borderId="8" xfId="4" applyFont="1" applyBorder="1" applyAlignment="1">
      <alignment horizontal="center" vertical="top"/>
    </xf>
    <xf numFmtId="0" fontId="11" fillId="0" borderId="8" xfId="4" applyFont="1" applyBorder="1" applyAlignment="1">
      <alignment horizontal="center" vertical="top"/>
    </xf>
    <xf numFmtId="0" fontId="11" fillId="0" borderId="1" xfId="4" applyFont="1" applyFill="1" applyBorder="1" applyAlignment="1">
      <alignment vertical="top" wrapText="1"/>
    </xf>
    <xf numFmtId="0" fontId="11" fillId="0" borderId="1" xfId="4" applyFont="1" applyBorder="1" applyAlignment="1">
      <alignment horizontal="right"/>
    </xf>
    <xf numFmtId="1" fontId="11" fillId="0" borderId="1" xfId="4" applyNumberFormat="1" applyFont="1" applyBorder="1" applyAlignment="1">
      <alignment horizontal="right" wrapText="1"/>
    </xf>
    <xf numFmtId="2" fontId="9" fillId="0" borderId="9" xfId="4" applyNumberFormat="1" applyFont="1" applyBorder="1" applyAlignment="1">
      <alignment horizontal="right"/>
    </xf>
    <xf numFmtId="164" fontId="11" fillId="0" borderId="1" xfId="4" applyNumberFormat="1" applyFont="1" applyBorder="1" applyAlignment="1">
      <alignment horizontal="right"/>
    </xf>
    <xf numFmtId="0" fontId="11" fillId="0" borderId="1" xfId="4" applyFont="1" applyBorder="1" applyAlignment="1">
      <alignment horizontal="center" vertical="top"/>
    </xf>
    <xf numFmtId="0" fontId="11" fillId="0" borderId="1" xfId="4" applyFont="1" applyFill="1" applyBorder="1" applyAlignment="1">
      <alignment wrapText="1"/>
    </xf>
    <xf numFmtId="0" fontId="11" fillId="0" borderId="9" xfId="4" applyFont="1" applyBorder="1" applyAlignment="1">
      <alignment horizontal="center"/>
    </xf>
    <xf numFmtId="0" fontId="11" fillId="0" borderId="8" xfId="4" applyBorder="1" applyAlignment="1">
      <alignment horizontal="center" vertical="justify"/>
    </xf>
    <xf numFmtId="0" fontId="11" fillId="0" borderId="1" xfId="4" applyFont="1" applyBorder="1" applyAlignment="1">
      <alignment horizontal="left" vertical="top" wrapText="1"/>
    </xf>
    <xf numFmtId="0" fontId="36" fillId="0" borderId="1" xfId="4" applyFont="1" applyBorder="1" applyAlignment="1">
      <alignment horizontal="left" vertical="top" wrapText="1"/>
    </xf>
    <xf numFmtId="0" fontId="11" fillId="0" borderId="12" xfId="4" applyBorder="1" applyAlignment="1">
      <alignment horizontal="center" vertical="justify"/>
    </xf>
    <xf numFmtId="0" fontId="11" fillId="0" borderId="13" xfId="4" applyFont="1" applyBorder="1" applyAlignment="1">
      <alignment horizontal="left" vertical="top" wrapText="1"/>
    </xf>
    <xf numFmtId="0" fontId="11" fillId="0" borderId="13" xfId="4" applyFont="1" applyBorder="1" applyAlignment="1">
      <alignment horizontal="center"/>
    </xf>
    <xf numFmtId="2" fontId="11" fillId="0" borderId="13" xfId="4" applyNumberFormat="1" applyFont="1" applyBorder="1" applyAlignment="1">
      <alignment horizontal="center" wrapText="1"/>
    </xf>
    <xf numFmtId="164" fontId="11" fillId="0" borderId="13" xfId="3" applyFont="1" applyBorder="1" applyAlignment="1"/>
    <xf numFmtId="164" fontId="11" fillId="0" borderId="13" xfId="4" applyNumberFormat="1" applyFont="1" applyBorder="1" applyAlignment="1"/>
    <xf numFmtId="2" fontId="39" fillId="0" borderId="14" xfId="4" applyNumberFormat="1" applyFont="1" applyBorder="1" applyAlignment="1">
      <alignment wrapText="1"/>
    </xf>
    <xf numFmtId="166" fontId="11" fillId="0" borderId="0" xfId="4" applyNumberFormat="1" applyBorder="1" applyAlignment="1">
      <alignment horizontal="right"/>
    </xf>
    <xf numFmtId="0" fontId="11" fillId="0" borderId="0" xfId="4" applyBorder="1" applyAlignment="1">
      <alignment horizontal="right"/>
    </xf>
    <xf numFmtId="2" fontId="11" fillId="0" borderId="0" xfId="4" applyNumberFormat="1" applyBorder="1"/>
    <xf numFmtId="166" fontId="11" fillId="0" borderId="0" xfId="4" applyNumberFormat="1" applyFont="1" applyBorder="1" applyAlignment="1">
      <alignment horizontal="right"/>
    </xf>
    <xf numFmtId="0" fontId="11" fillId="0" borderId="0" xfId="4" applyFont="1" applyBorder="1" applyAlignment="1">
      <alignment horizontal="right"/>
    </xf>
    <xf numFmtId="0" fontId="36" fillId="0" borderId="0" xfId="4" applyFont="1" applyBorder="1" applyAlignment="1">
      <alignment horizontal="right"/>
    </xf>
    <xf numFmtId="2" fontId="36" fillId="0" borderId="0" xfId="4" applyNumberFormat="1" applyFont="1" applyBorder="1"/>
    <xf numFmtId="0" fontId="36" fillId="0" borderId="0" xfId="4" applyFont="1" applyBorder="1"/>
    <xf numFmtId="0" fontId="11" fillId="0" borderId="0" xfId="4" applyFont="1"/>
    <xf numFmtId="0" fontId="41" fillId="0" borderId="0" xfId="4" applyFont="1" applyAlignment="1"/>
    <xf numFmtId="0" fontId="42" fillId="0" borderId="0" xfId="4" applyFont="1" applyAlignment="1"/>
    <xf numFmtId="0" fontId="43" fillId="0" borderId="18" xfId="4" applyFont="1" applyBorder="1"/>
    <xf numFmtId="0" fontId="31" fillId="0" borderId="0" xfId="4" applyFont="1" applyBorder="1"/>
    <xf numFmtId="2" fontId="44" fillId="0" borderId="19" xfId="4" applyNumberFormat="1" applyFont="1" applyBorder="1" applyAlignment="1">
      <alignment horizontal="right" wrapText="1"/>
    </xf>
    <xf numFmtId="2" fontId="44" fillId="0" borderId="0" xfId="4" applyNumberFormat="1" applyFont="1" applyAlignment="1">
      <alignment wrapText="1"/>
    </xf>
    <xf numFmtId="0" fontId="31" fillId="0" borderId="0" xfId="4" applyFont="1"/>
    <xf numFmtId="0" fontId="32" fillId="0" borderId="0" xfId="4" applyFont="1" applyBorder="1"/>
    <xf numFmtId="0" fontId="32" fillId="0" borderId="19" xfId="4" applyFont="1" applyBorder="1"/>
    <xf numFmtId="0" fontId="32" fillId="0" borderId="0" xfId="4" applyFont="1"/>
    <xf numFmtId="0" fontId="31" fillId="0" borderId="34" xfId="4" applyFont="1" applyBorder="1"/>
    <xf numFmtId="0" fontId="45" fillId="0" borderId="35" xfId="4" applyFont="1" applyBorder="1" applyAlignment="1">
      <alignment vertical="top" wrapText="1"/>
    </xf>
    <xf numFmtId="0" fontId="46" fillId="0" borderId="35" xfId="4" applyFont="1" applyBorder="1" applyAlignment="1">
      <alignment vertical="top" wrapText="1"/>
    </xf>
    <xf numFmtId="0" fontId="31" fillId="0" borderId="36" xfId="4" applyFont="1" applyBorder="1" applyAlignment="1">
      <alignment vertical="top" wrapText="1"/>
    </xf>
    <xf numFmtId="0" fontId="31" fillId="0" borderId="37" xfId="4" applyFont="1" applyBorder="1" applyAlignment="1">
      <alignment horizontal="center" vertical="center" wrapText="1"/>
    </xf>
    <xf numFmtId="0" fontId="31" fillId="0" borderId="35" xfId="4" applyFont="1" applyBorder="1" applyAlignment="1">
      <alignment vertical="top" wrapText="1"/>
    </xf>
    <xf numFmtId="0" fontId="31" fillId="0" borderId="35" xfId="4" applyFont="1" applyBorder="1"/>
    <xf numFmtId="0" fontId="31" fillId="0" borderId="35" xfId="4" applyFont="1" applyBorder="1" applyAlignment="1">
      <alignment horizontal="center"/>
    </xf>
    <xf numFmtId="0" fontId="32" fillId="0" borderId="37" xfId="4" applyFont="1" applyBorder="1" applyAlignment="1">
      <alignment horizontal="center" vertical="center" wrapText="1"/>
    </xf>
    <xf numFmtId="2" fontId="32" fillId="0" borderId="35" xfId="4" applyNumberFormat="1" applyFont="1" applyBorder="1" applyAlignment="1">
      <alignment horizontal="right" vertical="center"/>
    </xf>
    <xf numFmtId="164" fontId="31" fillId="0" borderId="35" xfId="10" applyFont="1" applyBorder="1" applyAlignment="1">
      <alignment vertical="center"/>
    </xf>
    <xf numFmtId="0" fontId="48" fillId="0" borderId="35" xfId="4" applyFont="1" applyBorder="1" applyAlignment="1">
      <alignment horizontal="center" wrapText="1"/>
    </xf>
    <xf numFmtId="0" fontId="45" fillId="0" borderId="38" xfId="4" applyFont="1" applyBorder="1" applyAlignment="1">
      <alignment horizontal="center" vertical="center" wrapText="1"/>
    </xf>
    <xf numFmtId="0" fontId="45" fillId="0" borderId="39" xfId="4" applyFont="1" applyBorder="1" applyAlignment="1">
      <alignment horizontal="center" vertical="center" wrapText="1"/>
    </xf>
    <xf numFmtId="0" fontId="45" fillId="0" borderId="40" xfId="4" applyFont="1" applyBorder="1" applyAlignment="1">
      <alignment horizontal="center" vertical="center" wrapText="1"/>
    </xf>
    <xf numFmtId="0" fontId="31" fillId="0" borderId="41" xfId="4" applyFont="1" applyBorder="1" applyAlignment="1">
      <alignment horizontal="center"/>
    </xf>
    <xf numFmtId="2" fontId="32" fillId="0" borderId="37" xfId="4" applyNumberFormat="1" applyFont="1" applyBorder="1" applyAlignment="1">
      <alignment horizontal="center" vertical="center"/>
    </xf>
    <xf numFmtId="2" fontId="32" fillId="0" borderId="35" xfId="4" applyNumberFormat="1" applyFont="1" applyBorder="1" applyAlignment="1">
      <alignment horizontal="right"/>
    </xf>
    <xf numFmtId="164" fontId="31" fillId="0" borderId="35" xfId="10" applyFont="1" applyBorder="1" applyAlignment="1">
      <alignment horizontal="right"/>
    </xf>
    <xf numFmtId="0" fontId="31" fillId="0" borderId="35" xfId="4" applyFont="1" applyBorder="1" applyAlignment="1">
      <alignment horizontal="right"/>
    </xf>
    <xf numFmtId="0" fontId="49" fillId="0" borderId="45" xfId="4" applyFont="1" applyBorder="1" applyAlignment="1">
      <alignment horizontal="center"/>
    </xf>
    <xf numFmtId="0" fontId="50" fillId="0" borderId="37" xfId="4" applyFont="1" applyBorder="1" applyAlignment="1">
      <alignment vertical="center"/>
    </xf>
    <xf numFmtId="0" fontId="50" fillId="0" borderId="35" xfId="4" applyFont="1" applyBorder="1" applyAlignment="1">
      <alignment vertical="center"/>
    </xf>
    <xf numFmtId="0" fontId="49" fillId="0" borderId="35" xfId="4" applyFont="1" applyBorder="1" applyAlignment="1">
      <alignment horizontal="center"/>
    </xf>
    <xf numFmtId="164" fontId="51" fillId="0" borderId="0" xfId="3" applyFont="1" applyAlignment="1"/>
    <xf numFmtId="0" fontId="11" fillId="0" borderId="0" xfId="4" applyFont="1" applyBorder="1" applyAlignment="1"/>
    <xf numFmtId="165" fontId="11" fillId="0" borderId="0" xfId="4" applyNumberFormat="1" applyBorder="1"/>
    <xf numFmtId="0" fontId="49" fillId="0" borderId="15" xfId="4" applyFont="1" applyBorder="1" applyAlignment="1">
      <alignment horizontal="center"/>
    </xf>
    <xf numFmtId="0" fontId="11" fillId="0" borderId="23" xfId="4" applyBorder="1" applyAlignment="1">
      <alignment horizontal="left"/>
    </xf>
    <xf numFmtId="0" fontId="11" fillId="0" borderId="23" xfId="4" quotePrefix="1" applyBorder="1" applyAlignment="1">
      <alignment horizontal="left"/>
    </xf>
    <xf numFmtId="0" fontId="49" fillId="0" borderId="23" xfId="4" applyFont="1" applyBorder="1" applyAlignment="1">
      <alignment horizontal="left"/>
    </xf>
    <xf numFmtId="164" fontId="52" fillId="0" borderId="47" xfId="10" applyFont="1" applyBorder="1"/>
    <xf numFmtId="0" fontId="49" fillId="0" borderId="37" xfId="4" applyFont="1" applyBorder="1" applyAlignment="1">
      <alignment horizontal="center"/>
    </xf>
    <xf numFmtId="0" fontId="11" fillId="0" borderId="0" xfId="4" applyFont="1" applyAlignment="1"/>
    <xf numFmtId="0" fontId="49" fillId="0" borderId="8" xfId="4" applyFont="1" applyBorder="1" applyAlignment="1">
      <alignment horizontal="center"/>
    </xf>
    <xf numFmtId="0" fontId="49" fillId="0" borderId="1" xfId="4" applyFont="1" applyBorder="1" applyAlignment="1">
      <alignment horizontal="left"/>
    </xf>
    <xf numFmtId="164" fontId="52" fillId="0" borderId="11" xfId="10" applyFont="1" applyBorder="1"/>
    <xf numFmtId="2" fontId="49" fillId="0" borderId="35" xfId="4" applyNumberFormat="1" applyFont="1" applyBorder="1" applyAlignment="1">
      <alignment horizontal="center"/>
    </xf>
    <xf numFmtId="164" fontId="47" fillId="0" borderId="11" xfId="10" applyFont="1" applyBorder="1"/>
    <xf numFmtId="2" fontId="11" fillId="0" borderId="0" xfId="4" applyNumberFormat="1"/>
    <xf numFmtId="164" fontId="53" fillId="0" borderId="11" xfId="10" applyFont="1" applyBorder="1"/>
    <xf numFmtId="164" fontId="11" fillId="0" borderId="0" xfId="3" applyFont="1" applyAlignment="1"/>
    <xf numFmtId="0" fontId="11" fillId="0" borderId="11" xfId="4" applyBorder="1"/>
    <xf numFmtId="164" fontId="49" fillId="0" borderId="35" xfId="4" applyNumberFormat="1" applyFont="1" applyBorder="1" applyAlignment="1">
      <alignment horizontal="center"/>
    </xf>
    <xf numFmtId="164" fontId="54" fillId="0" borderId="0" xfId="3" applyFont="1" applyAlignment="1"/>
    <xf numFmtId="0" fontId="49" fillId="0" borderId="1" xfId="4" applyFont="1" applyBorder="1" applyAlignment="1">
      <alignment horizontal="left"/>
    </xf>
    <xf numFmtId="4" fontId="11" fillId="0" borderId="11" xfId="4" applyNumberFormat="1" applyBorder="1"/>
    <xf numFmtId="0" fontId="51" fillId="0" borderId="0" xfId="4" applyFont="1" applyAlignment="1"/>
    <xf numFmtId="0" fontId="49" fillId="0" borderId="20" xfId="4" applyFont="1" applyBorder="1" applyAlignment="1">
      <alignment horizontal="center"/>
    </xf>
    <xf numFmtId="0" fontId="35" fillId="0" borderId="26" xfId="4" applyFont="1" applyBorder="1" applyAlignment="1">
      <alignment horizontal="center"/>
    </xf>
    <xf numFmtId="0" fontId="49" fillId="0" borderId="26" xfId="4" applyFont="1" applyBorder="1" applyAlignment="1">
      <alignment horizontal="center"/>
    </xf>
    <xf numFmtId="164" fontId="55" fillId="0" borderId="14" xfId="10" applyFont="1" applyBorder="1" applyAlignment="1">
      <alignment horizontal="right"/>
    </xf>
    <xf numFmtId="0" fontId="49" fillId="0" borderId="0" xfId="4" applyFont="1" applyBorder="1" applyAlignment="1">
      <alignment horizontal="center"/>
    </xf>
    <xf numFmtId="0" fontId="49" fillId="0" borderId="18" xfId="4" applyFont="1" applyBorder="1" applyAlignment="1">
      <alignment horizontal="center"/>
    </xf>
    <xf numFmtId="0" fontId="35" fillId="0" borderId="4" xfId="4" applyFont="1" applyBorder="1" applyAlignment="1">
      <alignment horizontal="center"/>
    </xf>
    <xf numFmtId="0" fontId="49" fillId="0" borderId="4" xfId="4" applyFont="1" applyBorder="1" applyAlignment="1">
      <alignment horizontal="center"/>
    </xf>
    <xf numFmtId="164" fontId="55" fillId="0" borderId="21" xfId="10" applyFont="1" applyBorder="1" applyAlignment="1">
      <alignment horizontal="right"/>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right"/>
    </xf>
    <xf numFmtId="0" fontId="20" fillId="0" borderId="4" xfId="8" applyFont="1" applyFill="1" applyBorder="1" applyAlignment="1">
      <alignment horizontal="left"/>
    </xf>
    <xf numFmtId="2" fontId="24" fillId="0" borderId="0" xfId="8" applyNumberFormat="1" applyFont="1" applyFill="1" applyAlignment="1">
      <alignment horizontal="center"/>
    </xf>
    <xf numFmtId="2" fontId="20" fillId="0" borderId="0" xfId="8" applyNumberFormat="1" applyFont="1" applyFill="1" applyAlignment="1">
      <alignment horizontal="center"/>
    </xf>
    <xf numFmtId="2" fontId="8" fillId="0" borderId="0" xfId="8" applyNumberFormat="1" applyFont="1" applyFill="1" applyAlignment="1">
      <alignment horizontal="right"/>
    </xf>
    <xf numFmtId="0" fontId="37" fillId="0" borderId="29" xfId="4" applyFont="1" applyBorder="1" applyAlignment="1">
      <alignment horizontal="center" vertical="center"/>
    </xf>
    <xf numFmtId="0" fontId="37" fillId="0" borderId="30" xfId="4" applyFont="1" applyBorder="1" applyAlignment="1">
      <alignment horizontal="center" vertical="center"/>
    </xf>
    <xf numFmtId="0" fontId="37" fillId="0" borderId="31" xfId="4" applyFont="1" applyBorder="1" applyAlignment="1">
      <alignment horizontal="center" vertical="center"/>
    </xf>
    <xf numFmtId="0" fontId="37" fillId="0" borderId="2" xfId="4" applyFont="1" applyBorder="1" applyAlignment="1">
      <alignment horizontal="center" vertical="center"/>
    </xf>
    <xf numFmtId="0" fontId="37" fillId="0" borderId="32" xfId="4" applyFont="1" applyBorder="1" applyAlignment="1">
      <alignment horizontal="center" vertical="center"/>
    </xf>
    <xf numFmtId="0" fontId="37" fillId="0" borderId="33" xfId="4" applyFont="1" applyBorder="1" applyAlignment="1">
      <alignment horizontal="center" vertical="center"/>
    </xf>
    <xf numFmtId="0" fontId="36" fillId="0" borderId="20" xfId="4" applyFont="1" applyBorder="1" applyAlignment="1">
      <alignment horizontal="center"/>
    </xf>
    <xf numFmtId="0" fontId="36" fillId="0" borderId="4" xfId="4" applyFont="1" applyBorder="1" applyAlignment="1">
      <alignment horizontal="center"/>
    </xf>
    <xf numFmtId="0" fontId="36" fillId="0" borderId="21" xfId="4" applyFont="1" applyBorder="1" applyAlignment="1">
      <alignment horizontal="center"/>
    </xf>
    <xf numFmtId="0" fontId="36" fillId="0" borderId="22" xfId="4" applyFont="1" applyBorder="1" applyAlignment="1">
      <alignment horizontal="center" vertical="center"/>
    </xf>
    <xf numFmtId="0" fontId="36" fillId="0" borderId="25" xfId="4" applyFont="1" applyBorder="1" applyAlignment="1">
      <alignment horizontal="center" vertical="center"/>
    </xf>
    <xf numFmtId="0" fontId="36" fillId="0" borderId="23" xfId="4" applyFont="1" applyBorder="1" applyAlignment="1">
      <alignment horizontal="center" vertical="center"/>
    </xf>
    <xf numFmtId="0" fontId="36" fillId="0" borderId="26" xfId="4" applyFont="1" applyBorder="1" applyAlignment="1">
      <alignment horizontal="center" vertical="center"/>
    </xf>
    <xf numFmtId="0" fontId="36" fillId="0" borderId="24" xfId="4" applyFont="1" applyBorder="1" applyAlignment="1">
      <alignment horizontal="center" vertical="center"/>
    </xf>
    <xf numFmtId="0" fontId="36" fillId="0" borderId="27" xfId="4" applyFont="1" applyBorder="1" applyAlignment="1">
      <alignment horizontal="center" vertical="center"/>
    </xf>
    <xf numFmtId="2" fontId="34" fillId="0" borderId="15" xfId="4" applyNumberFormat="1" applyFont="1" applyBorder="1" applyAlignment="1">
      <alignment horizontal="center"/>
    </xf>
    <xf numFmtId="2" fontId="34" fillId="0" borderId="16" xfId="4" applyNumberFormat="1" applyFont="1" applyBorder="1" applyAlignment="1">
      <alignment horizontal="center"/>
    </xf>
    <xf numFmtId="2" fontId="34" fillId="0" borderId="17" xfId="4" applyNumberFormat="1" applyFont="1" applyBorder="1" applyAlignment="1">
      <alignment horizontal="center"/>
    </xf>
    <xf numFmtId="2" fontId="34" fillId="0" borderId="18" xfId="4" applyNumberFormat="1" applyFont="1" applyBorder="1" applyAlignment="1">
      <alignment horizontal="center"/>
    </xf>
    <xf numFmtId="2" fontId="34" fillId="0" borderId="0" xfId="4" applyNumberFormat="1" applyFont="1" applyBorder="1" applyAlignment="1">
      <alignment horizontal="center"/>
    </xf>
    <xf numFmtId="2" fontId="34" fillId="0" borderId="19" xfId="4" applyNumberFormat="1" applyFont="1" applyBorder="1" applyAlignment="1">
      <alignment horizontal="center"/>
    </xf>
    <xf numFmtId="0" fontId="11" fillId="0" borderId="18" xfId="4" applyFont="1" applyBorder="1" applyAlignment="1">
      <alignment horizontal="center"/>
    </xf>
    <xf numFmtId="0" fontId="11" fillId="0" borderId="0" xfId="4" applyFont="1" applyBorder="1" applyAlignment="1">
      <alignment horizontal="center"/>
    </xf>
    <xf numFmtId="0" fontId="11" fillId="0" borderId="19" xfId="4" applyFont="1" applyBorder="1" applyAlignment="1">
      <alignment horizontal="center"/>
    </xf>
    <xf numFmtId="0" fontId="35" fillId="0" borderId="18" xfId="4" applyFont="1" applyBorder="1" applyAlignment="1">
      <alignment horizontal="center"/>
    </xf>
    <xf numFmtId="0" fontId="35" fillId="0" borderId="0" xfId="4" applyFont="1" applyBorder="1" applyAlignment="1">
      <alignment horizontal="center"/>
    </xf>
    <xf numFmtId="0" fontId="35" fillId="0" borderId="19" xfId="4" applyFont="1" applyBorder="1" applyAlignment="1">
      <alignment horizontal="center"/>
    </xf>
    <xf numFmtId="0" fontId="36" fillId="0" borderId="18" xfId="4" applyFont="1" applyBorder="1" applyAlignment="1">
      <alignment horizontal="center"/>
    </xf>
    <xf numFmtId="0" fontId="36" fillId="0" borderId="0" xfId="4" applyFont="1" applyBorder="1" applyAlignment="1">
      <alignment horizontal="center"/>
    </xf>
    <xf numFmtId="0" fontId="36" fillId="0" borderId="19" xfId="4" applyFont="1" applyBorder="1" applyAlignment="1">
      <alignment horizontal="center"/>
    </xf>
    <xf numFmtId="0" fontId="11" fillId="0" borderId="1" xfId="4" applyBorder="1" applyAlignment="1">
      <alignment horizontal="left"/>
    </xf>
    <xf numFmtId="0" fontId="11" fillId="0" borderId="1" xfId="4" quotePrefix="1" applyBorder="1" applyAlignment="1">
      <alignment horizontal="left"/>
    </xf>
    <xf numFmtId="0" fontId="11" fillId="0" borderId="1" xfId="4" applyBorder="1" applyAlignment="1">
      <alignment horizontal="center"/>
    </xf>
    <xf numFmtId="0" fontId="49" fillId="0" borderId="1" xfId="4" applyFont="1" applyBorder="1" applyAlignment="1">
      <alignment horizontal="left"/>
    </xf>
    <xf numFmtId="0" fontId="31" fillId="0" borderId="42" xfId="4" applyFont="1" applyBorder="1" applyAlignment="1">
      <alignment horizontal="left" vertical="center"/>
    </xf>
    <xf numFmtId="0" fontId="31" fillId="0" borderId="43" xfId="4" applyFont="1" applyBorder="1" applyAlignment="1">
      <alignment horizontal="left" vertical="center"/>
    </xf>
    <xf numFmtId="0" fontId="31" fillId="0" borderId="44" xfId="4" applyFont="1" applyBorder="1" applyAlignment="1">
      <alignment horizontal="left" vertical="center"/>
    </xf>
    <xf numFmtId="0" fontId="50" fillId="0" borderId="46" xfId="4" applyFont="1" applyBorder="1" applyAlignment="1">
      <alignment horizontal="center" vertical="center"/>
    </xf>
    <xf numFmtId="0" fontId="50" fillId="0" borderId="16" xfId="4" applyFont="1" applyBorder="1" applyAlignment="1">
      <alignment horizontal="center" vertical="center"/>
    </xf>
    <xf numFmtId="0" fontId="50" fillId="0" borderId="17" xfId="4" applyFont="1" applyBorder="1" applyAlignment="1">
      <alignment horizontal="center" vertical="center"/>
    </xf>
    <xf numFmtId="2" fontId="40" fillId="0" borderId="15" xfId="4" applyNumberFormat="1" applyFont="1" applyBorder="1" applyAlignment="1">
      <alignment horizontal="center"/>
    </xf>
    <xf numFmtId="0" fontId="40" fillId="0" borderId="16" xfId="4" applyFont="1" applyBorder="1" applyAlignment="1">
      <alignment horizontal="center"/>
    </xf>
    <xf numFmtId="0" fontId="40" fillId="0" borderId="17" xfId="4" applyFont="1" applyBorder="1" applyAlignment="1">
      <alignment horizontal="center"/>
    </xf>
    <xf numFmtId="2" fontId="40" fillId="0" borderId="18" xfId="4" applyNumberFormat="1" applyFont="1" applyBorder="1" applyAlignment="1">
      <alignment horizontal="center"/>
    </xf>
    <xf numFmtId="0" fontId="40" fillId="0" borderId="0" xfId="4" applyFont="1" applyBorder="1" applyAlignment="1">
      <alignment horizontal="center"/>
    </xf>
    <xf numFmtId="0" fontId="40" fillId="0" borderId="19" xfId="4" applyFont="1" applyBorder="1" applyAlignment="1">
      <alignment horizontal="center"/>
    </xf>
    <xf numFmtId="0" fontId="31" fillId="0" borderId="35" xfId="4" applyFont="1" applyBorder="1" applyAlignment="1">
      <alignment horizontal="center" vertical="top" wrapText="1"/>
    </xf>
    <xf numFmtId="0" fontId="45" fillId="0" borderId="38" xfId="4" applyFont="1" applyBorder="1" applyAlignment="1">
      <alignment horizontal="center" vertical="center" wrapText="1"/>
    </xf>
    <xf numFmtId="0" fontId="45" fillId="0" borderId="39" xfId="4" applyFont="1" applyBorder="1" applyAlignment="1">
      <alignment horizontal="center" vertical="center" wrapText="1"/>
    </xf>
    <xf numFmtId="0" fontId="45" fillId="0" borderId="40" xfId="4" applyFont="1" applyBorder="1" applyAlignment="1">
      <alignment horizontal="center" vertical="center" wrapText="1"/>
    </xf>
    <xf numFmtId="2" fontId="40" fillId="0" borderId="0" xfId="4" applyNumberFormat="1" applyFont="1" applyBorder="1" applyAlignment="1">
      <alignment horizontal="center"/>
    </xf>
    <xf numFmtId="2" fontId="44" fillId="0" borderId="19" xfId="8" applyNumberFormat="1" applyFont="1" applyBorder="1" applyAlignment="1">
      <alignment horizontal="right" wrapText="1"/>
    </xf>
    <xf numFmtId="2" fontId="44" fillId="0" borderId="0" xfId="8" applyNumberFormat="1" applyFont="1" applyAlignment="1">
      <alignment wrapText="1"/>
    </xf>
    <xf numFmtId="0" fontId="31" fillId="0" borderId="41" xfId="4" applyFont="1" applyBorder="1"/>
    <xf numFmtId="0" fontId="45" fillId="0" borderId="48" xfId="4" applyFont="1" applyBorder="1" applyAlignment="1">
      <alignment horizontal="center" vertical="center" wrapText="1"/>
    </xf>
    <xf numFmtId="0" fontId="45" fillId="0" borderId="49" xfId="4" applyFont="1" applyBorder="1" applyAlignment="1">
      <alignment horizontal="center" vertical="center" wrapText="1"/>
    </xf>
    <xf numFmtId="0" fontId="45" fillId="0" borderId="50" xfId="4" applyFont="1" applyBorder="1" applyAlignment="1">
      <alignment horizontal="center" vertical="center" wrapText="1"/>
    </xf>
    <xf numFmtId="0" fontId="31" fillId="0" borderId="51" xfId="4" applyFont="1" applyBorder="1" applyAlignment="1">
      <alignment horizontal="center"/>
    </xf>
    <xf numFmtId="0" fontId="31" fillId="0" borderId="52" xfId="4" applyFont="1" applyBorder="1" applyAlignment="1">
      <alignment horizontal="left" vertical="center"/>
    </xf>
    <xf numFmtId="0" fontId="31" fillId="0" borderId="53" xfId="4" applyFont="1" applyBorder="1" applyAlignment="1">
      <alignment horizontal="left" vertical="center"/>
    </xf>
    <xf numFmtId="0" fontId="31" fillId="0" borderId="54" xfId="4" applyFont="1" applyBorder="1" applyAlignment="1">
      <alignment horizontal="left" vertical="center"/>
    </xf>
    <xf numFmtId="0" fontId="50" fillId="0" borderId="46" xfId="8" applyFont="1" applyBorder="1" applyAlignment="1">
      <alignment horizontal="center" vertical="center"/>
    </xf>
    <xf numFmtId="0" fontId="50" fillId="0" borderId="16" xfId="8" applyFont="1" applyBorder="1" applyAlignment="1">
      <alignment horizontal="center" vertical="center"/>
    </xf>
    <xf numFmtId="0" fontId="50" fillId="0" borderId="17" xfId="8" applyFont="1" applyBorder="1" applyAlignment="1">
      <alignment horizontal="center" vertical="center"/>
    </xf>
    <xf numFmtId="0" fontId="28" fillId="0" borderId="23" xfId="8" applyBorder="1" applyAlignment="1">
      <alignment horizontal="left"/>
    </xf>
    <xf numFmtId="0" fontId="28" fillId="0" borderId="23" xfId="8" quotePrefix="1" applyBorder="1" applyAlignment="1">
      <alignment horizontal="left"/>
    </xf>
    <xf numFmtId="0" fontId="28" fillId="0" borderId="1" xfId="8" applyBorder="1" applyAlignment="1">
      <alignment horizontal="left"/>
    </xf>
    <xf numFmtId="0" fontId="28" fillId="0" borderId="1" xfId="8" quotePrefix="1" applyBorder="1" applyAlignment="1">
      <alignment horizontal="left"/>
    </xf>
    <xf numFmtId="0" fontId="28" fillId="0" borderId="1" xfId="8" applyBorder="1" applyAlignment="1">
      <alignment horizontal="center"/>
    </xf>
    <xf numFmtId="0" fontId="28" fillId="0" borderId="11" xfId="8" applyBorder="1"/>
    <xf numFmtId="4" fontId="28" fillId="0" borderId="11" xfId="8" applyNumberFormat="1" applyBorder="1"/>
    <xf numFmtId="2" fontId="40" fillId="0" borderId="1" xfId="4" applyNumberFormat="1" applyFont="1" applyBorder="1" applyAlignment="1">
      <alignment horizontal="center"/>
    </xf>
    <xf numFmtId="0" fontId="40" fillId="0" borderId="1" xfId="4" applyFont="1" applyBorder="1" applyAlignment="1">
      <alignment horizontal="center"/>
    </xf>
    <xf numFmtId="0" fontId="43" fillId="0" borderId="1" xfId="4" applyFont="1" applyBorder="1"/>
    <xf numFmtId="0" fontId="31" fillId="0" borderId="1" xfId="4" applyFont="1" applyBorder="1"/>
    <xf numFmtId="2" fontId="44" fillId="0" borderId="1" xfId="8" applyNumberFormat="1" applyFont="1" applyBorder="1" applyAlignment="1">
      <alignment horizontal="right" wrapText="1"/>
    </xf>
    <xf numFmtId="0" fontId="32" fillId="0" borderId="1" xfId="4" applyFont="1" applyBorder="1"/>
    <xf numFmtId="0" fontId="31" fillId="0" borderId="55" xfId="4" applyFont="1" applyBorder="1"/>
    <xf numFmtId="0" fontId="45" fillId="0" borderId="56" xfId="4" applyFont="1" applyBorder="1" applyAlignment="1">
      <alignment vertical="top" wrapText="1"/>
    </xf>
    <xf numFmtId="0" fontId="46" fillId="0" borderId="56" xfId="4" applyFont="1" applyBorder="1" applyAlignment="1">
      <alignment vertical="top" wrapText="1"/>
    </xf>
    <xf numFmtId="0" fontId="31" fillId="0" borderId="56" xfId="4" applyFont="1" applyBorder="1" applyAlignment="1">
      <alignment horizontal="center" vertical="top" wrapText="1"/>
    </xf>
    <xf numFmtId="0" fontId="31" fillId="0" borderId="57" xfId="4" applyFont="1" applyBorder="1" applyAlignment="1">
      <alignment vertical="top" wrapText="1"/>
    </xf>
    <xf numFmtId="0" fontId="34" fillId="0" borderId="15" xfId="8" applyFont="1" applyBorder="1" applyAlignment="1">
      <alignment horizontal="center"/>
    </xf>
    <xf numFmtId="0" fontId="34" fillId="0" borderId="16" xfId="8" applyFont="1" applyBorder="1" applyAlignment="1">
      <alignment horizontal="center"/>
    </xf>
    <xf numFmtId="0" fontId="34" fillId="0" borderId="17" xfId="8" applyFont="1" applyBorder="1" applyAlignment="1">
      <alignment horizontal="center"/>
    </xf>
    <xf numFmtId="0" fontId="34" fillId="0" borderId="18" xfId="8" applyFont="1" applyBorder="1" applyAlignment="1">
      <alignment horizontal="center"/>
    </xf>
    <xf numFmtId="0" fontId="34" fillId="0" borderId="0" xfId="8" applyFont="1" applyBorder="1" applyAlignment="1">
      <alignment horizontal="center"/>
    </xf>
    <xf numFmtId="0" fontId="34" fillId="0" borderId="19" xfId="8" applyFont="1" applyBorder="1" applyAlignment="1">
      <alignment horizontal="center"/>
    </xf>
    <xf numFmtId="0" fontId="11" fillId="0" borderId="18" xfId="8" applyFont="1" applyBorder="1" applyAlignment="1">
      <alignment horizontal="center"/>
    </xf>
    <xf numFmtId="0" fontId="11" fillId="0" borderId="0" xfId="8" applyFont="1" applyBorder="1" applyAlignment="1">
      <alignment horizontal="center"/>
    </xf>
    <xf numFmtId="0" fontId="11" fillId="0" borderId="19" xfId="8" applyFont="1" applyBorder="1" applyAlignment="1">
      <alignment horizontal="center"/>
    </xf>
    <xf numFmtId="0" fontId="11" fillId="0" borderId="18" xfId="8" applyFont="1" applyBorder="1" applyAlignment="1">
      <alignment horizontal="center"/>
    </xf>
    <xf numFmtId="0" fontId="11" fillId="0" borderId="0" xfId="8" applyFont="1" applyBorder="1" applyAlignment="1">
      <alignment horizontal="center"/>
    </xf>
    <xf numFmtId="0" fontId="11" fillId="0" borderId="19" xfId="8" applyFont="1" applyBorder="1" applyAlignment="1">
      <alignment horizontal="center"/>
    </xf>
    <xf numFmtId="0" fontId="35" fillId="0" borderId="18" xfId="8" applyFont="1" applyBorder="1" applyAlignment="1">
      <alignment horizontal="center"/>
    </xf>
    <xf numFmtId="0" fontId="35" fillId="0" borderId="0" xfId="8" applyFont="1" applyBorder="1" applyAlignment="1">
      <alignment horizontal="center"/>
    </xf>
    <xf numFmtId="0" fontId="35" fillId="0" borderId="19" xfId="8" applyFont="1" applyBorder="1" applyAlignment="1">
      <alignment horizontal="center"/>
    </xf>
    <xf numFmtId="0" fontId="28" fillId="0" borderId="18" xfId="8" applyBorder="1" applyAlignment="1">
      <alignment horizontal="center"/>
    </xf>
    <xf numFmtId="0" fontId="28" fillId="0" borderId="0" xfId="8" applyBorder="1" applyAlignment="1">
      <alignment horizontal="center"/>
    </xf>
    <xf numFmtId="0" fontId="28" fillId="0" borderId="19" xfId="8" applyBorder="1" applyAlignment="1">
      <alignment horizontal="center"/>
    </xf>
    <xf numFmtId="0" fontId="11" fillId="0" borderId="18" xfId="8" applyFont="1" applyBorder="1" applyAlignment="1">
      <alignment horizontal="left"/>
    </xf>
    <xf numFmtId="0" fontId="28" fillId="0" borderId="19" xfId="8" applyBorder="1"/>
    <xf numFmtId="0" fontId="11" fillId="0" borderId="0" xfId="8" applyFont="1" applyBorder="1"/>
    <xf numFmtId="0" fontId="36" fillId="0" borderId="18" xfId="8" applyFont="1" applyBorder="1" applyAlignment="1">
      <alignment horizontal="center"/>
    </xf>
    <xf numFmtId="0" fontId="36" fillId="0" borderId="0" xfId="8" applyFont="1" applyBorder="1" applyAlignment="1">
      <alignment horizontal="center"/>
    </xf>
    <xf numFmtId="0" fontId="36" fillId="0" borderId="19" xfId="8" applyFont="1" applyBorder="1" applyAlignment="1">
      <alignment horizontal="center"/>
    </xf>
    <xf numFmtId="0" fontId="36" fillId="0" borderId="20" xfId="8" applyFont="1" applyBorder="1" applyAlignment="1">
      <alignment horizontal="center"/>
    </xf>
    <xf numFmtId="0" fontId="36" fillId="0" borderId="4" xfId="8" applyFont="1" applyBorder="1" applyAlignment="1">
      <alignment horizontal="center"/>
    </xf>
    <xf numFmtId="0" fontId="36" fillId="0" borderId="21" xfId="8" applyFont="1" applyBorder="1" applyAlignment="1">
      <alignment horizontal="center"/>
    </xf>
    <xf numFmtId="0" fontId="36" fillId="0" borderId="22" xfId="8" applyFont="1" applyBorder="1" applyAlignment="1">
      <alignment horizontal="center" vertical="center"/>
    </xf>
    <xf numFmtId="0" fontId="36" fillId="0" borderId="58" xfId="8" applyFont="1" applyBorder="1" applyAlignment="1">
      <alignment horizontal="left" vertical="center"/>
    </xf>
    <xf numFmtId="0" fontId="36" fillId="0" borderId="16" xfId="8" applyFont="1" applyBorder="1" applyAlignment="1">
      <alignment horizontal="left" vertical="center"/>
    </xf>
    <xf numFmtId="0" fontId="36" fillId="0" borderId="59" xfId="8" applyFont="1" applyBorder="1" applyAlignment="1">
      <alignment horizontal="left" vertical="center"/>
    </xf>
    <xf numFmtId="0" fontId="36" fillId="0" borderId="23" xfId="8" applyFont="1" applyBorder="1" applyAlignment="1">
      <alignment horizontal="center" vertical="center"/>
    </xf>
    <xf numFmtId="0" fontId="36" fillId="0" borderId="24" xfId="8" applyFont="1" applyBorder="1" applyAlignment="1">
      <alignment horizontal="center" vertical="center"/>
    </xf>
    <xf numFmtId="0" fontId="36" fillId="0" borderId="25" xfId="8" applyFont="1" applyBorder="1" applyAlignment="1">
      <alignment horizontal="center" vertical="center"/>
    </xf>
    <xf numFmtId="0" fontId="36" fillId="0" borderId="60" xfId="8" applyFont="1" applyBorder="1" applyAlignment="1">
      <alignment horizontal="left" vertical="center"/>
    </xf>
    <xf numFmtId="0" fontId="36" fillId="0" borderId="4" xfId="8" applyFont="1" applyBorder="1" applyAlignment="1">
      <alignment horizontal="left" vertical="center"/>
    </xf>
    <xf numFmtId="0" fontId="36" fillId="0" borderId="61" xfId="8" applyFont="1" applyBorder="1" applyAlignment="1">
      <alignment horizontal="left" vertical="center"/>
    </xf>
    <xf numFmtId="0" fontId="36" fillId="0" borderId="26" xfId="8" applyFont="1" applyBorder="1" applyAlignment="1">
      <alignment horizontal="center" vertical="center"/>
    </xf>
    <xf numFmtId="0" fontId="36" fillId="0" borderId="27" xfId="8" applyFont="1" applyBorder="1" applyAlignment="1">
      <alignment horizontal="center" vertical="center"/>
    </xf>
    <xf numFmtId="0" fontId="36" fillId="0" borderId="28" xfId="8" applyFont="1" applyBorder="1" applyAlignment="1">
      <alignment horizontal="center" vertical="center"/>
    </xf>
    <xf numFmtId="0" fontId="37" fillId="0" borderId="29" xfId="8" applyFont="1" applyBorder="1" applyAlignment="1">
      <alignment horizontal="left" vertical="center"/>
    </xf>
    <xf numFmtId="0" fontId="37" fillId="0" borderId="30" xfId="8" applyFont="1" applyBorder="1" applyAlignment="1">
      <alignment horizontal="left" vertical="center"/>
    </xf>
    <xf numFmtId="0" fontId="37" fillId="0" borderId="31" xfId="8" applyFont="1" applyBorder="1" applyAlignment="1">
      <alignment horizontal="left" vertical="center"/>
    </xf>
    <xf numFmtId="0" fontId="28" fillId="0" borderId="8" xfId="8" applyBorder="1" applyAlignment="1">
      <alignment horizontal="center" vertical="top"/>
    </xf>
    <xf numFmtId="0" fontId="11" fillId="0" borderId="2" xfId="8" applyFont="1" applyBorder="1" applyAlignment="1">
      <alignment horizontal="left" vertical="top" wrapText="1"/>
    </xf>
    <xf numFmtId="0" fontId="11" fillId="0" borderId="32" xfId="8" applyFont="1" applyBorder="1" applyAlignment="1">
      <alignment horizontal="left" vertical="top" wrapText="1"/>
    </xf>
    <xf numFmtId="0" fontId="11" fillId="0" borderId="3" xfId="8" applyFont="1" applyBorder="1" applyAlignment="1">
      <alignment horizontal="left" vertical="top" wrapText="1"/>
    </xf>
    <xf numFmtId="164" fontId="11" fillId="0" borderId="9" xfId="8" applyNumberFormat="1" applyFont="1" applyBorder="1" applyAlignment="1">
      <alignment horizontal="right"/>
    </xf>
    <xf numFmtId="2" fontId="39" fillId="0" borderId="10" xfId="8" applyNumberFormat="1" applyFont="1" applyBorder="1" applyAlignment="1">
      <alignment wrapText="1"/>
    </xf>
    <xf numFmtId="0" fontId="11" fillId="0" borderId="2" xfId="8" applyFont="1" applyBorder="1" applyAlignment="1">
      <alignment horizontal="center" vertical="top" wrapText="1"/>
    </xf>
    <xf numFmtId="0" fontId="11" fillId="0" borderId="32" xfId="8" applyFont="1" applyBorder="1" applyAlignment="1">
      <alignment horizontal="center" vertical="top" wrapText="1"/>
    </xf>
    <xf numFmtId="0" fontId="11" fillId="0" borderId="3" xfId="8" applyFont="1" applyBorder="1" applyAlignment="1">
      <alignment horizontal="center" vertical="top" wrapText="1"/>
    </xf>
    <xf numFmtId="0" fontId="36" fillId="0" borderId="2" xfId="8" applyFont="1" applyFill="1" applyBorder="1" applyAlignment="1">
      <alignment horizontal="left" wrapText="1"/>
    </xf>
    <xf numFmtId="0" fontId="36" fillId="0" borderId="32" xfId="8" applyFont="1" applyFill="1" applyBorder="1" applyAlignment="1">
      <alignment horizontal="left" wrapText="1"/>
    </xf>
    <xf numFmtId="0" fontId="36" fillId="0" borderId="3" xfId="8" applyFont="1" applyFill="1" applyBorder="1" applyAlignment="1">
      <alignment horizontal="left" wrapText="1"/>
    </xf>
    <xf numFmtId="164" fontId="36" fillId="0" borderId="1" xfId="8" applyNumberFormat="1" applyFont="1" applyBorder="1" applyAlignment="1">
      <alignment horizontal="right"/>
    </xf>
    <xf numFmtId="2" fontId="39" fillId="0" borderId="11" xfId="8" applyNumberFormat="1" applyFont="1" applyBorder="1" applyAlignment="1">
      <alignment wrapText="1"/>
    </xf>
    <xf numFmtId="0" fontId="37" fillId="0" borderId="2" xfId="8" applyFont="1" applyBorder="1" applyAlignment="1">
      <alignment horizontal="center" vertical="center"/>
    </xf>
    <xf numFmtId="0" fontId="37" fillId="0" borderId="32" xfId="8" applyFont="1" applyBorder="1" applyAlignment="1">
      <alignment horizontal="center" vertical="center"/>
    </xf>
    <xf numFmtId="0" fontId="37" fillId="0" borderId="33" xfId="8" applyFont="1" applyBorder="1" applyAlignment="1">
      <alignment horizontal="center" vertical="center"/>
    </xf>
    <xf numFmtId="0" fontId="36" fillId="0" borderId="8" xfId="8" applyFont="1" applyBorder="1" applyAlignment="1">
      <alignment horizontal="center" vertical="top"/>
    </xf>
    <xf numFmtId="0" fontId="37" fillId="0" borderId="2" xfId="8" applyFont="1" applyBorder="1" applyAlignment="1">
      <alignment horizontal="left" vertical="center"/>
    </xf>
    <xf numFmtId="0" fontId="37" fillId="0" borderId="32" xfId="8" applyFont="1" applyBorder="1" applyAlignment="1">
      <alignment horizontal="left" vertical="center"/>
    </xf>
    <xf numFmtId="0" fontId="37" fillId="0" borderId="33" xfId="8" applyFont="1" applyBorder="1" applyAlignment="1">
      <alignment horizontal="left" vertical="center"/>
    </xf>
    <xf numFmtId="0" fontId="11" fillId="0" borderId="8" xfId="8" applyFont="1" applyBorder="1" applyAlignment="1">
      <alignment horizontal="center" vertical="top"/>
    </xf>
    <xf numFmtId="164" fontId="11" fillId="0" borderId="1" xfId="8" applyNumberFormat="1" applyFont="1" applyBorder="1" applyAlignment="1">
      <alignment horizontal="right"/>
    </xf>
    <xf numFmtId="0" fontId="11" fillId="0" borderId="2" xfId="8" applyFont="1" applyFill="1" applyBorder="1" applyAlignment="1">
      <alignment horizontal="center" vertical="top" wrapText="1"/>
    </xf>
    <xf numFmtId="0" fontId="11" fillId="0" borderId="32" xfId="8" applyFont="1" applyFill="1" applyBorder="1" applyAlignment="1">
      <alignment horizontal="center" vertical="top" wrapText="1"/>
    </xf>
    <xf numFmtId="0" fontId="11" fillId="0" borderId="3" xfId="8" applyFont="1" applyFill="1" applyBorder="1" applyAlignment="1">
      <alignment horizontal="center" vertical="top" wrapText="1"/>
    </xf>
    <xf numFmtId="0" fontId="28" fillId="0" borderId="8" xfId="8" applyBorder="1" applyAlignment="1">
      <alignment horizontal="center" vertical="justify"/>
    </xf>
    <xf numFmtId="0" fontId="36" fillId="0" borderId="2" xfId="8" applyFont="1" applyBorder="1" applyAlignment="1">
      <alignment horizontal="left" vertical="top" wrapText="1"/>
    </xf>
    <xf numFmtId="0" fontId="36" fillId="0" borderId="32" xfId="8" applyFont="1" applyBorder="1" applyAlignment="1">
      <alignment horizontal="left" vertical="top" wrapText="1"/>
    </xf>
    <xf numFmtId="0" fontId="36" fillId="0" borderId="3" xfId="8" applyFont="1" applyBorder="1" applyAlignment="1">
      <alignment horizontal="left" vertical="top" wrapText="1"/>
    </xf>
    <xf numFmtId="164" fontId="36" fillId="0" borderId="1" xfId="8" applyNumberFormat="1" applyFont="1" applyBorder="1" applyAlignment="1"/>
    <xf numFmtId="0" fontId="28" fillId="0" borderId="62" xfId="8" applyBorder="1" applyAlignment="1">
      <alignment horizontal="center" vertical="justify"/>
    </xf>
    <xf numFmtId="0" fontId="11" fillId="0" borderId="63" xfId="8" applyFont="1" applyBorder="1" applyAlignment="1">
      <alignment horizontal="center" vertical="top" wrapText="1"/>
    </xf>
    <xf numFmtId="0" fontId="11" fillId="0" borderId="64" xfId="8" applyFont="1" applyBorder="1" applyAlignment="1">
      <alignment horizontal="center" vertical="top" wrapText="1"/>
    </xf>
    <xf numFmtId="0" fontId="11" fillId="0" borderId="65" xfId="8" applyFont="1" applyBorder="1" applyAlignment="1">
      <alignment horizontal="center" vertical="top" wrapText="1"/>
    </xf>
    <xf numFmtId="164" fontId="11" fillId="0" borderId="66" xfId="8" applyNumberFormat="1" applyFont="1" applyBorder="1" applyAlignment="1"/>
    <xf numFmtId="2" fontId="39" fillId="0" borderId="67" xfId="8" applyNumberFormat="1" applyFont="1" applyBorder="1" applyAlignment="1">
      <alignment wrapText="1"/>
    </xf>
    <xf numFmtId="0" fontId="28" fillId="0" borderId="5" xfId="8" applyBorder="1" applyAlignment="1">
      <alignment horizontal="center"/>
    </xf>
    <xf numFmtId="0" fontId="11" fillId="0" borderId="68" xfId="8" applyFont="1" applyBorder="1" applyAlignment="1">
      <alignment horizontal="right" vertical="center"/>
    </xf>
    <xf numFmtId="0" fontId="11" fillId="0" borderId="53" xfId="8" applyFont="1" applyBorder="1" applyAlignment="1">
      <alignment horizontal="right" vertical="center"/>
    </xf>
    <xf numFmtId="0" fontId="11" fillId="0" borderId="69" xfId="8" applyFont="1" applyBorder="1" applyAlignment="1">
      <alignment horizontal="right" vertical="center"/>
    </xf>
    <xf numFmtId="164" fontId="36" fillId="0" borderId="6" xfId="3" applyFont="1" applyBorder="1" applyAlignment="1">
      <alignment vertical="center"/>
    </xf>
    <xf numFmtId="0" fontId="34" fillId="0" borderId="7" xfId="8" applyFont="1" applyBorder="1" applyAlignment="1"/>
    <xf numFmtId="164" fontId="11" fillId="0" borderId="6" xfId="3" applyFont="1" applyBorder="1" applyAlignment="1">
      <alignment vertical="center"/>
    </xf>
    <xf numFmtId="0" fontId="34" fillId="0" borderId="7" xfId="8" applyFont="1" applyBorder="1" applyAlignment="1">
      <alignment horizontal="center" vertical="center"/>
    </xf>
    <xf numFmtId="0" fontId="28" fillId="0" borderId="25" xfId="8" applyBorder="1" applyAlignment="1">
      <alignment horizontal="center"/>
    </xf>
    <xf numFmtId="0" fontId="36" fillId="0" borderId="60" xfId="8" applyFont="1" applyBorder="1" applyAlignment="1">
      <alignment horizontal="right" vertical="center"/>
    </xf>
    <xf numFmtId="0" fontId="36" fillId="0" borderId="4" xfId="8" applyFont="1" applyBorder="1" applyAlignment="1">
      <alignment horizontal="right" vertical="center"/>
    </xf>
    <xf numFmtId="0" fontId="36" fillId="0" borderId="61" xfId="8" applyFont="1" applyBorder="1" applyAlignment="1">
      <alignment horizontal="right" vertical="center"/>
    </xf>
    <xf numFmtId="164" fontId="36" fillId="0" borderId="26" xfId="3" applyFont="1" applyBorder="1" applyAlignment="1">
      <alignment vertical="center"/>
    </xf>
    <xf numFmtId="0" fontId="34" fillId="0" borderId="27" xfId="8" applyFont="1" applyBorder="1" applyAlignment="1">
      <alignment horizontal="center" vertical="center"/>
    </xf>
    <xf numFmtId="166" fontId="28" fillId="0" borderId="0" xfId="8" applyNumberFormat="1" applyBorder="1" applyAlignment="1">
      <alignment horizontal="right"/>
    </xf>
    <xf numFmtId="0" fontId="28" fillId="0" borderId="0" xfId="8" applyBorder="1" applyAlignment="1">
      <alignment horizontal="right"/>
    </xf>
    <xf numFmtId="166" fontId="11" fillId="0" borderId="0" xfId="8" applyNumberFormat="1" applyFont="1" applyBorder="1" applyAlignment="1">
      <alignment horizontal="right"/>
    </xf>
    <xf numFmtId="0" fontId="11" fillId="0" borderId="0" xfId="8" applyFont="1" applyBorder="1" applyAlignment="1">
      <alignment horizontal="right"/>
    </xf>
    <xf numFmtId="0" fontId="36" fillId="0" borderId="0" xfId="8" applyFont="1" applyBorder="1" applyAlignment="1">
      <alignment horizontal="right"/>
    </xf>
    <xf numFmtId="2" fontId="36" fillId="0" borderId="0" xfId="8" applyNumberFormat="1" applyFont="1" applyBorder="1"/>
    <xf numFmtId="0" fontId="36" fillId="0" borderId="0" xfId="8" applyFont="1" applyBorder="1"/>
    <xf numFmtId="0" fontId="11" fillId="0" borderId="0" xfId="8" applyFont="1"/>
  </cellXfs>
  <cellStyles count="11">
    <cellStyle name="Comma" xfId="1" builtinId="3"/>
    <cellStyle name="Comma 2" xfId="9"/>
    <cellStyle name="Comma 2 4" xfId="3"/>
    <cellStyle name="Comma 6" xfId="10"/>
    <cellStyle name="Normal" xfId="0" builtinId="0"/>
    <cellStyle name="Normal 2" xfId="4"/>
    <cellStyle name="Normal 2 2" xfId="6"/>
    <cellStyle name="Normal 2 2 2" xfId="2"/>
    <cellStyle name="Normal 2 3" xfId="5"/>
    <cellStyle name="Normal 2 4" xfId="7"/>
    <cellStyle name="Normal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1933575</xdr:colOff>
      <xdr:row>0</xdr:row>
      <xdr:rowOff>114300</xdr:rowOff>
    </xdr:from>
    <xdr:to>
      <xdr:col>1</xdr:col>
      <xdr:colOff>2638425</xdr:colOff>
      <xdr:row>2</xdr:row>
      <xdr:rowOff>209550</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4575" y="114300"/>
          <a:ext cx="704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1076325</xdr:colOff>
      <xdr:row>0</xdr:row>
      <xdr:rowOff>85725</xdr:rowOff>
    </xdr:from>
    <xdr:to>
      <xdr:col>1</xdr:col>
      <xdr:colOff>1771650</xdr:colOff>
      <xdr:row>4</xdr:row>
      <xdr:rowOff>9525</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2075" y="85725"/>
          <a:ext cx="6953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929640</xdr:colOff>
      <xdr:row>0</xdr:row>
      <xdr:rowOff>0</xdr:rowOff>
    </xdr:from>
    <xdr:to>
      <xdr:col>1</xdr:col>
      <xdr:colOff>1668780</xdr:colOff>
      <xdr:row>3</xdr:row>
      <xdr:rowOff>7620</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6820" y="0"/>
          <a:ext cx="73914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314325</xdr:colOff>
      <xdr:row>0</xdr:row>
      <xdr:rowOff>123825</xdr:rowOff>
    </xdr:from>
    <xdr:to>
      <xdr:col>1</xdr:col>
      <xdr:colOff>914400</xdr:colOff>
      <xdr:row>2</xdr:row>
      <xdr:rowOff>9525</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150" y="123825"/>
          <a:ext cx="6000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160020</xdr:colOff>
      <xdr:row>0</xdr:row>
      <xdr:rowOff>68580</xdr:rowOff>
    </xdr:from>
    <xdr:to>
      <xdr:col>1</xdr:col>
      <xdr:colOff>792480</xdr:colOff>
      <xdr:row>2</xdr:row>
      <xdr:rowOff>0</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2460" y="68580"/>
          <a:ext cx="632460" cy="54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1</xdr:col>
      <xdr:colOff>746760</xdr:colOff>
      <xdr:row>2</xdr:row>
      <xdr:rowOff>7620</xdr:rowOff>
    </xdr:to>
    <xdr:pic>
      <xdr:nvPicPr>
        <xdr:cNvPr id="2" name="Picture 1" descr="GON.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4840" y="76200"/>
          <a:ext cx="632460" cy="54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vin\Desktop\Kageshwori%20Rate%20Analysis%202077-078\Civil%20rate%20analysis%202077%20-%20078%20%20_%20Kageshwori%20Manohara%20Municipalit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Sanzz%20Documents\FY%202076-77\Yojana\Yojana%20from%20UC\Punarnirman%20ghar%20tahara%20estimate\Rate%20analysis%20for%20hollow%20concrete%20blo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ELL\Downloads\lila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Table of Content 1"/>
      <sheetName val="Sheet1"/>
      <sheetName val="rate anal ciaa"/>
      <sheetName val="inland revenue"/>
    </sheetNames>
    <sheetDataSet>
      <sheetData sheetId="0" refreshError="1"/>
      <sheetData sheetId="1" refreshError="1"/>
      <sheetData sheetId="2" refreshError="1"/>
      <sheetData sheetId="3" refreshError="1">
        <row r="62">
          <cell r="M62">
            <v>28</v>
          </cell>
        </row>
        <row r="65">
          <cell r="M65">
            <v>67</v>
          </cell>
        </row>
        <row r="66">
          <cell r="M66">
            <v>107</v>
          </cell>
        </row>
        <row r="67">
          <cell r="M67">
            <v>1735</v>
          </cell>
        </row>
        <row r="92">
          <cell r="M92">
            <v>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Sheet2"/>
      <sheetName val="Update Descrip"/>
      <sheetName val="Table of Content 1"/>
      <sheetName val="Table of Content 2"/>
      <sheetName val="Sheet1"/>
      <sheetName val="Hollow Concrete Block "/>
      <sheetName val="Sisau wood shutter"/>
      <sheetName val="Sisau wood frame"/>
    </sheetNames>
    <sheetDataSet>
      <sheetData sheetId="0"/>
      <sheetData sheetId="1"/>
      <sheetData sheetId="2"/>
      <sheetData sheetId="3">
        <row r="62">
          <cell r="J62">
            <v>17.857142857142858</v>
          </cell>
        </row>
      </sheetData>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1"/>
      <sheetName val="block 2"/>
      <sheetName val="block 3 "/>
      <sheetName val="block 4 "/>
      <sheetName val="Compilation 1"/>
      <sheetName val="Compilation 2"/>
      <sheetName val="COD-1"/>
      <sheetName val="COD-2"/>
      <sheetName val="COD-sum"/>
      <sheetName val="Brick rate"/>
      <sheetName val="MS rate"/>
      <sheetName val="Rebar"/>
      <sheetName val="wood frame"/>
      <sheetName val="wood shutter"/>
    </sheetNames>
    <sheetDataSet>
      <sheetData sheetId="0" refreshError="1"/>
      <sheetData sheetId="1" refreshError="1"/>
      <sheetData sheetId="2" refreshError="1"/>
      <sheetData sheetId="3" refreshError="1"/>
      <sheetData sheetId="4" refreshError="1"/>
      <sheetData sheetId="5" refreshError="1"/>
      <sheetData sheetId="6"/>
      <sheetData sheetId="7">
        <row r="1">
          <cell r="A1" t="str">
            <v>Shankharapur Municipality</v>
          </cell>
        </row>
        <row r="2">
          <cell r="A2" t="str">
            <v>Office of The Municipal Executive</v>
          </cell>
        </row>
        <row r="3">
          <cell r="A3" t="str">
            <v>Shankhu,Kathmandu</v>
          </cell>
        </row>
      </sheetData>
      <sheetData sheetId="8" refreshError="1"/>
      <sheetData sheetId="9">
        <row r="1">
          <cell r="A1" t="str">
            <v>Shankharapur Municipality</v>
          </cell>
        </row>
        <row r="2">
          <cell r="A2" t="str">
            <v>Office of The Municipal Executive</v>
          </cell>
        </row>
        <row r="3">
          <cell r="A3" t="str">
            <v>Shankhu,Kathmandu</v>
          </cell>
        </row>
      </sheetData>
      <sheetData sheetId="10">
        <row r="1">
          <cell r="A1" t="str">
            <v>Shankharapur Municipality</v>
          </cell>
        </row>
        <row r="2">
          <cell r="A2" t="str">
            <v>Office of The Municipal Executive</v>
          </cell>
        </row>
        <row r="3">
          <cell r="A3" t="str">
            <v>Shankhu,Kathmandu</v>
          </cell>
        </row>
      </sheetData>
      <sheetData sheetId="11" refreshError="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65"/>
  <sheetViews>
    <sheetView topLeftCell="A142" zoomScaleNormal="100" zoomScaleSheetLayoutView="80" workbookViewId="0">
      <selection activeCell="A160" sqref="A160:XFD165"/>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hidden="1" customWidth="1"/>
    <col min="10" max="10" width="10.5546875" style="5" hidden="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255" t="s">
        <v>0</v>
      </c>
      <c r="B1" s="255"/>
      <c r="C1" s="255"/>
      <c r="D1" s="255"/>
      <c r="E1" s="255"/>
      <c r="F1" s="255"/>
      <c r="G1" s="255"/>
      <c r="H1" s="255"/>
      <c r="I1" s="255"/>
      <c r="J1" s="255"/>
      <c r="K1" s="255"/>
    </row>
    <row r="2" spans="1:17" s="1" customFormat="1" ht="22.8" x14ac:dyDescent="0.3">
      <c r="A2" s="256" t="s">
        <v>1</v>
      </c>
      <c r="B2" s="256"/>
      <c r="C2" s="256"/>
      <c r="D2" s="256"/>
      <c r="E2" s="256"/>
      <c r="F2" s="256"/>
      <c r="G2" s="256"/>
      <c r="H2" s="256"/>
      <c r="I2" s="256"/>
      <c r="J2" s="256"/>
      <c r="K2" s="256"/>
    </row>
    <row r="3" spans="1:17" s="1" customFormat="1" x14ac:dyDescent="0.3">
      <c r="A3" s="257" t="s">
        <v>2</v>
      </c>
      <c r="B3" s="257"/>
      <c r="C3" s="257"/>
      <c r="D3" s="257"/>
      <c r="E3" s="257"/>
      <c r="F3" s="257"/>
      <c r="G3" s="257"/>
      <c r="H3" s="257"/>
      <c r="I3" s="257"/>
      <c r="J3" s="257"/>
      <c r="K3" s="257"/>
    </row>
    <row r="4" spans="1:17" s="1" customFormat="1" x14ac:dyDescent="0.3">
      <c r="A4" s="257" t="s">
        <v>3</v>
      </c>
      <c r="B4" s="257"/>
      <c r="C4" s="257"/>
      <c r="D4" s="257"/>
      <c r="E4" s="257"/>
      <c r="F4" s="257"/>
      <c r="G4" s="257"/>
      <c r="H4" s="257"/>
      <c r="I4" s="257"/>
      <c r="J4" s="257"/>
      <c r="K4" s="257"/>
    </row>
    <row r="5" spans="1:17" ht="17.399999999999999" x14ac:dyDescent="0.3">
      <c r="A5" s="258" t="s">
        <v>4</v>
      </c>
      <c r="B5" s="258"/>
      <c r="C5" s="258"/>
      <c r="D5" s="258"/>
      <c r="E5" s="258"/>
      <c r="F5" s="258"/>
      <c r="G5" s="258"/>
      <c r="H5" s="258"/>
      <c r="I5" s="258"/>
      <c r="J5" s="258"/>
      <c r="K5" s="258"/>
    </row>
    <row r="6" spans="1:17" ht="18" x14ac:dyDescent="0.35">
      <c r="A6" s="254" t="s">
        <v>47</v>
      </c>
      <c r="B6" s="254"/>
      <c r="C6" s="254"/>
      <c r="D6" s="254"/>
      <c r="E6" s="254"/>
      <c r="F6" s="254"/>
      <c r="G6" s="254"/>
      <c r="H6" s="250" t="s">
        <v>25</v>
      </c>
      <c r="I6" s="250"/>
      <c r="J6" s="250"/>
      <c r="K6" s="250"/>
    </row>
    <row r="7" spans="1:17" ht="15.6" x14ac:dyDescent="0.3">
      <c r="A7" s="249" t="s">
        <v>23</v>
      </c>
      <c r="B7" s="249"/>
      <c r="C7" s="249"/>
      <c r="D7" s="249"/>
      <c r="E7" s="249"/>
      <c r="F7" s="249"/>
      <c r="G7" s="2"/>
      <c r="H7" s="250" t="s">
        <v>26</v>
      </c>
      <c r="I7" s="250"/>
      <c r="J7" s="250"/>
      <c r="K7" s="250"/>
    </row>
    <row r="8" spans="1:17" ht="15" customHeight="1" x14ac:dyDescent="0.3">
      <c r="A8" s="3" t="s">
        <v>5</v>
      </c>
      <c r="B8" s="17" t="s">
        <v>6</v>
      </c>
      <c r="C8" s="3" t="s">
        <v>7</v>
      </c>
      <c r="D8" s="18" t="s">
        <v>8</v>
      </c>
      <c r="E8" s="18" t="s">
        <v>9</v>
      </c>
      <c r="F8" s="18" t="s">
        <v>10</v>
      </c>
      <c r="G8" s="18" t="s">
        <v>11</v>
      </c>
      <c r="H8" s="3" t="s">
        <v>12</v>
      </c>
      <c r="I8" s="18" t="s">
        <v>13</v>
      </c>
      <c r="J8" s="18" t="s">
        <v>14</v>
      </c>
      <c r="K8" s="19" t="s">
        <v>15</v>
      </c>
    </row>
    <row r="9" spans="1:17" ht="15" customHeight="1" x14ac:dyDescent="0.3">
      <c r="A9" s="3"/>
      <c r="B9" s="17" t="s">
        <v>27</v>
      </c>
      <c r="C9" s="3"/>
      <c r="D9" s="18"/>
      <c r="E9" s="18"/>
      <c r="F9" s="18"/>
      <c r="G9" s="59"/>
      <c r="H9" s="3"/>
      <c r="I9" s="18"/>
      <c r="J9" s="18"/>
      <c r="K9" s="19"/>
    </row>
    <row r="10" spans="1:17" ht="28.2" x14ac:dyDescent="0.3">
      <c r="A10" s="21">
        <v>1</v>
      </c>
      <c r="B10" s="43" t="s">
        <v>118</v>
      </c>
      <c r="C10" s="22"/>
      <c r="D10" s="23"/>
      <c r="E10" s="24"/>
      <c r="F10" s="24"/>
      <c r="G10" s="55"/>
      <c r="H10" s="25"/>
      <c r="I10" s="26"/>
      <c r="J10" s="7"/>
      <c r="K10" s="24"/>
      <c r="N10" s="33"/>
      <c r="O10" s="29"/>
      <c r="P10" s="34"/>
      <c r="Q10" s="34"/>
    </row>
    <row r="11" spans="1:17" x14ac:dyDescent="0.3">
      <c r="A11" s="21"/>
      <c r="B11" s="38" t="s">
        <v>29</v>
      </c>
      <c r="C11" s="22"/>
      <c r="D11" s="23"/>
      <c r="E11" s="24"/>
      <c r="F11" s="24"/>
      <c r="G11" s="55"/>
      <c r="H11" s="25"/>
      <c r="I11" s="26"/>
      <c r="J11" s="7"/>
      <c r="K11" s="24"/>
      <c r="N11" s="33"/>
      <c r="O11" s="29"/>
      <c r="P11" s="34"/>
      <c r="Q11" s="34"/>
    </row>
    <row r="12" spans="1:17" x14ac:dyDescent="0.3">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3">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3">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3">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3">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3">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3">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3">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3">
      <c r="A20" s="21"/>
      <c r="B20" s="39"/>
      <c r="C20" s="22"/>
      <c r="D20" s="23"/>
      <c r="E20" s="24"/>
      <c r="F20" s="24"/>
      <c r="G20" s="55"/>
      <c r="H20" s="25"/>
      <c r="I20" s="26"/>
      <c r="J20" s="7"/>
      <c r="K20" s="24"/>
      <c r="N20" s="29"/>
      <c r="O20" s="34"/>
      <c r="P20" s="34"/>
    </row>
    <row r="21" spans="1:17" x14ac:dyDescent="0.3">
      <c r="A21" s="21"/>
      <c r="B21" s="39" t="s">
        <v>34</v>
      </c>
      <c r="C21" s="22">
        <v>-2</v>
      </c>
      <c r="D21" s="23">
        <f>2.75/3.281</f>
        <v>0.8381590978360256</v>
      </c>
      <c r="E21" s="24">
        <v>0.23</v>
      </c>
      <c r="F21" s="24">
        <f>(6.5/3.281)-F22</f>
        <v>0.78725998171289246</v>
      </c>
      <c r="G21" s="55">
        <f t="shared" ref="G21" si="2">PRODUCT(C21:F21)</f>
        <v>-0.30353059337604665</v>
      </c>
      <c r="H21" s="25"/>
      <c r="I21" s="26"/>
      <c r="J21" s="7"/>
      <c r="K21" s="24"/>
      <c r="N21" s="33"/>
      <c r="O21" s="29"/>
      <c r="P21" s="34"/>
      <c r="Q21" s="34"/>
    </row>
    <row r="22" spans="1:17" x14ac:dyDescent="0.3">
      <c r="A22" s="21"/>
      <c r="B22" s="39"/>
      <c r="C22" s="22">
        <v>-2</v>
      </c>
      <c r="D22" s="23">
        <f>2.75/3.281</f>
        <v>0.8381590978360256</v>
      </c>
      <c r="E22" s="24">
        <v>0.1</v>
      </c>
      <c r="F22" s="24">
        <f>F13</f>
        <v>1.1938433404449862</v>
      </c>
      <c r="G22" s="55">
        <f t="shared" ref="G22" si="3">PRODUCT(C22:F22)</f>
        <v>-0.20012613143698338</v>
      </c>
      <c r="H22" s="25"/>
      <c r="I22" s="26"/>
      <c r="J22" s="7"/>
      <c r="K22" s="24"/>
      <c r="N22" s="33"/>
      <c r="O22" s="29"/>
      <c r="P22" s="34"/>
      <c r="Q22" s="34"/>
    </row>
    <row r="23" spans="1:17" x14ac:dyDescent="0.3">
      <c r="A23" s="21"/>
      <c r="B23" s="38" t="s">
        <v>35</v>
      </c>
      <c r="C23" s="22"/>
      <c r="D23" s="23"/>
      <c r="E23" s="24"/>
      <c r="F23" s="24"/>
      <c r="G23" s="55"/>
      <c r="H23" s="25"/>
      <c r="I23" s="26"/>
      <c r="J23" s="7"/>
      <c r="K23" s="24"/>
      <c r="N23" s="33"/>
      <c r="O23" s="29"/>
      <c r="P23" s="34"/>
      <c r="Q23" s="34"/>
    </row>
    <row r="24" spans="1:17" x14ac:dyDescent="0.3">
      <c r="A24" s="21"/>
      <c r="B24" s="39" t="s">
        <v>30</v>
      </c>
      <c r="C24" s="22">
        <v>2</v>
      </c>
      <c r="D24" s="23">
        <f t="shared" ref="D24:D25" si="4">13.667/3.281</f>
        <v>4.1654983236818044</v>
      </c>
      <c r="E24" s="24">
        <v>0.23</v>
      </c>
      <c r="F24" s="24">
        <f>3.75/3.281</f>
        <v>1.1429442243218531</v>
      </c>
      <c r="G24" s="55">
        <f>PRODUCT(C24:F24)</f>
        <v>2.1900288352182602</v>
      </c>
      <c r="H24" s="25"/>
      <c r="I24" s="26"/>
      <c r="J24" s="7"/>
      <c r="K24" s="24"/>
      <c r="N24" s="33"/>
      <c r="O24" s="29"/>
      <c r="P24" s="34"/>
      <c r="Q24" s="34"/>
    </row>
    <row r="25" spans="1:17" x14ac:dyDescent="0.3">
      <c r="A25" s="21"/>
      <c r="B25" s="39"/>
      <c r="C25" s="22">
        <v>2</v>
      </c>
      <c r="D25" s="23">
        <f t="shared" si="4"/>
        <v>4.1654983236818044</v>
      </c>
      <c r="E25" s="24">
        <v>0.1</v>
      </c>
      <c r="F25" s="24">
        <f>2.75/3.281</f>
        <v>0.8381590978360256</v>
      </c>
      <c r="G25" s="55">
        <f t="shared" ref="G25:G33" si="5">PRODUCT(C25:F25)</f>
        <v>0.69827006340292364</v>
      </c>
      <c r="H25" s="25"/>
      <c r="I25" s="26"/>
      <c r="J25" s="7"/>
      <c r="K25" s="24"/>
      <c r="N25" s="33"/>
      <c r="O25" s="29"/>
      <c r="P25" s="34"/>
      <c r="Q25" s="34"/>
    </row>
    <row r="26" spans="1:17" x14ac:dyDescent="0.3">
      <c r="A26" s="21"/>
      <c r="B26" s="39"/>
      <c r="C26" s="22">
        <v>1</v>
      </c>
      <c r="D26" s="23">
        <f>13.667/3.281</f>
        <v>4.1654983236818044</v>
      </c>
      <c r="E26" s="24">
        <v>0.1</v>
      </c>
      <c r="F26" s="24">
        <f>F25+F24</f>
        <v>1.9811033221578787</v>
      </c>
      <c r="G26" s="55">
        <f t="shared" si="5"/>
        <v>0.82522825674890976</v>
      </c>
      <c r="H26" s="25"/>
      <c r="I26" s="26"/>
      <c r="J26" s="7"/>
      <c r="K26" s="24"/>
      <c r="N26" s="29"/>
      <c r="O26" s="34"/>
      <c r="P26" s="34"/>
    </row>
    <row r="27" spans="1:17" x14ac:dyDescent="0.3">
      <c r="A27" s="21"/>
      <c r="B27" s="39" t="s">
        <v>31</v>
      </c>
      <c r="C27" s="22">
        <v>2</v>
      </c>
      <c r="D27" s="23">
        <f>44.917/3.281</f>
        <v>13.690033526363914</v>
      </c>
      <c r="E27" s="24">
        <v>0.23</v>
      </c>
      <c r="F27" s="24">
        <f>4/3.281</f>
        <v>1.2191405059433098</v>
      </c>
      <c r="G27" s="55">
        <f t="shared" si="5"/>
        <v>7.6774342238676008</v>
      </c>
      <c r="H27" s="25"/>
      <c r="I27" s="26"/>
      <c r="J27" s="7"/>
      <c r="K27" s="24"/>
      <c r="N27" s="29"/>
      <c r="O27" s="34"/>
      <c r="P27" s="34"/>
    </row>
    <row r="28" spans="1:17" x14ac:dyDescent="0.3">
      <c r="A28" s="21"/>
      <c r="B28" s="39"/>
      <c r="C28" s="22">
        <v>2</v>
      </c>
      <c r="D28" s="23">
        <f>44.917/3.281</f>
        <v>13.690033526363914</v>
      </c>
      <c r="E28" s="24">
        <v>0.1</v>
      </c>
      <c r="F28" s="24">
        <f>2.75/3.281</f>
        <v>0.8381590978360256</v>
      </c>
      <c r="G28" s="55">
        <f t="shared" si="5"/>
        <v>2.2948852299604243</v>
      </c>
      <c r="H28" s="25"/>
      <c r="I28" s="26"/>
      <c r="J28" s="7"/>
      <c r="K28" s="24"/>
      <c r="N28" s="29"/>
      <c r="O28" s="34"/>
      <c r="P28" s="34"/>
    </row>
    <row r="29" spans="1:17" x14ac:dyDescent="0.3">
      <c r="A29" s="21"/>
      <c r="B29" s="39" t="s">
        <v>32</v>
      </c>
      <c r="C29" s="22">
        <v>6</v>
      </c>
      <c r="D29" s="23">
        <f>1.17/3.281</f>
        <v>0.35659859798841814</v>
      </c>
      <c r="E29" s="24">
        <f>0.42/3.281</f>
        <v>0.12800975312404753</v>
      </c>
      <c r="F29" s="24">
        <f>F26</f>
        <v>1.9811033221578787</v>
      </c>
      <c r="G29" s="55">
        <f t="shared" si="5"/>
        <v>0.54260159744659442</v>
      </c>
      <c r="H29" s="25"/>
      <c r="I29" s="26"/>
      <c r="J29" s="7"/>
      <c r="K29" s="24"/>
      <c r="N29" s="29"/>
      <c r="O29" s="34"/>
      <c r="P29" s="34"/>
    </row>
    <row r="30" spans="1:17" x14ac:dyDescent="0.3">
      <c r="A30" s="21"/>
      <c r="B30" s="39"/>
      <c r="C30" s="22">
        <v>4</v>
      </c>
      <c r="D30" s="23">
        <f>1.917/3.281</f>
        <v>0.58427308747333129</v>
      </c>
      <c r="E30" s="24">
        <f>0.42/3.281</f>
        <v>0.12800975312404753</v>
      </c>
      <c r="F30" s="24">
        <f>F26</f>
        <v>1.9811033221578787</v>
      </c>
      <c r="G30" s="55">
        <f t="shared" si="5"/>
        <v>0.59268789874935701</v>
      </c>
      <c r="H30" s="25"/>
      <c r="I30" s="26"/>
      <c r="J30" s="7"/>
      <c r="K30" s="24"/>
      <c r="N30" s="29"/>
      <c r="O30" s="34"/>
      <c r="P30" s="34"/>
    </row>
    <row r="31" spans="1:17" x14ac:dyDescent="0.3">
      <c r="A31" s="21"/>
      <c r="B31" s="39" t="s">
        <v>33</v>
      </c>
      <c r="C31" s="22">
        <v>-14</v>
      </c>
      <c r="D31" s="23">
        <f>2.75/3.281</f>
        <v>0.8381590978360256</v>
      </c>
      <c r="E31" s="24">
        <v>0.1</v>
      </c>
      <c r="F31" s="24">
        <f>3.917/3.281</f>
        <v>1.1938433404449862</v>
      </c>
      <c r="G31" s="55">
        <f t="shared" si="5"/>
        <v>-1.4008829200588837</v>
      </c>
      <c r="H31" s="25"/>
      <c r="I31" s="26"/>
      <c r="J31" s="7"/>
      <c r="K31" s="24"/>
      <c r="N31" s="29"/>
      <c r="O31" s="34"/>
      <c r="P31" s="34"/>
    </row>
    <row r="32" spans="1:17" x14ac:dyDescent="0.3">
      <c r="A32" s="21"/>
      <c r="B32" s="39" t="s">
        <v>34</v>
      </c>
      <c r="C32" s="22">
        <v>-2</v>
      </c>
      <c r="D32" s="23">
        <f>2.75/3.281</f>
        <v>0.8381590978360256</v>
      </c>
      <c r="E32" s="24">
        <v>0.23</v>
      </c>
      <c r="F32" s="24">
        <f>(6.25/3.281)-F33</f>
        <v>0.71106370009143549</v>
      </c>
      <c r="G32" s="55">
        <f t="shared" si="5"/>
        <v>-0.27415287431138857</v>
      </c>
      <c r="H32" s="25"/>
      <c r="I32" s="26"/>
      <c r="J32" s="7"/>
      <c r="K32" s="24"/>
      <c r="N32" s="29"/>
      <c r="O32" s="34"/>
      <c r="P32" s="34"/>
    </row>
    <row r="33" spans="1:17" x14ac:dyDescent="0.3">
      <c r="A33" s="21"/>
      <c r="B33" s="35"/>
      <c r="C33" s="22">
        <v>-2</v>
      </c>
      <c r="D33" s="23">
        <f>2.75/3.281</f>
        <v>0.8381590978360256</v>
      </c>
      <c r="E33" s="24">
        <v>0.1</v>
      </c>
      <c r="F33" s="24">
        <f>F31</f>
        <v>1.1938433404449862</v>
      </c>
      <c r="G33" s="55">
        <f t="shared" si="5"/>
        <v>-0.20012613143698338</v>
      </c>
      <c r="H33" s="25"/>
      <c r="I33" s="26"/>
      <c r="J33" s="7"/>
      <c r="K33" s="24"/>
    </row>
    <row r="34" spans="1:17" x14ac:dyDescent="0.3">
      <c r="A34" s="21"/>
      <c r="B34" s="38" t="s">
        <v>38</v>
      </c>
      <c r="C34" s="22"/>
      <c r="D34" s="23"/>
      <c r="E34" s="24"/>
      <c r="F34" s="24"/>
      <c r="G34" s="55"/>
      <c r="H34" s="25"/>
      <c r="I34" s="26"/>
      <c r="J34" s="7"/>
      <c r="K34" s="24"/>
      <c r="N34" s="33"/>
      <c r="O34" s="29"/>
      <c r="P34" s="34"/>
      <c r="Q34" s="34"/>
    </row>
    <row r="35" spans="1:17" x14ac:dyDescent="0.3">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3">
      <c r="A36" s="21"/>
      <c r="B36" s="39"/>
      <c r="C36" s="22">
        <v>2</v>
      </c>
      <c r="D36" s="23">
        <v>4.0339999999999998</v>
      </c>
      <c r="E36" s="24">
        <v>0.1</v>
      </c>
      <c r="F36" s="24">
        <f>4.75/3.281</f>
        <v>1.4477293508076805</v>
      </c>
      <c r="G36" s="55">
        <f t="shared" ref="G36:G61" si="6">PRODUCT(C36:F36)</f>
        <v>1.1680280402316365</v>
      </c>
      <c r="H36" s="25"/>
      <c r="I36" s="26"/>
      <c r="J36" s="7"/>
      <c r="K36" s="24"/>
      <c r="N36" s="33"/>
      <c r="O36" s="29"/>
      <c r="P36" s="34"/>
      <c r="Q36" s="34"/>
    </row>
    <row r="37" spans="1:17" x14ac:dyDescent="0.3">
      <c r="A37" s="21"/>
      <c r="B37" s="39"/>
      <c r="C37" s="22">
        <v>1</v>
      </c>
      <c r="D37" s="23">
        <v>4.0129999999999999</v>
      </c>
      <c r="E37" s="24">
        <v>0.1</v>
      </c>
      <c r="F37" s="24">
        <f>F36+F35</f>
        <v>2.5144772935080768</v>
      </c>
      <c r="G37" s="55">
        <f t="shared" si="6"/>
        <v>1.0090597378847912</v>
      </c>
      <c r="H37" s="25"/>
      <c r="I37" s="26"/>
      <c r="J37" s="7"/>
      <c r="K37" s="24"/>
      <c r="N37" s="29"/>
      <c r="O37" s="34"/>
      <c r="P37" s="34"/>
    </row>
    <row r="38" spans="1:17" x14ac:dyDescent="0.3">
      <c r="A38" s="21"/>
      <c r="B38" s="39" t="s">
        <v>31</v>
      </c>
      <c r="C38" s="22">
        <v>2</v>
      </c>
      <c r="D38" s="23">
        <v>14.147</v>
      </c>
      <c r="E38" s="24">
        <v>0.23</v>
      </c>
      <c r="F38" s="24">
        <f>3.5/3.281</f>
        <v>1.0667479427003961</v>
      </c>
      <c r="G38" s="55">
        <f t="shared" si="6"/>
        <v>6.9419902468759513</v>
      </c>
      <c r="H38" s="25"/>
      <c r="I38" s="26"/>
      <c r="J38" s="7"/>
      <c r="K38" s="24"/>
      <c r="N38" s="29"/>
      <c r="O38" s="34"/>
      <c r="P38" s="34"/>
    </row>
    <row r="39" spans="1:17" x14ac:dyDescent="0.3">
      <c r="A39" s="21"/>
      <c r="B39" s="39"/>
      <c r="C39" s="22">
        <v>2</v>
      </c>
      <c r="D39" s="23">
        <v>14.147</v>
      </c>
      <c r="E39" s="24">
        <v>0.1</v>
      </c>
      <c r="F39" s="24">
        <f>5.75/3.281</f>
        <v>1.752514477293508</v>
      </c>
      <c r="G39" s="55">
        <f t="shared" si="6"/>
        <v>4.9585644620542517</v>
      </c>
      <c r="H39" s="25"/>
      <c r="I39" s="26"/>
      <c r="J39" s="7"/>
      <c r="K39" s="24"/>
      <c r="N39" s="41">
        <f>1.76+3.5/3.281</f>
        <v>2.8267479427003961</v>
      </c>
      <c r="O39" s="34">
        <f>(5.75+3.5)/3.281</f>
        <v>2.8192624199939043</v>
      </c>
      <c r="P39" s="34"/>
    </row>
    <row r="40" spans="1:17" x14ac:dyDescent="0.3">
      <c r="A40" s="21"/>
      <c r="B40" s="39" t="s">
        <v>39</v>
      </c>
      <c r="C40" s="22">
        <f>-3*2</f>
        <v>-6</v>
      </c>
      <c r="D40" s="23">
        <v>2.3410000000000002</v>
      </c>
      <c r="E40" s="24">
        <v>0.1</v>
      </c>
      <c r="F40" s="24">
        <v>0.5</v>
      </c>
      <c r="G40" s="55">
        <f t="shared" si="6"/>
        <v>-0.70230000000000015</v>
      </c>
      <c r="H40" s="25"/>
      <c r="I40" s="26"/>
      <c r="J40" s="7"/>
      <c r="K40" s="24"/>
      <c r="N40" s="29"/>
      <c r="O40" s="34">
        <f>3000*4*6000</f>
        <v>72000000</v>
      </c>
      <c r="P40" s="34"/>
    </row>
    <row r="41" spans="1:17" x14ac:dyDescent="0.3">
      <c r="A41" s="21"/>
      <c r="B41" s="39"/>
      <c r="C41" s="22">
        <f>-1*2</f>
        <v>-2</v>
      </c>
      <c r="D41" s="23">
        <v>2.375</v>
      </c>
      <c r="E41" s="24">
        <v>0.1</v>
      </c>
      <c r="F41" s="24">
        <v>0.5</v>
      </c>
      <c r="G41" s="55">
        <f t="shared" si="6"/>
        <v>-0.23750000000000002</v>
      </c>
      <c r="H41" s="25"/>
      <c r="I41" s="26"/>
      <c r="J41" s="7"/>
      <c r="K41" s="24"/>
      <c r="N41" s="29"/>
      <c r="O41" s="34"/>
      <c r="P41" s="34"/>
    </row>
    <row r="42" spans="1:17" x14ac:dyDescent="0.3">
      <c r="A42" s="21"/>
      <c r="B42" s="39" t="s">
        <v>32</v>
      </c>
      <c r="C42" s="22">
        <v>6</v>
      </c>
      <c r="D42" s="23">
        <f>1.17/3.281</f>
        <v>0.35659859798841814</v>
      </c>
      <c r="E42" s="24">
        <f>0.42/3.281</f>
        <v>0.12800975312404753</v>
      </c>
      <c r="F42" s="24">
        <f>F39+F38</f>
        <v>2.8192624199939038</v>
      </c>
      <c r="G42" s="55">
        <f t="shared" si="6"/>
        <v>0.77216381175092275</v>
      </c>
      <c r="H42" s="25"/>
      <c r="I42" s="26"/>
      <c r="J42" s="7"/>
      <c r="K42" s="24"/>
      <c r="N42" s="29"/>
      <c r="O42" s="34"/>
      <c r="P42" s="34"/>
    </row>
    <row r="43" spans="1:17" x14ac:dyDescent="0.3">
      <c r="A43" s="21"/>
      <c r="B43" s="39"/>
      <c r="C43" s="22">
        <v>4</v>
      </c>
      <c r="D43" s="23">
        <f>1.917/3.281</f>
        <v>0.58427308747333129</v>
      </c>
      <c r="E43" s="24">
        <f>0.42/3.281</f>
        <v>0.12800975312404753</v>
      </c>
      <c r="F43" s="24">
        <f>F38+F39</f>
        <v>2.8192624199939038</v>
      </c>
      <c r="G43" s="55">
        <f t="shared" si="6"/>
        <v>0.84344047129716171</v>
      </c>
      <c r="H43" s="25"/>
      <c r="I43" s="26"/>
      <c r="J43" s="7"/>
      <c r="K43" s="24"/>
      <c r="N43" s="29"/>
      <c r="O43" s="34"/>
      <c r="P43" s="34"/>
    </row>
    <row r="44" spans="1:17" x14ac:dyDescent="0.3">
      <c r="A44" s="21"/>
      <c r="B44" s="39" t="s">
        <v>33</v>
      </c>
      <c r="C44" s="22">
        <v>-10</v>
      </c>
      <c r="D44" s="23">
        <v>0.83799999999999997</v>
      </c>
      <c r="E44" s="24">
        <v>0.1</v>
      </c>
      <c r="F44" s="24">
        <v>1.2</v>
      </c>
      <c r="G44" s="55">
        <f t="shared" si="6"/>
        <v>-1.0055999999999998</v>
      </c>
      <c r="H44" s="25"/>
      <c r="I44" s="26"/>
      <c r="J44" s="7"/>
      <c r="K44" s="24"/>
      <c r="N44" s="29"/>
      <c r="O44" s="34"/>
      <c r="P44" s="34"/>
    </row>
    <row r="45" spans="1:17" x14ac:dyDescent="0.3">
      <c r="A45" s="21"/>
      <c r="B45" s="39"/>
      <c r="C45" s="22">
        <v>-2</v>
      </c>
      <c r="D45" s="23">
        <v>2.375</v>
      </c>
      <c r="E45" s="24">
        <v>0.1</v>
      </c>
      <c r="F45" s="24">
        <v>1.2</v>
      </c>
      <c r="G45" s="55">
        <f t="shared" ref="G45" si="7">PRODUCT(C45:F45)</f>
        <v>-0.57000000000000006</v>
      </c>
      <c r="H45" s="25"/>
      <c r="I45" s="26"/>
      <c r="J45" s="7"/>
      <c r="K45" s="24"/>
      <c r="N45" s="29"/>
      <c r="O45" s="34"/>
      <c r="P45" s="34"/>
    </row>
    <row r="46" spans="1:17" x14ac:dyDescent="0.3">
      <c r="A46" s="21"/>
      <c r="B46" s="39" t="s">
        <v>34</v>
      </c>
      <c r="C46" s="22">
        <v>-2</v>
      </c>
      <c r="D46" s="23">
        <f>2.75/3.281</f>
        <v>0.8381590978360256</v>
      </c>
      <c r="E46" s="24">
        <v>0.23</v>
      </c>
      <c r="F46" s="24">
        <f>3.5/3.281</f>
        <v>1.0667479427003961</v>
      </c>
      <c r="G46" s="55">
        <f t="shared" si="6"/>
        <v>-0.41128806690521219</v>
      </c>
      <c r="H46" s="25"/>
      <c r="I46" s="26"/>
      <c r="J46" s="7"/>
      <c r="K46" s="24"/>
      <c r="N46" s="29">
        <f>6.5/3.281</f>
        <v>1.9811033221578787</v>
      </c>
      <c r="O46" s="34"/>
      <c r="P46" s="34"/>
    </row>
    <row r="47" spans="1:17" x14ac:dyDescent="0.3">
      <c r="A47" s="21"/>
      <c r="B47" s="35"/>
      <c r="C47" s="22">
        <v>-2</v>
      </c>
      <c r="D47" s="23">
        <f>2.75/3.281</f>
        <v>0.8381590978360256</v>
      </c>
      <c r="E47" s="24">
        <v>0.1</v>
      </c>
      <c r="F47" s="24">
        <f>F44</f>
        <v>1.2</v>
      </c>
      <c r="G47" s="55">
        <f t="shared" si="6"/>
        <v>-0.20115818348064615</v>
      </c>
      <c r="H47" s="25"/>
      <c r="I47" s="26"/>
      <c r="J47" s="7"/>
      <c r="K47" s="24"/>
    </row>
    <row r="48" spans="1:17" x14ac:dyDescent="0.3">
      <c r="A48" s="21"/>
      <c r="B48" s="38" t="s">
        <v>41</v>
      </c>
      <c r="C48" s="22"/>
      <c r="D48" s="23"/>
      <c r="E48" s="24"/>
      <c r="F48" s="24"/>
      <c r="G48" s="55"/>
      <c r="H48" s="25"/>
      <c r="I48" s="26"/>
      <c r="J48" s="7"/>
      <c r="K48" s="24"/>
    </row>
    <row r="49" spans="1:11" x14ac:dyDescent="0.3">
      <c r="A49" s="21"/>
      <c r="B49" s="39" t="s">
        <v>30</v>
      </c>
      <c r="C49" s="22">
        <v>2</v>
      </c>
      <c r="D49" s="23">
        <v>2.64</v>
      </c>
      <c r="E49" s="24">
        <v>0.1</v>
      </c>
      <c r="F49" s="24">
        <f>((6.75+8)/2)/3.281</f>
        <v>2.2477903078329775</v>
      </c>
      <c r="G49" s="55">
        <f t="shared" si="6"/>
        <v>1.1868332825358121</v>
      </c>
      <c r="H49" s="25"/>
      <c r="I49" s="26"/>
      <c r="J49" s="7"/>
      <c r="K49" s="24"/>
    </row>
    <row r="50" spans="1:11" x14ac:dyDescent="0.3">
      <c r="A50" s="21"/>
      <c r="B50" s="39" t="s">
        <v>31</v>
      </c>
      <c r="C50" s="22">
        <v>1</v>
      </c>
      <c r="D50" s="23">
        <f>6.4-0.23</f>
        <v>6.17</v>
      </c>
      <c r="E50" s="24">
        <v>0.23</v>
      </c>
      <c r="F50" s="24">
        <f>6.75/3.281</f>
        <v>2.0572996037793354</v>
      </c>
      <c r="G50" s="55">
        <f t="shared" si="6"/>
        <v>2.9195138677232548</v>
      </c>
      <c r="H50" s="25"/>
      <c r="I50" s="26"/>
      <c r="J50" s="7"/>
      <c r="K50" s="24"/>
    </row>
    <row r="51" spans="1:11" x14ac:dyDescent="0.3">
      <c r="A51" s="21"/>
      <c r="B51" s="39"/>
      <c r="C51" s="22">
        <v>1</v>
      </c>
      <c r="D51" s="23">
        <f>8/3.281</f>
        <v>2.4382810118866196</v>
      </c>
      <c r="E51" s="24">
        <v>0.23</v>
      </c>
      <c r="F51" s="24">
        <f>6.75/3.281</f>
        <v>2.0572996037793354</v>
      </c>
      <c r="G51" s="55">
        <f t="shared" si="6"/>
        <v>1.1537431487211145</v>
      </c>
      <c r="H51" s="25"/>
      <c r="I51" s="26"/>
      <c r="J51" s="7"/>
      <c r="K51" s="24"/>
    </row>
    <row r="52" spans="1:11" x14ac:dyDescent="0.3">
      <c r="A52" s="21"/>
      <c r="B52" s="39" t="s">
        <v>42</v>
      </c>
      <c r="C52" s="22">
        <v>1</v>
      </c>
      <c r="D52" s="23">
        <f>(6.4-1.75/3.281)</f>
        <v>5.8666260286498026</v>
      </c>
      <c r="E52" s="24">
        <v>0.23</v>
      </c>
      <c r="F52" s="24">
        <v>0.23</v>
      </c>
      <c r="G52" s="55">
        <f t="shared" si="6"/>
        <v>0.31034451691557458</v>
      </c>
      <c r="H52" s="25"/>
      <c r="I52" s="26"/>
      <c r="J52" s="7"/>
      <c r="K52" s="24"/>
    </row>
    <row r="53" spans="1:11" x14ac:dyDescent="0.3">
      <c r="A53" s="21"/>
      <c r="B53" s="39" t="s">
        <v>34</v>
      </c>
      <c r="C53" s="22">
        <v>-1</v>
      </c>
      <c r="D53" s="23">
        <v>0.8</v>
      </c>
      <c r="E53" s="24">
        <v>0.23</v>
      </c>
      <c r="F53" s="24">
        <f>5.75/3.281</f>
        <v>1.752514477293508</v>
      </c>
      <c r="G53" s="55">
        <f t="shared" si="6"/>
        <v>-0.3224626638220055</v>
      </c>
      <c r="H53" s="25"/>
      <c r="I53" s="26"/>
      <c r="J53" s="7"/>
      <c r="K53" s="24"/>
    </row>
    <row r="54" spans="1:11" x14ac:dyDescent="0.3">
      <c r="A54" s="21"/>
      <c r="B54" s="39" t="s">
        <v>33</v>
      </c>
      <c r="C54" s="22">
        <v>-2</v>
      </c>
      <c r="D54" s="23">
        <f>1.5/3.281</f>
        <v>0.45717768972874123</v>
      </c>
      <c r="E54" s="24">
        <v>0.23</v>
      </c>
      <c r="F54" s="24">
        <f>1.17/3.281</f>
        <v>0.35659859798841814</v>
      </c>
      <c r="G54" s="55">
        <f t="shared" si="6"/>
        <v>-7.4993304666872457E-2</v>
      </c>
      <c r="H54" s="25"/>
      <c r="I54" s="26"/>
      <c r="J54" s="7"/>
      <c r="K54" s="24"/>
    </row>
    <row r="55" spans="1:11" x14ac:dyDescent="0.3">
      <c r="A55" s="21"/>
      <c r="B55" s="39"/>
      <c r="C55" s="22">
        <v>-4</v>
      </c>
      <c r="D55" s="23">
        <f>1.5/3.281</f>
        <v>0.45717768972874123</v>
      </c>
      <c r="E55" s="24">
        <v>0.23</v>
      </c>
      <c r="F55" s="24">
        <f>1.17/3.281</f>
        <v>0.35659859798841814</v>
      </c>
      <c r="G55" s="55">
        <f t="shared" si="6"/>
        <v>-0.14998660933374491</v>
      </c>
      <c r="H55" s="25"/>
      <c r="I55" s="26"/>
      <c r="J55" s="7"/>
      <c r="K55" s="24"/>
    </row>
    <row r="56" spans="1:11" x14ac:dyDescent="0.3">
      <c r="A56" s="21"/>
      <c r="B56" s="39" t="s">
        <v>53</v>
      </c>
      <c r="C56" s="22"/>
      <c r="D56" s="23"/>
      <c r="E56" s="24"/>
      <c r="F56" s="24"/>
      <c r="G56" s="55"/>
      <c r="H56" s="25"/>
      <c r="I56" s="26"/>
      <c r="J56" s="7"/>
      <c r="K56" s="24"/>
    </row>
    <row r="57" spans="1:11" x14ac:dyDescent="0.3">
      <c r="A57" s="21"/>
      <c r="B57" s="39" t="s">
        <v>31</v>
      </c>
      <c r="C57" s="22">
        <v>1</v>
      </c>
      <c r="D57" s="23">
        <v>2.63</v>
      </c>
      <c r="E57" s="24">
        <v>0.1</v>
      </c>
      <c r="F57" s="24">
        <f>7.25/3.281</f>
        <v>2.2096921670222494</v>
      </c>
      <c r="G57" s="55">
        <f t="shared" si="6"/>
        <v>0.58114903992685163</v>
      </c>
      <c r="H57" s="25"/>
      <c r="I57" s="26"/>
      <c r="J57" s="7"/>
      <c r="K57" s="24"/>
    </row>
    <row r="58" spans="1:11" x14ac:dyDescent="0.3">
      <c r="A58" s="21"/>
      <c r="B58" s="39"/>
      <c r="C58" s="22">
        <v>1</v>
      </c>
      <c r="D58" s="23">
        <f>6.4-0.23-2.63</f>
        <v>3.54</v>
      </c>
      <c r="E58" s="24">
        <v>0.23</v>
      </c>
      <c r="F58" s="24">
        <f>0.42/3.281</f>
        <v>0.12800975312404753</v>
      </c>
      <c r="G58" s="55">
        <f t="shared" si="6"/>
        <v>0.1042255409935995</v>
      </c>
      <c r="H58" s="25"/>
      <c r="I58" s="26"/>
      <c r="J58" s="7"/>
      <c r="K58" s="24"/>
    </row>
    <row r="59" spans="1:11" x14ac:dyDescent="0.3">
      <c r="A59" s="21"/>
      <c r="B59" s="39" t="s">
        <v>30</v>
      </c>
      <c r="C59" s="22">
        <v>3</v>
      </c>
      <c r="D59" s="23">
        <v>1</v>
      </c>
      <c r="E59" s="24">
        <v>0.1</v>
      </c>
      <c r="F59" s="24">
        <f>7.25/3.281</f>
        <v>2.2096921670222494</v>
      </c>
      <c r="G59" s="55">
        <f t="shared" si="6"/>
        <v>0.66290765010667485</v>
      </c>
      <c r="H59" s="25"/>
      <c r="I59" s="26"/>
      <c r="J59" s="7"/>
      <c r="K59" s="24"/>
    </row>
    <row r="60" spans="1:11" x14ac:dyDescent="0.3">
      <c r="A60" s="21"/>
      <c r="B60" s="39" t="s">
        <v>34</v>
      </c>
      <c r="C60" s="22">
        <v>-2</v>
      </c>
      <c r="D60" s="23">
        <f>2.5/3.281</f>
        <v>0.76196281621456874</v>
      </c>
      <c r="E60" s="24">
        <v>0.1</v>
      </c>
      <c r="F60" s="24">
        <f>5.5/3.281</f>
        <v>1.6763181956720512</v>
      </c>
      <c r="G60" s="55">
        <f t="shared" si="6"/>
        <v>-0.25545842664920015</v>
      </c>
      <c r="H60" s="25"/>
      <c r="I60" s="26"/>
      <c r="J60" s="7"/>
      <c r="K60" s="24"/>
    </row>
    <row r="61" spans="1:11" x14ac:dyDescent="0.3">
      <c r="A61" s="21"/>
      <c r="B61" s="39" t="s">
        <v>46</v>
      </c>
      <c r="C61" s="22">
        <v>1</v>
      </c>
      <c r="D61" s="23">
        <v>2</v>
      </c>
      <c r="E61" s="24">
        <v>0.23</v>
      </c>
      <c r="F61" s="24">
        <f>6.75/3.281</f>
        <v>2.0572996037793354</v>
      </c>
      <c r="G61" s="55">
        <f t="shared" si="6"/>
        <v>0.94635781773849437</v>
      </c>
      <c r="H61" s="25"/>
      <c r="I61" s="26"/>
      <c r="J61" s="7"/>
      <c r="K61" s="24"/>
    </row>
    <row r="62" spans="1:11" x14ac:dyDescent="0.3">
      <c r="A62" s="21"/>
      <c r="B62" s="39" t="s">
        <v>34</v>
      </c>
      <c r="C62" s="22">
        <v>-2</v>
      </c>
      <c r="D62" s="23">
        <v>0.78</v>
      </c>
      <c r="E62" s="24">
        <v>0.23</v>
      </c>
      <c r="F62" s="24">
        <v>1.8</v>
      </c>
      <c r="G62" s="55">
        <f t="shared" ref="G62:G70" si="8">PRODUCT(C62:F62)</f>
        <v>-0.64584000000000008</v>
      </c>
      <c r="H62" s="25"/>
      <c r="I62" s="26"/>
      <c r="J62" s="7"/>
      <c r="K62" s="24"/>
    </row>
    <row r="63" spans="1:11" x14ac:dyDescent="0.3">
      <c r="A63" s="21"/>
      <c r="B63" s="38" t="s">
        <v>52</v>
      </c>
      <c r="C63" s="22"/>
      <c r="D63" s="23"/>
      <c r="E63" s="24"/>
      <c r="F63" s="24"/>
      <c r="G63" s="55"/>
      <c r="H63" s="25"/>
      <c r="I63" s="26"/>
      <c r="J63" s="7"/>
      <c r="K63" s="24"/>
    </row>
    <row r="64" spans="1:11" x14ac:dyDescent="0.3">
      <c r="A64" s="21"/>
      <c r="B64" s="39" t="s">
        <v>56</v>
      </c>
      <c r="C64" s="22">
        <v>1</v>
      </c>
      <c r="D64" s="23">
        <v>2.11</v>
      </c>
      <c r="E64" s="24">
        <v>0.23</v>
      </c>
      <c r="F64" s="24">
        <f>6.75/3.281</f>
        <v>2.0572996037793354</v>
      </c>
      <c r="G64" s="55">
        <f t="shared" si="8"/>
        <v>0.99840749771411152</v>
      </c>
      <c r="H64" s="25"/>
      <c r="I64" s="26"/>
      <c r="J64" s="7"/>
      <c r="K64" s="24"/>
    </row>
    <row r="65" spans="1:17" x14ac:dyDescent="0.3">
      <c r="A65" s="21"/>
      <c r="B65" s="39"/>
      <c r="C65" s="22">
        <v>1</v>
      </c>
      <c r="D65" s="23">
        <v>2.11</v>
      </c>
      <c r="E65" s="24">
        <v>0.1</v>
      </c>
      <c r="F65" s="24">
        <f t="shared" ref="F65:F66" si="9">6.75/3.281</f>
        <v>2.0572996037793354</v>
      </c>
      <c r="G65" s="55">
        <f t="shared" si="8"/>
        <v>0.43409021639743978</v>
      </c>
      <c r="H65" s="25"/>
      <c r="I65" s="26"/>
      <c r="J65" s="7"/>
      <c r="K65" s="24"/>
    </row>
    <row r="66" spans="1:17" x14ac:dyDescent="0.3">
      <c r="A66" s="21"/>
      <c r="B66" s="39"/>
      <c r="C66" s="22">
        <v>2</v>
      </c>
      <c r="D66" s="23">
        <v>1.68</v>
      </c>
      <c r="E66" s="24">
        <v>0.1</v>
      </c>
      <c r="F66" s="24">
        <f t="shared" si="9"/>
        <v>2.0572996037793354</v>
      </c>
      <c r="G66" s="55">
        <f t="shared" si="8"/>
        <v>0.69125266686985676</v>
      </c>
      <c r="H66" s="25"/>
      <c r="I66" s="26"/>
      <c r="J66" s="7"/>
      <c r="K66" s="24"/>
    </row>
    <row r="67" spans="1:17" x14ac:dyDescent="0.3">
      <c r="A67" s="21"/>
      <c r="B67" s="39" t="s">
        <v>34</v>
      </c>
      <c r="C67" s="22">
        <v>-1</v>
      </c>
      <c r="D67" s="23">
        <v>0.78</v>
      </c>
      <c r="E67" s="24">
        <v>0.23</v>
      </c>
      <c r="F67" s="24">
        <f>6/3.281</f>
        <v>1.8287107589149649</v>
      </c>
      <c r="G67" s="55">
        <f t="shared" si="8"/>
        <v>-0.32807071014934469</v>
      </c>
      <c r="H67" s="25"/>
      <c r="I67" s="26"/>
      <c r="J67" s="7"/>
      <c r="K67" s="24"/>
    </row>
    <row r="68" spans="1:17" x14ac:dyDescent="0.3">
      <c r="A68" s="21"/>
      <c r="B68" s="39" t="s">
        <v>33</v>
      </c>
      <c r="C68" s="22">
        <v>-2</v>
      </c>
      <c r="D68" s="23">
        <v>0.45</v>
      </c>
      <c r="E68" s="24">
        <v>0.1</v>
      </c>
      <c r="F68" s="24">
        <v>0.3</v>
      </c>
      <c r="G68" s="55">
        <f t="shared" si="8"/>
        <v>-2.7000000000000003E-2</v>
      </c>
      <c r="H68" s="25"/>
      <c r="I68" s="26"/>
      <c r="J68" s="7"/>
      <c r="K68" s="24"/>
    </row>
    <row r="69" spans="1:17" x14ac:dyDescent="0.3">
      <c r="A69" s="21"/>
      <c r="B69" s="39" t="s">
        <v>42</v>
      </c>
      <c r="C69" s="22">
        <v>1</v>
      </c>
      <c r="D69" s="23">
        <f>5.25/3.281</f>
        <v>1.6001219140505942</v>
      </c>
      <c r="E69" s="24">
        <v>0.23</v>
      </c>
      <c r="F69" s="24">
        <f>2.583/3.281</f>
        <v>0.78725998171289246</v>
      </c>
      <c r="G69" s="55">
        <f t="shared" si="8"/>
        <v>0.28973374822258996</v>
      </c>
      <c r="H69" s="25"/>
      <c r="I69" s="26"/>
      <c r="J69" s="7"/>
      <c r="K69" s="24"/>
    </row>
    <row r="70" spans="1:17" x14ac:dyDescent="0.3">
      <c r="A70" s="21"/>
      <c r="B70" s="39" t="s">
        <v>59</v>
      </c>
      <c r="C70" s="22">
        <v>1</v>
      </c>
      <c r="D70" s="23">
        <v>0.48</v>
      </c>
      <c r="E70" s="24">
        <v>0.2</v>
      </c>
      <c r="F70" s="24">
        <f>0.42/3.281</f>
        <v>0.12800975312404753</v>
      </c>
      <c r="G70" s="55">
        <f t="shared" si="8"/>
        <v>1.2288936299908564E-2</v>
      </c>
      <c r="H70" s="25"/>
      <c r="I70" s="26"/>
      <c r="J70" s="7"/>
      <c r="K70" s="24"/>
    </row>
    <row r="71" spans="1:17" x14ac:dyDescent="0.3">
      <c r="A71" s="21"/>
      <c r="B71" s="39" t="s">
        <v>36</v>
      </c>
      <c r="C71" s="22"/>
      <c r="D71" s="23"/>
      <c r="E71" s="24"/>
      <c r="F71" s="24"/>
      <c r="G71" s="60">
        <f>SUM(G12:G70)</f>
        <v>46.720463339199377</v>
      </c>
      <c r="H71" s="25" t="s">
        <v>24</v>
      </c>
      <c r="I71" s="26">
        <v>1950.4</v>
      </c>
      <c r="J71" s="7">
        <f>G71*I71</f>
        <v>91123.591696774471</v>
      </c>
      <c r="K71" s="24"/>
    </row>
    <row r="72" spans="1:17" x14ac:dyDescent="0.3">
      <c r="A72" s="21"/>
      <c r="B72" s="39"/>
      <c r="C72" s="22"/>
      <c r="D72" s="23"/>
      <c r="E72" s="24"/>
      <c r="F72" s="24"/>
      <c r="G72" s="55"/>
      <c r="H72" s="25"/>
      <c r="I72" s="26"/>
      <c r="J72" s="7"/>
      <c r="K72" s="24"/>
    </row>
    <row r="73" spans="1:17" ht="28.2" x14ac:dyDescent="0.3">
      <c r="A73" s="21">
        <v>2</v>
      </c>
      <c r="B73" s="43" t="s">
        <v>112</v>
      </c>
      <c r="C73" s="22"/>
      <c r="D73" s="23"/>
      <c r="E73" s="24"/>
      <c r="F73" s="24"/>
      <c r="G73" s="55"/>
      <c r="H73" s="25"/>
      <c r="I73" s="26"/>
      <c r="J73" s="7"/>
      <c r="K73" s="24"/>
    </row>
    <row r="74" spans="1:17" x14ac:dyDescent="0.3">
      <c r="A74" s="21"/>
      <c r="B74" s="38" t="str">
        <f>B11</f>
        <v>-Block 1</v>
      </c>
      <c r="C74" s="22">
        <v>2</v>
      </c>
      <c r="D74" s="23">
        <v>14.097</v>
      </c>
      <c r="E74" s="24">
        <v>3.2</v>
      </c>
      <c r="F74" s="24"/>
      <c r="G74" s="55">
        <f t="shared" ref="G74:G83" si="10">PRODUCT(C74:F74)</f>
        <v>90.220799999999997</v>
      </c>
      <c r="H74" s="25"/>
      <c r="I74" s="26"/>
      <c r="J74" s="7"/>
      <c r="K74" s="24"/>
      <c r="N74" s="33"/>
      <c r="O74" s="29"/>
      <c r="P74" s="34"/>
      <c r="Q74" s="34"/>
    </row>
    <row r="75" spans="1:17" x14ac:dyDescent="0.3">
      <c r="A75" s="21"/>
      <c r="B75" s="38"/>
      <c r="C75" s="22">
        <v>2</v>
      </c>
      <c r="D75" s="23">
        <v>5</v>
      </c>
      <c r="E75" s="24"/>
      <c r="F75" s="24">
        <v>0.40600000000000003</v>
      </c>
      <c r="G75" s="55">
        <f t="shared" si="10"/>
        <v>4.0600000000000005</v>
      </c>
      <c r="H75" s="25"/>
      <c r="I75" s="26"/>
      <c r="J75" s="7"/>
      <c r="K75" s="24"/>
      <c r="N75" s="33"/>
      <c r="O75" s="29"/>
      <c r="P75" s="34"/>
      <c r="Q75" s="34"/>
    </row>
    <row r="76" spans="1:17" x14ac:dyDescent="0.3">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3">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3">
      <c r="A78" s="21"/>
      <c r="B78" s="38" t="str">
        <f>B23</f>
        <v>-Block 2</v>
      </c>
      <c r="C78" s="22">
        <v>2</v>
      </c>
      <c r="D78" s="23">
        <v>13.945</v>
      </c>
      <c r="E78" s="24">
        <v>3.15</v>
      </c>
      <c r="F78" s="24"/>
      <c r="G78" s="55">
        <f t="shared" si="10"/>
        <v>87.853499999999997</v>
      </c>
      <c r="H78" s="25"/>
      <c r="I78" s="26"/>
      <c r="J78" s="7"/>
      <c r="K78" s="24"/>
      <c r="N78" s="33"/>
      <c r="O78" s="29"/>
      <c r="P78" s="34"/>
      <c r="Q78" s="34"/>
    </row>
    <row r="79" spans="1:17" x14ac:dyDescent="0.3">
      <c r="A79" s="21"/>
      <c r="B79" s="38"/>
      <c r="C79" s="22">
        <v>2</v>
      </c>
      <c r="D79" s="23">
        <v>4.5209999999999999</v>
      </c>
      <c r="E79" s="24"/>
      <c r="F79" s="24">
        <v>0.40600000000000003</v>
      </c>
      <c r="G79" s="55">
        <f t="shared" si="10"/>
        <v>3.671052</v>
      </c>
      <c r="H79" s="25"/>
      <c r="I79" s="26"/>
      <c r="J79" s="7"/>
      <c r="K79" s="24"/>
      <c r="N79" s="33"/>
      <c r="O79" s="29"/>
      <c r="P79" s="34"/>
      <c r="Q79" s="34"/>
    </row>
    <row r="80" spans="1:17" x14ac:dyDescent="0.3">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3">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3">
      <c r="A82" s="21"/>
      <c r="B82" s="38" t="str">
        <f>B34</f>
        <v>-Block 3</v>
      </c>
      <c r="C82" s="22">
        <v>2</v>
      </c>
      <c r="D82" s="23">
        <v>14.401</v>
      </c>
      <c r="E82" s="24">
        <v>3.35</v>
      </c>
      <c r="F82" s="24"/>
      <c r="G82" s="55">
        <f t="shared" si="10"/>
        <v>96.486699999999999</v>
      </c>
      <c r="H82" s="25"/>
      <c r="I82" s="26"/>
      <c r="J82" s="7"/>
      <c r="K82" s="24"/>
      <c r="N82" s="33">
        <f>2.6*3.281</f>
        <v>8.5306000000000015</v>
      </c>
      <c r="O82" s="29">
        <f>N82-1.5</f>
        <v>7.0306000000000015</v>
      </c>
      <c r="P82" s="34"/>
      <c r="Q82" s="34"/>
    </row>
    <row r="83" spans="1:17" x14ac:dyDescent="0.3">
      <c r="A83" s="21"/>
      <c r="B83" s="38"/>
      <c r="C83" s="22">
        <v>2</v>
      </c>
      <c r="D83" s="23">
        <v>4.0389999999999997</v>
      </c>
      <c r="E83" s="24"/>
      <c r="F83" s="24">
        <v>0.35599999999999998</v>
      </c>
      <c r="G83" s="55">
        <f t="shared" si="10"/>
        <v>2.8757679999999994</v>
      </c>
      <c r="H83" s="25"/>
      <c r="I83" s="26"/>
      <c r="J83" s="7"/>
      <c r="K83" s="24"/>
      <c r="N83" s="33"/>
      <c r="O83" s="29"/>
      <c r="P83" s="34"/>
      <c r="Q83" s="34"/>
    </row>
    <row r="84" spans="1:17" x14ac:dyDescent="0.3">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3">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3">
      <c r="A86" s="21"/>
      <c r="B86" s="38" t="s">
        <v>43</v>
      </c>
      <c r="C86" s="22"/>
      <c r="D86" s="23"/>
      <c r="E86" s="24"/>
      <c r="F86" s="24"/>
      <c r="G86" s="55"/>
      <c r="H86" s="25"/>
      <c r="I86" s="26"/>
      <c r="J86" s="7"/>
      <c r="K86" s="24"/>
      <c r="N86" s="33"/>
      <c r="O86" s="29"/>
      <c r="P86" s="34"/>
      <c r="Q86" s="34"/>
    </row>
    <row r="87" spans="1:17" x14ac:dyDescent="0.3">
      <c r="A87" s="21"/>
      <c r="B87" s="39" t="s">
        <v>44</v>
      </c>
      <c r="C87" s="22">
        <v>1</v>
      </c>
      <c r="D87" s="23">
        <v>6.4</v>
      </c>
      <c r="E87" s="24">
        <f>11.25/3.281</f>
        <v>3.4288326729655592</v>
      </c>
      <c r="F87" s="24"/>
      <c r="G87" s="55">
        <f t="shared" ref="G87" si="11">PRODUCT(C87:F87)</f>
        <v>21.94452910697958</v>
      </c>
      <c r="H87" s="25"/>
      <c r="I87" s="26"/>
      <c r="J87" s="7"/>
      <c r="K87" s="24"/>
      <c r="N87" s="33"/>
      <c r="O87" s="29"/>
      <c r="P87" s="34"/>
      <c r="Q87" s="34"/>
    </row>
    <row r="88" spans="1:17" x14ac:dyDescent="0.3">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3">
      <c r="A89" s="21"/>
      <c r="B89" s="39" t="s">
        <v>36</v>
      </c>
      <c r="C89" s="22"/>
      <c r="D89" s="23"/>
      <c r="E89" s="24"/>
      <c r="F89" s="24"/>
      <c r="G89" s="60">
        <f>SUM(G74:G88)</f>
        <v>319.20323876973481</v>
      </c>
      <c r="H89" s="25" t="s">
        <v>40</v>
      </c>
      <c r="I89" s="26">
        <v>69.87</v>
      </c>
      <c r="J89" s="7">
        <f>G89*I89</f>
        <v>22302.730292841374</v>
      </c>
      <c r="K89" s="24"/>
    </row>
    <row r="90" spans="1:17" x14ac:dyDescent="0.3">
      <c r="A90" s="21"/>
      <c r="B90" s="39"/>
      <c r="C90" s="22"/>
      <c r="D90" s="23"/>
      <c r="E90" s="24"/>
      <c r="F90" s="24"/>
      <c r="G90" s="55"/>
      <c r="H90" s="25"/>
      <c r="I90" s="26"/>
      <c r="J90" s="7"/>
      <c r="K90" s="24"/>
    </row>
    <row r="91" spans="1:17" x14ac:dyDescent="0.3">
      <c r="A91" s="21"/>
      <c r="B91" s="39"/>
      <c r="C91" s="22"/>
      <c r="D91" s="23"/>
      <c r="E91" s="24"/>
      <c r="F91" s="24"/>
      <c r="G91" s="55"/>
      <c r="H91" s="25"/>
      <c r="I91" s="26"/>
      <c r="J91" s="7"/>
      <c r="K91" s="24"/>
    </row>
    <row r="92" spans="1:17" s="1" customFormat="1" ht="41.4" x14ac:dyDescent="0.3">
      <c r="A92" s="21">
        <v>3</v>
      </c>
      <c r="B92" s="125" t="s">
        <v>119</v>
      </c>
      <c r="C92" s="22" t="s">
        <v>7</v>
      </c>
      <c r="D92" s="45" t="s">
        <v>61</v>
      </c>
      <c r="E92" s="46" t="s">
        <v>63</v>
      </c>
      <c r="F92" s="46" t="s">
        <v>62</v>
      </c>
      <c r="G92" s="46"/>
      <c r="H92" s="25"/>
      <c r="I92" s="26"/>
      <c r="J92" s="27"/>
      <c r="K92" s="24"/>
    </row>
    <row r="93" spans="1:17" x14ac:dyDescent="0.3">
      <c r="A93" s="21"/>
      <c r="B93" s="38" t="s">
        <v>38</v>
      </c>
      <c r="C93" s="22"/>
      <c r="D93" s="23"/>
      <c r="E93" s="24"/>
      <c r="F93" s="24"/>
      <c r="G93" s="55"/>
      <c r="H93" s="25"/>
      <c r="I93" s="26"/>
      <c r="J93" s="7"/>
      <c r="K93" s="24"/>
    </row>
    <row r="94" spans="1:17" x14ac:dyDescent="0.3">
      <c r="A94" s="9"/>
      <c r="B94" s="39" t="s">
        <v>64</v>
      </c>
      <c r="C94" s="8"/>
      <c r="D94" s="6"/>
      <c r="E94" s="6"/>
      <c r="F94" s="6"/>
      <c r="G94" s="55"/>
      <c r="H94" s="7"/>
      <c r="I94" s="7"/>
      <c r="J94" s="7"/>
      <c r="K94" s="4"/>
      <c r="M94" s="29"/>
    </row>
    <row r="95" spans="1:17" ht="28.2" x14ac:dyDescent="0.3">
      <c r="A95" s="9"/>
      <c r="B95" s="39" t="s">
        <v>67</v>
      </c>
      <c r="C95" s="8">
        <f>2*5</f>
        <v>10</v>
      </c>
      <c r="D95" s="6">
        <f>10.5/3.281</f>
        <v>3.2002438281011885</v>
      </c>
      <c r="E95" s="6">
        <v>2.46</v>
      </c>
      <c r="F95" s="6">
        <f>PRODUCT(C95:E95)</f>
        <v>78.725998171289234</v>
      </c>
      <c r="G95" s="55">
        <f>F95/1000</f>
        <v>7.8725998171289238E-2</v>
      </c>
      <c r="H95" s="7"/>
      <c r="I95" s="7"/>
      <c r="J95" s="7"/>
      <c r="K95" s="4"/>
      <c r="M95" s="29"/>
    </row>
    <row r="96" spans="1:17" ht="28.2" x14ac:dyDescent="0.3">
      <c r="A96" s="9"/>
      <c r="B96" s="39" t="s">
        <v>65</v>
      </c>
      <c r="C96" s="8">
        <f>2*5</f>
        <v>10</v>
      </c>
      <c r="D96" s="6">
        <f>4/3.281</f>
        <v>1.2191405059433098</v>
      </c>
      <c r="E96" s="6">
        <v>1.92</v>
      </c>
      <c r="F96" s="6">
        <f t="shared" ref="F96:F98" si="12">PRODUCT(C96:E96)</f>
        <v>23.407497714111546</v>
      </c>
      <c r="G96" s="55">
        <f t="shared" ref="G96:G144" si="13">F96/1000</f>
        <v>2.3407497714111547E-2</v>
      </c>
      <c r="H96" s="7"/>
      <c r="I96" s="7"/>
      <c r="J96" s="7"/>
      <c r="K96" s="4"/>
      <c r="M96" s="29"/>
    </row>
    <row r="97" spans="1:15" ht="28.2" x14ac:dyDescent="0.3">
      <c r="A97" s="9"/>
      <c r="B97" s="39" t="s">
        <v>66</v>
      </c>
      <c r="C97" s="8">
        <f>2*5</f>
        <v>10</v>
      </c>
      <c r="D97" s="6">
        <f>1.5/3.281</f>
        <v>0.45717768972874123</v>
      </c>
      <c r="E97" s="6">
        <v>1.5</v>
      </c>
      <c r="F97" s="6">
        <f t="shared" si="12"/>
        <v>6.8576653459311183</v>
      </c>
      <c r="G97" s="55">
        <f t="shared" si="13"/>
        <v>6.8576653459311186E-3</v>
      </c>
      <c r="H97" s="7"/>
      <c r="I97" s="7"/>
      <c r="J97" s="7"/>
      <c r="K97" s="47"/>
      <c r="M97" s="29"/>
    </row>
    <row r="98" spans="1:15" ht="28.2" x14ac:dyDescent="0.3">
      <c r="A98" s="9"/>
      <c r="B98" s="39" t="s">
        <v>68</v>
      </c>
      <c r="C98" s="8">
        <f>2*5</f>
        <v>10</v>
      </c>
      <c r="D98" s="6">
        <v>4.7450000000000001</v>
      </c>
      <c r="E98" s="6">
        <v>2.46</v>
      </c>
      <c r="F98" s="6">
        <f t="shared" si="12"/>
        <v>116.727</v>
      </c>
      <c r="G98" s="55">
        <f t="shared" si="13"/>
        <v>0.116727</v>
      </c>
      <c r="H98" s="7"/>
      <c r="I98" s="7"/>
      <c r="J98" s="7"/>
      <c r="K98" s="47"/>
      <c r="M98" s="29"/>
    </row>
    <row r="99" spans="1:15" ht="28.2" x14ac:dyDescent="0.3">
      <c r="A99" s="9"/>
      <c r="B99" s="39" t="s">
        <v>69</v>
      </c>
      <c r="C99" s="8">
        <v>2</v>
      </c>
      <c r="D99" s="6">
        <v>14.147</v>
      </c>
      <c r="E99" s="6">
        <v>1.92</v>
      </c>
      <c r="F99" s="6">
        <f t="shared" ref="F99:F103" si="14">PRODUCT(C99:E99)</f>
        <v>54.324480000000001</v>
      </c>
      <c r="G99" s="55">
        <f t="shared" si="13"/>
        <v>5.4324480000000001E-2</v>
      </c>
      <c r="H99" s="7"/>
      <c r="I99" s="7"/>
      <c r="J99" s="7"/>
      <c r="K99" s="4"/>
      <c r="M99" s="29"/>
    </row>
    <row r="100" spans="1:15" x14ac:dyDescent="0.3">
      <c r="A100" s="9"/>
      <c r="B100" s="39" t="s">
        <v>70</v>
      </c>
      <c r="C100" s="8">
        <v>8</v>
      </c>
      <c r="D100" s="6">
        <v>14.4</v>
      </c>
      <c r="E100" s="6">
        <v>3.56</v>
      </c>
      <c r="F100" s="6">
        <f t="shared" si="14"/>
        <v>410.11200000000002</v>
      </c>
      <c r="G100" s="55">
        <f t="shared" si="13"/>
        <v>0.41011200000000003</v>
      </c>
      <c r="H100" s="7"/>
      <c r="I100" s="7"/>
      <c r="J100" s="7"/>
      <c r="K100" s="47"/>
      <c r="M100" s="29"/>
      <c r="O100">
        <f>3.6+5*0.05-0.05</f>
        <v>3.8000000000000003</v>
      </c>
    </row>
    <row r="101" spans="1:15" x14ac:dyDescent="0.3">
      <c r="A101" s="9"/>
      <c r="B101" s="39" t="s">
        <v>71</v>
      </c>
      <c r="C101" s="8"/>
      <c r="D101" s="6"/>
      <c r="E101" s="6"/>
      <c r="F101" s="6"/>
      <c r="G101" s="55"/>
      <c r="H101" s="7"/>
      <c r="I101" s="7"/>
      <c r="J101" s="7"/>
      <c r="K101" s="47"/>
      <c r="M101" s="29"/>
    </row>
    <row r="102" spans="1:15" x14ac:dyDescent="0.3">
      <c r="A102" s="9"/>
      <c r="B102" s="39" t="s">
        <v>72</v>
      </c>
      <c r="C102" s="8">
        <f>2*7</f>
        <v>14</v>
      </c>
      <c r="D102" s="6">
        <v>2.375</v>
      </c>
      <c r="E102" s="6">
        <f>12*12/162</f>
        <v>0.88888888888888884</v>
      </c>
      <c r="F102" s="6">
        <f t="shared" si="14"/>
        <v>29.555555555555554</v>
      </c>
      <c r="G102" s="55">
        <f t="shared" si="13"/>
        <v>2.9555555555555554E-2</v>
      </c>
      <c r="H102" s="7"/>
      <c r="I102" s="7"/>
      <c r="J102" s="7"/>
      <c r="K102" s="47"/>
      <c r="M102" s="29"/>
    </row>
    <row r="103" spans="1:15" x14ac:dyDescent="0.3">
      <c r="A103" s="9"/>
      <c r="B103" s="39" t="s">
        <v>73</v>
      </c>
      <c r="C103" s="8">
        <f>2*9</f>
        <v>18</v>
      </c>
      <c r="D103" s="6">
        <v>1.2</v>
      </c>
      <c r="E103" s="6">
        <f>12*12/162</f>
        <v>0.88888888888888884</v>
      </c>
      <c r="F103" s="6">
        <f t="shared" si="14"/>
        <v>19.199999999999996</v>
      </c>
      <c r="G103" s="55">
        <f t="shared" si="13"/>
        <v>1.9199999999999995E-2</v>
      </c>
      <c r="H103" s="7"/>
      <c r="I103" s="7"/>
      <c r="J103" s="7"/>
      <c r="K103" s="47"/>
      <c r="M103" s="29"/>
    </row>
    <row r="104" spans="1:15" x14ac:dyDescent="0.3">
      <c r="A104" s="9"/>
      <c r="B104" s="39" t="s">
        <v>74</v>
      </c>
      <c r="C104" s="8"/>
      <c r="D104" s="6"/>
      <c r="E104" s="6"/>
      <c r="F104" s="6"/>
      <c r="G104" s="55"/>
      <c r="H104" s="7"/>
      <c r="I104" s="7"/>
      <c r="J104" s="7"/>
      <c r="K104" s="47"/>
      <c r="M104" s="29"/>
    </row>
    <row r="105" spans="1:15" x14ac:dyDescent="0.3">
      <c r="A105" s="9"/>
      <c r="B105" s="39" t="s">
        <v>72</v>
      </c>
      <c r="C105" s="8">
        <f>10*3</f>
        <v>30</v>
      </c>
      <c r="D105" s="6">
        <v>2.375</v>
      </c>
      <c r="E105" s="6">
        <f>6*6/162</f>
        <v>0.22222222222222221</v>
      </c>
      <c r="F105" s="6">
        <f t="shared" ref="F105:F107" si="15">PRODUCT(C105:E105)</f>
        <v>15.833333333333332</v>
      </c>
      <c r="G105" s="55">
        <f t="shared" si="13"/>
        <v>1.5833333333333331E-2</v>
      </c>
      <c r="H105" s="7"/>
      <c r="I105" s="7"/>
      <c r="J105" s="7"/>
      <c r="K105" s="47"/>
      <c r="M105" s="29"/>
    </row>
    <row r="106" spans="1:15" x14ac:dyDescent="0.3">
      <c r="A106" s="9"/>
      <c r="B106" s="39"/>
      <c r="C106" s="8">
        <f>10*4</f>
        <v>40</v>
      </c>
      <c r="D106" s="6">
        <v>2.375</v>
      </c>
      <c r="E106" s="6">
        <f>12*12/162</f>
        <v>0.88888888888888884</v>
      </c>
      <c r="F106" s="6">
        <f t="shared" ref="F106" si="16">PRODUCT(C106:E106)</f>
        <v>84.444444444444443</v>
      </c>
      <c r="G106" s="55">
        <f t="shared" si="13"/>
        <v>8.4444444444444447E-2</v>
      </c>
      <c r="H106" s="7"/>
      <c r="I106" s="7"/>
      <c r="J106" s="7"/>
      <c r="K106" s="47"/>
      <c r="M106" s="29"/>
    </row>
    <row r="107" spans="1:15" x14ac:dyDescent="0.3">
      <c r="A107" s="9"/>
      <c r="B107" s="39" t="s">
        <v>73</v>
      </c>
      <c r="C107" s="8">
        <f>10*2</f>
        <v>20</v>
      </c>
      <c r="D107" s="6">
        <v>1.2</v>
      </c>
      <c r="E107" s="6">
        <f>8*8/162</f>
        <v>0.39506172839506171</v>
      </c>
      <c r="F107" s="6">
        <f t="shared" si="15"/>
        <v>9.481481481481481</v>
      </c>
      <c r="G107" s="55">
        <f t="shared" si="13"/>
        <v>9.4814814814814814E-3</v>
      </c>
      <c r="H107" s="7"/>
      <c r="I107" s="7"/>
      <c r="J107" s="7"/>
      <c r="K107" s="47"/>
      <c r="M107" s="29"/>
    </row>
    <row r="108" spans="1:15" x14ac:dyDescent="0.3">
      <c r="A108" s="9"/>
      <c r="B108" s="39"/>
      <c r="C108" s="8">
        <f>10*1</f>
        <v>10</v>
      </c>
      <c r="D108" s="6">
        <v>1.2</v>
      </c>
      <c r="E108" s="6">
        <f>12*12/162</f>
        <v>0.88888888888888884</v>
      </c>
      <c r="F108" s="6">
        <f t="shared" ref="F108:F109" si="17">PRODUCT(C108:E108)</f>
        <v>10.666666666666666</v>
      </c>
      <c r="G108" s="55">
        <f t="shared" si="13"/>
        <v>1.0666666666666666E-2</v>
      </c>
      <c r="H108" s="7"/>
      <c r="I108" s="7"/>
      <c r="J108" s="7"/>
      <c r="K108" s="47"/>
      <c r="M108" s="29"/>
    </row>
    <row r="109" spans="1:15" x14ac:dyDescent="0.3">
      <c r="A109" s="9"/>
      <c r="B109" s="39" t="s">
        <v>75</v>
      </c>
      <c r="C109" s="8">
        <f>8*8</f>
        <v>64</v>
      </c>
      <c r="D109" s="6">
        <v>0.49</v>
      </c>
      <c r="E109" s="6">
        <f>8*8/162</f>
        <v>0.39506172839506171</v>
      </c>
      <c r="F109" s="6">
        <f t="shared" si="17"/>
        <v>12.389135802469134</v>
      </c>
      <c r="G109" s="55">
        <f t="shared" si="13"/>
        <v>1.2389135802469134E-2</v>
      </c>
      <c r="H109" s="7"/>
      <c r="I109" s="7"/>
      <c r="J109" s="7"/>
      <c r="K109" s="47"/>
      <c r="M109" s="29"/>
    </row>
    <row r="110" spans="1:15" ht="28.2" x14ac:dyDescent="0.3">
      <c r="A110" s="9"/>
      <c r="B110" s="39" t="s">
        <v>76</v>
      </c>
      <c r="C110" s="8"/>
      <c r="D110" s="6"/>
      <c r="E110" s="6"/>
      <c r="F110" s="6"/>
      <c r="G110" s="55"/>
      <c r="H110" s="7"/>
      <c r="I110" s="7"/>
      <c r="J110" s="7"/>
      <c r="K110" s="47"/>
      <c r="M110" s="29"/>
    </row>
    <row r="111" spans="1:15" x14ac:dyDescent="0.3">
      <c r="A111" s="9"/>
      <c r="B111" s="39" t="s">
        <v>78</v>
      </c>
      <c r="C111" s="8">
        <f>4*2+2*10</f>
        <v>28</v>
      </c>
      <c r="D111" s="6">
        <v>1.2</v>
      </c>
      <c r="E111" s="6">
        <v>2.1</v>
      </c>
      <c r="F111" s="6">
        <f t="shared" ref="F111" si="18">PRODUCT(C111:E111)</f>
        <v>70.56</v>
      </c>
      <c r="G111" s="55">
        <f t="shared" si="13"/>
        <v>7.0559999999999998E-2</v>
      </c>
      <c r="H111" s="7"/>
      <c r="I111" s="7"/>
      <c r="J111" s="7"/>
      <c r="K111" s="47"/>
      <c r="M111" s="29"/>
    </row>
    <row r="112" spans="1:15" x14ac:dyDescent="0.3">
      <c r="A112" s="9"/>
      <c r="B112" s="39" t="s">
        <v>77</v>
      </c>
      <c r="C112" s="8">
        <f>10*2+4*2</f>
        <v>28</v>
      </c>
      <c r="D112" s="6">
        <v>0.83799999999999997</v>
      </c>
      <c r="E112" s="6">
        <v>2.1</v>
      </c>
      <c r="F112" s="6">
        <f t="shared" ref="F112" si="19">PRODUCT(C112:E112)</f>
        <v>49.2744</v>
      </c>
      <c r="G112" s="55">
        <f t="shared" si="13"/>
        <v>4.9274400000000003E-2</v>
      </c>
      <c r="H112" s="7"/>
      <c r="I112" s="7"/>
      <c r="J112" s="7"/>
      <c r="K112" s="47"/>
      <c r="M112" s="29"/>
    </row>
    <row r="113" spans="1:13" x14ac:dyDescent="0.3">
      <c r="A113" s="9"/>
      <c r="B113" s="39" t="s">
        <v>92</v>
      </c>
      <c r="C113" s="8"/>
      <c r="D113" s="6"/>
      <c r="E113" s="6"/>
      <c r="F113" s="6"/>
      <c r="G113" s="55"/>
      <c r="H113" s="7"/>
      <c r="I113" s="7"/>
      <c r="J113" s="7"/>
      <c r="K113" s="47"/>
      <c r="M113" s="29"/>
    </row>
    <row r="114" spans="1:13" x14ac:dyDescent="0.3">
      <c r="A114" s="9"/>
      <c r="B114" s="39" t="s">
        <v>78</v>
      </c>
      <c r="C114" s="8">
        <f>2*2</f>
        <v>4</v>
      </c>
      <c r="D114" s="6">
        <f>1.2+3.5/3.281</f>
        <v>2.266747942700396</v>
      </c>
      <c r="E114" s="6">
        <v>2.1</v>
      </c>
      <c r="F114" s="6">
        <f t="shared" ref="F114:F115" si="20">PRODUCT(C114:E114)</f>
        <v>19.040682718683328</v>
      </c>
      <c r="G114" s="55">
        <f t="shared" si="13"/>
        <v>1.9040682718683328E-2</v>
      </c>
      <c r="H114" s="7"/>
      <c r="I114" s="7"/>
      <c r="J114" s="7"/>
      <c r="K114" s="47"/>
      <c r="M114" s="29"/>
    </row>
    <row r="115" spans="1:13" x14ac:dyDescent="0.3">
      <c r="A115" s="9"/>
      <c r="B115" s="39" t="s">
        <v>77</v>
      </c>
      <c r="C115" s="8">
        <f>2*2</f>
        <v>4</v>
      </c>
      <c r="D115" s="6">
        <v>0.83799999999999997</v>
      </c>
      <c r="E115" s="6">
        <v>2.1</v>
      </c>
      <c r="F115" s="6">
        <f t="shared" si="20"/>
        <v>7.0392000000000001</v>
      </c>
      <c r="G115" s="55">
        <f t="shared" si="13"/>
        <v>7.0391999999999998E-3</v>
      </c>
      <c r="H115" s="7"/>
      <c r="I115" s="7"/>
      <c r="J115" s="7"/>
      <c r="K115" s="47"/>
      <c r="M115" s="29"/>
    </row>
    <row r="116" spans="1:13" ht="28.2" x14ac:dyDescent="0.3">
      <c r="A116" s="9"/>
      <c r="B116" s="39" t="s">
        <v>79</v>
      </c>
      <c r="C116" s="8"/>
      <c r="D116" s="6"/>
      <c r="E116" s="6"/>
      <c r="F116" s="6"/>
      <c r="G116" s="55"/>
      <c r="H116" s="7"/>
      <c r="I116" s="7"/>
      <c r="J116" s="7"/>
      <c r="K116" s="47"/>
      <c r="M116" s="29"/>
    </row>
    <row r="117" spans="1:13" x14ac:dyDescent="0.3">
      <c r="A117" s="9"/>
      <c r="B117" s="39" t="s">
        <v>78</v>
      </c>
      <c r="C117" s="8">
        <f>4*8</f>
        <v>32</v>
      </c>
      <c r="D117" s="6">
        <v>0.49</v>
      </c>
      <c r="E117" s="6">
        <v>2.1</v>
      </c>
      <c r="F117" s="6">
        <f t="shared" ref="F117:F118" si="21">PRODUCT(C117:E117)</f>
        <v>32.927999999999997</v>
      </c>
      <c r="G117" s="55">
        <f t="shared" si="13"/>
        <v>3.2927999999999999E-2</v>
      </c>
      <c r="H117" s="7"/>
      <c r="I117" s="7"/>
      <c r="J117" s="7"/>
      <c r="K117" s="47"/>
      <c r="M117" s="29"/>
    </row>
    <row r="118" spans="1:13" x14ac:dyDescent="0.3">
      <c r="A118" s="9"/>
      <c r="B118" s="39" t="s">
        <v>77</v>
      </c>
      <c r="C118" s="8">
        <f>2*2</f>
        <v>4</v>
      </c>
      <c r="D118" s="6">
        <v>2.3780000000000001</v>
      </c>
      <c r="E118" s="6">
        <v>2.1</v>
      </c>
      <c r="F118" s="6">
        <f t="shared" si="21"/>
        <v>19.975200000000001</v>
      </c>
      <c r="G118" s="55">
        <f t="shared" si="13"/>
        <v>1.9975200000000002E-2</v>
      </c>
      <c r="H118" s="7"/>
      <c r="I118" s="7"/>
      <c r="J118" s="7"/>
      <c r="K118" s="47"/>
      <c r="M118" s="29"/>
    </row>
    <row r="119" spans="1:13" x14ac:dyDescent="0.3">
      <c r="A119" s="9"/>
      <c r="B119" s="39"/>
      <c r="C119" s="8">
        <f t="shared" ref="C119:C121" si="22">2*2</f>
        <v>4</v>
      </c>
      <c r="D119" s="6">
        <v>2.3410000000000002</v>
      </c>
      <c r="E119" s="6">
        <v>2.1</v>
      </c>
      <c r="F119" s="6">
        <f t="shared" ref="F119:F122" si="23">PRODUCT(C119:E119)</f>
        <v>19.664400000000004</v>
      </c>
      <c r="G119" s="55">
        <f t="shared" si="13"/>
        <v>1.9664400000000005E-2</v>
      </c>
      <c r="H119" s="7"/>
      <c r="I119" s="7"/>
      <c r="J119" s="7"/>
      <c r="K119" s="47"/>
      <c r="M119" s="29"/>
    </row>
    <row r="120" spans="1:13" x14ac:dyDescent="0.3">
      <c r="A120" s="9"/>
      <c r="B120" s="39"/>
      <c r="C120" s="8">
        <f t="shared" si="22"/>
        <v>4</v>
      </c>
      <c r="D120" s="6">
        <v>2.3370000000000002</v>
      </c>
      <c r="E120" s="6">
        <v>2.1</v>
      </c>
      <c r="F120" s="6">
        <f t="shared" si="23"/>
        <v>19.630800000000001</v>
      </c>
      <c r="G120" s="55">
        <f t="shared" si="13"/>
        <v>1.96308E-2</v>
      </c>
      <c r="H120" s="7"/>
      <c r="I120" s="7"/>
      <c r="J120" s="7"/>
      <c r="K120" s="47"/>
      <c r="M120" s="29"/>
    </row>
    <row r="121" spans="1:13" x14ac:dyDescent="0.3">
      <c r="A121" s="9"/>
      <c r="B121" s="39"/>
      <c r="C121" s="8">
        <f t="shared" si="22"/>
        <v>4</v>
      </c>
      <c r="D121" s="6">
        <v>2.3460000000000001</v>
      </c>
      <c r="E121" s="6">
        <v>2.1</v>
      </c>
      <c r="F121" s="6">
        <f t="shared" si="23"/>
        <v>19.706400000000002</v>
      </c>
      <c r="G121" s="55">
        <f t="shared" si="13"/>
        <v>1.9706400000000002E-2</v>
      </c>
      <c r="H121" s="7"/>
      <c r="I121" s="7"/>
      <c r="J121" s="7"/>
      <c r="K121" s="47"/>
      <c r="M121" s="29"/>
    </row>
    <row r="122" spans="1:13" ht="28.2" x14ac:dyDescent="0.3">
      <c r="A122" s="9"/>
      <c r="B122" s="39" t="s">
        <v>91</v>
      </c>
      <c r="C122" s="8">
        <v>1</v>
      </c>
      <c r="D122" s="6">
        <v>14.4</v>
      </c>
      <c r="E122" s="6">
        <v>4.18</v>
      </c>
      <c r="F122" s="6">
        <f t="shared" si="23"/>
        <v>60.192</v>
      </c>
      <c r="G122" s="55">
        <f t="shared" si="13"/>
        <v>6.0192000000000002E-2</v>
      </c>
      <c r="H122" s="7"/>
      <c r="I122" s="7"/>
      <c r="J122" s="7"/>
      <c r="K122" s="47"/>
      <c r="M122" s="29"/>
    </row>
    <row r="123" spans="1:13" x14ac:dyDescent="0.3">
      <c r="A123" s="9"/>
      <c r="B123" s="38" t="s">
        <v>80</v>
      </c>
      <c r="C123" s="8"/>
      <c r="D123" s="6"/>
      <c r="E123" s="6"/>
      <c r="F123" s="6"/>
      <c r="G123" s="55"/>
      <c r="H123" s="7"/>
      <c r="I123" s="7"/>
      <c r="J123" s="7"/>
      <c r="K123" s="47"/>
      <c r="M123" s="29"/>
    </row>
    <row r="124" spans="1:13" ht="28.2" x14ac:dyDescent="0.3">
      <c r="A124" s="9"/>
      <c r="B124" s="39" t="s">
        <v>76</v>
      </c>
      <c r="C124" s="8"/>
      <c r="D124" s="6"/>
      <c r="E124" s="6"/>
      <c r="F124" s="6"/>
      <c r="G124" s="55"/>
      <c r="H124" s="7"/>
      <c r="I124" s="7"/>
      <c r="J124" s="7"/>
      <c r="K124" s="47"/>
      <c r="M124" s="29"/>
    </row>
    <row r="125" spans="1:13" x14ac:dyDescent="0.3">
      <c r="A125" s="9"/>
      <c r="B125" s="39" t="s">
        <v>78</v>
      </c>
      <c r="C125" s="8">
        <f>14*2</f>
        <v>28</v>
      </c>
      <c r="D125" s="6">
        <v>1.2</v>
      </c>
      <c r="E125" s="6">
        <v>2.1</v>
      </c>
      <c r="F125" s="6">
        <f t="shared" ref="F125:F126" si="24">PRODUCT(C125:E125)</f>
        <v>70.56</v>
      </c>
      <c r="G125" s="55">
        <f t="shared" si="13"/>
        <v>7.0559999999999998E-2</v>
      </c>
      <c r="H125" s="7"/>
      <c r="I125" s="7"/>
      <c r="J125" s="7"/>
      <c r="K125" s="47"/>
      <c r="M125" s="29"/>
    </row>
    <row r="126" spans="1:13" x14ac:dyDescent="0.3">
      <c r="A126" s="9"/>
      <c r="B126" s="39" t="s">
        <v>77</v>
      </c>
      <c r="C126" s="8">
        <f>14*2</f>
        <v>28</v>
      </c>
      <c r="D126" s="6">
        <v>0.83799999999999997</v>
      </c>
      <c r="E126" s="6">
        <v>2.1</v>
      </c>
      <c r="F126" s="6">
        <f t="shared" si="24"/>
        <v>49.2744</v>
      </c>
      <c r="G126" s="55">
        <f t="shared" si="13"/>
        <v>4.9274400000000003E-2</v>
      </c>
      <c r="H126" s="7"/>
      <c r="I126" s="7"/>
      <c r="J126" s="7"/>
      <c r="K126" s="47"/>
      <c r="M126" s="29"/>
    </row>
    <row r="127" spans="1:13" x14ac:dyDescent="0.3">
      <c r="A127" s="9"/>
      <c r="B127" s="39" t="s">
        <v>92</v>
      </c>
      <c r="C127" s="8"/>
      <c r="D127" s="6"/>
      <c r="E127" s="6"/>
      <c r="F127" s="6"/>
      <c r="G127" s="55"/>
      <c r="H127" s="7"/>
      <c r="I127" s="7"/>
      <c r="J127" s="7"/>
      <c r="K127" s="47"/>
      <c r="M127" s="29"/>
    </row>
    <row r="128" spans="1:13" x14ac:dyDescent="0.3">
      <c r="A128" s="9"/>
      <c r="B128" s="39" t="s">
        <v>78</v>
      </c>
      <c r="C128" s="8">
        <f>2*2</f>
        <v>4</v>
      </c>
      <c r="D128" s="6">
        <f>6.5/3.281</f>
        <v>1.9811033221578787</v>
      </c>
      <c r="E128" s="6">
        <v>2.1</v>
      </c>
      <c r="F128" s="6">
        <f t="shared" ref="F128:F129" si="25">PRODUCT(C128:E128)</f>
        <v>16.641267906126181</v>
      </c>
      <c r="G128" s="55">
        <f t="shared" si="13"/>
        <v>1.6641267906126182E-2</v>
      </c>
      <c r="H128" s="7"/>
      <c r="I128" s="7"/>
      <c r="J128" s="7"/>
      <c r="K128" s="47"/>
      <c r="M128" s="29"/>
    </row>
    <row r="129" spans="1:13" x14ac:dyDescent="0.3">
      <c r="A129" s="9"/>
      <c r="B129" s="39" t="s">
        <v>77</v>
      </c>
      <c r="C129" s="8">
        <f>2*2</f>
        <v>4</v>
      </c>
      <c r="D129" s="6">
        <v>0.83799999999999997</v>
      </c>
      <c r="E129" s="6">
        <v>2.1</v>
      </c>
      <c r="F129" s="6">
        <f t="shared" si="25"/>
        <v>7.0392000000000001</v>
      </c>
      <c r="G129" s="55">
        <f t="shared" si="13"/>
        <v>7.0391999999999998E-3</v>
      </c>
      <c r="H129" s="7"/>
      <c r="I129" s="7"/>
      <c r="J129" s="7"/>
      <c r="K129" s="47"/>
      <c r="M129" s="29"/>
    </row>
    <row r="130" spans="1:13" x14ac:dyDescent="0.3">
      <c r="A130" s="9"/>
      <c r="B130" s="39" t="s">
        <v>81</v>
      </c>
      <c r="C130" s="8"/>
      <c r="D130" s="6"/>
      <c r="E130" s="6"/>
      <c r="F130" s="6"/>
      <c r="G130" s="55"/>
      <c r="H130" s="7"/>
      <c r="I130" s="7"/>
      <c r="J130" s="7"/>
      <c r="K130" s="47"/>
      <c r="M130" s="29"/>
    </row>
    <row r="131" spans="1:13" x14ac:dyDescent="0.3">
      <c r="A131" s="9"/>
      <c r="B131" s="39" t="s">
        <v>72</v>
      </c>
      <c r="C131" s="8">
        <f>14*6</f>
        <v>84</v>
      </c>
      <c r="D131" s="6">
        <v>0.83799999999999997</v>
      </c>
      <c r="E131" s="6">
        <f>7*7/162</f>
        <v>0.30246913580246915</v>
      </c>
      <c r="F131" s="6">
        <f t="shared" ref="F131:F132" si="26">PRODUCT(C131:E131)</f>
        <v>21.291407407407409</v>
      </c>
      <c r="G131" s="55">
        <f t="shared" si="13"/>
        <v>2.1291407407407408E-2</v>
      </c>
      <c r="H131" s="7"/>
      <c r="I131" s="7"/>
      <c r="J131" s="7"/>
      <c r="K131" s="47"/>
      <c r="M131" s="29"/>
    </row>
    <row r="132" spans="1:13" x14ac:dyDescent="0.3">
      <c r="A132" s="9"/>
      <c r="B132" s="39" t="s">
        <v>73</v>
      </c>
      <c r="C132" s="8">
        <f>14*5</f>
        <v>70</v>
      </c>
      <c r="D132" s="6">
        <v>1.2</v>
      </c>
      <c r="E132" s="6">
        <f>10*10/162</f>
        <v>0.61728395061728392</v>
      </c>
      <c r="F132" s="6">
        <f t="shared" si="26"/>
        <v>51.851851851851848</v>
      </c>
      <c r="G132" s="55">
        <f t="shared" si="13"/>
        <v>5.185185185185185E-2</v>
      </c>
      <c r="H132" s="7"/>
      <c r="I132" s="7"/>
      <c r="J132" s="7"/>
      <c r="K132" s="47"/>
      <c r="M132" s="29"/>
    </row>
    <row r="133" spans="1:13" ht="28.2" x14ac:dyDescent="0.3">
      <c r="A133" s="9"/>
      <c r="B133" s="39" t="s">
        <v>79</v>
      </c>
      <c r="C133" s="8"/>
      <c r="D133" s="6"/>
      <c r="E133" s="6"/>
      <c r="F133" s="6"/>
      <c r="G133" s="55"/>
      <c r="H133" s="7"/>
      <c r="I133" s="7"/>
      <c r="J133" s="7"/>
      <c r="K133" s="47"/>
      <c r="M133" s="29"/>
    </row>
    <row r="134" spans="1:13" x14ac:dyDescent="0.3">
      <c r="A134" s="9"/>
      <c r="B134" s="39" t="s">
        <v>78</v>
      </c>
      <c r="C134" s="8">
        <f>8*2*2</f>
        <v>32</v>
      </c>
      <c r="D134" s="6">
        <v>0.3</v>
      </c>
      <c r="E134" s="6">
        <v>2.1</v>
      </c>
      <c r="F134" s="6">
        <f t="shared" ref="F134:F135" si="27">PRODUCT(C134:E134)</f>
        <v>20.16</v>
      </c>
      <c r="G134" s="55">
        <f t="shared" si="13"/>
        <v>2.0160000000000001E-2</v>
      </c>
      <c r="H134" s="7"/>
      <c r="I134" s="7"/>
      <c r="J134" s="7"/>
      <c r="K134" s="47"/>
      <c r="M134" s="29"/>
    </row>
    <row r="135" spans="1:13" x14ac:dyDescent="0.3">
      <c r="A135" s="9"/>
      <c r="B135" s="39" t="s">
        <v>77</v>
      </c>
      <c r="C135" s="8">
        <v>2</v>
      </c>
      <c r="D135" s="6">
        <v>13.38</v>
      </c>
      <c r="E135" s="6">
        <v>2.1</v>
      </c>
      <c r="F135" s="6">
        <f t="shared" si="27"/>
        <v>56.196000000000005</v>
      </c>
      <c r="G135" s="55">
        <f t="shared" si="13"/>
        <v>5.6196000000000003E-2</v>
      </c>
      <c r="H135" s="7"/>
      <c r="I135" s="7"/>
      <c r="J135" s="7"/>
      <c r="K135" s="47"/>
      <c r="M135" s="29"/>
    </row>
    <row r="136" spans="1:13" x14ac:dyDescent="0.3">
      <c r="A136" s="9"/>
      <c r="B136" s="39"/>
      <c r="C136" s="8">
        <v>2</v>
      </c>
      <c r="D136" s="6">
        <v>13.233000000000001</v>
      </c>
      <c r="E136" s="6">
        <v>2.1</v>
      </c>
      <c r="F136" s="6">
        <f t="shared" ref="F136" si="28">PRODUCT(C136:E136)</f>
        <v>55.578600000000002</v>
      </c>
      <c r="G136" s="55">
        <f t="shared" si="13"/>
        <v>5.5578599999999999E-2</v>
      </c>
      <c r="H136" s="7"/>
      <c r="I136" s="7"/>
      <c r="J136" s="7"/>
      <c r="K136" s="47"/>
      <c r="M136" s="29"/>
    </row>
    <row r="137" spans="1:13" x14ac:dyDescent="0.3">
      <c r="A137" s="9"/>
      <c r="B137" s="39" t="s">
        <v>83</v>
      </c>
      <c r="C137" s="8">
        <f>5*4*2*2</f>
        <v>80</v>
      </c>
      <c r="D137" s="6">
        <v>0.3</v>
      </c>
      <c r="E137" s="6">
        <f>11*11/162</f>
        <v>0.74691358024691357</v>
      </c>
      <c r="F137" s="6">
        <f t="shared" ref="F137" si="29">PRODUCT(C137:E137)</f>
        <v>17.925925925925924</v>
      </c>
      <c r="G137" s="55">
        <f t="shared" si="13"/>
        <v>1.7925925925925925E-2</v>
      </c>
      <c r="H137" s="7"/>
      <c r="I137" s="7"/>
      <c r="J137" s="7"/>
      <c r="K137" s="47"/>
      <c r="M137" s="29"/>
    </row>
    <row r="138" spans="1:13" x14ac:dyDescent="0.3">
      <c r="A138" s="9"/>
      <c r="B138" s="39" t="s">
        <v>82</v>
      </c>
      <c r="C138" s="8">
        <f>6*8*2</f>
        <v>96</v>
      </c>
      <c r="D138" s="6">
        <v>0.6</v>
      </c>
      <c r="E138" s="6">
        <f>11*11/162</f>
        <v>0.74691358024691357</v>
      </c>
      <c r="F138" s="6">
        <f t="shared" ref="F138:F140" si="30">PRODUCT(C138:E138)</f>
        <v>43.022222222222219</v>
      </c>
      <c r="G138" s="55">
        <f t="shared" si="13"/>
        <v>4.3022222222222219E-2</v>
      </c>
      <c r="H138" s="7"/>
      <c r="I138" s="7"/>
      <c r="J138" s="7"/>
      <c r="K138" s="47"/>
      <c r="M138" s="29"/>
    </row>
    <row r="139" spans="1:13" s="1" customFormat="1" ht="27.6" x14ac:dyDescent="0.3">
      <c r="A139" s="48"/>
      <c r="B139" s="49" t="s">
        <v>93</v>
      </c>
      <c r="C139" s="50">
        <v>2</v>
      </c>
      <c r="D139" s="10">
        <f>2.75+0.75</f>
        <v>3.5</v>
      </c>
      <c r="E139" s="10">
        <v>4.18</v>
      </c>
      <c r="F139" s="10">
        <f t="shared" si="30"/>
        <v>29.259999999999998</v>
      </c>
      <c r="G139" s="55">
        <f t="shared" ref="G139" si="31">F139/1000</f>
        <v>2.9259999999999998E-2</v>
      </c>
      <c r="H139" s="27"/>
      <c r="I139" s="27"/>
      <c r="J139" s="27"/>
      <c r="K139" s="51"/>
      <c r="M139" s="12"/>
    </row>
    <row r="140" spans="1:13" s="1" customFormat="1" ht="43.2" x14ac:dyDescent="0.3">
      <c r="A140" s="48"/>
      <c r="B140" s="49" t="s">
        <v>84</v>
      </c>
      <c r="C140" s="50">
        <f>5*2*2</f>
        <v>20</v>
      </c>
      <c r="D140" s="10">
        <f>2.75+0.75</f>
        <v>3.5</v>
      </c>
      <c r="E140" s="10">
        <v>7.37</v>
      </c>
      <c r="F140" s="10">
        <f t="shared" si="30"/>
        <v>515.9</v>
      </c>
      <c r="G140" s="55">
        <f t="shared" si="13"/>
        <v>0.51590000000000003</v>
      </c>
      <c r="H140" s="27"/>
      <c r="I140" s="27"/>
      <c r="J140" s="27"/>
      <c r="K140" s="51" t="s">
        <v>85</v>
      </c>
      <c r="M140" s="12"/>
    </row>
    <row r="141" spans="1:13" s="1" customFormat="1" x14ac:dyDescent="0.3">
      <c r="A141" s="48"/>
      <c r="B141" s="49" t="s">
        <v>86</v>
      </c>
      <c r="C141" s="50"/>
      <c r="D141" s="10"/>
      <c r="E141" s="10"/>
      <c r="F141" s="10"/>
      <c r="G141" s="55"/>
      <c r="H141" s="27"/>
      <c r="I141" s="27"/>
      <c r="J141" s="27"/>
      <c r="K141" s="51"/>
      <c r="M141" s="12"/>
    </row>
    <row r="142" spans="1:13" s="1" customFormat="1" ht="43.2" x14ac:dyDescent="0.3">
      <c r="A142" s="48"/>
      <c r="B142" s="49" t="s">
        <v>87</v>
      </c>
      <c r="C142" s="50">
        <f>2*5*2</f>
        <v>20</v>
      </c>
      <c r="D142" s="10">
        <f>10/3.281</f>
        <v>3.047851264858275</v>
      </c>
      <c r="E142" s="10">
        <v>7.14</v>
      </c>
      <c r="F142" s="10">
        <f t="shared" ref="F142" si="32">PRODUCT(C142:E142)</f>
        <v>435.23316062176167</v>
      </c>
      <c r="G142" s="55">
        <f t="shared" si="13"/>
        <v>0.43523316062176165</v>
      </c>
      <c r="H142" s="27"/>
      <c r="I142" s="27"/>
      <c r="J142" s="27"/>
      <c r="K142" s="51" t="s">
        <v>85</v>
      </c>
      <c r="M142" s="12"/>
    </row>
    <row r="143" spans="1:13" ht="27.6" x14ac:dyDescent="0.3">
      <c r="A143" s="9"/>
      <c r="B143" s="49" t="s">
        <v>89</v>
      </c>
      <c r="C143" s="50">
        <f>6*2*2</f>
        <v>24</v>
      </c>
      <c r="D143" s="10">
        <f>((13.843+13.691)/2)/3.281</f>
        <v>4.1959768363303871</v>
      </c>
      <c r="E143" s="10">
        <v>7.14</v>
      </c>
      <c r="F143" s="10">
        <f t="shared" ref="F143" si="33">PRODUCT(C143:E143)</f>
        <v>719.022590673575</v>
      </c>
      <c r="G143" s="55">
        <f t="shared" si="13"/>
        <v>0.71902259067357499</v>
      </c>
      <c r="H143" s="7"/>
      <c r="I143" s="7"/>
      <c r="J143" s="7"/>
      <c r="K143" s="47"/>
      <c r="M143" s="29"/>
    </row>
    <row r="144" spans="1:13" ht="27.6" x14ac:dyDescent="0.3">
      <c r="A144" s="9"/>
      <c r="B144" s="49" t="s">
        <v>88</v>
      </c>
      <c r="C144" s="50">
        <f>5*2</f>
        <v>10</v>
      </c>
      <c r="D144" s="10">
        <f>(4.75+7.667+4.75+1.5+2)/3.281</f>
        <v>6.298994209082597</v>
      </c>
      <c r="E144" s="10">
        <v>4.82</v>
      </c>
      <c r="F144" s="10">
        <f t="shared" ref="F144" si="34">PRODUCT(C144:E144)</f>
        <v>303.61152087778117</v>
      </c>
      <c r="G144" s="55">
        <f t="shared" si="13"/>
        <v>0.30361152087778115</v>
      </c>
      <c r="H144" s="7"/>
      <c r="I144" s="7"/>
      <c r="J144" s="7"/>
      <c r="K144" s="47"/>
      <c r="M144" s="29"/>
    </row>
    <row r="145" spans="1:31" x14ac:dyDescent="0.3">
      <c r="A145" s="21"/>
      <c r="B145" s="39" t="s">
        <v>36</v>
      </c>
      <c r="C145" s="22"/>
      <c r="D145" s="23"/>
      <c r="E145" s="24"/>
      <c r="F145" s="24"/>
      <c r="G145" s="27">
        <f>SUM(G95:G144)</f>
        <v>3.602304488720617</v>
      </c>
      <c r="H145" s="25" t="s">
        <v>90</v>
      </c>
      <c r="I145" s="26">
        <v>3541.11</v>
      </c>
      <c r="J145" s="7">
        <f>G145*I145</f>
        <v>12756.156448053465</v>
      </c>
      <c r="K145" s="24"/>
    </row>
    <row r="146" spans="1:31" ht="15.6" x14ac:dyDescent="0.3">
      <c r="A146" s="21"/>
      <c r="B146" s="44"/>
      <c r="C146" s="22"/>
      <c r="D146" s="23"/>
      <c r="E146" s="24"/>
      <c r="F146" s="24"/>
      <c r="G146" s="28"/>
      <c r="H146" s="25"/>
      <c r="I146" s="26"/>
      <c r="J146" s="7"/>
      <c r="K146" s="24"/>
    </row>
    <row r="147" spans="1:31" ht="28.2" x14ac:dyDescent="0.3">
      <c r="A147" s="21">
        <v>4</v>
      </c>
      <c r="B147" s="43" t="s">
        <v>120</v>
      </c>
      <c r="C147" s="22"/>
      <c r="D147" s="23"/>
      <c r="E147" s="24"/>
      <c r="F147" s="24"/>
      <c r="G147" s="28"/>
      <c r="H147" s="25"/>
      <c r="I147" s="26"/>
      <c r="J147" s="7"/>
      <c r="K147" s="24"/>
    </row>
    <row r="148" spans="1:31" x14ac:dyDescent="0.3">
      <c r="A148" s="21"/>
      <c r="B148" s="39" t="s">
        <v>49</v>
      </c>
      <c r="C148" s="22">
        <v>9</v>
      </c>
      <c r="D148" s="23">
        <f>11/3.281</f>
        <v>3.3526363913441024</v>
      </c>
      <c r="E148" s="24">
        <f>2/12/3.281</f>
        <v>5.0797521080971242E-2</v>
      </c>
      <c r="F148" s="24">
        <f>3/12/3.281</f>
        <v>7.6196281621456863E-2</v>
      </c>
      <c r="G148" s="55">
        <f t="shared" ref="G148:G154" si="35">PRODUCT(C148:F148)</f>
        <v>0.11678989331722038</v>
      </c>
      <c r="H148" s="25"/>
      <c r="I148" s="26"/>
      <c r="J148" s="7"/>
      <c r="K148" s="24"/>
    </row>
    <row r="149" spans="1:31" x14ac:dyDescent="0.3">
      <c r="A149" s="9"/>
      <c r="B149" s="39" t="s">
        <v>50</v>
      </c>
      <c r="C149" s="8">
        <v>2</v>
      </c>
      <c r="D149" s="6">
        <v>6.4</v>
      </c>
      <c r="E149" s="6">
        <f>1/12/3.281</f>
        <v>2.5398760540485621E-2</v>
      </c>
      <c r="F149" s="6">
        <f>3/12/3.281</f>
        <v>7.6196281621456863E-2</v>
      </c>
      <c r="G149" s="55">
        <f t="shared" si="35"/>
        <v>2.4771726220528492E-2</v>
      </c>
      <c r="H149" s="7"/>
      <c r="I149" s="7"/>
      <c r="J149" s="7"/>
      <c r="K149" s="4"/>
      <c r="M149" s="29"/>
    </row>
    <row r="150" spans="1:31" x14ac:dyDescent="0.3">
      <c r="A150" s="9"/>
      <c r="B150" s="39" t="s">
        <v>51</v>
      </c>
      <c r="C150" s="8">
        <v>1</v>
      </c>
      <c r="D150" s="6">
        <f>2*(5.75/3.281)+0.8</f>
        <v>4.3050289545870157</v>
      </c>
      <c r="E150" s="6">
        <f>2.25/12/3.281</f>
        <v>5.7147211216092654E-2</v>
      </c>
      <c r="F150" s="6">
        <f>2.5/12/3.281</f>
        <v>6.3496901351214066E-2</v>
      </c>
      <c r="G150" s="55">
        <f t="shared" si="35"/>
        <v>1.56215330030973E-2</v>
      </c>
      <c r="H150" s="7"/>
      <c r="I150" s="7"/>
      <c r="J150" s="7"/>
      <c r="K150" s="4"/>
      <c r="M150" s="29"/>
    </row>
    <row r="151" spans="1:31" x14ac:dyDescent="0.3">
      <c r="A151" s="9"/>
      <c r="B151" s="39"/>
      <c r="C151" s="8">
        <v>2</v>
      </c>
      <c r="D151" s="6">
        <f>2*(5.5/3.281)+2.5/3.281</f>
        <v>4.1145992075586708</v>
      </c>
      <c r="E151" s="6">
        <f>2/12/3.281</f>
        <v>5.0797521080971242E-2</v>
      </c>
      <c r="F151" s="6">
        <f>3/12/3.281</f>
        <v>7.6196281621456863E-2</v>
      </c>
      <c r="G151" s="55">
        <f t="shared" si="35"/>
        <v>3.1851789086514648E-2</v>
      </c>
      <c r="H151" s="7"/>
      <c r="I151" s="7"/>
      <c r="J151" s="7"/>
      <c r="K151" s="4"/>
      <c r="M151" s="29"/>
    </row>
    <row r="152" spans="1:31" x14ac:dyDescent="0.3">
      <c r="A152" s="9"/>
      <c r="B152" s="39" t="s">
        <v>46</v>
      </c>
      <c r="C152" s="8">
        <v>2</v>
      </c>
      <c r="D152" s="6">
        <f>0.78+1.8*2</f>
        <v>4.38</v>
      </c>
      <c r="E152" s="6">
        <f>2/12/3.281</f>
        <v>5.0797521080971242E-2</v>
      </c>
      <c r="F152" s="6">
        <f>3/12/3.281</f>
        <v>7.6196281621456863E-2</v>
      </c>
      <c r="G152" s="55">
        <f t="shared" si="35"/>
        <v>3.390630026434837E-2</v>
      </c>
      <c r="H152" s="7"/>
      <c r="I152" s="7"/>
      <c r="J152" s="7"/>
      <c r="K152" s="4"/>
      <c r="M152" s="29"/>
    </row>
    <row r="153" spans="1:31" x14ac:dyDescent="0.3">
      <c r="A153" s="9"/>
      <c r="B153" s="52" t="s">
        <v>54</v>
      </c>
      <c r="C153" s="53">
        <v>2</v>
      </c>
      <c r="D153" s="54">
        <v>0.78</v>
      </c>
      <c r="E153" s="54"/>
      <c r="F153" s="54">
        <v>1.8</v>
      </c>
      <c r="G153" s="40"/>
      <c r="H153" s="7"/>
      <c r="I153" s="7"/>
      <c r="J153" s="7"/>
      <c r="K153" s="4"/>
      <c r="M153" s="29"/>
    </row>
    <row r="154" spans="1:31" x14ac:dyDescent="0.3">
      <c r="A154" s="9"/>
      <c r="B154" s="56" t="s">
        <v>52</v>
      </c>
      <c r="C154" s="57">
        <v>1</v>
      </c>
      <c r="D154" s="58">
        <f>0.78+2*(6/3.281)</f>
        <v>4.4374215178299297</v>
      </c>
      <c r="E154" s="58">
        <f>3.5/12/3.281</f>
        <v>8.8895661891699687E-2</v>
      </c>
      <c r="F154" s="58">
        <f>2.5/12/3.281</f>
        <v>6.3496901351214066E-2</v>
      </c>
      <c r="G154" s="55">
        <f t="shared" si="35"/>
        <v>2.504746538910662E-2</v>
      </c>
      <c r="H154" s="7"/>
      <c r="I154" s="7"/>
      <c r="J154" s="7"/>
      <c r="K154" s="4"/>
      <c r="M154" s="29"/>
    </row>
    <row r="155" spans="1:31" x14ac:dyDescent="0.3">
      <c r="A155" s="9"/>
      <c r="B155" s="52" t="s">
        <v>54</v>
      </c>
      <c r="C155" s="53">
        <v>1</v>
      </c>
      <c r="D155" s="54">
        <v>0.78</v>
      </c>
      <c r="E155" s="54"/>
      <c r="F155" s="54">
        <v>1.8</v>
      </c>
      <c r="G155" s="40"/>
      <c r="H155" s="7"/>
      <c r="I155" s="7"/>
      <c r="J155" s="7"/>
      <c r="K155" s="4"/>
      <c r="M155" s="29"/>
    </row>
    <row r="156" spans="1:31" x14ac:dyDescent="0.3">
      <c r="A156" s="21"/>
      <c r="B156" s="39" t="s">
        <v>36</v>
      </c>
      <c r="C156" s="22"/>
      <c r="D156" s="23"/>
      <c r="E156" s="24"/>
      <c r="F156" s="24"/>
      <c r="G156" s="61">
        <f>SUM(G148:G154)</f>
        <v>0.24798870728081582</v>
      </c>
      <c r="H156" s="62" t="s">
        <v>24</v>
      </c>
      <c r="I156" s="63"/>
      <c r="J156" s="64">
        <f>G156*I156</f>
        <v>0</v>
      </c>
      <c r="K156" s="24"/>
    </row>
    <row r="157" spans="1:31" x14ac:dyDescent="0.3">
      <c r="A157" s="9"/>
      <c r="B157" s="39"/>
      <c r="C157" s="8"/>
      <c r="D157" s="6"/>
      <c r="E157" s="6"/>
      <c r="F157" s="6"/>
      <c r="G157" s="37"/>
      <c r="H157" s="7"/>
      <c r="I157" s="7"/>
      <c r="J157" s="7"/>
      <c r="K157" s="4"/>
      <c r="M157" s="29"/>
    </row>
    <row r="158" spans="1:31" x14ac:dyDescent="0.3">
      <c r="A158" s="9"/>
      <c r="B158" s="20" t="s">
        <v>16</v>
      </c>
      <c r="C158" s="8"/>
      <c r="D158" s="6"/>
      <c r="E158" s="6"/>
      <c r="F158" s="6"/>
      <c r="G158" s="37"/>
      <c r="H158" s="7"/>
      <c r="I158" s="7"/>
      <c r="J158" s="7">
        <f>SUM(J10:J90)</f>
        <v>113426.32198961584</v>
      </c>
      <c r="K158" s="4"/>
      <c r="M158" s="29"/>
      <c r="P158" s="32"/>
      <c r="Q158" s="32"/>
    </row>
    <row r="159" spans="1:31" x14ac:dyDescent="0.3">
      <c r="M159" s="29"/>
      <c r="N159" s="30"/>
      <c r="O159" s="30"/>
      <c r="P159" s="31"/>
      <c r="R159" s="30"/>
      <c r="S159" s="30"/>
      <c r="T159" s="30"/>
      <c r="U159" s="29"/>
      <c r="V159" s="29"/>
      <c r="W159" s="29"/>
      <c r="X159" s="29"/>
      <c r="Y159" s="29"/>
      <c r="Z159" s="29"/>
      <c r="AA159" s="29"/>
      <c r="AB159" s="29"/>
      <c r="AC159" s="29"/>
      <c r="AD159" s="29"/>
      <c r="AE159" s="29"/>
    </row>
    <row r="160" spans="1:31" s="1" customFormat="1" hidden="1" x14ac:dyDescent="0.3">
      <c r="B160" s="11" t="s">
        <v>22</v>
      </c>
      <c r="C160" s="247">
        <f>J158</f>
        <v>113426.32198961584</v>
      </c>
      <c r="D160" s="248"/>
      <c r="E160" s="10">
        <v>100</v>
      </c>
      <c r="F160" s="12"/>
      <c r="G160" s="13"/>
      <c r="H160" s="12"/>
      <c r="I160" s="14"/>
      <c r="J160" s="15"/>
      <c r="K160" s="16"/>
      <c r="M160" s="12"/>
      <c r="N160" s="30"/>
      <c r="O160" s="30"/>
      <c r="P160" s="30"/>
      <c r="Q160" s="30"/>
      <c r="R160" s="30"/>
      <c r="S160" s="30"/>
      <c r="T160" s="30"/>
      <c r="U160" s="12"/>
      <c r="V160" s="12"/>
      <c r="W160" s="12"/>
      <c r="X160" s="12"/>
      <c r="Y160" s="12"/>
      <c r="Z160" s="12"/>
      <c r="AA160" s="12"/>
      <c r="AB160" s="12"/>
      <c r="AC160" s="12"/>
      <c r="AD160" s="12"/>
      <c r="AE160" s="12"/>
    </row>
    <row r="161" spans="2:31" hidden="1" x14ac:dyDescent="0.3">
      <c r="B161" s="11" t="s">
        <v>17</v>
      </c>
      <c r="C161" s="251">
        <v>150000</v>
      </c>
      <c r="D161" s="252"/>
      <c r="E161" s="10"/>
      <c r="M161" s="29"/>
      <c r="N161" s="30"/>
      <c r="O161" s="30"/>
      <c r="P161" s="30"/>
      <c r="Q161" s="30"/>
      <c r="R161" s="30"/>
      <c r="S161" s="30"/>
      <c r="T161" s="30"/>
      <c r="U161" s="29"/>
      <c r="V161" s="29"/>
      <c r="W161" s="29"/>
      <c r="X161" s="29"/>
      <c r="Y161" s="29"/>
      <c r="Z161" s="29"/>
      <c r="AA161" s="29"/>
      <c r="AB161" s="29"/>
      <c r="AC161" s="29"/>
      <c r="AD161" s="29"/>
      <c r="AE161" s="29"/>
    </row>
    <row r="162" spans="2:31" hidden="1" x14ac:dyDescent="0.3">
      <c r="B162" s="11" t="s">
        <v>18</v>
      </c>
      <c r="C162" s="251">
        <f>C161-C164-C165</f>
        <v>142500</v>
      </c>
      <c r="D162" s="252"/>
      <c r="E162" s="10">
        <f>C162/C160*100</f>
        <v>125.63221437528922</v>
      </c>
      <c r="M162" s="29"/>
      <c r="N162" s="29"/>
      <c r="O162" s="29"/>
      <c r="P162" s="29"/>
      <c r="Q162" s="29"/>
      <c r="R162" s="29"/>
      <c r="S162" s="29"/>
      <c r="T162" s="29"/>
      <c r="U162" s="29"/>
      <c r="V162" s="29"/>
      <c r="W162" s="29"/>
      <c r="X162" s="29"/>
      <c r="Y162" s="29"/>
      <c r="Z162" s="29"/>
      <c r="AA162" s="29"/>
      <c r="AB162" s="29"/>
      <c r="AC162" s="29"/>
      <c r="AD162" s="29"/>
      <c r="AE162" s="29"/>
    </row>
    <row r="163" spans="2:31" hidden="1" x14ac:dyDescent="0.3">
      <c r="B163" s="11" t="s">
        <v>19</v>
      </c>
      <c r="C163" s="253">
        <f>C160-C162</f>
        <v>-29073.678010384159</v>
      </c>
      <c r="D163" s="253"/>
      <c r="E163" s="10">
        <f>100-E162</f>
        <v>-25.632214375289223</v>
      </c>
      <c r="M163" s="29"/>
      <c r="N163" s="29"/>
      <c r="O163" s="29"/>
      <c r="P163" s="29"/>
      <c r="Q163" s="29"/>
      <c r="R163" s="29"/>
      <c r="S163" s="29"/>
      <c r="T163" s="29"/>
      <c r="U163" s="29"/>
      <c r="V163" s="29"/>
      <c r="W163" s="29"/>
      <c r="X163" s="29"/>
      <c r="Y163" s="29"/>
      <c r="Z163" s="29"/>
      <c r="AA163" s="29"/>
      <c r="AB163" s="29"/>
      <c r="AC163" s="29"/>
      <c r="AD163" s="29"/>
      <c r="AE163" s="29"/>
    </row>
    <row r="164" spans="2:31" hidden="1" x14ac:dyDescent="0.3">
      <c r="B164" s="11" t="s">
        <v>20</v>
      </c>
      <c r="C164" s="247">
        <f>C161*0.03</f>
        <v>4500</v>
      </c>
      <c r="D164" s="248"/>
      <c r="E164" s="10">
        <v>3</v>
      </c>
      <c r="M164" s="29"/>
      <c r="N164" s="29"/>
      <c r="O164" s="29"/>
      <c r="P164" s="29"/>
      <c r="Q164" s="29"/>
      <c r="R164" s="29"/>
      <c r="S164" s="29"/>
      <c r="T164" s="29"/>
      <c r="U164" s="29"/>
      <c r="V164" s="29"/>
      <c r="W164" s="29"/>
      <c r="X164" s="29"/>
      <c r="Y164" s="29"/>
      <c r="Z164" s="29"/>
      <c r="AA164" s="29"/>
      <c r="AB164" s="29"/>
      <c r="AC164" s="29"/>
      <c r="AD164" s="29"/>
      <c r="AE164" s="29"/>
    </row>
    <row r="165" spans="2:31" hidden="1" x14ac:dyDescent="0.3">
      <c r="B165" s="11" t="s">
        <v>21</v>
      </c>
      <c r="C165" s="247">
        <f>C161*0.02</f>
        <v>3000</v>
      </c>
      <c r="D165" s="248"/>
      <c r="E165" s="10">
        <v>2</v>
      </c>
      <c r="M165" s="29"/>
      <c r="N165" s="29"/>
      <c r="O165" s="29"/>
      <c r="P165" s="29"/>
      <c r="Q165" s="29"/>
      <c r="R165" s="29"/>
      <c r="S165" s="29"/>
      <c r="T165" s="29"/>
      <c r="U165" s="29"/>
      <c r="V165" s="29"/>
      <c r="W165" s="29"/>
      <c r="X165" s="29"/>
      <c r="Y165" s="29"/>
      <c r="Z165" s="29"/>
      <c r="AA165" s="29"/>
      <c r="AB165" s="29"/>
      <c r="AC165" s="29"/>
      <c r="AD165" s="29"/>
      <c r="AE165" s="29"/>
    </row>
  </sheetData>
  <mergeCells count="15">
    <mergeCell ref="A6:G6"/>
    <mergeCell ref="H6:K6"/>
    <mergeCell ref="A1:K1"/>
    <mergeCell ref="A2:K2"/>
    <mergeCell ref="A3:K3"/>
    <mergeCell ref="A4:K4"/>
    <mergeCell ref="A5:K5"/>
    <mergeCell ref="C164:D164"/>
    <mergeCell ref="C165:D165"/>
    <mergeCell ref="A7:F7"/>
    <mergeCell ref="H7:K7"/>
    <mergeCell ref="C160:D160"/>
    <mergeCell ref="C161:D161"/>
    <mergeCell ref="C162:D162"/>
    <mergeCell ref="C163:D163"/>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70"/>
  <sheetViews>
    <sheetView topLeftCell="A16" zoomScaleNormal="100" zoomScaleSheetLayoutView="80" workbookViewId="0">
      <selection activeCell="A91" sqref="A91:XFD96"/>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255" t="s">
        <v>0</v>
      </c>
      <c r="B1" s="255"/>
      <c r="C1" s="255"/>
      <c r="D1" s="255"/>
      <c r="E1" s="255"/>
      <c r="F1" s="255"/>
      <c r="G1" s="255"/>
      <c r="H1" s="255"/>
      <c r="I1" s="255"/>
      <c r="J1" s="255"/>
      <c r="K1" s="255"/>
    </row>
    <row r="2" spans="1:17" s="1" customFormat="1" ht="22.8" x14ac:dyDescent="0.3">
      <c r="A2" s="256" t="s">
        <v>1</v>
      </c>
      <c r="B2" s="256"/>
      <c r="C2" s="256"/>
      <c r="D2" s="256"/>
      <c r="E2" s="256"/>
      <c r="F2" s="256"/>
      <c r="G2" s="256"/>
      <c r="H2" s="256"/>
      <c r="I2" s="256"/>
      <c r="J2" s="256"/>
      <c r="K2" s="256"/>
    </row>
    <row r="3" spans="1:17" s="1" customFormat="1" x14ac:dyDescent="0.3">
      <c r="A3" s="257" t="s">
        <v>2</v>
      </c>
      <c r="B3" s="257"/>
      <c r="C3" s="257"/>
      <c r="D3" s="257"/>
      <c r="E3" s="257"/>
      <c r="F3" s="257"/>
      <c r="G3" s="257"/>
      <c r="H3" s="257"/>
      <c r="I3" s="257"/>
      <c r="J3" s="257"/>
      <c r="K3" s="257"/>
    </row>
    <row r="4" spans="1:17" s="1" customFormat="1" x14ac:dyDescent="0.3">
      <c r="A4" s="257" t="s">
        <v>3</v>
      </c>
      <c r="B4" s="257"/>
      <c r="C4" s="257"/>
      <c r="D4" s="257"/>
      <c r="E4" s="257"/>
      <c r="F4" s="257"/>
      <c r="G4" s="257"/>
      <c r="H4" s="257"/>
      <c r="I4" s="257"/>
      <c r="J4" s="257"/>
      <c r="K4" s="257"/>
    </row>
    <row r="5" spans="1:17" ht="17.399999999999999" x14ac:dyDescent="0.3">
      <c r="A5" s="258" t="s">
        <v>4</v>
      </c>
      <c r="B5" s="258"/>
      <c r="C5" s="258"/>
      <c r="D5" s="258"/>
      <c r="E5" s="258"/>
      <c r="F5" s="258"/>
      <c r="G5" s="258"/>
      <c r="H5" s="258"/>
      <c r="I5" s="258"/>
      <c r="J5" s="258"/>
      <c r="K5" s="258"/>
    </row>
    <row r="6" spans="1:17" ht="18" x14ac:dyDescent="0.35">
      <c r="A6" s="254" t="s">
        <v>47</v>
      </c>
      <c r="B6" s="254"/>
      <c r="C6" s="254"/>
      <c r="D6" s="254"/>
      <c r="E6" s="254"/>
      <c r="F6" s="254"/>
      <c r="G6" s="254"/>
      <c r="H6" s="259" t="s">
        <v>25</v>
      </c>
      <c r="I6" s="259"/>
      <c r="J6" s="259"/>
      <c r="K6" s="259"/>
    </row>
    <row r="7" spans="1:17" ht="15.6" x14ac:dyDescent="0.3">
      <c r="A7" s="249" t="s">
        <v>23</v>
      </c>
      <c r="B7" s="249"/>
      <c r="C7" s="249"/>
      <c r="D7" s="249"/>
      <c r="E7" s="249"/>
      <c r="F7" s="249"/>
      <c r="G7" s="2"/>
      <c r="H7" s="259" t="s">
        <v>26</v>
      </c>
      <c r="I7" s="259"/>
      <c r="J7" s="259"/>
      <c r="K7" s="259"/>
    </row>
    <row r="8" spans="1:17" ht="15" customHeight="1" x14ac:dyDescent="0.3">
      <c r="A8" s="3" t="s">
        <v>5</v>
      </c>
      <c r="B8" s="17" t="s">
        <v>6</v>
      </c>
      <c r="C8" s="3" t="s">
        <v>7</v>
      </c>
      <c r="D8" s="18" t="s">
        <v>8</v>
      </c>
      <c r="E8" s="18" t="s">
        <v>9</v>
      </c>
      <c r="F8" s="18" t="s">
        <v>10</v>
      </c>
      <c r="G8" s="18" t="s">
        <v>11</v>
      </c>
      <c r="H8" s="3" t="s">
        <v>12</v>
      </c>
      <c r="I8" s="18" t="s">
        <v>13</v>
      </c>
      <c r="J8" s="18" t="s">
        <v>14</v>
      </c>
      <c r="K8" s="19" t="s">
        <v>15</v>
      </c>
    </row>
    <row r="9" spans="1:17" ht="15" customHeight="1" x14ac:dyDescent="0.3">
      <c r="A9" s="3"/>
      <c r="B9" s="17" t="s">
        <v>27</v>
      </c>
      <c r="C9" s="3"/>
      <c r="D9" s="18"/>
      <c r="E9" s="18"/>
      <c r="F9" s="18"/>
      <c r="G9" s="59"/>
      <c r="H9" s="3"/>
      <c r="I9" s="18"/>
      <c r="J9" s="18"/>
      <c r="K9" s="19"/>
    </row>
    <row r="10" spans="1:17" s="1" customFormat="1" ht="30" x14ac:dyDescent="0.3">
      <c r="A10" s="21">
        <v>1</v>
      </c>
      <c r="B10" s="36" t="s">
        <v>28</v>
      </c>
      <c r="C10" s="22"/>
      <c r="D10" s="23"/>
      <c r="E10" s="24"/>
      <c r="F10" s="24"/>
      <c r="G10" s="60"/>
      <c r="H10" s="25"/>
      <c r="I10" s="26"/>
      <c r="J10" s="27"/>
      <c r="K10" s="24"/>
      <c r="N10" s="42"/>
      <c r="O10" s="12"/>
      <c r="P10" s="13"/>
      <c r="Q10" s="13"/>
    </row>
    <row r="11" spans="1:17" x14ac:dyDescent="0.3">
      <c r="A11" s="21"/>
      <c r="B11" s="38" t="s">
        <v>29</v>
      </c>
      <c r="C11" s="22"/>
      <c r="D11" s="23"/>
      <c r="E11" s="24"/>
      <c r="F11" s="24"/>
      <c r="G11" s="55"/>
      <c r="H11" s="25"/>
      <c r="I11" s="26"/>
      <c r="J11" s="7"/>
      <c r="K11" s="24"/>
      <c r="N11" s="33"/>
      <c r="O11" s="29"/>
      <c r="P11" s="34"/>
      <c r="Q11" s="34"/>
    </row>
    <row r="12" spans="1:17" x14ac:dyDescent="0.3">
      <c r="A12" s="21"/>
      <c r="B12" s="39" t="s">
        <v>30</v>
      </c>
      <c r="C12" s="22">
        <v>2</v>
      </c>
      <c r="D12" s="23">
        <f t="shared" ref="D12:D13" si="0">14.083/3.281</f>
        <v>4.2922889362999088</v>
      </c>
      <c r="E12" s="24">
        <v>0.23</v>
      </c>
      <c r="F12" s="24">
        <f>2.5/3.281</f>
        <v>0.76196281621456874</v>
      </c>
      <c r="G12" s="55">
        <f>PRODUCT(C12:F12)</f>
        <v>1.5044597003184688</v>
      </c>
      <c r="H12" s="25"/>
      <c r="I12" s="26"/>
      <c r="J12" s="7"/>
      <c r="K12" s="24"/>
      <c r="N12" s="33"/>
      <c r="O12" s="29"/>
      <c r="P12" s="34"/>
      <c r="Q12" s="34"/>
    </row>
    <row r="13" spans="1:17" x14ac:dyDescent="0.3">
      <c r="A13" s="21"/>
      <c r="B13" s="39"/>
      <c r="C13" s="22">
        <v>2</v>
      </c>
      <c r="D13" s="23">
        <f t="shared" si="0"/>
        <v>4.2922889362999088</v>
      </c>
      <c r="E13" s="24">
        <v>0.1</v>
      </c>
      <c r="F13" s="24">
        <f>3.917/3.281</f>
        <v>1.1938433404449862</v>
      </c>
      <c r="G13" s="55">
        <f t="shared" ref="G13:G19" si="1">PRODUCT(C13:F13)</f>
        <v>1.0248641123734679</v>
      </c>
      <c r="H13" s="25"/>
      <c r="I13" s="26"/>
      <c r="J13" s="7"/>
      <c r="K13" s="24"/>
      <c r="N13" s="33"/>
      <c r="O13" s="29"/>
      <c r="P13" s="34"/>
      <c r="Q13" s="34"/>
    </row>
    <row r="14" spans="1:17" x14ac:dyDescent="0.3">
      <c r="A14" s="21"/>
      <c r="B14" s="39"/>
      <c r="C14" s="22">
        <v>1</v>
      </c>
      <c r="D14" s="23">
        <f>14.083/3.281</f>
        <v>4.2922889362999088</v>
      </c>
      <c r="E14" s="24">
        <v>0.1</v>
      </c>
      <c r="F14" s="24">
        <f>F13+F12</f>
        <v>1.955806156659555</v>
      </c>
      <c r="G14" s="55">
        <f t="shared" si="1"/>
        <v>0.83948851277770542</v>
      </c>
      <c r="H14" s="25"/>
      <c r="I14" s="26"/>
      <c r="J14" s="7"/>
      <c r="K14" s="24"/>
      <c r="N14" s="33"/>
      <c r="O14" s="29"/>
      <c r="P14" s="34"/>
      <c r="Q14" s="34"/>
    </row>
    <row r="15" spans="1:17" x14ac:dyDescent="0.3">
      <c r="A15" s="21"/>
      <c r="B15" s="39" t="s">
        <v>31</v>
      </c>
      <c r="C15" s="22">
        <v>2</v>
      </c>
      <c r="D15" s="23">
        <f>45.42/3.281</f>
        <v>13.843340444986284</v>
      </c>
      <c r="E15" s="24">
        <v>0.23</v>
      </c>
      <c r="F15" s="24">
        <f>2.5/3.281</f>
        <v>0.76196281621456874</v>
      </c>
      <c r="G15" s="55">
        <f t="shared" si="1"/>
        <v>4.8521309087882436</v>
      </c>
      <c r="H15" s="25"/>
      <c r="I15" s="26"/>
      <c r="J15" s="7"/>
      <c r="K15" s="24"/>
      <c r="N15" s="33"/>
      <c r="O15" s="29"/>
      <c r="P15" s="34"/>
      <c r="Q15" s="34"/>
    </row>
    <row r="16" spans="1:17" x14ac:dyDescent="0.3">
      <c r="A16" s="21"/>
      <c r="B16" s="39"/>
      <c r="C16" s="22">
        <v>2</v>
      </c>
      <c r="D16" s="23">
        <f>45.42/3.281</f>
        <v>13.843340444986284</v>
      </c>
      <c r="E16" s="24">
        <v>0.1</v>
      </c>
      <c r="F16" s="24">
        <f>3.917/3.281</f>
        <v>1.1938433404449862</v>
      </c>
      <c r="G16" s="55">
        <f t="shared" si="1"/>
        <v>3.3053559599519216</v>
      </c>
      <c r="H16" s="25"/>
      <c r="I16" s="26"/>
      <c r="J16" s="7"/>
      <c r="K16" s="24"/>
      <c r="N16" s="33"/>
      <c r="O16" s="29"/>
      <c r="P16" s="34"/>
      <c r="Q16" s="34"/>
    </row>
    <row r="17" spans="1:17" x14ac:dyDescent="0.3">
      <c r="A17" s="21"/>
      <c r="B17" s="39" t="s">
        <v>32</v>
      </c>
      <c r="C17" s="22">
        <v>6</v>
      </c>
      <c r="D17" s="23">
        <f>1.17/3.281</f>
        <v>0.35659859798841814</v>
      </c>
      <c r="E17" s="24">
        <f>0.42/3.281</f>
        <v>0.12800975312404753</v>
      </c>
      <c r="F17" s="24">
        <f>F14</f>
        <v>1.955806156659555</v>
      </c>
      <c r="G17" s="55">
        <f t="shared" si="1"/>
        <v>0.53567299243304567</v>
      </c>
      <c r="H17" s="25"/>
      <c r="I17" s="26"/>
      <c r="J17" s="7"/>
      <c r="K17" s="24"/>
      <c r="N17" s="33"/>
      <c r="O17" s="29"/>
      <c r="P17" s="34"/>
      <c r="Q17" s="34"/>
    </row>
    <row r="18" spans="1:17" x14ac:dyDescent="0.3">
      <c r="A18" s="21"/>
      <c r="B18" s="39"/>
      <c r="C18" s="22">
        <v>4</v>
      </c>
      <c r="D18" s="23">
        <f>1.917/3.281</f>
        <v>0.58427308747333129</v>
      </c>
      <c r="E18" s="24">
        <f>0.42/3.281</f>
        <v>0.12800975312404753</v>
      </c>
      <c r="F18" s="24">
        <f>F14</f>
        <v>1.955806156659555</v>
      </c>
      <c r="G18" s="55">
        <f t="shared" si="1"/>
        <v>0.58511973019609598</v>
      </c>
      <c r="H18" s="25"/>
      <c r="I18" s="26"/>
      <c r="J18" s="7"/>
      <c r="K18" s="24"/>
      <c r="N18" s="33"/>
      <c r="O18" s="29"/>
      <c r="P18" s="34"/>
      <c r="Q18" s="34"/>
    </row>
    <row r="19" spans="1:17" x14ac:dyDescent="0.3">
      <c r="A19" s="21"/>
      <c r="B19" s="39" t="s">
        <v>33</v>
      </c>
      <c r="C19" s="22">
        <v>-14</v>
      </c>
      <c r="D19" s="23">
        <f>2.75/3.281</f>
        <v>0.8381590978360256</v>
      </c>
      <c r="E19" s="24">
        <v>0.1</v>
      </c>
      <c r="F19" s="24">
        <f>3.917/3.281</f>
        <v>1.1938433404449862</v>
      </c>
      <c r="G19" s="55">
        <f t="shared" si="1"/>
        <v>-1.4008829200588837</v>
      </c>
      <c r="H19" s="25"/>
      <c r="I19" s="26"/>
      <c r="J19" s="7"/>
      <c r="K19" s="24"/>
      <c r="N19" s="29"/>
      <c r="O19" s="34"/>
      <c r="P19" s="34"/>
    </row>
    <row r="20" spans="1:17" x14ac:dyDescent="0.3">
      <c r="A20" s="21"/>
      <c r="B20" s="39"/>
      <c r="C20" s="22"/>
      <c r="D20" s="23"/>
      <c r="E20" s="24"/>
      <c r="F20" s="24"/>
      <c r="G20" s="55"/>
      <c r="H20" s="25"/>
      <c r="I20" s="26"/>
      <c r="J20" s="7"/>
      <c r="K20" s="24"/>
      <c r="N20" s="29"/>
      <c r="O20" s="34"/>
      <c r="P20" s="34"/>
    </row>
    <row r="21" spans="1:17" x14ac:dyDescent="0.3">
      <c r="A21" s="21"/>
      <c r="B21" s="39" t="s">
        <v>34</v>
      </c>
      <c r="C21" s="22">
        <v>-2</v>
      </c>
      <c r="D21" s="23">
        <f>2.75/3.281</f>
        <v>0.8381590978360256</v>
      </c>
      <c r="E21" s="24">
        <v>0.23</v>
      </c>
      <c r="F21" s="24">
        <f>(6.5/3.281)-F22</f>
        <v>0.78725998171289246</v>
      </c>
      <c r="G21" s="55">
        <f t="shared" ref="G21:G22" si="2">PRODUCT(C21:F21)</f>
        <v>-0.30353059337604665</v>
      </c>
      <c r="H21" s="25"/>
      <c r="I21" s="26"/>
      <c r="J21" s="7"/>
      <c r="K21" s="24"/>
      <c r="N21" s="33"/>
      <c r="O21" s="29"/>
      <c r="P21" s="34"/>
      <c r="Q21" s="34"/>
    </row>
    <row r="22" spans="1:17" x14ac:dyDescent="0.3">
      <c r="A22" s="21"/>
      <c r="B22" s="39"/>
      <c r="C22" s="22">
        <v>-2</v>
      </c>
      <c r="D22" s="23">
        <f>2.75/3.281</f>
        <v>0.8381590978360256</v>
      </c>
      <c r="E22" s="24">
        <v>0.1</v>
      </c>
      <c r="F22" s="24">
        <f>F13</f>
        <v>1.1938433404449862</v>
      </c>
      <c r="G22" s="55">
        <f t="shared" si="2"/>
        <v>-0.20012613143698338</v>
      </c>
      <c r="H22" s="25"/>
      <c r="I22" s="26"/>
      <c r="J22" s="7"/>
      <c r="K22" s="24"/>
      <c r="N22" s="33"/>
      <c r="O22" s="29"/>
      <c r="P22" s="34"/>
      <c r="Q22" s="34"/>
    </row>
    <row r="23" spans="1:17" x14ac:dyDescent="0.3">
      <c r="A23" s="21"/>
      <c r="B23" s="38" t="s">
        <v>35</v>
      </c>
      <c r="C23" s="22"/>
      <c r="D23" s="23"/>
      <c r="E23" s="24"/>
      <c r="F23" s="24"/>
      <c r="G23" s="55"/>
      <c r="H23" s="25"/>
      <c r="I23" s="26"/>
      <c r="J23" s="7"/>
      <c r="K23" s="24"/>
      <c r="N23" s="33"/>
      <c r="O23" s="29"/>
      <c r="P23" s="34"/>
      <c r="Q23" s="34"/>
    </row>
    <row r="24" spans="1:17" x14ac:dyDescent="0.3">
      <c r="A24" s="21"/>
      <c r="B24" s="39" t="s">
        <v>30</v>
      </c>
      <c r="C24" s="22">
        <v>2</v>
      </c>
      <c r="D24" s="23">
        <f t="shared" ref="D24:D25" si="3">13.667/3.281</f>
        <v>4.1654983236818044</v>
      </c>
      <c r="E24" s="24">
        <v>0.23</v>
      </c>
      <c r="F24" s="24">
        <f>3.75/3.281</f>
        <v>1.1429442243218531</v>
      </c>
      <c r="G24" s="55">
        <f>PRODUCT(C24:F24)</f>
        <v>2.1900288352182602</v>
      </c>
      <c r="H24" s="25"/>
      <c r="I24" s="26"/>
      <c r="J24" s="7"/>
      <c r="K24" s="24"/>
      <c r="N24" s="33"/>
      <c r="O24" s="29"/>
      <c r="P24" s="34"/>
      <c r="Q24" s="34"/>
    </row>
    <row r="25" spans="1:17" x14ac:dyDescent="0.3">
      <c r="A25" s="21"/>
      <c r="B25" s="39"/>
      <c r="C25" s="22">
        <v>2</v>
      </c>
      <c r="D25" s="23">
        <f t="shared" si="3"/>
        <v>4.1654983236818044</v>
      </c>
      <c r="E25" s="24">
        <v>0.1</v>
      </c>
      <c r="F25" s="24">
        <f>2.75/3.281</f>
        <v>0.8381590978360256</v>
      </c>
      <c r="G25" s="55">
        <f t="shared" ref="G25:G33" si="4">PRODUCT(C25:F25)</f>
        <v>0.69827006340292364</v>
      </c>
      <c r="H25" s="25"/>
      <c r="I25" s="26"/>
      <c r="J25" s="7"/>
      <c r="K25" s="24"/>
      <c r="N25" s="33"/>
      <c r="O25" s="29"/>
      <c r="P25" s="34"/>
      <c r="Q25" s="34"/>
    </row>
    <row r="26" spans="1:17" x14ac:dyDescent="0.3">
      <c r="A26" s="21"/>
      <c r="B26" s="39"/>
      <c r="C26" s="22">
        <v>1</v>
      </c>
      <c r="D26" s="23">
        <f>13.667/3.281</f>
        <v>4.1654983236818044</v>
      </c>
      <c r="E26" s="24">
        <v>0.1</v>
      </c>
      <c r="F26" s="24">
        <f>F25+F24</f>
        <v>1.9811033221578787</v>
      </c>
      <c r="G26" s="55">
        <f t="shared" si="4"/>
        <v>0.82522825674890976</v>
      </c>
      <c r="H26" s="25"/>
      <c r="I26" s="26"/>
      <c r="J26" s="7"/>
      <c r="K26" s="24"/>
      <c r="N26" s="29"/>
      <c r="O26" s="34"/>
      <c r="P26" s="34"/>
    </row>
    <row r="27" spans="1:17" x14ac:dyDescent="0.3">
      <c r="A27" s="21"/>
      <c r="B27" s="39" t="s">
        <v>31</v>
      </c>
      <c r="C27" s="22">
        <v>2</v>
      </c>
      <c r="D27" s="23">
        <f>44.917/3.281</f>
        <v>13.690033526363914</v>
      </c>
      <c r="E27" s="24">
        <v>0.23</v>
      </c>
      <c r="F27" s="24">
        <f>4/3.281</f>
        <v>1.2191405059433098</v>
      </c>
      <c r="G27" s="55">
        <f t="shared" si="4"/>
        <v>7.6774342238676008</v>
      </c>
      <c r="H27" s="25"/>
      <c r="I27" s="26"/>
      <c r="J27" s="7"/>
      <c r="K27" s="24"/>
      <c r="N27" s="29"/>
      <c r="O27" s="34"/>
      <c r="P27" s="34"/>
    </row>
    <row r="28" spans="1:17" x14ac:dyDescent="0.3">
      <c r="A28" s="21"/>
      <c r="B28" s="39"/>
      <c r="C28" s="22">
        <v>2</v>
      </c>
      <c r="D28" s="23">
        <f>44.917/3.281</f>
        <v>13.690033526363914</v>
      </c>
      <c r="E28" s="24">
        <v>0.1</v>
      </c>
      <c r="F28" s="24">
        <f>2.75/3.281</f>
        <v>0.8381590978360256</v>
      </c>
      <c r="G28" s="55">
        <f t="shared" si="4"/>
        <v>2.2948852299604243</v>
      </c>
      <c r="H28" s="25"/>
      <c r="I28" s="26"/>
      <c r="J28" s="7"/>
      <c r="K28" s="24"/>
      <c r="N28" s="29"/>
      <c r="O28" s="34"/>
      <c r="P28" s="34"/>
    </row>
    <row r="29" spans="1:17" x14ac:dyDescent="0.3">
      <c r="A29" s="21"/>
      <c r="B29" s="39" t="s">
        <v>32</v>
      </c>
      <c r="C29" s="22">
        <v>6</v>
      </c>
      <c r="D29" s="23">
        <f>1.17/3.281</f>
        <v>0.35659859798841814</v>
      </c>
      <c r="E29" s="24">
        <f>0.42/3.281</f>
        <v>0.12800975312404753</v>
      </c>
      <c r="F29" s="24">
        <f>F26</f>
        <v>1.9811033221578787</v>
      </c>
      <c r="G29" s="55">
        <f t="shared" si="4"/>
        <v>0.54260159744659442</v>
      </c>
      <c r="H29" s="25"/>
      <c r="I29" s="26"/>
      <c r="J29" s="7"/>
      <c r="K29" s="24"/>
      <c r="N29" s="29"/>
      <c r="O29" s="34"/>
      <c r="P29" s="34"/>
    </row>
    <row r="30" spans="1:17" x14ac:dyDescent="0.3">
      <c r="A30" s="21"/>
      <c r="B30" s="39"/>
      <c r="C30" s="22">
        <v>4</v>
      </c>
      <c r="D30" s="23">
        <f>1.917/3.281</f>
        <v>0.58427308747333129</v>
      </c>
      <c r="E30" s="24">
        <f>0.42/3.281</f>
        <v>0.12800975312404753</v>
      </c>
      <c r="F30" s="24">
        <f>F26</f>
        <v>1.9811033221578787</v>
      </c>
      <c r="G30" s="55">
        <f t="shared" si="4"/>
        <v>0.59268789874935701</v>
      </c>
      <c r="H30" s="25"/>
      <c r="I30" s="26"/>
      <c r="J30" s="7"/>
      <c r="K30" s="24"/>
      <c r="N30" s="29"/>
      <c r="O30" s="34"/>
      <c r="P30" s="34"/>
    </row>
    <row r="31" spans="1:17" x14ac:dyDescent="0.3">
      <c r="A31" s="21"/>
      <c r="B31" s="39" t="s">
        <v>33</v>
      </c>
      <c r="C31" s="22">
        <v>-14</v>
      </c>
      <c r="D31" s="23">
        <f>2.75/3.281</f>
        <v>0.8381590978360256</v>
      </c>
      <c r="E31" s="24">
        <v>0.1</v>
      </c>
      <c r="F31" s="24">
        <f>3.917/3.281</f>
        <v>1.1938433404449862</v>
      </c>
      <c r="G31" s="55">
        <f t="shared" si="4"/>
        <v>-1.4008829200588837</v>
      </c>
      <c r="H31" s="25"/>
      <c r="I31" s="26"/>
      <c r="J31" s="7"/>
      <c r="K31" s="24"/>
      <c r="N31" s="29"/>
      <c r="O31" s="34"/>
      <c r="P31" s="34"/>
    </row>
    <row r="32" spans="1:17" x14ac:dyDescent="0.3">
      <c r="A32" s="21"/>
      <c r="B32" s="39" t="s">
        <v>34</v>
      </c>
      <c r="C32" s="22">
        <v>-2</v>
      </c>
      <c r="D32" s="23">
        <f>2.75/3.281</f>
        <v>0.8381590978360256</v>
      </c>
      <c r="E32" s="24">
        <v>0.23</v>
      </c>
      <c r="F32" s="24">
        <f>(6.25/3.281)-F33</f>
        <v>0.71106370009143549</v>
      </c>
      <c r="G32" s="55">
        <f t="shared" si="4"/>
        <v>-0.27415287431138857</v>
      </c>
      <c r="H32" s="25"/>
      <c r="I32" s="26"/>
      <c r="J32" s="7"/>
      <c r="K32" s="24"/>
      <c r="N32" s="29"/>
      <c r="O32" s="34"/>
      <c r="P32" s="34"/>
    </row>
    <row r="33" spans="1:17" x14ac:dyDescent="0.3">
      <c r="A33" s="21"/>
      <c r="B33" s="35"/>
      <c r="C33" s="22">
        <v>-2</v>
      </c>
      <c r="D33" s="23">
        <f>2.75/3.281</f>
        <v>0.8381590978360256</v>
      </c>
      <c r="E33" s="24">
        <v>0.1</v>
      </c>
      <c r="F33" s="24">
        <f>F31</f>
        <v>1.1938433404449862</v>
      </c>
      <c r="G33" s="55">
        <f t="shared" si="4"/>
        <v>-0.20012613143698338</v>
      </c>
      <c r="H33" s="25"/>
      <c r="I33" s="26"/>
      <c r="J33" s="7"/>
      <c r="K33" s="24"/>
    </row>
    <row r="34" spans="1:17" x14ac:dyDescent="0.3">
      <c r="A34" s="21"/>
      <c r="B34" s="38" t="s">
        <v>38</v>
      </c>
      <c r="C34" s="22"/>
      <c r="D34" s="23"/>
      <c r="E34" s="24"/>
      <c r="F34" s="24"/>
      <c r="G34" s="55"/>
      <c r="H34" s="25"/>
      <c r="I34" s="26"/>
      <c r="J34" s="7"/>
      <c r="K34" s="24"/>
      <c r="N34" s="33"/>
      <c r="O34" s="29"/>
      <c r="P34" s="34"/>
      <c r="Q34" s="34"/>
    </row>
    <row r="35" spans="1:17" x14ac:dyDescent="0.3">
      <c r="A35" s="21"/>
      <c r="B35" s="39" t="s">
        <v>30</v>
      </c>
      <c r="C35" s="22">
        <v>2</v>
      </c>
      <c r="D35" s="23">
        <v>4.0339999999999998</v>
      </c>
      <c r="E35" s="24">
        <v>0.23</v>
      </c>
      <c r="F35" s="24">
        <f>3.5/3.281</f>
        <v>1.0667479427003961</v>
      </c>
      <c r="G35" s="55">
        <f>PRODUCT(C35:F35)</f>
        <v>1.9795001523925628</v>
      </c>
      <c r="H35" s="25"/>
      <c r="I35" s="26"/>
      <c r="J35" s="7"/>
      <c r="K35" s="24"/>
      <c r="N35" s="33"/>
      <c r="O35" s="29"/>
      <c r="P35" s="34"/>
      <c r="Q35" s="34"/>
    </row>
    <row r="36" spans="1:17" x14ac:dyDescent="0.3">
      <c r="A36" s="21"/>
      <c r="B36" s="39"/>
      <c r="C36" s="22">
        <v>2</v>
      </c>
      <c r="D36" s="23">
        <v>4.0339999999999998</v>
      </c>
      <c r="E36" s="24">
        <v>0.1</v>
      </c>
      <c r="F36" s="24">
        <f>4.75/3.281</f>
        <v>1.4477293508076805</v>
      </c>
      <c r="G36" s="55">
        <f t="shared" ref="G36:G70" si="5">PRODUCT(C36:F36)</f>
        <v>1.1680280402316365</v>
      </c>
      <c r="H36" s="25"/>
      <c r="I36" s="26"/>
      <c r="J36" s="7"/>
      <c r="K36" s="24"/>
      <c r="N36" s="33"/>
      <c r="O36" s="29"/>
      <c r="P36" s="34"/>
      <c r="Q36" s="34"/>
    </row>
    <row r="37" spans="1:17" x14ac:dyDescent="0.3">
      <c r="A37" s="21"/>
      <c r="B37" s="39"/>
      <c r="C37" s="22">
        <v>1</v>
      </c>
      <c r="D37" s="23">
        <v>4.0129999999999999</v>
      </c>
      <c r="E37" s="24">
        <v>0.1</v>
      </c>
      <c r="F37" s="24">
        <f>F36+F35</f>
        <v>2.5144772935080768</v>
      </c>
      <c r="G37" s="55">
        <f t="shared" si="5"/>
        <v>1.0090597378847912</v>
      </c>
      <c r="H37" s="25"/>
      <c r="I37" s="26"/>
      <c r="J37" s="7"/>
      <c r="K37" s="24"/>
      <c r="N37" s="29"/>
      <c r="O37" s="34"/>
      <c r="P37" s="34"/>
    </row>
    <row r="38" spans="1:17" x14ac:dyDescent="0.3">
      <c r="A38" s="21"/>
      <c r="B38" s="39" t="s">
        <v>31</v>
      </c>
      <c r="C38" s="22">
        <v>2</v>
      </c>
      <c r="D38" s="23">
        <v>14.147</v>
      </c>
      <c r="E38" s="24">
        <v>0.23</v>
      </c>
      <c r="F38" s="24">
        <f>3.5/3.281</f>
        <v>1.0667479427003961</v>
      </c>
      <c r="G38" s="55">
        <f t="shared" si="5"/>
        <v>6.9419902468759513</v>
      </c>
      <c r="H38" s="25"/>
      <c r="I38" s="26"/>
      <c r="J38" s="7"/>
      <c r="K38" s="24"/>
      <c r="N38" s="29"/>
      <c r="O38" s="34"/>
      <c r="P38" s="34"/>
    </row>
    <row r="39" spans="1:17" x14ac:dyDescent="0.3">
      <c r="A39" s="21"/>
      <c r="B39" s="39"/>
      <c r="C39" s="22">
        <v>2</v>
      </c>
      <c r="D39" s="23">
        <v>14.147</v>
      </c>
      <c r="E39" s="24">
        <v>0.1</v>
      </c>
      <c r="F39" s="24">
        <f>5.75/3.281</f>
        <v>1.752514477293508</v>
      </c>
      <c r="G39" s="55">
        <f t="shared" si="5"/>
        <v>4.9585644620542517</v>
      </c>
      <c r="H39" s="25"/>
      <c r="I39" s="26"/>
      <c r="J39" s="7"/>
      <c r="K39" s="24"/>
      <c r="N39" s="41">
        <f>1.76+3.5/3.281</f>
        <v>2.8267479427003961</v>
      </c>
      <c r="O39" s="34">
        <f>(5.75+3.5)/3.281</f>
        <v>2.8192624199939043</v>
      </c>
      <c r="P39" s="34"/>
    </row>
    <row r="40" spans="1:17" x14ac:dyDescent="0.3">
      <c r="A40" s="21"/>
      <c r="B40" s="39" t="s">
        <v>39</v>
      </c>
      <c r="C40" s="22">
        <f>-3*2</f>
        <v>-6</v>
      </c>
      <c r="D40" s="23">
        <v>2.3410000000000002</v>
      </c>
      <c r="E40" s="24">
        <v>0.1</v>
      </c>
      <c r="F40" s="24">
        <v>0.5</v>
      </c>
      <c r="G40" s="55">
        <f t="shared" si="5"/>
        <v>-0.70230000000000015</v>
      </c>
      <c r="H40" s="25"/>
      <c r="I40" s="26"/>
      <c r="J40" s="7"/>
      <c r="K40" s="24"/>
      <c r="N40" s="29"/>
      <c r="O40" s="34">
        <f>3000*4*6000</f>
        <v>72000000</v>
      </c>
      <c r="P40" s="34"/>
    </row>
    <row r="41" spans="1:17" x14ac:dyDescent="0.3">
      <c r="A41" s="21"/>
      <c r="B41" s="39"/>
      <c r="C41" s="22">
        <f>-1*2</f>
        <v>-2</v>
      </c>
      <c r="D41" s="23">
        <v>2.375</v>
      </c>
      <c r="E41" s="24">
        <v>0.1</v>
      </c>
      <c r="F41" s="24">
        <v>0.5</v>
      </c>
      <c r="G41" s="55">
        <f t="shared" si="5"/>
        <v>-0.23750000000000002</v>
      </c>
      <c r="H41" s="25"/>
      <c r="I41" s="26"/>
      <c r="J41" s="7"/>
      <c r="K41" s="24"/>
      <c r="N41" s="29"/>
      <c r="O41" s="34"/>
      <c r="P41" s="34"/>
    </row>
    <row r="42" spans="1:17" x14ac:dyDescent="0.3">
      <c r="A42" s="21"/>
      <c r="B42" s="39" t="s">
        <v>32</v>
      </c>
      <c r="C42" s="22">
        <v>6</v>
      </c>
      <c r="D42" s="23">
        <f>1.17/3.281</f>
        <v>0.35659859798841814</v>
      </c>
      <c r="E42" s="24">
        <f>0.42/3.281</f>
        <v>0.12800975312404753</v>
      </c>
      <c r="F42" s="24">
        <f>F39+F38</f>
        <v>2.8192624199939038</v>
      </c>
      <c r="G42" s="55">
        <f t="shared" si="5"/>
        <v>0.77216381175092275</v>
      </c>
      <c r="H42" s="25"/>
      <c r="I42" s="26"/>
      <c r="J42" s="7"/>
      <c r="K42" s="24"/>
      <c r="N42" s="29"/>
      <c r="O42" s="34"/>
      <c r="P42" s="34"/>
    </row>
    <row r="43" spans="1:17" x14ac:dyDescent="0.3">
      <c r="A43" s="21"/>
      <c r="B43" s="39"/>
      <c r="C43" s="22">
        <v>4</v>
      </c>
      <c r="D43" s="23">
        <f>1.917/3.281</f>
        <v>0.58427308747333129</v>
      </c>
      <c r="E43" s="24">
        <f>0.42/3.281</f>
        <v>0.12800975312404753</v>
      </c>
      <c r="F43" s="24">
        <f>F38+F39</f>
        <v>2.8192624199939038</v>
      </c>
      <c r="G43" s="55">
        <f t="shared" si="5"/>
        <v>0.84344047129716171</v>
      </c>
      <c r="H43" s="25"/>
      <c r="I43" s="26"/>
      <c r="J43" s="7"/>
      <c r="K43" s="24"/>
      <c r="N43" s="29"/>
      <c r="O43" s="34"/>
      <c r="P43" s="34"/>
    </row>
    <row r="44" spans="1:17" x14ac:dyDescent="0.3">
      <c r="A44" s="21"/>
      <c r="B44" s="39" t="s">
        <v>33</v>
      </c>
      <c r="C44" s="22">
        <v>-10</v>
      </c>
      <c r="D44" s="23">
        <v>0.83799999999999997</v>
      </c>
      <c r="E44" s="24">
        <v>0.1</v>
      </c>
      <c r="F44" s="24">
        <v>1.2</v>
      </c>
      <c r="G44" s="55">
        <f t="shared" si="5"/>
        <v>-1.0055999999999998</v>
      </c>
      <c r="H44" s="25"/>
      <c r="I44" s="26"/>
      <c r="J44" s="7"/>
      <c r="K44" s="24"/>
      <c r="N44" s="29"/>
      <c r="O44" s="34"/>
      <c r="P44" s="34"/>
    </row>
    <row r="45" spans="1:17" x14ac:dyDescent="0.3">
      <c r="A45" s="21"/>
      <c r="B45" s="39"/>
      <c r="C45" s="22">
        <v>-2</v>
      </c>
      <c r="D45" s="23">
        <v>2.375</v>
      </c>
      <c r="E45" s="24">
        <v>0.1</v>
      </c>
      <c r="F45" s="24">
        <v>1.2</v>
      </c>
      <c r="G45" s="55">
        <f t="shared" si="5"/>
        <v>-0.57000000000000006</v>
      </c>
      <c r="H45" s="25"/>
      <c r="I45" s="26"/>
      <c r="J45" s="7"/>
      <c r="K45" s="24"/>
      <c r="N45" s="29"/>
      <c r="O45" s="34"/>
      <c r="P45" s="34"/>
    </row>
    <row r="46" spans="1:17" x14ac:dyDescent="0.3">
      <c r="A46" s="21"/>
      <c r="B46" s="39" t="s">
        <v>34</v>
      </c>
      <c r="C46" s="22">
        <v>-2</v>
      </c>
      <c r="D46" s="23">
        <f>2.75/3.281</f>
        <v>0.8381590978360256</v>
      </c>
      <c r="E46" s="24">
        <v>0.23</v>
      </c>
      <c r="F46" s="24">
        <f>3.5/3.281</f>
        <v>1.0667479427003961</v>
      </c>
      <c r="G46" s="55">
        <f t="shared" si="5"/>
        <v>-0.41128806690521219</v>
      </c>
      <c r="H46" s="25"/>
      <c r="I46" s="26"/>
      <c r="J46" s="7"/>
      <c r="K46" s="24"/>
      <c r="N46" s="29">
        <f>6.5/3.281</f>
        <v>1.9811033221578787</v>
      </c>
      <c r="O46" s="34"/>
      <c r="P46" s="34"/>
    </row>
    <row r="47" spans="1:17" x14ac:dyDescent="0.3">
      <c r="A47" s="21"/>
      <c r="B47" s="35"/>
      <c r="C47" s="22">
        <v>-2</v>
      </c>
      <c r="D47" s="23">
        <f>2.75/3.281</f>
        <v>0.8381590978360256</v>
      </c>
      <c r="E47" s="24">
        <v>0.1</v>
      </c>
      <c r="F47" s="24">
        <f>F44</f>
        <v>1.2</v>
      </c>
      <c r="G47" s="55">
        <f t="shared" si="5"/>
        <v>-0.20115818348064615</v>
      </c>
      <c r="H47" s="25"/>
      <c r="I47" s="26"/>
      <c r="J47" s="7"/>
      <c r="K47" s="24"/>
    </row>
    <row r="48" spans="1:17" x14ac:dyDescent="0.3">
      <c r="A48" s="21"/>
      <c r="B48" s="38" t="s">
        <v>41</v>
      </c>
      <c r="C48" s="22"/>
      <c r="D48" s="23"/>
      <c r="E48" s="24"/>
      <c r="F48" s="24"/>
      <c r="G48" s="55"/>
      <c r="H48" s="25"/>
      <c r="I48" s="26"/>
      <c r="J48" s="7"/>
      <c r="K48" s="24"/>
    </row>
    <row r="49" spans="1:11" x14ac:dyDescent="0.3">
      <c r="A49" s="21"/>
      <c r="B49" s="39" t="s">
        <v>30</v>
      </c>
      <c r="C49" s="22">
        <v>2</v>
      </c>
      <c r="D49" s="23">
        <v>2.64</v>
      </c>
      <c r="E49" s="24">
        <v>0.1</v>
      </c>
      <c r="F49" s="24">
        <f>((6.75+8)/2)/3.281</f>
        <v>2.2477903078329775</v>
      </c>
      <c r="G49" s="55">
        <f t="shared" si="5"/>
        <v>1.1868332825358121</v>
      </c>
      <c r="H49" s="25"/>
      <c r="I49" s="26"/>
      <c r="J49" s="7"/>
      <c r="K49" s="24"/>
    </row>
    <row r="50" spans="1:11" x14ac:dyDescent="0.3">
      <c r="A50" s="21"/>
      <c r="B50" s="39" t="s">
        <v>31</v>
      </c>
      <c r="C50" s="22">
        <v>1</v>
      </c>
      <c r="D50" s="23">
        <f>6.4-0.23</f>
        <v>6.17</v>
      </c>
      <c r="E50" s="24">
        <v>0.23</v>
      </c>
      <c r="F50" s="24">
        <f>6.75/3.281</f>
        <v>2.0572996037793354</v>
      </c>
      <c r="G50" s="55">
        <f t="shared" si="5"/>
        <v>2.9195138677232548</v>
      </c>
      <c r="H50" s="25"/>
      <c r="I50" s="26"/>
      <c r="J50" s="7"/>
      <c r="K50" s="24"/>
    </row>
    <row r="51" spans="1:11" x14ac:dyDescent="0.3">
      <c r="A51" s="21"/>
      <c r="B51" s="39"/>
      <c r="C51" s="22">
        <v>1</v>
      </c>
      <c r="D51" s="23">
        <f>8/3.281</f>
        <v>2.4382810118866196</v>
      </c>
      <c r="E51" s="24">
        <v>0.23</v>
      </c>
      <c r="F51" s="24">
        <f>6.75/3.281</f>
        <v>2.0572996037793354</v>
      </c>
      <c r="G51" s="55">
        <f t="shared" si="5"/>
        <v>1.1537431487211145</v>
      </c>
      <c r="H51" s="25"/>
      <c r="I51" s="26"/>
      <c r="J51" s="7"/>
      <c r="K51" s="24"/>
    </row>
    <row r="52" spans="1:11" x14ac:dyDescent="0.3">
      <c r="A52" s="21"/>
      <c r="B52" s="39" t="s">
        <v>42</v>
      </c>
      <c r="C52" s="22">
        <v>1</v>
      </c>
      <c r="D52" s="23">
        <f>(6.4-1.75/3.281)</f>
        <v>5.8666260286498026</v>
      </c>
      <c r="E52" s="24">
        <v>0.23</v>
      </c>
      <c r="F52" s="24">
        <v>0.23</v>
      </c>
      <c r="G52" s="55">
        <f t="shared" si="5"/>
        <v>0.31034451691557458</v>
      </c>
      <c r="H52" s="25"/>
      <c r="I52" s="26"/>
      <c r="J52" s="7"/>
      <c r="K52" s="24"/>
    </row>
    <row r="53" spans="1:11" x14ac:dyDescent="0.3">
      <c r="A53" s="21"/>
      <c r="B53" s="39" t="s">
        <v>34</v>
      </c>
      <c r="C53" s="22">
        <v>-1</v>
      </c>
      <c r="D53" s="23">
        <v>0.8</v>
      </c>
      <c r="E53" s="24">
        <v>0.23</v>
      </c>
      <c r="F53" s="24">
        <f>5.75/3.281</f>
        <v>1.752514477293508</v>
      </c>
      <c r="G53" s="55">
        <f t="shared" si="5"/>
        <v>-0.3224626638220055</v>
      </c>
      <c r="H53" s="25"/>
      <c r="I53" s="26"/>
      <c r="J53" s="7"/>
      <c r="K53" s="24"/>
    </row>
    <row r="54" spans="1:11" x14ac:dyDescent="0.3">
      <c r="A54" s="21"/>
      <c r="B54" s="39" t="s">
        <v>33</v>
      </c>
      <c r="C54" s="22">
        <v>-2</v>
      </c>
      <c r="D54" s="23">
        <f>1.5/3.281</f>
        <v>0.45717768972874123</v>
      </c>
      <c r="E54" s="24">
        <v>0.23</v>
      </c>
      <c r="F54" s="24">
        <f>1.17/3.281</f>
        <v>0.35659859798841814</v>
      </c>
      <c r="G54" s="55">
        <f t="shared" si="5"/>
        <v>-7.4993304666872457E-2</v>
      </c>
      <c r="H54" s="25"/>
      <c r="I54" s="26"/>
      <c r="J54" s="7"/>
      <c r="K54" s="24"/>
    </row>
    <row r="55" spans="1:11" x14ac:dyDescent="0.3">
      <c r="A55" s="21"/>
      <c r="B55" s="39"/>
      <c r="C55" s="22">
        <v>-4</v>
      </c>
      <c r="D55" s="23">
        <f>1.5/3.281</f>
        <v>0.45717768972874123</v>
      </c>
      <c r="E55" s="24">
        <v>0.23</v>
      </c>
      <c r="F55" s="24">
        <f>1.17/3.281</f>
        <v>0.35659859798841814</v>
      </c>
      <c r="G55" s="55">
        <f t="shared" si="5"/>
        <v>-0.14998660933374491</v>
      </c>
      <c r="H55" s="25"/>
      <c r="I55" s="26"/>
      <c r="J55" s="7"/>
      <c r="K55" s="24"/>
    </row>
    <row r="56" spans="1:11" x14ac:dyDescent="0.3">
      <c r="A56" s="21"/>
      <c r="B56" s="39" t="s">
        <v>53</v>
      </c>
      <c r="C56" s="22"/>
      <c r="D56" s="23"/>
      <c r="E56" s="24"/>
      <c r="F56" s="24"/>
      <c r="G56" s="55"/>
      <c r="H56" s="25"/>
      <c r="I56" s="26"/>
      <c r="J56" s="7"/>
      <c r="K56" s="24"/>
    </row>
    <row r="57" spans="1:11" x14ac:dyDescent="0.3">
      <c r="A57" s="21"/>
      <c r="B57" s="39" t="s">
        <v>31</v>
      </c>
      <c r="C57" s="22">
        <v>1</v>
      </c>
      <c r="D57" s="23">
        <v>2.63</v>
      </c>
      <c r="E57" s="24">
        <v>0.1</v>
      </c>
      <c r="F57" s="24">
        <f>7.25/3.281</f>
        <v>2.2096921670222494</v>
      </c>
      <c r="G57" s="55">
        <f t="shared" si="5"/>
        <v>0.58114903992685163</v>
      </c>
      <c r="H57" s="25"/>
      <c r="I57" s="26"/>
      <c r="J57" s="7"/>
      <c r="K57" s="24"/>
    </row>
    <row r="58" spans="1:11" x14ac:dyDescent="0.3">
      <c r="A58" s="21"/>
      <c r="B58" s="39"/>
      <c r="C58" s="22">
        <v>1</v>
      </c>
      <c r="D58" s="23">
        <f>6.4-0.23-2.63</f>
        <v>3.54</v>
      </c>
      <c r="E58" s="24">
        <v>0.23</v>
      </c>
      <c r="F58" s="24">
        <f>0.42/3.281</f>
        <v>0.12800975312404753</v>
      </c>
      <c r="G58" s="55">
        <f t="shared" si="5"/>
        <v>0.1042255409935995</v>
      </c>
      <c r="H58" s="25"/>
      <c r="I58" s="26"/>
      <c r="J58" s="7"/>
      <c r="K58" s="24"/>
    </row>
    <row r="59" spans="1:11" x14ac:dyDescent="0.3">
      <c r="A59" s="21"/>
      <c r="B59" s="39" t="s">
        <v>30</v>
      </c>
      <c r="C59" s="22">
        <v>3</v>
      </c>
      <c r="D59" s="23">
        <v>1</v>
      </c>
      <c r="E59" s="24">
        <v>0.1</v>
      </c>
      <c r="F59" s="24">
        <f>7.25/3.281</f>
        <v>2.2096921670222494</v>
      </c>
      <c r="G59" s="55">
        <f t="shared" si="5"/>
        <v>0.66290765010667485</v>
      </c>
      <c r="H59" s="25"/>
      <c r="I59" s="26"/>
      <c r="J59" s="7"/>
      <c r="K59" s="24"/>
    </row>
    <row r="60" spans="1:11" x14ac:dyDescent="0.3">
      <c r="A60" s="21"/>
      <c r="B60" s="39" t="s">
        <v>34</v>
      </c>
      <c r="C60" s="22">
        <v>-2</v>
      </c>
      <c r="D60" s="23">
        <f>2.5/3.281</f>
        <v>0.76196281621456874</v>
      </c>
      <c r="E60" s="24">
        <v>0.1</v>
      </c>
      <c r="F60" s="24">
        <f>5.5/3.281</f>
        <v>1.6763181956720512</v>
      </c>
      <c r="G60" s="55">
        <f t="shared" si="5"/>
        <v>-0.25545842664920015</v>
      </c>
      <c r="H60" s="25"/>
      <c r="I60" s="26"/>
      <c r="J60" s="7"/>
      <c r="K60" s="24"/>
    </row>
    <row r="61" spans="1:11" x14ac:dyDescent="0.3">
      <c r="A61" s="21"/>
      <c r="B61" s="39" t="s">
        <v>46</v>
      </c>
      <c r="C61" s="22">
        <v>1</v>
      </c>
      <c r="D61" s="23">
        <v>2</v>
      </c>
      <c r="E61" s="24">
        <v>0.23</v>
      </c>
      <c r="F61" s="24">
        <f>6.75/3.281</f>
        <v>2.0572996037793354</v>
      </c>
      <c r="G61" s="55">
        <f t="shared" si="5"/>
        <v>0.94635781773849437</v>
      </c>
      <c r="H61" s="25"/>
      <c r="I61" s="26"/>
      <c r="J61" s="7"/>
      <c r="K61" s="24"/>
    </row>
    <row r="62" spans="1:11" x14ac:dyDescent="0.3">
      <c r="A62" s="21"/>
      <c r="B62" s="39" t="s">
        <v>34</v>
      </c>
      <c r="C62" s="22">
        <v>-2</v>
      </c>
      <c r="D62" s="23">
        <v>0.78</v>
      </c>
      <c r="E62" s="24">
        <v>0.23</v>
      </c>
      <c r="F62" s="24">
        <v>1.8</v>
      </c>
      <c r="G62" s="55">
        <f t="shared" si="5"/>
        <v>-0.64584000000000008</v>
      </c>
      <c r="H62" s="25"/>
      <c r="I62" s="26"/>
      <c r="J62" s="7"/>
      <c r="K62" s="24"/>
    </row>
    <row r="63" spans="1:11" x14ac:dyDescent="0.3">
      <c r="A63" s="21"/>
      <c r="B63" s="38" t="s">
        <v>52</v>
      </c>
      <c r="C63" s="22"/>
      <c r="D63" s="23"/>
      <c r="E63" s="24"/>
      <c r="F63" s="24"/>
      <c r="G63" s="55"/>
      <c r="H63" s="25"/>
      <c r="I63" s="26"/>
      <c r="J63" s="7"/>
      <c r="K63" s="24"/>
    </row>
    <row r="64" spans="1:11" x14ac:dyDescent="0.3">
      <c r="A64" s="21"/>
      <c r="B64" s="39" t="s">
        <v>56</v>
      </c>
      <c r="C64" s="22">
        <v>1</v>
      </c>
      <c r="D64" s="23">
        <v>2.11</v>
      </c>
      <c r="E64" s="24">
        <v>0.23</v>
      </c>
      <c r="F64" s="24">
        <f>6.75/3.281</f>
        <v>2.0572996037793354</v>
      </c>
      <c r="G64" s="55">
        <f t="shared" si="5"/>
        <v>0.99840749771411152</v>
      </c>
      <c r="H64" s="25"/>
      <c r="I64" s="26"/>
      <c r="J64" s="7"/>
      <c r="K64" s="24"/>
    </row>
    <row r="65" spans="1:17" x14ac:dyDescent="0.3">
      <c r="A65" s="21"/>
      <c r="B65" s="39"/>
      <c r="C65" s="22">
        <v>1</v>
      </c>
      <c r="D65" s="23">
        <v>2.11</v>
      </c>
      <c r="E65" s="24">
        <v>0.1</v>
      </c>
      <c r="F65" s="24">
        <f t="shared" ref="F65:F66" si="6">6.75/3.281</f>
        <v>2.0572996037793354</v>
      </c>
      <c r="G65" s="55">
        <f t="shared" si="5"/>
        <v>0.43409021639743978</v>
      </c>
      <c r="H65" s="25"/>
      <c r="I65" s="26"/>
      <c r="J65" s="7"/>
      <c r="K65" s="24"/>
    </row>
    <row r="66" spans="1:17" x14ac:dyDescent="0.3">
      <c r="A66" s="21"/>
      <c r="B66" s="39"/>
      <c r="C66" s="22">
        <v>2</v>
      </c>
      <c r="D66" s="23">
        <v>1.68</v>
      </c>
      <c r="E66" s="24">
        <v>0.1</v>
      </c>
      <c r="F66" s="24">
        <f t="shared" si="6"/>
        <v>2.0572996037793354</v>
      </c>
      <c r="G66" s="55">
        <f t="shared" si="5"/>
        <v>0.69125266686985676</v>
      </c>
      <c r="H66" s="25"/>
      <c r="I66" s="26"/>
      <c r="J66" s="7"/>
      <c r="K66" s="24"/>
    </row>
    <row r="67" spans="1:17" x14ac:dyDescent="0.3">
      <c r="A67" s="21"/>
      <c r="B67" s="39" t="s">
        <v>34</v>
      </c>
      <c r="C67" s="22">
        <v>-1</v>
      </c>
      <c r="D67" s="23">
        <v>0.78</v>
      </c>
      <c r="E67" s="24">
        <v>0.23</v>
      </c>
      <c r="F67" s="24">
        <f>6/3.281</f>
        <v>1.8287107589149649</v>
      </c>
      <c r="G67" s="55">
        <f t="shared" si="5"/>
        <v>-0.32807071014934469</v>
      </c>
      <c r="H67" s="25"/>
      <c r="I67" s="26"/>
      <c r="J67" s="7"/>
      <c r="K67" s="24"/>
    </row>
    <row r="68" spans="1:17" x14ac:dyDescent="0.3">
      <c r="A68" s="21"/>
      <c r="B68" s="39" t="s">
        <v>33</v>
      </c>
      <c r="C68" s="22">
        <v>-2</v>
      </c>
      <c r="D68" s="23">
        <v>0.45</v>
      </c>
      <c r="E68" s="24">
        <v>0.1</v>
      </c>
      <c r="F68" s="24">
        <v>0.3</v>
      </c>
      <c r="G68" s="55">
        <f t="shared" si="5"/>
        <v>-2.7000000000000003E-2</v>
      </c>
      <c r="H68" s="25"/>
      <c r="I68" s="26"/>
      <c r="J68" s="7"/>
      <c r="K68" s="24"/>
    </row>
    <row r="69" spans="1:17" x14ac:dyDescent="0.3">
      <c r="A69" s="21"/>
      <c r="B69" s="39" t="s">
        <v>42</v>
      </c>
      <c r="C69" s="22">
        <v>1</v>
      </c>
      <c r="D69" s="23">
        <f>5.25/3.281</f>
        <v>1.6001219140505942</v>
      </c>
      <c r="E69" s="24">
        <v>0.23</v>
      </c>
      <c r="F69" s="24">
        <f>2.583/3.281</f>
        <v>0.78725998171289246</v>
      </c>
      <c r="G69" s="55">
        <f t="shared" si="5"/>
        <v>0.28973374822258996</v>
      </c>
      <c r="H69" s="25"/>
      <c r="I69" s="26"/>
      <c r="J69" s="7"/>
      <c r="K69" s="24"/>
    </row>
    <row r="70" spans="1:17" x14ac:dyDescent="0.3">
      <c r="A70" s="21"/>
      <c r="B70" s="39" t="s">
        <v>59</v>
      </c>
      <c r="C70" s="22">
        <v>1</v>
      </c>
      <c r="D70" s="23">
        <v>0.48</v>
      </c>
      <c r="E70" s="24">
        <v>0.2</v>
      </c>
      <c r="F70" s="24">
        <f>0.42/3.281</f>
        <v>0.12800975312404753</v>
      </c>
      <c r="G70" s="55">
        <f t="shared" si="5"/>
        <v>1.2288936299908564E-2</v>
      </c>
      <c r="H70" s="25"/>
      <c r="I70" s="26"/>
      <c r="J70" s="7"/>
      <c r="K70" s="24"/>
    </row>
    <row r="71" spans="1:17" x14ac:dyDescent="0.3">
      <c r="A71" s="21"/>
      <c r="B71" s="39" t="s">
        <v>36</v>
      </c>
      <c r="C71" s="22"/>
      <c r="D71" s="23"/>
      <c r="E71" s="24"/>
      <c r="F71" s="24"/>
      <c r="G71" s="60">
        <f>SUM(G12:G70)</f>
        <v>46.720463339199377</v>
      </c>
      <c r="H71" s="25" t="s">
        <v>24</v>
      </c>
      <c r="I71" s="26">
        <v>1950.4</v>
      </c>
      <c r="J71" s="7">
        <f>G71*I71</f>
        <v>91123.591696774471</v>
      </c>
      <c r="K71" s="24"/>
    </row>
    <row r="72" spans="1:17" x14ac:dyDescent="0.3">
      <c r="A72" s="21"/>
      <c r="B72" s="39"/>
      <c r="C72" s="22"/>
      <c r="D72" s="23"/>
      <c r="E72" s="24"/>
      <c r="F72" s="24"/>
      <c r="G72" s="55"/>
      <c r="H72" s="25"/>
      <c r="I72" s="26"/>
      <c r="J72" s="7"/>
      <c r="K72" s="24"/>
    </row>
    <row r="73" spans="1:17" ht="60" x14ac:dyDescent="0.3">
      <c r="A73" s="21">
        <v>2</v>
      </c>
      <c r="B73" s="36" t="s">
        <v>37</v>
      </c>
      <c r="C73" s="22"/>
      <c r="D73" s="23"/>
      <c r="E73" s="24"/>
      <c r="F73" s="24"/>
      <c r="G73" s="55"/>
      <c r="H73" s="25"/>
      <c r="I73" s="26"/>
      <c r="J73" s="7"/>
      <c r="K73" s="24"/>
    </row>
    <row r="74" spans="1:17" x14ac:dyDescent="0.3">
      <c r="A74" s="21"/>
      <c r="B74" s="38" t="str">
        <f>B11</f>
        <v>-Block 1</v>
      </c>
      <c r="C74" s="22">
        <v>2</v>
      </c>
      <c r="D74" s="23">
        <v>14.097</v>
      </c>
      <c r="E74" s="24">
        <v>3.2</v>
      </c>
      <c r="F74" s="24"/>
      <c r="G74" s="55">
        <f t="shared" ref="G74:G83" si="7">PRODUCT(C74:F74)</f>
        <v>90.220799999999997</v>
      </c>
      <c r="H74" s="25"/>
      <c r="I74" s="26"/>
      <c r="J74" s="7"/>
      <c r="K74" s="24"/>
      <c r="N74" s="33"/>
      <c r="O74" s="29"/>
      <c r="P74" s="34"/>
      <c r="Q74" s="34"/>
    </row>
    <row r="75" spans="1:17" x14ac:dyDescent="0.3">
      <c r="A75" s="21"/>
      <c r="B75" s="38"/>
      <c r="C75" s="22">
        <v>2</v>
      </c>
      <c r="D75" s="23">
        <v>5</v>
      </c>
      <c r="E75" s="24"/>
      <c r="F75" s="24">
        <v>0.40600000000000003</v>
      </c>
      <c r="G75" s="55">
        <f t="shared" si="7"/>
        <v>4.0600000000000005</v>
      </c>
      <c r="H75" s="25"/>
      <c r="I75" s="26"/>
      <c r="J75" s="7"/>
      <c r="K75" s="24"/>
      <c r="N75" s="33"/>
      <c r="O75" s="29"/>
      <c r="P75" s="34"/>
      <c r="Q75" s="34"/>
    </row>
    <row r="76" spans="1:17" x14ac:dyDescent="0.3">
      <c r="A76" s="21"/>
      <c r="B76" s="39"/>
      <c r="C76" s="22">
        <v>2</v>
      </c>
      <c r="D76" s="23">
        <f>D75/2</f>
        <v>2.5</v>
      </c>
      <c r="E76" s="24"/>
      <c r="F76" s="24">
        <v>0.96499999999999997</v>
      </c>
      <c r="G76" s="55">
        <f>C76*0.5*D76*F76</f>
        <v>2.4125000000000001</v>
      </c>
      <c r="H76" s="25"/>
      <c r="I76" s="26"/>
      <c r="J76" s="7"/>
      <c r="K76" s="24"/>
      <c r="N76" s="33"/>
      <c r="O76" s="29"/>
      <c r="P76" s="34"/>
      <c r="Q76" s="34"/>
    </row>
    <row r="77" spans="1:17" x14ac:dyDescent="0.3">
      <c r="A77" s="21"/>
      <c r="B77" s="39" t="s">
        <v>55</v>
      </c>
      <c r="C77" s="22">
        <v>2</v>
      </c>
      <c r="D77" s="23">
        <v>0.84</v>
      </c>
      <c r="E77" s="24"/>
      <c r="F77" s="24">
        <f>6.5/3.281</f>
        <v>1.9811033221578787</v>
      </c>
      <c r="G77" s="55">
        <f>C77*0.5*D77*F77</f>
        <v>1.664126790612618</v>
      </c>
      <c r="H77" s="25"/>
      <c r="I77" s="26"/>
      <c r="J77" s="7"/>
      <c r="K77" s="24"/>
      <c r="N77" s="33"/>
      <c r="O77" s="29"/>
      <c r="P77" s="34"/>
      <c r="Q77" s="34"/>
    </row>
    <row r="78" spans="1:17" x14ac:dyDescent="0.3">
      <c r="A78" s="21"/>
      <c r="B78" s="38" t="str">
        <f>B23</f>
        <v>-Block 2</v>
      </c>
      <c r="C78" s="22">
        <v>2</v>
      </c>
      <c r="D78" s="23">
        <v>13.945</v>
      </c>
      <c r="E78" s="24">
        <v>3.15</v>
      </c>
      <c r="F78" s="24"/>
      <c r="G78" s="55">
        <f t="shared" si="7"/>
        <v>87.853499999999997</v>
      </c>
      <c r="H78" s="25"/>
      <c r="I78" s="26"/>
      <c r="J78" s="7"/>
      <c r="K78" s="24"/>
      <c r="N78" s="33"/>
      <c r="O78" s="29"/>
      <c r="P78" s="34"/>
      <c r="Q78" s="34"/>
    </row>
    <row r="79" spans="1:17" x14ac:dyDescent="0.3">
      <c r="A79" s="21"/>
      <c r="B79" s="38"/>
      <c r="C79" s="22">
        <v>2</v>
      </c>
      <c r="D79" s="23">
        <v>4.5209999999999999</v>
      </c>
      <c r="E79" s="24"/>
      <c r="F79" s="24">
        <v>0.40600000000000003</v>
      </c>
      <c r="G79" s="55">
        <f t="shared" si="7"/>
        <v>3.671052</v>
      </c>
      <c r="H79" s="25"/>
      <c r="I79" s="26"/>
      <c r="J79" s="7"/>
      <c r="K79" s="24"/>
      <c r="N79" s="33"/>
      <c r="O79" s="29"/>
      <c r="P79" s="34"/>
      <c r="Q79" s="34"/>
    </row>
    <row r="80" spans="1:17" x14ac:dyDescent="0.3">
      <c r="A80" s="21"/>
      <c r="B80" s="39"/>
      <c r="C80" s="22">
        <v>2</v>
      </c>
      <c r="D80" s="23">
        <f>D79/2</f>
        <v>2.2605</v>
      </c>
      <c r="E80" s="24"/>
      <c r="F80" s="24">
        <v>0.99099999999999999</v>
      </c>
      <c r="G80" s="55">
        <f>C80*0.5*D80*F80</f>
        <v>2.2401554999999997</v>
      </c>
      <c r="H80" s="25"/>
      <c r="I80" s="26"/>
      <c r="J80" s="7"/>
      <c r="K80" s="24"/>
      <c r="N80" s="33"/>
      <c r="O80" s="29"/>
      <c r="P80" s="34"/>
      <c r="Q80" s="34"/>
    </row>
    <row r="81" spans="1:17" x14ac:dyDescent="0.3">
      <c r="A81" s="21"/>
      <c r="B81" s="39" t="s">
        <v>55</v>
      </c>
      <c r="C81" s="22">
        <v>2</v>
      </c>
      <c r="D81" s="23">
        <v>0.84</v>
      </c>
      <c r="E81" s="24"/>
      <c r="F81" s="24">
        <f>6.5/3.281</f>
        <v>1.9811033221578787</v>
      </c>
      <c r="G81" s="55">
        <f>C81*0.5*D81*F81</f>
        <v>1.664126790612618</v>
      </c>
      <c r="H81" s="25"/>
      <c r="I81" s="26"/>
      <c r="J81" s="7"/>
      <c r="K81" s="24"/>
      <c r="N81" s="33"/>
      <c r="O81" s="29"/>
      <c r="P81" s="34"/>
      <c r="Q81" s="34"/>
    </row>
    <row r="82" spans="1:17" x14ac:dyDescent="0.3">
      <c r="A82" s="21"/>
      <c r="B82" s="38" t="str">
        <f>B34</f>
        <v>-Block 3</v>
      </c>
      <c r="C82" s="22">
        <v>2</v>
      </c>
      <c r="D82" s="23">
        <v>14.401</v>
      </c>
      <c r="E82" s="24">
        <v>3.35</v>
      </c>
      <c r="F82" s="24"/>
      <c r="G82" s="55">
        <f t="shared" si="7"/>
        <v>96.486699999999999</v>
      </c>
      <c r="H82" s="25"/>
      <c r="I82" s="26"/>
      <c r="J82" s="7"/>
      <c r="K82" s="24"/>
      <c r="N82" s="33">
        <f>2.6*3.281</f>
        <v>8.5306000000000015</v>
      </c>
      <c r="O82" s="29">
        <f>N82-1.5</f>
        <v>7.0306000000000015</v>
      </c>
      <c r="P82" s="34"/>
      <c r="Q82" s="34"/>
    </row>
    <row r="83" spans="1:17" x14ac:dyDescent="0.3">
      <c r="A83" s="21"/>
      <c r="B83" s="38"/>
      <c r="C83" s="22">
        <v>2</v>
      </c>
      <c r="D83" s="23">
        <v>4.0389999999999997</v>
      </c>
      <c r="E83" s="24"/>
      <c r="F83" s="24">
        <v>0.35599999999999998</v>
      </c>
      <c r="G83" s="55">
        <f t="shared" si="7"/>
        <v>2.8757679999999994</v>
      </c>
      <c r="H83" s="25"/>
      <c r="I83" s="26"/>
      <c r="J83" s="7"/>
      <c r="K83" s="24"/>
      <c r="N83" s="33"/>
      <c r="O83" s="29"/>
      <c r="P83" s="34"/>
      <c r="Q83" s="34"/>
    </row>
    <row r="84" spans="1:17" x14ac:dyDescent="0.3">
      <c r="A84" s="21"/>
      <c r="B84" s="38"/>
      <c r="C84" s="22">
        <v>2</v>
      </c>
      <c r="D84" s="23">
        <f>D83/2</f>
        <v>2.0194999999999999</v>
      </c>
      <c r="E84" s="24"/>
      <c r="F84" s="24">
        <v>0.86399999999999999</v>
      </c>
      <c r="G84" s="55">
        <f>C84*0.5*D84*F84</f>
        <v>1.744848</v>
      </c>
      <c r="H84" s="25"/>
      <c r="I84" s="26"/>
      <c r="J84" s="7"/>
      <c r="K84" s="24"/>
      <c r="N84" s="33"/>
      <c r="O84" s="29"/>
      <c r="P84" s="34"/>
      <c r="Q84" s="34"/>
    </row>
    <row r="85" spans="1:17" x14ac:dyDescent="0.3">
      <c r="A85" s="21"/>
      <c r="B85" s="39" t="s">
        <v>55</v>
      </c>
      <c r="C85" s="22">
        <v>2</v>
      </c>
      <c r="D85" s="23">
        <v>0.84</v>
      </c>
      <c r="E85" s="24"/>
      <c r="F85" s="24">
        <f>6.5/3.281</f>
        <v>1.9811033221578787</v>
      </c>
      <c r="G85" s="55">
        <f>C85*0.5*D85*F85</f>
        <v>1.664126790612618</v>
      </c>
      <c r="H85" s="25"/>
      <c r="I85" s="26"/>
      <c r="J85" s="7"/>
      <c r="K85" s="24"/>
      <c r="N85" s="33"/>
      <c r="O85" s="29"/>
      <c r="P85" s="34"/>
      <c r="Q85" s="34"/>
    </row>
    <row r="86" spans="1:17" x14ac:dyDescent="0.3">
      <c r="A86" s="21"/>
      <c r="B86" s="38" t="s">
        <v>43</v>
      </c>
      <c r="C86" s="22"/>
      <c r="D86" s="23"/>
      <c r="E86" s="24"/>
      <c r="F86" s="24"/>
      <c r="G86" s="55"/>
      <c r="H86" s="25"/>
      <c r="I86" s="26"/>
      <c r="J86" s="7"/>
      <c r="K86" s="24"/>
      <c r="N86" s="33"/>
      <c r="O86" s="29"/>
      <c r="P86" s="34"/>
      <c r="Q86" s="34"/>
    </row>
    <row r="87" spans="1:17" x14ac:dyDescent="0.3">
      <c r="A87" s="21"/>
      <c r="B87" s="39" t="s">
        <v>44</v>
      </c>
      <c r="C87" s="22">
        <v>1</v>
      </c>
      <c r="D87" s="23">
        <v>6.4</v>
      </c>
      <c r="E87" s="24">
        <f>11.25/3.281</f>
        <v>3.4288326729655592</v>
      </c>
      <c r="F87" s="24"/>
      <c r="G87" s="55">
        <f t="shared" ref="G87" si="8">PRODUCT(C87:F87)</f>
        <v>21.94452910697958</v>
      </c>
      <c r="H87" s="25"/>
      <c r="I87" s="26"/>
      <c r="J87" s="7"/>
      <c r="K87" s="24"/>
      <c r="N87" s="33"/>
      <c r="O87" s="29"/>
      <c r="P87" s="34"/>
      <c r="Q87" s="34"/>
    </row>
    <row r="88" spans="1:17" x14ac:dyDescent="0.3">
      <c r="A88" s="21"/>
      <c r="B88" s="39" t="s">
        <v>55</v>
      </c>
      <c r="C88" s="22">
        <v>1</v>
      </c>
      <c r="D88" s="23">
        <v>0.8</v>
      </c>
      <c r="E88" s="24"/>
      <c r="F88" s="24">
        <f>5.75/3.281</f>
        <v>1.752514477293508</v>
      </c>
      <c r="G88" s="55">
        <f>C88*0.5*D88*F88</f>
        <v>0.70100579091740323</v>
      </c>
      <c r="H88" s="25"/>
      <c r="I88" s="26"/>
      <c r="J88" s="7"/>
      <c r="K88" s="24"/>
      <c r="N88" s="33"/>
      <c r="O88" s="29"/>
      <c r="P88" s="34"/>
      <c r="Q88" s="34"/>
    </row>
    <row r="89" spans="1:17" x14ac:dyDescent="0.3">
      <c r="A89" s="21"/>
      <c r="B89" s="39" t="s">
        <v>36</v>
      </c>
      <c r="C89" s="22"/>
      <c r="D89" s="23"/>
      <c r="E89" s="24"/>
      <c r="F89" s="24"/>
      <c r="G89" s="60">
        <f>SUM(G74:G88)</f>
        <v>319.20323876973481</v>
      </c>
      <c r="H89" s="25" t="s">
        <v>40</v>
      </c>
      <c r="I89" s="26">
        <v>69.87</v>
      </c>
      <c r="J89" s="7">
        <f>G89*I89</f>
        <v>22302.730292841374</v>
      </c>
      <c r="K89" s="24"/>
    </row>
    <row r="90" spans="1:17" x14ac:dyDescent="0.3">
      <c r="A90" s="21"/>
      <c r="B90" s="39"/>
      <c r="C90" s="22"/>
      <c r="D90" s="23"/>
      <c r="E90" s="24"/>
      <c r="F90" s="24"/>
      <c r="G90" s="55"/>
      <c r="H90" s="25"/>
      <c r="I90" s="26"/>
      <c r="J90" s="7"/>
      <c r="K90" s="24"/>
    </row>
    <row r="91" spans="1:17" ht="30" hidden="1" x14ac:dyDescent="0.3">
      <c r="A91" s="21">
        <v>3</v>
      </c>
      <c r="B91" s="36" t="s">
        <v>45</v>
      </c>
      <c r="C91" s="22"/>
      <c r="D91" s="23"/>
      <c r="E91" s="24"/>
      <c r="F91" s="24"/>
      <c r="G91" s="55"/>
      <c r="H91" s="25"/>
      <c r="I91" s="26"/>
      <c r="J91" s="7"/>
      <c r="K91" s="24"/>
    </row>
    <row r="92" spans="1:17" hidden="1" x14ac:dyDescent="0.3">
      <c r="A92" s="9"/>
      <c r="B92" s="39" t="s">
        <v>43</v>
      </c>
      <c r="C92" s="8">
        <v>1</v>
      </c>
      <c r="D92" s="6">
        <f>(46+9+9)/12/3.281</f>
        <v>1.6255206745910797</v>
      </c>
      <c r="E92" s="6">
        <f>2</f>
        <v>2</v>
      </c>
      <c r="F92" s="6">
        <v>0.05</v>
      </c>
      <c r="G92" s="55">
        <f t="shared" ref="G92:G94" si="9">PRODUCT(C92:F92)</f>
        <v>0.162552067459108</v>
      </c>
      <c r="H92" s="7"/>
      <c r="I92" s="7"/>
      <c r="J92" s="7"/>
      <c r="K92" s="4"/>
      <c r="M92" s="29"/>
      <c r="N92">
        <f>0.78+0.78+(14)/12/3.281</f>
        <v>1.9155826475667987</v>
      </c>
      <c r="O92">
        <f>N92*3.281</f>
        <v>6.285026666666667</v>
      </c>
    </row>
    <row r="93" spans="1:17" hidden="1" x14ac:dyDescent="0.3">
      <c r="A93" s="9"/>
      <c r="B93" s="39" t="s">
        <v>57</v>
      </c>
      <c r="C93" s="8">
        <v>1</v>
      </c>
      <c r="D93" s="6">
        <f>2.11+0.15</f>
        <v>2.2599999999999998</v>
      </c>
      <c r="E93" s="6">
        <f>2.01+0.15</f>
        <v>2.1599999999999997</v>
      </c>
      <c r="F93" s="6">
        <v>0.1</v>
      </c>
      <c r="G93" s="55">
        <f t="shared" si="9"/>
        <v>0.48815999999999993</v>
      </c>
      <c r="H93" s="7"/>
      <c r="I93" s="7"/>
      <c r="J93" s="7"/>
      <c r="K93" s="4"/>
      <c r="M93" s="29"/>
    </row>
    <row r="94" spans="1:17" hidden="1" x14ac:dyDescent="0.3">
      <c r="A94" s="9"/>
      <c r="B94" s="39" t="s">
        <v>58</v>
      </c>
      <c r="C94" s="8">
        <v>4</v>
      </c>
      <c r="D94" s="6">
        <f>((1.5+5.25)/2)/3.281</f>
        <v>1.0286498018896677</v>
      </c>
      <c r="E94" s="6">
        <f>2.5/3.281</f>
        <v>0.76196281621456874</v>
      </c>
      <c r="F94" s="6">
        <v>0.05</v>
      </c>
      <c r="G94" s="55">
        <f t="shared" si="9"/>
        <v>0.15675857998928189</v>
      </c>
      <c r="H94" s="7"/>
      <c r="I94" s="7"/>
      <c r="J94" s="7"/>
      <c r="K94" s="4"/>
      <c r="M94" s="29"/>
    </row>
    <row r="95" spans="1:17" hidden="1" x14ac:dyDescent="0.3">
      <c r="A95" s="21"/>
      <c r="B95" s="39" t="s">
        <v>36</v>
      </c>
      <c r="C95" s="22"/>
      <c r="D95" s="23"/>
      <c r="E95" s="24"/>
      <c r="F95" s="24"/>
      <c r="G95" s="60">
        <f>0*SUM(G92:G94)</f>
        <v>0</v>
      </c>
      <c r="H95" s="25" t="s">
        <v>40</v>
      </c>
      <c r="I95" s="26">
        <v>3680</v>
      </c>
      <c r="J95" s="7">
        <f>G95*I95</f>
        <v>0</v>
      </c>
      <c r="K95" s="24"/>
    </row>
    <row r="96" spans="1:17" hidden="1" x14ac:dyDescent="0.3">
      <c r="A96" s="21"/>
      <c r="B96" s="39"/>
      <c r="C96" s="22"/>
      <c r="D96" s="23"/>
      <c r="E96" s="24"/>
      <c r="F96" s="24"/>
      <c r="G96" s="55"/>
      <c r="H96" s="25"/>
      <c r="I96" s="26"/>
      <c r="J96" s="7"/>
      <c r="K96" s="24"/>
    </row>
    <row r="97" spans="1:15" ht="41.4" x14ac:dyDescent="0.3">
      <c r="A97" s="21">
        <v>4</v>
      </c>
      <c r="B97" s="44" t="s">
        <v>60</v>
      </c>
      <c r="C97" s="22" t="s">
        <v>7</v>
      </c>
      <c r="D97" s="45" t="s">
        <v>61</v>
      </c>
      <c r="E97" s="46" t="s">
        <v>63</v>
      </c>
      <c r="F97" s="46" t="s">
        <v>62</v>
      </c>
      <c r="G97" s="46"/>
      <c r="H97" s="25"/>
      <c r="I97" s="26"/>
      <c r="J97" s="7"/>
      <c r="K97" s="24"/>
    </row>
    <row r="98" spans="1:15" x14ac:dyDescent="0.3">
      <c r="A98" s="21"/>
      <c r="B98" s="38" t="s">
        <v>38</v>
      </c>
      <c r="C98" s="22"/>
      <c r="D98" s="23"/>
      <c r="E98" s="24"/>
      <c r="F98" s="24"/>
      <c r="G98" s="55"/>
      <c r="H98" s="25"/>
      <c r="I98" s="26"/>
      <c r="J98" s="7"/>
      <c r="K98" s="24"/>
    </row>
    <row r="99" spans="1:15" x14ac:dyDescent="0.3">
      <c r="A99" s="9"/>
      <c r="B99" s="39" t="s">
        <v>64</v>
      </c>
      <c r="C99" s="8"/>
      <c r="D99" s="6"/>
      <c r="E99" s="6"/>
      <c r="F99" s="6"/>
      <c r="G99" s="55"/>
      <c r="H99" s="7"/>
      <c r="I99" s="7"/>
      <c r="J99" s="7"/>
      <c r="K99" s="4"/>
      <c r="M99" s="29"/>
    </row>
    <row r="100" spans="1:15" ht="28.2" x14ac:dyDescent="0.3">
      <c r="A100" s="9"/>
      <c r="B100" s="39" t="s">
        <v>67</v>
      </c>
      <c r="C100" s="8">
        <f>2*5</f>
        <v>10</v>
      </c>
      <c r="D100" s="6">
        <f>10.5/3.281</f>
        <v>3.2002438281011885</v>
      </c>
      <c r="E100" s="6">
        <v>2.46</v>
      </c>
      <c r="F100" s="6">
        <f>PRODUCT(C100:E100)</f>
        <v>78.725998171289234</v>
      </c>
      <c r="G100" s="55">
        <f>F100/1000</f>
        <v>7.8725998171289238E-2</v>
      </c>
      <c r="H100" s="7"/>
      <c r="I100" s="7"/>
      <c r="J100" s="7"/>
      <c r="K100" s="4"/>
      <c r="M100" s="29"/>
    </row>
    <row r="101" spans="1:15" ht="28.2" x14ac:dyDescent="0.3">
      <c r="A101" s="9"/>
      <c r="B101" s="39" t="s">
        <v>65</v>
      </c>
      <c r="C101" s="8">
        <f>2*5</f>
        <v>10</v>
      </c>
      <c r="D101" s="6">
        <f>4/3.281</f>
        <v>1.2191405059433098</v>
      </c>
      <c r="E101" s="6">
        <v>1.92</v>
      </c>
      <c r="F101" s="6">
        <f t="shared" ref="F101:F108" si="10">PRODUCT(C101:E101)</f>
        <v>23.407497714111546</v>
      </c>
      <c r="G101" s="55">
        <f t="shared" ref="G101:G149" si="11">F101/1000</f>
        <v>2.3407497714111547E-2</v>
      </c>
      <c r="H101" s="7"/>
      <c r="I101" s="7"/>
      <c r="J101" s="7"/>
      <c r="K101" s="4"/>
      <c r="M101" s="29"/>
    </row>
    <row r="102" spans="1:15" ht="28.2" x14ac:dyDescent="0.3">
      <c r="A102" s="9"/>
      <c r="B102" s="39" t="s">
        <v>66</v>
      </c>
      <c r="C102" s="8">
        <f>2*5</f>
        <v>10</v>
      </c>
      <c r="D102" s="6">
        <f>1.5/3.281</f>
        <v>0.45717768972874123</v>
      </c>
      <c r="E102" s="6">
        <v>1.5</v>
      </c>
      <c r="F102" s="6">
        <f t="shared" si="10"/>
        <v>6.8576653459311183</v>
      </c>
      <c r="G102" s="55">
        <f t="shared" si="11"/>
        <v>6.8576653459311186E-3</v>
      </c>
      <c r="H102" s="7"/>
      <c r="I102" s="7"/>
      <c r="J102" s="7"/>
      <c r="K102" s="47"/>
      <c r="M102" s="29"/>
    </row>
    <row r="103" spans="1:15" ht="28.2" x14ac:dyDescent="0.3">
      <c r="A103" s="9"/>
      <c r="B103" s="39" t="s">
        <v>68</v>
      </c>
      <c r="C103" s="8">
        <f>2*5</f>
        <v>10</v>
      </c>
      <c r="D103" s="6">
        <v>4.7450000000000001</v>
      </c>
      <c r="E103" s="6">
        <v>2.46</v>
      </c>
      <c r="F103" s="6">
        <f t="shared" si="10"/>
        <v>116.727</v>
      </c>
      <c r="G103" s="55">
        <f t="shared" si="11"/>
        <v>0.116727</v>
      </c>
      <c r="H103" s="7"/>
      <c r="I103" s="7"/>
      <c r="J103" s="7"/>
      <c r="K103" s="47"/>
      <c r="M103" s="29"/>
    </row>
    <row r="104" spans="1:15" ht="28.2" x14ac:dyDescent="0.3">
      <c r="A104" s="9"/>
      <c r="B104" s="39" t="s">
        <v>69</v>
      </c>
      <c r="C104" s="8">
        <v>2</v>
      </c>
      <c r="D104" s="6">
        <v>14.147</v>
      </c>
      <c r="E104" s="6">
        <v>1.92</v>
      </c>
      <c r="F104" s="6">
        <f t="shared" si="10"/>
        <v>54.324480000000001</v>
      </c>
      <c r="G104" s="55">
        <f t="shared" si="11"/>
        <v>5.4324480000000001E-2</v>
      </c>
      <c r="H104" s="7"/>
      <c r="I104" s="7"/>
      <c r="J104" s="7"/>
      <c r="K104" s="4"/>
      <c r="M104" s="29"/>
    </row>
    <row r="105" spans="1:15" x14ac:dyDescent="0.3">
      <c r="A105" s="9"/>
      <c r="B105" s="39" t="s">
        <v>70</v>
      </c>
      <c r="C105" s="8">
        <v>8</v>
      </c>
      <c r="D105" s="6">
        <v>14.4</v>
      </c>
      <c r="E105" s="6">
        <v>3.56</v>
      </c>
      <c r="F105" s="6">
        <f t="shared" si="10"/>
        <v>410.11200000000002</v>
      </c>
      <c r="G105" s="55">
        <f t="shared" si="11"/>
        <v>0.41011200000000003</v>
      </c>
      <c r="H105" s="7"/>
      <c r="I105" s="7"/>
      <c r="J105" s="7"/>
      <c r="K105" s="47"/>
      <c r="M105" s="29"/>
      <c r="O105">
        <f>3.6+5*0.05-0.05</f>
        <v>3.8000000000000003</v>
      </c>
    </row>
    <row r="106" spans="1:15" x14ac:dyDescent="0.3">
      <c r="A106" s="9"/>
      <c r="B106" s="39" t="s">
        <v>71</v>
      </c>
      <c r="C106" s="8"/>
      <c r="D106" s="6"/>
      <c r="E106" s="6"/>
      <c r="F106" s="6"/>
      <c r="G106" s="55"/>
      <c r="H106" s="7"/>
      <c r="I106" s="7"/>
      <c r="J106" s="7"/>
      <c r="K106" s="47"/>
      <c r="M106" s="29"/>
    </row>
    <row r="107" spans="1:15" x14ac:dyDescent="0.3">
      <c r="A107" s="9"/>
      <c r="B107" s="39" t="s">
        <v>72</v>
      </c>
      <c r="C107" s="8">
        <f>2*7</f>
        <v>14</v>
      </c>
      <c r="D107" s="6">
        <v>2.375</v>
      </c>
      <c r="E107" s="6">
        <f>12*12/162</f>
        <v>0.88888888888888884</v>
      </c>
      <c r="F107" s="6">
        <f t="shared" si="10"/>
        <v>29.555555555555554</v>
      </c>
      <c r="G107" s="55">
        <f t="shared" si="11"/>
        <v>2.9555555555555554E-2</v>
      </c>
      <c r="H107" s="7"/>
      <c r="I107" s="7"/>
      <c r="J107" s="7"/>
      <c r="K107" s="47"/>
      <c r="M107" s="29"/>
    </row>
    <row r="108" spans="1:15" x14ac:dyDescent="0.3">
      <c r="A108" s="9"/>
      <c r="B108" s="39" t="s">
        <v>73</v>
      </c>
      <c r="C108" s="8">
        <f>2*9</f>
        <v>18</v>
      </c>
      <c r="D108" s="6">
        <v>1.2</v>
      </c>
      <c r="E108" s="6">
        <f>12*12/162</f>
        <v>0.88888888888888884</v>
      </c>
      <c r="F108" s="6">
        <f t="shared" si="10"/>
        <v>19.199999999999996</v>
      </c>
      <c r="G108" s="55">
        <f t="shared" si="11"/>
        <v>1.9199999999999995E-2</v>
      </c>
      <c r="H108" s="7"/>
      <c r="I108" s="7"/>
      <c r="J108" s="7"/>
      <c r="K108" s="47"/>
      <c r="M108" s="29"/>
    </row>
    <row r="109" spans="1:15" x14ac:dyDescent="0.3">
      <c r="A109" s="9"/>
      <c r="B109" s="39" t="s">
        <v>74</v>
      </c>
      <c r="C109" s="8"/>
      <c r="D109" s="6"/>
      <c r="E109" s="6"/>
      <c r="F109" s="6"/>
      <c r="G109" s="55"/>
      <c r="H109" s="7"/>
      <c r="I109" s="7"/>
      <c r="J109" s="7"/>
      <c r="K109" s="47"/>
      <c r="M109" s="29"/>
    </row>
    <row r="110" spans="1:15" x14ac:dyDescent="0.3">
      <c r="A110" s="9"/>
      <c r="B110" s="39" t="s">
        <v>72</v>
      </c>
      <c r="C110" s="8">
        <f>10*3</f>
        <v>30</v>
      </c>
      <c r="D110" s="6">
        <v>2.375</v>
      </c>
      <c r="E110" s="6">
        <f>6*6/162</f>
        <v>0.22222222222222221</v>
      </c>
      <c r="F110" s="6">
        <f t="shared" ref="F110:F114" si="12">PRODUCT(C110:E110)</f>
        <v>15.833333333333332</v>
      </c>
      <c r="G110" s="55">
        <f t="shared" si="11"/>
        <v>1.5833333333333331E-2</v>
      </c>
      <c r="H110" s="7"/>
      <c r="I110" s="7"/>
      <c r="J110" s="7"/>
      <c r="K110" s="47"/>
      <c r="M110" s="29"/>
    </row>
    <row r="111" spans="1:15" x14ac:dyDescent="0.3">
      <c r="A111" s="9"/>
      <c r="B111" s="39"/>
      <c r="C111" s="8">
        <f>10*4</f>
        <v>40</v>
      </c>
      <c r="D111" s="6">
        <v>2.375</v>
      </c>
      <c r="E111" s="6">
        <f>12*12/162</f>
        <v>0.88888888888888884</v>
      </c>
      <c r="F111" s="6">
        <f t="shared" si="12"/>
        <v>84.444444444444443</v>
      </c>
      <c r="G111" s="55">
        <f t="shared" si="11"/>
        <v>8.4444444444444447E-2</v>
      </c>
      <c r="H111" s="7"/>
      <c r="I111" s="7"/>
      <c r="J111" s="7"/>
      <c r="K111" s="47"/>
      <c r="M111" s="29"/>
    </row>
    <row r="112" spans="1:15" x14ac:dyDescent="0.3">
      <c r="A112" s="9"/>
      <c r="B112" s="39" t="s">
        <v>73</v>
      </c>
      <c r="C112" s="8">
        <f>10*2</f>
        <v>20</v>
      </c>
      <c r="D112" s="6">
        <v>1.2</v>
      </c>
      <c r="E112" s="6">
        <f>8*8/162</f>
        <v>0.39506172839506171</v>
      </c>
      <c r="F112" s="6">
        <f t="shared" si="12"/>
        <v>9.481481481481481</v>
      </c>
      <c r="G112" s="55">
        <f t="shared" si="11"/>
        <v>9.4814814814814814E-3</v>
      </c>
      <c r="H112" s="7"/>
      <c r="I112" s="7"/>
      <c r="J112" s="7"/>
      <c r="K112" s="47"/>
      <c r="M112" s="29"/>
    </row>
    <row r="113" spans="1:13" x14ac:dyDescent="0.3">
      <c r="A113" s="9"/>
      <c r="B113" s="39"/>
      <c r="C113" s="8">
        <f>10*1</f>
        <v>10</v>
      </c>
      <c r="D113" s="6">
        <v>1.2</v>
      </c>
      <c r="E113" s="6">
        <f>12*12/162</f>
        <v>0.88888888888888884</v>
      </c>
      <c r="F113" s="6">
        <f t="shared" si="12"/>
        <v>10.666666666666666</v>
      </c>
      <c r="G113" s="55">
        <f t="shared" si="11"/>
        <v>1.0666666666666666E-2</v>
      </c>
      <c r="H113" s="7"/>
      <c r="I113" s="7"/>
      <c r="J113" s="7"/>
      <c r="K113" s="47"/>
      <c r="M113" s="29"/>
    </row>
    <row r="114" spans="1:13" x14ac:dyDescent="0.3">
      <c r="A114" s="9"/>
      <c r="B114" s="39" t="s">
        <v>75</v>
      </c>
      <c r="C114" s="8">
        <f>8*8</f>
        <v>64</v>
      </c>
      <c r="D114" s="6">
        <v>0.49</v>
      </c>
      <c r="E114" s="6">
        <f>8*8/162</f>
        <v>0.39506172839506171</v>
      </c>
      <c r="F114" s="6">
        <f t="shared" si="12"/>
        <v>12.389135802469134</v>
      </c>
      <c r="G114" s="55">
        <f t="shared" si="11"/>
        <v>1.2389135802469134E-2</v>
      </c>
      <c r="H114" s="7"/>
      <c r="I114" s="7"/>
      <c r="J114" s="7"/>
      <c r="K114" s="47"/>
      <c r="M114" s="29"/>
    </row>
    <row r="115" spans="1:13" ht="28.2" x14ac:dyDescent="0.3">
      <c r="A115" s="9"/>
      <c r="B115" s="39" t="s">
        <v>76</v>
      </c>
      <c r="C115" s="8"/>
      <c r="D115" s="6"/>
      <c r="E115" s="6"/>
      <c r="F115" s="6"/>
      <c r="G115" s="55"/>
      <c r="H115" s="7"/>
      <c r="I115" s="7"/>
      <c r="J115" s="7"/>
      <c r="K115" s="47"/>
      <c r="M115" s="29"/>
    </row>
    <row r="116" spans="1:13" x14ac:dyDescent="0.3">
      <c r="A116" s="9"/>
      <c r="B116" s="39" t="s">
        <v>78</v>
      </c>
      <c r="C116" s="8">
        <f>4*2+2*10</f>
        <v>28</v>
      </c>
      <c r="D116" s="6">
        <v>1.2</v>
      </c>
      <c r="E116" s="6">
        <v>2.1</v>
      </c>
      <c r="F116" s="6">
        <f t="shared" ref="F116:F117" si="13">PRODUCT(C116:E116)</f>
        <v>70.56</v>
      </c>
      <c r="G116" s="55">
        <f t="shared" si="11"/>
        <v>7.0559999999999998E-2</v>
      </c>
      <c r="H116" s="7"/>
      <c r="I116" s="7"/>
      <c r="J116" s="7"/>
      <c r="K116" s="47"/>
      <c r="M116" s="29"/>
    </row>
    <row r="117" spans="1:13" x14ac:dyDescent="0.3">
      <c r="A117" s="9"/>
      <c r="B117" s="39" t="s">
        <v>77</v>
      </c>
      <c r="C117" s="8">
        <f>10*2+4*2</f>
        <v>28</v>
      </c>
      <c r="D117" s="6">
        <v>0.83799999999999997</v>
      </c>
      <c r="E117" s="6">
        <v>2.1</v>
      </c>
      <c r="F117" s="6">
        <f t="shared" si="13"/>
        <v>49.2744</v>
      </c>
      <c r="G117" s="55">
        <f t="shared" si="11"/>
        <v>4.9274400000000003E-2</v>
      </c>
      <c r="H117" s="7"/>
      <c r="I117" s="7"/>
      <c r="J117" s="7"/>
      <c r="K117" s="47"/>
      <c r="M117" s="29"/>
    </row>
    <row r="118" spans="1:13" x14ac:dyDescent="0.3">
      <c r="A118" s="9"/>
      <c r="B118" s="39" t="s">
        <v>92</v>
      </c>
      <c r="C118" s="8"/>
      <c r="D118" s="6"/>
      <c r="E118" s="6"/>
      <c r="F118" s="6"/>
      <c r="G118" s="55"/>
      <c r="H118" s="7"/>
      <c r="I118" s="7"/>
      <c r="J118" s="7"/>
      <c r="K118" s="47"/>
      <c r="M118" s="29"/>
    </row>
    <row r="119" spans="1:13" x14ac:dyDescent="0.3">
      <c r="A119" s="9"/>
      <c r="B119" s="39" t="s">
        <v>78</v>
      </c>
      <c r="C119" s="8">
        <f>2*2</f>
        <v>4</v>
      </c>
      <c r="D119" s="6">
        <f>1.2+3.5/3.281</f>
        <v>2.266747942700396</v>
      </c>
      <c r="E119" s="6">
        <v>2.1</v>
      </c>
      <c r="F119" s="6">
        <f t="shared" ref="F119:F120" si="14">PRODUCT(C119:E119)</f>
        <v>19.040682718683328</v>
      </c>
      <c r="G119" s="55">
        <f t="shared" si="11"/>
        <v>1.9040682718683328E-2</v>
      </c>
      <c r="H119" s="7"/>
      <c r="I119" s="7"/>
      <c r="J119" s="7"/>
      <c r="K119" s="47"/>
      <c r="M119" s="29"/>
    </row>
    <row r="120" spans="1:13" x14ac:dyDescent="0.3">
      <c r="A120" s="9"/>
      <c r="B120" s="39" t="s">
        <v>77</v>
      </c>
      <c r="C120" s="8">
        <f>2*2</f>
        <v>4</v>
      </c>
      <c r="D120" s="6">
        <v>0.83799999999999997</v>
      </c>
      <c r="E120" s="6">
        <v>2.1</v>
      </c>
      <c r="F120" s="6">
        <f t="shared" si="14"/>
        <v>7.0392000000000001</v>
      </c>
      <c r="G120" s="55">
        <f t="shared" si="11"/>
        <v>7.0391999999999998E-3</v>
      </c>
      <c r="H120" s="7"/>
      <c r="I120" s="7"/>
      <c r="J120" s="7"/>
      <c r="K120" s="47"/>
      <c r="M120" s="29"/>
    </row>
    <row r="121" spans="1:13" ht="28.2" x14ac:dyDescent="0.3">
      <c r="A121" s="9"/>
      <c r="B121" s="39" t="s">
        <v>79</v>
      </c>
      <c r="C121" s="8"/>
      <c r="D121" s="6"/>
      <c r="E121" s="6"/>
      <c r="F121" s="6"/>
      <c r="G121" s="55"/>
      <c r="H121" s="7"/>
      <c r="I121" s="7"/>
      <c r="J121" s="7"/>
      <c r="K121" s="47"/>
      <c r="M121" s="29"/>
    </row>
    <row r="122" spans="1:13" x14ac:dyDescent="0.3">
      <c r="A122" s="9"/>
      <c r="B122" s="39" t="s">
        <v>78</v>
      </c>
      <c r="C122" s="8">
        <f>4*8</f>
        <v>32</v>
      </c>
      <c r="D122" s="6">
        <v>0.49</v>
      </c>
      <c r="E122" s="6">
        <v>2.1</v>
      </c>
      <c r="F122" s="6">
        <f t="shared" ref="F122:F127" si="15">PRODUCT(C122:E122)</f>
        <v>32.927999999999997</v>
      </c>
      <c r="G122" s="55">
        <f t="shared" si="11"/>
        <v>3.2927999999999999E-2</v>
      </c>
      <c r="H122" s="7"/>
      <c r="I122" s="7"/>
      <c r="J122" s="7"/>
      <c r="K122" s="47"/>
      <c r="M122" s="29"/>
    </row>
    <row r="123" spans="1:13" x14ac:dyDescent="0.3">
      <c r="A123" s="9"/>
      <c r="B123" s="39" t="s">
        <v>77</v>
      </c>
      <c r="C123" s="8">
        <f>2*2</f>
        <v>4</v>
      </c>
      <c r="D123" s="6">
        <v>2.3780000000000001</v>
      </c>
      <c r="E123" s="6">
        <v>2.1</v>
      </c>
      <c r="F123" s="6">
        <f t="shared" si="15"/>
        <v>19.975200000000001</v>
      </c>
      <c r="G123" s="55">
        <f t="shared" si="11"/>
        <v>1.9975200000000002E-2</v>
      </c>
      <c r="H123" s="7"/>
      <c r="I123" s="7"/>
      <c r="J123" s="7"/>
      <c r="K123" s="47"/>
      <c r="M123" s="29"/>
    </row>
    <row r="124" spans="1:13" x14ac:dyDescent="0.3">
      <c r="A124" s="9"/>
      <c r="B124" s="39"/>
      <c r="C124" s="8">
        <f t="shared" ref="C124:C126" si="16">2*2</f>
        <v>4</v>
      </c>
      <c r="D124" s="6">
        <v>2.3410000000000002</v>
      </c>
      <c r="E124" s="6">
        <v>2.1</v>
      </c>
      <c r="F124" s="6">
        <f t="shared" si="15"/>
        <v>19.664400000000004</v>
      </c>
      <c r="G124" s="55">
        <f t="shared" si="11"/>
        <v>1.9664400000000005E-2</v>
      </c>
      <c r="H124" s="7"/>
      <c r="I124" s="7"/>
      <c r="J124" s="7"/>
      <c r="K124" s="47"/>
      <c r="M124" s="29"/>
    </row>
    <row r="125" spans="1:13" x14ac:dyDescent="0.3">
      <c r="A125" s="9"/>
      <c r="B125" s="39"/>
      <c r="C125" s="8">
        <f t="shared" si="16"/>
        <v>4</v>
      </c>
      <c r="D125" s="6">
        <v>2.3370000000000002</v>
      </c>
      <c r="E125" s="6">
        <v>2.1</v>
      </c>
      <c r="F125" s="6">
        <f t="shared" si="15"/>
        <v>19.630800000000001</v>
      </c>
      <c r="G125" s="55">
        <f t="shared" si="11"/>
        <v>1.96308E-2</v>
      </c>
      <c r="H125" s="7"/>
      <c r="I125" s="7"/>
      <c r="J125" s="7"/>
      <c r="K125" s="47"/>
      <c r="M125" s="29"/>
    </row>
    <row r="126" spans="1:13" x14ac:dyDescent="0.3">
      <c r="A126" s="9"/>
      <c r="B126" s="39"/>
      <c r="C126" s="8">
        <f t="shared" si="16"/>
        <v>4</v>
      </c>
      <c r="D126" s="6">
        <v>2.3460000000000001</v>
      </c>
      <c r="E126" s="6">
        <v>2.1</v>
      </c>
      <c r="F126" s="6">
        <f t="shared" si="15"/>
        <v>19.706400000000002</v>
      </c>
      <c r="G126" s="55">
        <f t="shared" si="11"/>
        <v>1.9706400000000002E-2</v>
      </c>
      <c r="H126" s="7"/>
      <c r="I126" s="7"/>
      <c r="J126" s="7"/>
      <c r="K126" s="47"/>
      <c r="M126" s="29"/>
    </row>
    <row r="127" spans="1:13" ht="28.2" x14ac:dyDescent="0.3">
      <c r="A127" s="9"/>
      <c r="B127" s="39" t="s">
        <v>91</v>
      </c>
      <c r="C127" s="8">
        <v>1</v>
      </c>
      <c r="D127" s="6">
        <v>14.4</v>
      </c>
      <c r="E127" s="6">
        <v>4.18</v>
      </c>
      <c r="F127" s="6">
        <f t="shared" si="15"/>
        <v>60.192</v>
      </c>
      <c r="G127" s="55">
        <f t="shared" si="11"/>
        <v>6.0192000000000002E-2</v>
      </c>
      <c r="H127" s="7"/>
      <c r="I127" s="7"/>
      <c r="J127" s="7"/>
      <c r="K127" s="47"/>
      <c r="M127" s="29"/>
    </row>
    <row r="128" spans="1:13" x14ac:dyDescent="0.3">
      <c r="A128" s="9"/>
      <c r="B128" s="38" t="s">
        <v>80</v>
      </c>
      <c r="C128" s="8"/>
      <c r="D128" s="6"/>
      <c r="E128" s="6"/>
      <c r="F128" s="6"/>
      <c r="G128" s="55"/>
      <c r="H128" s="7"/>
      <c r="I128" s="7"/>
      <c r="J128" s="7"/>
      <c r="K128" s="47"/>
      <c r="M128" s="29"/>
    </row>
    <row r="129" spans="1:13" ht="28.2" x14ac:dyDescent="0.3">
      <c r="A129" s="9"/>
      <c r="B129" s="39" t="s">
        <v>76</v>
      </c>
      <c r="C129" s="8"/>
      <c r="D129" s="6"/>
      <c r="E129" s="6"/>
      <c r="F129" s="6"/>
      <c r="G129" s="55"/>
      <c r="H129" s="7"/>
      <c r="I129" s="7"/>
      <c r="J129" s="7"/>
      <c r="K129" s="47"/>
      <c r="M129" s="29"/>
    </row>
    <row r="130" spans="1:13" x14ac:dyDescent="0.3">
      <c r="A130" s="9"/>
      <c r="B130" s="39" t="s">
        <v>78</v>
      </c>
      <c r="C130" s="8">
        <f>14*2</f>
        <v>28</v>
      </c>
      <c r="D130" s="6">
        <v>1.2</v>
      </c>
      <c r="E130" s="6">
        <v>2.1</v>
      </c>
      <c r="F130" s="6">
        <f t="shared" ref="F130:F131" si="17">PRODUCT(C130:E130)</f>
        <v>70.56</v>
      </c>
      <c r="G130" s="55">
        <f t="shared" si="11"/>
        <v>7.0559999999999998E-2</v>
      </c>
      <c r="H130" s="7"/>
      <c r="I130" s="7"/>
      <c r="J130" s="7"/>
      <c r="K130" s="47"/>
      <c r="M130" s="29"/>
    </row>
    <row r="131" spans="1:13" x14ac:dyDescent="0.3">
      <c r="A131" s="9"/>
      <c r="B131" s="39" t="s">
        <v>77</v>
      </c>
      <c r="C131" s="8">
        <f>14*2</f>
        <v>28</v>
      </c>
      <c r="D131" s="6">
        <v>0.83799999999999997</v>
      </c>
      <c r="E131" s="6">
        <v>2.1</v>
      </c>
      <c r="F131" s="6">
        <f t="shared" si="17"/>
        <v>49.2744</v>
      </c>
      <c r="G131" s="55">
        <f t="shared" si="11"/>
        <v>4.9274400000000003E-2</v>
      </c>
      <c r="H131" s="7"/>
      <c r="I131" s="7"/>
      <c r="J131" s="7"/>
      <c r="K131" s="47"/>
      <c r="M131" s="29"/>
    </row>
    <row r="132" spans="1:13" x14ac:dyDescent="0.3">
      <c r="A132" s="9"/>
      <c r="B132" s="39" t="s">
        <v>92</v>
      </c>
      <c r="C132" s="8"/>
      <c r="D132" s="6"/>
      <c r="E132" s="6"/>
      <c r="F132" s="6"/>
      <c r="G132" s="55"/>
      <c r="H132" s="7"/>
      <c r="I132" s="7"/>
      <c r="J132" s="7"/>
      <c r="K132" s="47"/>
      <c r="M132" s="29"/>
    </row>
    <row r="133" spans="1:13" x14ac:dyDescent="0.3">
      <c r="A133" s="9"/>
      <c r="B133" s="39" t="s">
        <v>78</v>
      </c>
      <c r="C133" s="8">
        <f>2*2</f>
        <v>4</v>
      </c>
      <c r="D133" s="6">
        <f>6.5/3.281</f>
        <v>1.9811033221578787</v>
      </c>
      <c r="E133" s="6">
        <v>2.1</v>
      </c>
      <c r="F133" s="6">
        <f t="shared" ref="F133:F134" si="18">PRODUCT(C133:E133)</f>
        <v>16.641267906126181</v>
      </c>
      <c r="G133" s="55">
        <f t="shared" si="11"/>
        <v>1.6641267906126182E-2</v>
      </c>
      <c r="H133" s="7"/>
      <c r="I133" s="7"/>
      <c r="J133" s="7"/>
      <c r="K133" s="47"/>
      <c r="M133" s="29"/>
    </row>
    <row r="134" spans="1:13" x14ac:dyDescent="0.3">
      <c r="A134" s="9"/>
      <c r="B134" s="39" t="s">
        <v>77</v>
      </c>
      <c r="C134" s="8">
        <f>2*2</f>
        <v>4</v>
      </c>
      <c r="D134" s="6">
        <v>0.83799999999999997</v>
      </c>
      <c r="E134" s="6">
        <v>2.1</v>
      </c>
      <c r="F134" s="6">
        <f t="shared" si="18"/>
        <v>7.0392000000000001</v>
      </c>
      <c r="G134" s="55">
        <f t="shared" si="11"/>
        <v>7.0391999999999998E-3</v>
      </c>
      <c r="H134" s="7"/>
      <c r="I134" s="7"/>
      <c r="J134" s="7"/>
      <c r="K134" s="47"/>
      <c r="M134" s="29"/>
    </row>
    <row r="135" spans="1:13" x14ac:dyDescent="0.3">
      <c r="A135" s="9"/>
      <c r="B135" s="39" t="s">
        <v>81</v>
      </c>
      <c r="C135" s="8"/>
      <c r="D135" s="6"/>
      <c r="E135" s="6"/>
      <c r="F135" s="6"/>
      <c r="G135" s="55"/>
      <c r="H135" s="7"/>
      <c r="I135" s="7"/>
      <c r="J135" s="7"/>
      <c r="K135" s="47"/>
      <c r="M135" s="29"/>
    </row>
    <row r="136" spans="1:13" x14ac:dyDescent="0.3">
      <c r="A136" s="9"/>
      <c r="B136" s="39" t="s">
        <v>72</v>
      </c>
      <c r="C136" s="8">
        <f>14*6</f>
        <v>84</v>
      </c>
      <c r="D136" s="6">
        <v>0.83799999999999997</v>
      </c>
      <c r="E136" s="6">
        <f>7*7/162</f>
        <v>0.30246913580246915</v>
      </c>
      <c r="F136" s="6">
        <f t="shared" ref="F136:F137" si="19">PRODUCT(C136:E136)</f>
        <v>21.291407407407409</v>
      </c>
      <c r="G136" s="55">
        <f t="shared" si="11"/>
        <v>2.1291407407407408E-2</v>
      </c>
      <c r="H136" s="7"/>
      <c r="I136" s="7"/>
      <c r="J136" s="7"/>
      <c r="K136" s="47"/>
      <c r="M136" s="29"/>
    </row>
    <row r="137" spans="1:13" x14ac:dyDescent="0.3">
      <c r="A137" s="9"/>
      <c r="B137" s="39" t="s">
        <v>73</v>
      </c>
      <c r="C137" s="8">
        <f>14*5</f>
        <v>70</v>
      </c>
      <c r="D137" s="6">
        <v>1.2</v>
      </c>
      <c r="E137" s="6">
        <f>10*10/162</f>
        <v>0.61728395061728392</v>
      </c>
      <c r="F137" s="6">
        <f t="shared" si="19"/>
        <v>51.851851851851848</v>
      </c>
      <c r="G137" s="55">
        <f t="shared" si="11"/>
        <v>5.185185185185185E-2</v>
      </c>
      <c r="H137" s="7"/>
      <c r="I137" s="7"/>
      <c r="J137" s="7"/>
      <c r="K137" s="47"/>
      <c r="M137" s="29"/>
    </row>
    <row r="138" spans="1:13" ht="28.2" x14ac:dyDescent="0.3">
      <c r="A138" s="9"/>
      <c r="B138" s="39" t="s">
        <v>79</v>
      </c>
      <c r="C138" s="8"/>
      <c r="D138" s="6"/>
      <c r="E138" s="6"/>
      <c r="F138" s="6"/>
      <c r="G138" s="55"/>
      <c r="H138" s="7"/>
      <c r="I138" s="7"/>
      <c r="J138" s="7"/>
      <c r="K138" s="47"/>
      <c r="M138" s="29"/>
    </row>
    <row r="139" spans="1:13" x14ac:dyDescent="0.3">
      <c r="A139" s="9"/>
      <c r="B139" s="39" t="s">
        <v>78</v>
      </c>
      <c r="C139" s="8">
        <f>8*2*2</f>
        <v>32</v>
      </c>
      <c r="D139" s="6">
        <v>0.3</v>
      </c>
      <c r="E139" s="6">
        <v>2.1</v>
      </c>
      <c r="F139" s="6">
        <f t="shared" ref="F139:F145" si="20">PRODUCT(C139:E139)</f>
        <v>20.16</v>
      </c>
      <c r="G139" s="55">
        <f t="shared" si="11"/>
        <v>2.0160000000000001E-2</v>
      </c>
      <c r="H139" s="7"/>
      <c r="I139" s="7"/>
      <c r="J139" s="7"/>
      <c r="K139" s="47"/>
      <c r="M139" s="29"/>
    </row>
    <row r="140" spans="1:13" x14ac:dyDescent="0.3">
      <c r="A140" s="9"/>
      <c r="B140" s="39" t="s">
        <v>77</v>
      </c>
      <c r="C140" s="8">
        <v>2</v>
      </c>
      <c r="D140" s="6">
        <v>13.38</v>
      </c>
      <c r="E140" s="6">
        <v>2.1</v>
      </c>
      <c r="F140" s="6">
        <f t="shared" si="20"/>
        <v>56.196000000000005</v>
      </c>
      <c r="G140" s="55">
        <f t="shared" si="11"/>
        <v>5.6196000000000003E-2</v>
      </c>
      <c r="H140" s="7"/>
      <c r="I140" s="7"/>
      <c r="J140" s="7"/>
      <c r="K140" s="47"/>
      <c r="M140" s="29"/>
    </row>
    <row r="141" spans="1:13" x14ac:dyDescent="0.3">
      <c r="A141" s="9"/>
      <c r="B141" s="39"/>
      <c r="C141" s="8">
        <v>2</v>
      </c>
      <c r="D141" s="6">
        <v>13.233000000000001</v>
      </c>
      <c r="E141" s="6">
        <v>2.1</v>
      </c>
      <c r="F141" s="6">
        <f t="shared" si="20"/>
        <v>55.578600000000002</v>
      </c>
      <c r="G141" s="55">
        <f t="shared" si="11"/>
        <v>5.5578599999999999E-2</v>
      </c>
      <c r="H141" s="7"/>
      <c r="I141" s="7"/>
      <c r="J141" s="7"/>
      <c r="K141" s="47"/>
      <c r="M141" s="29"/>
    </row>
    <row r="142" spans="1:13" x14ac:dyDescent="0.3">
      <c r="A142" s="9"/>
      <c r="B142" s="39" t="s">
        <v>83</v>
      </c>
      <c r="C142" s="8">
        <f>5*4*2*2</f>
        <v>80</v>
      </c>
      <c r="D142" s="6">
        <v>0.3</v>
      </c>
      <c r="E142" s="6">
        <f>11*11/162</f>
        <v>0.74691358024691357</v>
      </c>
      <c r="F142" s="6">
        <f t="shared" si="20"/>
        <v>17.925925925925924</v>
      </c>
      <c r="G142" s="55">
        <f t="shared" si="11"/>
        <v>1.7925925925925925E-2</v>
      </c>
      <c r="H142" s="7"/>
      <c r="I142" s="7"/>
      <c r="J142" s="7"/>
      <c r="K142" s="47"/>
      <c r="M142" s="29"/>
    </row>
    <row r="143" spans="1:13" x14ac:dyDescent="0.3">
      <c r="A143" s="9"/>
      <c r="B143" s="39" t="s">
        <v>82</v>
      </c>
      <c r="C143" s="8">
        <f>6*8*2</f>
        <v>96</v>
      </c>
      <c r="D143" s="6">
        <v>0.6</v>
      </c>
      <c r="E143" s="6">
        <f>11*11/162</f>
        <v>0.74691358024691357</v>
      </c>
      <c r="F143" s="6">
        <f t="shared" si="20"/>
        <v>43.022222222222219</v>
      </c>
      <c r="G143" s="55">
        <f t="shared" si="11"/>
        <v>4.3022222222222219E-2</v>
      </c>
      <c r="H143" s="7"/>
      <c r="I143" s="7"/>
      <c r="J143" s="7"/>
      <c r="K143" s="47"/>
      <c r="M143" s="29"/>
    </row>
    <row r="144" spans="1:13" s="1" customFormat="1" ht="27.6" x14ac:dyDescent="0.3">
      <c r="A144" s="48"/>
      <c r="B144" s="49" t="s">
        <v>93</v>
      </c>
      <c r="C144" s="50">
        <v>2</v>
      </c>
      <c r="D144" s="10">
        <f>2.75+0.75</f>
        <v>3.5</v>
      </c>
      <c r="E144" s="10">
        <v>4.18</v>
      </c>
      <c r="F144" s="10">
        <f t="shared" si="20"/>
        <v>29.259999999999998</v>
      </c>
      <c r="G144" s="55">
        <f t="shared" si="11"/>
        <v>2.9259999999999998E-2</v>
      </c>
      <c r="H144" s="27"/>
      <c r="I144" s="27"/>
      <c r="J144" s="27"/>
      <c r="K144" s="51"/>
      <c r="M144" s="12"/>
    </row>
    <row r="145" spans="1:13" s="1" customFormat="1" ht="43.2" x14ac:dyDescent="0.3">
      <c r="A145" s="48"/>
      <c r="B145" s="49" t="s">
        <v>84</v>
      </c>
      <c r="C145" s="50">
        <f>5*2*2</f>
        <v>20</v>
      </c>
      <c r="D145" s="10">
        <f>2.75+0.75</f>
        <v>3.5</v>
      </c>
      <c r="E145" s="10">
        <v>7.37</v>
      </c>
      <c r="F145" s="10">
        <f t="shared" si="20"/>
        <v>515.9</v>
      </c>
      <c r="G145" s="55">
        <f t="shared" si="11"/>
        <v>0.51590000000000003</v>
      </c>
      <c r="H145" s="27"/>
      <c r="I145" s="27"/>
      <c r="J145" s="27"/>
      <c r="K145" s="51" t="s">
        <v>85</v>
      </c>
      <c r="M145" s="12"/>
    </row>
    <row r="146" spans="1:13" s="1" customFormat="1" x14ac:dyDescent="0.3">
      <c r="A146" s="48"/>
      <c r="B146" s="49" t="s">
        <v>86</v>
      </c>
      <c r="C146" s="50"/>
      <c r="D146" s="10"/>
      <c r="E146" s="10"/>
      <c r="F146" s="10"/>
      <c r="G146" s="55"/>
      <c r="H146" s="27"/>
      <c r="I146" s="27"/>
      <c r="J146" s="27"/>
      <c r="K146" s="51"/>
      <c r="M146" s="12"/>
    </row>
    <row r="147" spans="1:13" s="1" customFormat="1" ht="43.2" x14ac:dyDescent="0.3">
      <c r="A147" s="48"/>
      <c r="B147" s="49" t="s">
        <v>87</v>
      </c>
      <c r="C147" s="50">
        <f>2*5*2</f>
        <v>20</v>
      </c>
      <c r="D147" s="10">
        <f>10/3.281</f>
        <v>3.047851264858275</v>
      </c>
      <c r="E147" s="10">
        <v>7.14</v>
      </c>
      <c r="F147" s="10">
        <f t="shared" ref="F147:F149" si="21">PRODUCT(C147:E147)</f>
        <v>435.23316062176167</v>
      </c>
      <c r="G147" s="55">
        <f t="shared" si="11"/>
        <v>0.43523316062176165</v>
      </c>
      <c r="H147" s="27"/>
      <c r="I147" s="27"/>
      <c r="J147" s="27"/>
      <c r="K147" s="51" t="s">
        <v>85</v>
      </c>
      <c r="M147" s="12"/>
    </row>
    <row r="148" spans="1:13" ht="27.6" x14ac:dyDescent="0.3">
      <c r="A148" s="9"/>
      <c r="B148" s="49" t="s">
        <v>89</v>
      </c>
      <c r="C148" s="50">
        <f>6*2*2</f>
        <v>24</v>
      </c>
      <c r="D148" s="10">
        <f>((13.843+13.691)/2)/3.281</f>
        <v>4.1959768363303871</v>
      </c>
      <c r="E148" s="10">
        <v>7.14</v>
      </c>
      <c r="F148" s="10">
        <f t="shared" si="21"/>
        <v>719.022590673575</v>
      </c>
      <c r="G148" s="55">
        <f t="shared" si="11"/>
        <v>0.71902259067357499</v>
      </c>
      <c r="H148" s="7"/>
      <c r="I148" s="7"/>
      <c r="J148" s="7"/>
      <c r="K148" s="47"/>
      <c r="M148" s="29"/>
    </row>
    <row r="149" spans="1:13" ht="27.6" x14ac:dyDescent="0.3">
      <c r="A149" s="9"/>
      <c r="B149" s="49" t="s">
        <v>88</v>
      </c>
      <c r="C149" s="50">
        <f>5*2</f>
        <v>10</v>
      </c>
      <c r="D149" s="10">
        <f>(4.75+7.667+4.75+1.5+2)/3.281</f>
        <v>6.298994209082597</v>
      </c>
      <c r="E149" s="10">
        <v>4.82</v>
      </c>
      <c r="F149" s="10">
        <f t="shared" si="21"/>
        <v>303.61152087778117</v>
      </c>
      <c r="G149" s="55">
        <f t="shared" si="11"/>
        <v>0.30361152087778115</v>
      </c>
      <c r="H149" s="7"/>
      <c r="I149" s="7"/>
      <c r="J149" s="7"/>
      <c r="K149" s="47"/>
      <c r="M149" s="29"/>
    </row>
    <row r="150" spans="1:13" x14ac:dyDescent="0.3">
      <c r="A150" s="21"/>
      <c r="B150" s="39" t="s">
        <v>36</v>
      </c>
      <c r="C150" s="22"/>
      <c r="D150" s="23"/>
      <c r="E150" s="24"/>
      <c r="F150" s="24"/>
      <c r="G150" s="27">
        <f>SUM(G100:G149)</f>
        <v>3.602304488720617</v>
      </c>
      <c r="H150" s="25" t="s">
        <v>90</v>
      </c>
      <c r="I150" s="26">
        <v>3541.11</v>
      </c>
      <c r="J150" s="7">
        <f>G150*I150</f>
        <v>12756.156448053465</v>
      </c>
      <c r="K150" s="24"/>
    </row>
    <row r="151" spans="1:13" ht="15.6" x14ac:dyDescent="0.3">
      <c r="A151" s="21"/>
      <c r="B151" s="44"/>
      <c r="C151" s="22"/>
      <c r="D151" s="23"/>
      <c r="E151" s="24"/>
      <c r="F151" s="24"/>
      <c r="G151" s="28"/>
      <c r="H151" s="25"/>
      <c r="I151" s="26"/>
      <c r="J151" s="7"/>
      <c r="K151" s="24"/>
    </row>
    <row r="152" spans="1:13" x14ac:dyDescent="0.3">
      <c r="A152" s="21">
        <v>5</v>
      </c>
      <c r="B152" s="43" t="s">
        <v>48</v>
      </c>
      <c r="C152" s="22"/>
      <c r="D152" s="23"/>
      <c r="E152" s="24"/>
      <c r="F152" s="24"/>
      <c r="G152" s="28"/>
      <c r="H152" s="25"/>
      <c r="I152" s="26"/>
      <c r="J152" s="7"/>
      <c r="K152" s="24"/>
    </row>
    <row r="153" spans="1:13" x14ac:dyDescent="0.3">
      <c r="A153" s="21"/>
      <c r="B153" s="39" t="s">
        <v>49</v>
      </c>
      <c r="C153" s="22">
        <v>9</v>
      </c>
      <c r="D153" s="23">
        <f>11/3.281</f>
        <v>3.3526363913441024</v>
      </c>
      <c r="E153" s="24">
        <f>2/12/3.281</f>
        <v>5.0797521080971242E-2</v>
      </c>
      <c r="F153" s="24">
        <f>3/12/3.281</f>
        <v>7.6196281621456863E-2</v>
      </c>
      <c r="G153" s="55">
        <f t="shared" ref="G153:G159" si="22">PRODUCT(C153:F153)</f>
        <v>0.11678989331722038</v>
      </c>
      <c r="H153" s="25"/>
      <c r="I153" s="26"/>
      <c r="J153" s="7"/>
      <c r="K153" s="24"/>
    </row>
    <row r="154" spans="1:13" x14ac:dyDescent="0.3">
      <c r="A154" s="9"/>
      <c r="B154" s="39" t="s">
        <v>50</v>
      </c>
      <c r="C154" s="8">
        <v>2</v>
      </c>
      <c r="D154" s="6">
        <v>6.4</v>
      </c>
      <c r="E154" s="6">
        <f>1/12/3.281</f>
        <v>2.5398760540485621E-2</v>
      </c>
      <c r="F154" s="6">
        <f>3/12/3.281</f>
        <v>7.6196281621456863E-2</v>
      </c>
      <c r="G154" s="55">
        <f t="shared" si="22"/>
        <v>2.4771726220528492E-2</v>
      </c>
      <c r="H154" s="7"/>
      <c r="I154" s="7"/>
      <c r="J154" s="7"/>
      <c r="K154" s="4"/>
      <c r="M154" s="29"/>
    </row>
    <row r="155" spans="1:13" x14ac:dyDescent="0.3">
      <c r="A155" s="9"/>
      <c r="B155" s="39" t="s">
        <v>51</v>
      </c>
      <c r="C155" s="8">
        <v>1</v>
      </c>
      <c r="D155" s="6">
        <f>2*(5.75/3.281)+0.8</f>
        <v>4.3050289545870157</v>
      </c>
      <c r="E155" s="6">
        <f>2.25/12/3.281</f>
        <v>5.7147211216092654E-2</v>
      </c>
      <c r="F155" s="6">
        <f>2.5/12/3.281</f>
        <v>6.3496901351214066E-2</v>
      </c>
      <c r="G155" s="55">
        <f t="shared" si="22"/>
        <v>1.56215330030973E-2</v>
      </c>
      <c r="H155" s="7"/>
      <c r="I155" s="7"/>
      <c r="J155" s="7"/>
      <c r="K155" s="4"/>
      <c r="M155" s="29"/>
    </row>
    <row r="156" spans="1:13" x14ac:dyDescent="0.3">
      <c r="A156" s="9"/>
      <c r="B156" s="39"/>
      <c r="C156" s="8">
        <v>2</v>
      </c>
      <c r="D156" s="6">
        <f>2*(5.5/3.281)+2.5/3.281</f>
        <v>4.1145992075586708</v>
      </c>
      <c r="E156" s="6">
        <f>2/12/3.281</f>
        <v>5.0797521080971242E-2</v>
      </c>
      <c r="F156" s="6">
        <f>3/12/3.281</f>
        <v>7.6196281621456863E-2</v>
      </c>
      <c r="G156" s="55">
        <f t="shared" si="22"/>
        <v>3.1851789086514648E-2</v>
      </c>
      <c r="H156" s="7"/>
      <c r="I156" s="7"/>
      <c r="J156" s="7"/>
      <c r="K156" s="4"/>
      <c r="M156" s="29"/>
    </row>
    <row r="157" spans="1:13" x14ac:dyDescent="0.3">
      <c r="A157" s="9"/>
      <c r="B157" s="39" t="s">
        <v>46</v>
      </c>
      <c r="C157" s="8">
        <v>2</v>
      </c>
      <c r="D157" s="6">
        <f>0.78+1.8*2</f>
        <v>4.38</v>
      </c>
      <c r="E157" s="6">
        <f>2/12/3.281</f>
        <v>5.0797521080971242E-2</v>
      </c>
      <c r="F157" s="6">
        <f>3/12/3.281</f>
        <v>7.6196281621456863E-2</v>
      </c>
      <c r="G157" s="55">
        <f t="shared" si="22"/>
        <v>3.390630026434837E-2</v>
      </c>
      <c r="H157" s="7"/>
      <c r="I157" s="7"/>
      <c r="J157" s="7"/>
      <c r="K157" s="4"/>
      <c r="M157" s="29"/>
    </row>
    <row r="158" spans="1:13" x14ac:dyDescent="0.3">
      <c r="A158" s="9"/>
      <c r="B158" s="52" t="s">
        <v>54</v>
      </c>
      <c r="C158" s="53">
        <v>2</v>
      </c>
      <c r="D158" s="54">
        <v>0.78</v>
      </c>
      <c r="E158" s="54"/>
      <c r="F158" s="54">
        <v>1.8</v>
      </c>
      <c r="G158" s="40"/>
      <c r="H158" s="7"/>
      <c r="I158" s="7"/>
      <c r="J158" s="7"/>
      <c r="K158" s="4"/>
      <c r="M158" s="29"/>
    </row>
    <row r="159" spans="1:13" x14ac:dyDescent="0.3">
      <c r="A159" s="9"/>
      <c r="B159" s="56" t="s">
        <v>52</v>
      </c>
      <c r="C159" s="57">
        <v>1</v>
      </c>
      <c r="D159" s="58">
        <f>0.78+2*(6/3.281)</f>
        <v>4.4374215178299297</v>
      </c>
      <c r="E159" s="58">
        <f>3.5/12/3.281</f>
        <v>8.8895661891699687E-2</v>
      </c>
      <c r="F159" s="58">
        <f>2.5/12/3.281</f>
        <v>6.3496901351214066E-2</v>
      </c>
      <c r="G159" s="55">
        <f t="shared" si="22"/>
        <v>2.504746538910662E-2</v>
      </c>
      <c r="H159" s="7"/>
      <c r="I159" s="7"/>
      <c r="J159" s="7"/>
      <c r="K159" s="4"/>
      <c r="M159" s="29"/>
    </row>
    <row r="160" spans="1:13" x14ac:dyDescent="0.3">
      <c r="A160" s="9"/>
      <c r="B160" s="52" t="s">
        <v>54</v>
      </c>
      <c r="C160" s="53">
        <v>1</v>
      </c>
      <c r="D160" s="54">
        <v>0.78</v>
      </c>
      <c r="E160" s="54"/>
      <c r="F160" s="54">
        <v>1.8</v>
      </c>
      <c r="G160" s="40"/>
      <c r="H160" s="7"/>
      <c r="I160" s="7"/>
      <c r="J160" s="7"/>
      <c r="K160" s="4"/>
      <c r="M160" s="29"/>
    </row>
    <row r="161" spans="1:31" x14ac:dyDescent="0.3">
      <c r="A161" s="21"/>
      <c r="B161" s="39" t="s">
        <v>36</v>
      </c>
      <c r="C161" s="22"/>
      <c r="D161" s="23"/>
      <c r="E161" s="24"/>
      <c r="F161" s="24"/>
      <c r="G161" s="61">
        <f>SUM(G153:G159)</f>
        <v>0.24798870728081582</v>
      </c>
      <c r="H161" s="62" t="s">
        <v>24</v>
      </c>
      <c r="I161" s="63"/>
      <c r="J161" s="64">
        <f>G161*I161</f>
        <v>0</v>
      </c>
      <c r="K161" s="24"/>
    </row>
    <row r="162" spans="1:31" x14ac:dyDescent="0.3">
      <c r="A162" s="9"/>
      <c r="B162" s="39"/>
      <c r="C162" s="8"/>
      <c r="D162" s="6"/>
      <c r="E162" s="6"/>
      <c r="F162" s="6"/>
      <c r="G162" s="37"/>
      <c r="H162" s="7"/>
      <c r="I162" s="7"/>
      <c r="J162" s="7"/>
      <c r="K162" s="4"/>
      <c r="M162" s="29"/>
    </row>
    <row r="163" spans="1:31" x14ac:dyDescent="0.3">
      <c r="A163" s="9"/>
      <c r="B163" s="20" t="s">
        <v>16</v>
      </c>
      <c r="C163" s="8"/>
      <c r="D163" s="6"/>
      <c r="E163" s="6"/>
      <c r="F163" s="6"/>
      <c r="G163" s="37"/>
      <c r="H163" s="7"/>
      <c r="I163" s="7"/>
      <c r="J163" s="7">
        <f>SUM(J10:J92)</f>
        <v>113426.32198961584</v>
      </c>
      <c r="K163" s="4"/>
      <c r="M163" s="29"/>
      <c r="P163" s="32"/>
      <c r="Q163" s="32"/>
    </row>
    <row r="164" spans="1:31" x14ac:dyDescent="0.3">
      <c r="M164" s="29"/>
      <c r="N164" s="30"/>
      <c r="O164" s="30"/>
      <c r="P164" s="31"/>
      <c r="R164" s="30"/>
      <c r="S164" s="30"/>
      <c r="T164" s="30"/>
      <c r="U164" s="29"/>
      <c r="V164" s="29"/>
      <c r="W164" s="29"/>
      <c r="X164" s="29"/>
      <c r="Y164" s="29"/>
      <c r="Z164" s="29"/>
      <c r="AA164" s="29"/>
      <c r="AB164" s="29"/>
      <c r="AC164" s="29"/>
      <c r="AD164" s="29"/>
      <c r="AE164" s="29"/>
    </row>
    <row r="165" spans="1:31" s="1" customFormat="1" x14ac:dyDescent="0.3">
      <c r="B165" s="11" t="s">
        <v>22</v>
      </c>
      <c r="C165" s="247">
        <f>J163</f>
        <v>113426.32198961584</v>
      </c>
      <c r="D165" s="248"/>
      <c r="E165" s="10">
        <v>100</v>
      </c>
      <c r="F165" s="12"/>
      <c r="G165" s="13"/>
      <c r="H165" s="12"/>
      <c r="I165" s="14"/>
      <c r="J165" s="15"/>
      <c r="K165" s="16"/>
      <c r="M165" s="12"/>
      <c r="N165" s="30"/>
      <c r="O165" s="30"/>
      <c r="P165" s="30"/>
      <c r="Q165" s="30"/>
      <c r="R165" s="30"/>
      <c r="S165" s="30"/>
      <c r="T165" s="30"/>
      <c r="U165" s="12"/>
      <c r="V165" s="12"/>
      <c r="W165" s="12"/>
      <c r="X165" s="12"/>
      <c r="Y165" s="12"/>
      <c r="Z165" s="12"/>
      <c r="AA165" s="12"/>
      <c r="AB165" s="12"/>
      <c r="AC165" s="12"/>
      <c r="AD165" s="12"/>
      <c r="AE165" s="12"/>
    </row>
    <row r="166" spans="1:31" x14ac:dyDescent="0.3">
      <c r="B166" s="11" t="s">
        <v>17</v>
      </c>
      <c r="C166" s="251">
        <v>150000</v>
      </c>
      <c r="D166" s="252"/>
      <c r="E166" s="10"/>
      <c r="M166" s="29"/>
      <c r="N166" s="30"/>
      <c r="O166" s="30"/>
      <c r="P166" s="30"/>
      <c r="Q166" s="30"/>
      <c r="R166" s="30"/>
      <c r="S166" s="30"/>
      <c r="T166" s="30"/>
      <c r="U166" s="29"/>
      <c r="V166" s="29"/>
      <c r="W166" s="29"/>
      <c r="X166" s="29"/>
      <c r="Y166" s="29"/>
      <c r="Z166" s="29"/>
      <c r="AA166" s="29"/>
      <c r="AB166" s="29"/>
      <c r="AC166" s="29"/>
      <c r="AD166" s="29"/>
      <c r="AE166" s="29"/>
    </row>
    <row r="167" spans="1:31" x14ac:dyDescent="0.3">
      <c r="B167" s="11" t="s">
        <v>18</v>
      </c>
      <c r="C167" s="251">
        <f>C166-C169-C170</f>
        <v>142500</v>
      </c>
      <c r="D167" s="252"/>
      <c r="E167" s="10">
        <f>C167/C165*100</f>
        <v>125.63221437528922</v>
      </c>
      <c r="M167" s="29"/>
      <c r="N167" s="29"/>
      <c r="O167" s="29"/>
      <c r="P167" s="29"/>
      <c r="Q167" s="29"/>
      <c r="R167" s="29"/>
      <c r="S167" s="29"/>
      <c r="T167" s="29"/>
      <c r="U167" s="29"/>
      <c r="V167" s="29"/>
      <c r="W167" s="29"/>
      <c r="X167" s="29"/>
      <c r="Y167" s="29"/>
      <c r="Z167" s="29"/>
      <c r="AA167" s="29"/>
      <c r="AB167" s="29"/>
      <c r="AC167" s="29"/>
      <c r="AD167" s="29"/>
      <c r="AE167" s="29"/>
    </row>
    <row r="168" spans="1:31" x14ac:dyDescent="0.3">
      <c r="B168" s="11" t="s">
        <v>19</v>
      </c>
      <c r="C168" s="253">
        <f>C165-C167</f>
        <v>-29073.678010384159</v>
      </c>
      <c r="D168" s="253"/>
      <c r="E168" s="10">
        <f>100-E167</f>
        <v>-25.632214375289223</v>
      </c>
      <c r="M168" s="29"/>
      <c r="N168" s="29"/>
      <c r="O168" s="29"/>
      <c r="P168" s="29"/>
      <c r="Q168" s="29"/>
      <c r="R168" s="29"/>
      <c r="S168" s="29"/>
      <c r="T168" s="29"/>
      <c r="U168" s="29"/>
      <c r="V168" s="29"/>
      <c r="W168" s="29"/>
      <c r="X168" s="29"/>
      <c r="Y168" s="29"/>
      <c r="Z168" s="29"/>
      <c r="AA168" s="29"/>
      <c r="AB168" s="29"/>
      <c r="AC168" s="29"/>
      <c r="AD168" s="29"/>
      <c r="AE168" s="29"/>
    </row>
    <row r="169" spans="1:31" x14ac:dyDescent="0.3">
      <c r="B169" s="11" t="s">
        <v>20</v>
      </c>
      <c r="C169" s="247">
        <f>C166*0.03</f>
        <v>4500</v>
      </c>
      <c r="D169" s="248"/>
      <c r="E169" s="10">
        <v>3</v>
      </c>
      <c r="M169" s="29"/>
      <c r="N169" s="29"/>
      <c r="O169" s="29"/>
      <c r="P169" s="29"/>
      <c r="Q169" s="29"/>
      <c r="R169" s="29"/>
      <c r="S169" s="29"/>
      <c r="T169" s="29"/>
      <c r="U169" s="29"/>
      <c r="V169" s="29"/>
      <c r="W169" s="29"/>
      <c r="X169" s="29"/>
      <c r="Y169" s="29"/>
      <c r="Z169" s="29"/>
      <c r="AA169" s="29"/>
      <c r="AB169" s="29"/>
      <c r="AC169" s="29"/>
      <c r="AD169" s="29"/>
      <c r="AE169" s="29"/>
    </row>
    <row r="170" spans="1:31" x14ac:dyDescent="0.3">
      <c r="B170" s="11" t="s">
        <v>21</v>
      </c>
      <c r="C170" s="247">
        <f>C166*0.02</f>
        <v>3000</v>
      </c>
      <c r="D170" s="248"/>
      <c r="E170" s="10">
        <v>2</v>
      </c>
      <c r="M170" s="29"/>
      <c r="N170" s="29"/>
      <c r="O170" s="29"/>
      <c r="P170" s="29"/>
      <c r="Q170" s="29"/>
      <c r="R170" s="29"/>
      <c r="S170" s="29"/>
      <c r="T170" s="29"/>
      <c r="U170" s="29"/>
      <c r="V170" s="29"/>
      <c r="W170" s="29"/>
      <c r="X170" s="29"/>
      <c r="Y170" s="29"/>
      <c r="Z170" s="29"/>
      <c r="AA170" s="29"/>
      <c r="AB170" s="29"/>
      <c r="AC170" s="29"/>
      <c r="AD170" s="29"/>
      <c r="AE170" s="29"/>
    </row>
  </sheetData>
  <mergeCells count="15">
    <mergeCell ref="C169:D169"/>
    <mergeCell ref="C170:D170"/>
    <mergeCell ref="A7:F7"/>
    <mergeCell ref="H7:K7"/>
    <mergeCell ref="C165:D165"/>
    <mergeCell ref="C166:D166"/>
    <mergeCell ref="C167:D167"/>
    <mergeCell ref="C168:D168"/>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view="pageBreakPreview" topLeftCell="A4" zoomScale="80" zoomScaleNormal="100" zoomScaleSheetLayoutView="80" workbookViewId="0">
      <selection activeCell="B18" sqref="B18"/>
    </sheetView>
  </sheetViews>
  <sheetFormatPr defaultRowHeight="13.2" x14ac:dyDescent="0.25"/>
  <cols>
    <col min="1" max="1" width="5.6640625" style="73" customWidth="1"/>
    <col min="2" max="2" width="39.6640625" style="73" customWidth="1"/>
    <col min="3" max="3" width="22.109375" style="73" customWidth="1"/>
    <col min="4" max="4" width="9.5546875" style="73" customWidth="1"/>
    <col min="5" max="5" width="20" style="73" customWidth="1"/>
    <col min="6" max="6" width="14" style="73" bestFit="1" customWidth="1"/>
    <col min="7" max="7" width="12.109375" style="73" customWidth="1"/>
    <col min="8" max="8" width="16.109375" style="73" customWidth="1"/>
    <col min="9" max="9" width="13.5546875" style="73" customWidth="1"/>
    <col min="10" max="10" width="12.33203125" style="73" customWidth="1"/>
    <col min="11" max="11" width="12.5546875" style="73" customWidth="1"/>
    <col min="12" max="12" width="13.6640625" style="73" customWidth="1"/>
    <col min="13" max="256" width="9.109375" style="73"/>
    <col min="257" max="257" width="5.6640625" style="73" customWidth="1"/>
    <col min="258" max="258" width="39.6640625" style="73" customWidth="1"/>
    <col min="259" max="259" width="22.109375" style="73" customWidth="1"/>
    <col min="260" max="260" width="9.5546875" style="73" customWidth="1"/>
    <col min="261" max="261" width="20" style="73" customWidth="1"/>
    <col min="262" max="262" width="14" style="73" bestFit="1" customWidth="1"/>
    <col min="263" max="263" width="12.109375" style="73" customWidth="1"/>
    <col min="264" max="264" width="16.109375" style="73" customWidth="1"/>
    <col min="265" max="265" width="13.5546875" style="73" customWidth="1"/>
    <col min="266" max="266" width="12.33203125" style="73" customWidth="1"/>
    <col min="267" max="267" width="12.5546875" style="73" customWidth="1"/>
    <col min="268" max="268" width="13.6640625" style="73" customWidth="1"/>
    <col min="269" max="512" width="9.109375" style="73"/>
    <col min="513" max="513" width="5.6640625" style="73" customWidth="1"/>
    <col min="514" max="514" width="39.6640625" style="73" customWidth="1"/>
    <col min="515" max="515" width="22.109375" style="73" customWidth="1"/>
    <col min="516" max="516" width="9.5546875" style="73" customWidth="1"/>
    <col min="517" max="517" width="20" style="73" customWidth="1"/>
    <col min="518" max="518" width="14" style="73" bestFit="1" customWidth="1"/>
    <col min="519" max="519" width="12.109375" style="73" customWidth="1"/>
    <col min="520" max="520" width="16.109375" style="73" customWidth="1"/>
    <col min="521" max="521" width="13.5546875" style="73" customWidth="1"/>
    <col min="522" max="522" width="12.33203125" style="73" customWidth="1"/>
    <col min="523" max="523" width="12.5546875" style="73" customWidth="1"/>
    <col min="524" max="524" width="13.6640625" style="73" customWidth="1"/>
    <col min="525" max="768" width="9.109375" style="73"/>
    <col min="769" max="769" width="5.6640625" style="73" customWidth="1"/>
    <col min="770" max="770" width="39.6640625" style="73" customWidth="1"/>
    <col min="771" max="771" width="22.109375" style="73" customWidth="1"/>
    <col min="772" max="772" width="9.5546875" style="73" customWidth="1"/>
    <col min="773" max="773" width="20" style="73" customWidth="1"/>
    <col min="774" max="774" width="14" style="73" bestFit="1" customWidth="1"/>
    <col min="775" max="775" width="12.109375" style="73" customWidth="1"/>
    <col min="776" max="776" width="16.109375" style="73" customWidth="1"/>
    <col min="777" max="777" width="13.5546875" style="73" customWidth="1"/>
    <col min="778" max="778" width="12.33203125" style="73" customWidth="1"/>
    <col min="779" max="779" width="12.5546875" style="73" customWidth="1"/>
    <col min="780" max="780" width="13.6640625" style="73" customWidth="1"/>
    <col min="781" max="1024" width="9.109375" style="73"/>
    <col min="1025" max="1025" width="5.6640625" style="73" customWidth="1"/>
    <col min="1026" max="1026" width="39.6640625" style="73" customWidth="1"/>
    <col min="1027" max="1027" width="22.109375" style="73" customWidth="1"/>
    <col min="1028" max="1028" width="9.5546875" style="73" customWidth="1"/>
    <col min="1029" max="1029" width="20" style="73" customWidth="1"/>
    <col min="1030" max="1030" width="14" style="73" bestFit="1" customWidth="1"/>
    <col min="1031" max="1031" width="12.109375" style="73" customWidth="1"/>
    <col min="1032" max="1032" width="16.109375" style="73" customWidth="1"/>
    <col min="1033" max="1033" width="13.5546875" style="73" customWidth="1"/>
    <col min="1034" max="1034" width="12.33203125" style="73" customWidth="1"/>
    <col min="1035" max="1035" width="12.5546875" style="73" customWidth="1"/>
    <col min="1036" max="1036" width="13.6640625" style="73" customWidth="1"/>
    <col min="1037" max="1280" width="9.109375" style="73"/>
    <col min="1281" max="1281" width="5.6640625" style="73" customWidth="1"/>
    <col min="1282" max="1282" width="39.6640625" style="73" customWidth="1"/>
    <col min="1283" max="1283" width="22.109375" style="73" customWidth="1"/>
    <col min="1284" max="1284" width="9.5546875" style="73" customWidth="1"/>
    <col min="1285" max="1285" width="20" style="73" customWidth="1"/>
    <col min="1286" max="1286" width="14" style="73" bestFit="1" customWidth="1"/>
    <col min="1287" max="1287" width="12.109375" style="73" customWidth="1"/>
    <col min="1288" max="1288" width="16.109375" style="73" customWidth="1"/>
    <col min="1289" max="1289" width="13.5546875" style="73" customWidth="1"/>
    <col min="1290" max="1290" width="12.33203125" style="73" customWidth="1"/>
    <col min="1291" max="1291" width="12.5546875" style="73" customWidth="1"/>
    <col min="1292" max="1292" width="13.6640625" style="73" customWidth="1"/>
    <col min="1293" max="1536" width="9.109375" style="73"/>
    <col min="1537" max="1537" width="5.6640625" style="73" customWidth="1"/>
    <col min="1538" max="1538" width="39.6640625" style="73" customWidth="1"/>
    <col min="1539" max="1539" width="22.109375" style="73" customWidth="1"/>
    <col min="1540" max="1540" width="9.5546875" style="73" customWidth="1"/>
    <col min="1541" max="1541" width="20" style="73" customWidth="1"/>
    <col min="1542" max="1542" width="14" style="73" bestFit="1" customWidth="1"/>
    <col min="1543" max="1543" width="12.109375" style="73" customWidth="1"/>
    <col min="1544" max="1544" width="16.109375" style="73" customWidth="1"/>
    <col min="1545" max="1545" width="13.5546875" style="73" customWidth="1"/>
    <col min="1546" max="1546" width="12.33203125" style="73" customWidth="1"/>
    <col min="1547" max="1547" width="12.5546875" style="73" customWidth="1"/>
    <col min="1548" max="1548" width="13.6640625" style="73" customWidth="1"/>
    <col min="1549" max="1792" width="9.109375" style="73"/>
    <col min="1793" max="1793" width="5.6640625" style="73" customWidth="1"/>
    <col min="1794" max="1794" width="39.6640625" style="73" customWidth="1"/>
    <col min="1795" max="1795" width="22.109375" style="73" customWidth="1"/>
    <col min="1796" max="1796" width="9.5546875" style="73" customWidth="1"/>
    <col min="1797" max="1797" width="20" style="73" customWidth="1"/>
    <col min="1798" max="1798" width="14" style="73" bestFit="1" customWidth="1"/>
    <col min="1799" max="1799" width="12.109375" style="73" customWidth="1"/>
    <col min="1800" max="1800" width="16.109375" style="73" customWidth="1"/>
    <col min="1801" max="1801" width="13.5546875" style="73" customWidth="1"/>
    <col min="1802" max="1802" width="12.33203125" style="73" customWidth="1"/>
    <col min="1803" max="1803" width="12.5546875" style="73" customWidth="1"/>
    <col min="1804" max="1804" width="13.6640625" style="73" customWidth="1"/>
    <col min="1805" max="2048" width="9.109375" style="73"/>
    <col min="2049" max="2049" width="5.6640625" style="73" customWidth="1"/>
    <col min="2050" max="2050" width="39.6640625" style="73" customWidth="1"/>
    <col min="2051" max="2051" width="22.109375" style="73" customWidth="1"/>
    <col min="2052" max="2052" width="9.5546875" style="73" customWidth="1"/>
    <col min="2053" max="2053" width="20" style="73" customWidth="1"/>
    <col min="2054" max="2054" width="14" style="73" bestFit="1" customWidth="1"/>
    <col min="2055" max="2055" width="12.109375" style="73" customWidth="1"/>
    <col min="2056" max="2056" width="16.109375" style="73" customWidth="1"/>
    <col min="2057" max="2057" width="13.5546875" style="73" customWidth="1"/>
    <col min="2058" max="2058" width="12.33203125" style="73" customWidth="1"/>
    <col min="2059" max="2059" width="12.5546875" style="73" customWidth="1"/>
    <col min="2060" max="2060" width="13.6640625" style="73" customWidth="1"/>
    <col min="2061" max="2304" width="9.109375" style="73"/>
    <col min="2305" max="2305" width="5.6640625" style="73" customWidth="1"/>
    <col min="2306" max="2306" width="39.6640625" style="73" customWidth="1"/>
    <col min="2307" max="2307" width="22.109375" style="73" customWidth="1"/>
    <col min="2308" max="2308" width="9.5546875" style="73" customWidth="1"/>
    <col min="2309" max="2309" width="20" style="73" customWidth="1"/>
    <col min="2310" max="2310" width="14" style="73" bestFit="1" customWidth="1"/>
    <col min="2311" max="2311" width="12.109375" style="73" customWidth="1"/>
    <col min="2312" max="2312" width="16.109375" style="73" customWidth="1"/>
    <col min="2313" max="2313" width="13.5546875" style="73" customWidth="1"/>
    <col min="2314" max="2314" width="12.33203125" style="73" customWidth="1"/>
    <col min="2315" max="2315" width="12.5546875" style="73" customWidth="1"/>
    <col min="2316" max="2316" width="13.6640625" style="73" customWidth="1"/>
    <col min="2317" max="2560" width="9.109375" style="73"/>
    <col min="2561" max="2561" width="5.6640625" style="73" customWidth="1"/>
    <col min="2562" max="2562" width="39.6640625" style="73" customWidth="1"/>
    <col min="2563" max="2563" width="22.109375" style="73" customWidth="1"/>
    <col min="2564" max="2564" width="9.5546875" style="73" customWidth="1"/>
    <col min="2565" max="2565" width="20" style="73" customWidth="1"/>
    <col min="2566" max="2566" width="14" style="73" bestFit="1" customWidth="1"/>
    <col min="2567" max="2567" width="12.109375" style="73" customWidth="1"/>
    <col min="2568" max="2568" width="16.109375" style="73" customWidth="1"/>
    <col min="2569" max="2569" width="13.5546875" style="73" customWidth="1"/>
    <col min="2570" max="2570" width="12.33203125" style="73" customWidth="1"/>
    <col min="2571" max="2571" width="12.5546875" style="73" customWidth="1"/>
    <col min="2572" max="2572" width="13.6640625" style="73" customWidth="1"/>
    <col min="2573" max="2816" width="9.109375" style="73"/>
    <col min="2817" max="2817" width="5.6640625" style="73" customWidth="1"/>
    <col min="2818" max="2818" width="39.6640625" style="73" customWidth="1"/>
    <col min="2819" max="2819" width="22.109375" style="73" customWidth="1"/>
    <col min="2820" max="2820" width="9.5546875" style="73" customWidth="1"/>
    <col min="2821" max="2821" width="20" style="73" customWidth="1"/>
    <col min="2822" max="2822" width="14" style="73" bestFit="1" customWidth="1"/>
    <col min="2823" max="2823" width="12.109375" style="73" customWidth="1"/>
    <col min="2824" max="2824" width="16.109375" style="73" customWidth="1"/>
    <col min="2825" max="2825" width="13.5546875" style="73" customWidth="1"/>
    <col min="2826" max="2826" width="12.33203125" style="73" customWidth="1"/>
    <col min="2827" max="2827" width="12.5546875" style="73" customWidth="1"/>
    <col min="2828" max="2828" width="13.6640625" style="73" customWidth="1"/>
    <col min="2829" max="3072" width="9.109375" style="73"/>
    <col min="3073" max="3073" width="5.6640625" style="73" customWidth="1"/>
    <col min="3074" max="3074" width="39.6640625" style="73" customWidth="1"/>
    <col min="3075" max="3075" width="22.109375" style="73" customWidth="1"/>
    <col min="3076" max="3076" width="9.5546875" style="73" customWidth="1"/>
    <col min="3077" max="3077" width="20" style="73" customWidth="1"/>
    <col min="3078" max="3078" width="14" style="73" bestFit="1" customWidth="1"/>
    <col min="3079" max="3079" width="12.109375" style="73" customWidth="1"/>
    <col min="3080" max="3080" width="16.109375" style="73" customWidth="1"/>
    <col min="3081" max="3081" width="13.5546875" style="73" customWidth="1"/>
    <col min="3082" max="3082" width="12.33203125" style="73" customWidth="1"/>
    <col min="3083" max="3083" width="12.5546875" style="73" customWidth="1"/>
    <col min="3084" max="3084" width="13.6640625" style="73" customWidth="1"/>
    <col min="3085" max="3328" width="9.109375" style="73"/>
    <col min="3329" max="3329" width="5.6640625" style="73" customWidth="1"/>
    <col min="3330" max="3330" width="39.6640625" style="73" customWidth="1"/>
    <col min="3331" max="3331" width="22.109375" style="73" customWidth="1"/>
    <col min="3332" max="3332" width="9.5546875" style="73" customWidth="1"/>
    <col min="3333" max="3333" width="20" style="73" customWidth="1"/>
    <col min="3334" max="3334" width="14" style="73" bestFit="1" customWidth="1"/>
    <col min="3335" max="3335" width="12.109375" style="73" customWidth="1"/>
    <col min="3336" max="3336" width="16.109375" style="73" customWidth="1"/>
    <col min="3337" max="3337" width="13.5546875" style="73" customWidth="1"/>
    <col min="3338" max="3338" width="12.33203125" style="73" customWidth="1"/>
    <col min="3339" max="3339" width="12.5546875" style="73" customWidth="1"/>
    <col min="3340" max="3340" width="13.6640625" style="73" customWidth="1"/>
    <col min="3341" max="3584" width="9.109375" style="73"/>
    <col min="3585" max="3585" width="5.6640625" style="73" customWidth="1"/>
    <col min="3586" max="3586" width="39.6640625" style="73" customWidth="1"/>
    <col min="3587" max="3587" width="22.109375" style="73" customWidth="1"/>
    <col min="3588" max="3588" width="9.5546875" style="73" customWidth="1"/>
    <col min="3589" max="3589" width="20" style="73" customWidth="1"/>
    <col min="3590" max="3590" width="14" style="73" bestFit="1" customWidth="1"/>
    <col min="3591" max="3591" width="12.109375" style="73" customWidth="1"/>
    <col min="3592" max="3592" width="16.109375" style="73" customWidth="1"/>
    <col min="3593" max="3593" width="13.5546875" style="73" customWidth="1"/>
    <col min="3594" max="3594" width="12.33203125" style="73" customWidth="1"/>
    <col min="3595" max="3595" width="12.5546875" style="73" customWidth="1"/>
    <col min="3596" max="3596" width="13.6640625" style="73" customWidth="1"/>
    <col min="3597" max="3840" width="9.109375" style="73"/>
    <col min="3841" max="3841" width="5.6640625" style="73" customWidth="1"/>
    <col min="3842" max="3842" width="39.6640625" style="73" customWidth="1"/>
    <col min="3843" max="3843" width="22.109375" style="73" customWidth="1"/>
    <col min="3844" max="3844" width="9.5546875" style="73" customWidth="1"/>
    <col min="3845" max="3845" width="20" style="73" customWidth="1"/>
    <col min="3846" max="3846" width="14" style="73" bestFit="1" customWidth="1"/>
    <col min="3847" max="3847" width="12.109375" style="73" customWidth="1"/>
    <col min="3848" max="3848" width="16.109375" style="73" customWidth="1"/>
    <col min="3849" max="3849" width="13.5546875" style="73" customWidth="1"/>
    <col min="3850" max="3850" width="12.33203125" style="73" customWidth="1"/>
    <col min="3851" max="3851" width="12.5546875" style="73" customWidth="1"/>
    <col min="3852" max="3852" width="13.6640625" style="73" customWidth="1"/>
    <col min="3853" max="4096" width="9.109375" style="73"/>
    <col min="4097" max="4097" width="5.6640625" style="73" customWidth="1"/>
    <col min="4098" max="4098" width="39.6640625" style="73" customWidth="1"/>
    <col min="4099" max="4099" width="22.109375" style="73" customWidth="1"/>
    <col min="4100" max="4100" width="9.5546875" style="73" customWidth="1"/>
    <col min="4101" max="4101" width="20" style="73" customWidth="1"/>
    <col min="4102" max="4102" width="14" style="73" bestFit="1" customWidth="1"/>
    <col min="4103" max="4103" width="12.109375" style="73" customWidth="1"/>
    <col min="4104" max="4104" width="16.109375" style="73" customWidth="1"/>
    <col min="4105" max="4105" width="13.5546875" style="73" customWidth="1"/>
    <col min="4106" max="4106" width="12.33203125" style="73" customWidth="1"/>
    <col min="4107" max="4107" width="12.5546875" style="73" customWidth="1"/>
    <col min="4108" max="4108" width="13.6640625" style="73" customWidth="1"/>
    <col min="4109" max="4352" width="9.109375" style="73"/>
    <col min="4353" max="4353" width="5.6640625" style="73" customWidth="1"/>
    <col min="4354" max="4354" width="39.6640625" style="73" customWidth="1"/>
    <col min="4355" max="4355" width="22.109375" style="73" customWidth="1"/>
    <col min="4356" max="4356" width="9.5546875" style="73" customWidth="1"/>
    <col min="4357" max="4357" width="20" style="73" customWidth="1"/>
    <col min="4358" max="4358" width="14" style="73" bestFit="1" customWidth="1"/>
    <col min="4359" max="4359" width="12.109375" style="73" customWidth="1"/>
    <col min="4360" max="4360" width="16.109375" style="73" customWidth="1"/>
    <col min="4361" max="4361" width="13.5546875" style="73" customWidth="1"/>
    <col min="4362" max="4362" width="12.33203125" style="73" customWidth="1"/>
    <col min="4363" max="4363" width="12.5546875" style="73" customWidth="1"/>
    <col min="4364" max="4364" width="13.6640625" style="73" customWidth="1"/>
    <col min="4365" max="4608" width="9.109375" style="73"/>
    <col min="4609" max="4609" width="5.6640625" style="73" customWidth="1"/>
    <col min="4610" max="4610" width="39.6640625" style="73" customWidth="1"/>
    <col min="4611" max="4611" width="22.109375" style="73" customWidth="1"/>
    <col min="4612" max="4612" width="9.5546875" style="73" customWidth="1"/>
    <col min="4613" max="4613" width="20" style="73" customWidth="1"/>
    <col min="4614" max="4614" width="14" style="73" bestFit="1" customWidth="1"/>
    <col min="4615" max="4615" width="12.109375" style="73" customWidth="1"/>
    <col min="4616" max="4616" width="16.109375" style="73" customWidth="1"/>
    <col min="4617" max="4617" width="13.5546875" style="73" customWidth="1"/>
    <col min="4618" max="4618" width="12.33203125" style="73" customWidth="1"/>
    <col min="4619" max="4619" width="12.5546875" style="73" customWidth="1"/>
    <col min="4620" max="4620" width="13.6640625" style="73" customWidth="1"/>
    <col min="4621" max="4864" width="9.109375" style="73"/>
    <col min="4865" max="4865" width="5.6640625" style="73" customWidth="1"/>
    <col min="4866" max="4866" width="39.6640625" style="73" customWidth="1"/>
    <col min="4867" max="4867" width="22.109375" style="73" customWidth="1"/>
    <col min="4868" max="4868" width="9.5546875" style="73" customWidth="1"/>
    <col min="4869" max="4869" width="20" style="73" customWidth="1"/>
    <col min="4870" max="4870" width="14" style="73" bestFit="1" customWidth="1"/>
    <col min="4871" max="4871" width="12.109375" style="73" customWidth="1"/>
    <col min="4872" max="4872" width="16.109375" style="73" customWidth="1"/>
    <col min="4873" max="4873" width="13.5546875" style="73" customWidth="1"/>
    <col min="4874" max="4874" width="12.33203125" style="73" customWidth="1"/>
    <col min="4875" max="4875" width="12.5546875" style="73" customWidth="1"/>
    <col min="4876" max="4876" width="13.6640625" style="73" customWidth="1"/>
    <col min="4877" max="5120" width="9.109375" style="73"/>
    <col min="5121" max="5121" width="5.6640625" style="73" customWidth="1"/>
    <col min="5122" max="5122" width="39.6640625" style="73" customWidth="1"/>
    <col min="5123" max="5123" width="22.109375" style="73" customWidth="1"/>
    <col min="5124" max="5124" width="9.5546875" style="73" customWidth="1"/>
    <col min="5125" max="5125" width="20" style="73" customWidth="1"/>
    <col min="5126" max="5126" width="14" style="73" bestFit="1" customWidth="1"/>
    <col min="5127" max="5127" width="12.109375" style="73" customWidth="1"/>
    <col min="5128" max="5128" width="16.109375" style="73" customWidth="1"/>
    <col min="5129" max="5129" width="13.5546875" style="73" customWidth="1"/>
    <col min="5130" max="5130" width="12.33203125" style="73" customWidth="1"/>
    <col min="5131" max="5131" width="12.5546875" style="73" customWidth="1"/>
    <col min="5132" max="5132" width="13.6640625" style="73" customWidth="1"/>
    <col min="5133" max="5376" width="9.109375" style="73"/>
    <col min="5377" max="5377" width="5.6640625" style="73" customWidth="1"/>
    <col min="5378" max="5378" width="39.6640625" style="73" customWidth="1"/>
    <col min="5379" max="5379" width="22.109375" style="73" customWidth="1"/>
    <col min="5380" max="5380" width="9.5546875" style="73" customWidth="1"/>
    <col min="5381" max="5381" width="20" style="73" customWidth="1"/>
    <col min="5382" max="5382" width="14" style="73" bestFit="1" customWidth="1"/>
    <col min="5383" max="5383" width="12.109375" style="73" customWidth="1"/>
    <col min="5384" max="5384" width="16.109375" style="73" customWidth="1"/>
    <col min="5385" max="5385" width="13.5546875" style="73" customWidth="1"/>
    <col min="5386" max="5386" width="12.33203125" style="73" customWidth="1"/>
    <col min="5387" max="5387" width="12.5546875" style="73" customWidth="1"/>
    <col min="5388" max="5388" width="13.6640625" style="73" customWidth="1"/>
    <col min="5389" max="5632" width="9.109375" style="73"/>
    <col min="5633" max="5633" width="5.6640625" style="73" customWidth="1"/>
    <col min="5634" max="5634" width="39.6640625" style="73" customWidth="1"/>
    <col min="5635" max="5635" width="22.109375" style="73" customWidth="1"/>
    <col min="5636" max="5636" width="9.5546875" style="73" customWidth="1"/>
    <col min="5637" max="5637" width="20" style="73" customWidth="1"/>
    <col min="5638" max="5638" width="14" style="73" bestFit="1" customWidth="1"/>
    <col min="5639" max="5639" width="12.109375" style="73" customWidth="1"/>
    <col min="5640" max="5640" width="16.109375" style="73" customWidth="1"/>
    <col min="5641" max="5641" width="13.5546875" style="73" customWidth="1"/>
    <col min="5642" max="5642" width="12.33203125" style="73" customWidth="1"/>
    <col min="5643" max="5643" width="12.5546875" style="73" customWidth="1"/>
    <col min="5644" max="5644" width="13.6640625" style="73" customWidth="1"/>
    <col min="5645" max="5888" width="9.109375" style="73"/>
    <col min="5889" max="5889" width="5.6640625" style="73" customWidth="1"/>
    <col min="5890" max="5890" width="39.6640625" style="73" customWidth="1"/>
    <col min="5891" max="5891" width="22.109375" style="73" customWidth="1"/>
    <col min="5892" max="5892" width="9.5546875" style="73" customWidth="1"/>
    <col min="5893" max="5893" width="20" style="73" customWidth="1"/>
    <col min="5894" max="5894" width="14" style="73" bestFit="1" customWidth="1"/>
    <col min="5895" max="5895" width="12.109375" style="73" customWidth="1"/>
    <col min="5896" max="5896" width="16.109375" style="73" customWidth="1"/>
    <col min="5897" max="5897" width="13.5546875" style="73" customWidth="1"/>
    <col min="5898" max="5898" width="12.33203125" style="73" customWidth="1"/>
    <col min="5899" max="5899" width="12.5546875" style="73" customWidth="1"/>
    <col min="5900" max="5900" width="13.6640625" style="73" customWidth="1"/>
    <col min="5901" max="6144" width="9.109375" style="73"/>
    <col min="6145" max="6145" width="5.6640625" style="73" customWidth="1"/>
    <col min="6146" max="6146" width="39.6640625" style="73" customWidth="1"/>
    <col min="6147" max="6147" width="22.109375" style="73" customWidth="1"/>
    <col min="6148" max="6148" width="9.5546875" style="73" customWidth="1"/>
    <col min="6149" max="6149" width="20" style="73" customWidth="1"/>
    <col min="6150" max="6150" width="14" style="73" bestFit="1" customWidth="1"/>
    <col min="6151" max="6151" width="12.109375" style="73" customWidth="1"/>
    <col min="6152" max="6152" width="16.109375" style="73" customWidth="1"/>
    <col min="6153" max="6153" width="13.5546875" style="73" customWidth="1"/>
    <col min="6154" max="6154" width="12.33203125" style="73" customWidth="1"/>
    <col min="6155" max="6155" width="12.5546875" style="73" customWidth="1"/>
    <col min="6156" max="6156" width="13.6640625" style="73" customWidth="1"/>
    <col min="6157" max="6400" width="9.109375" style="73"/>
    <col min="6401" max="6401" width="5.6640625" style="73" customWidth="1"/>
    <col min="6402" max="6402" width="39.6640625" style="73" customWidth="1"/>
    <col min="6403" max="6403" width="22.109375" style="73" customWidth="1"/>
    <col min="6404" max="6404" width="9.5546875" style="73" customWidth="1"/>
    <col min="6405" max="6405" width="20" style="73" customWidth="1"/>
    <col min="6406" max="6406" width="14" style="73" bestFit="1" customWidth="1"/>
    <col min="6407" max="6407" width="12.109375" style="73" customWidth="1"/>
    <col min="6408" max="6408" width="16.109375" style="73" customWidth="1"/>
    <col min="6409" max="6409" width="13.5546875" style="73" customWidth="1"/>
    <col min="6410" max="6410" width="12.33203125" style="73" customWidth="1"/>
    <col min="6411" max="6411" width="12.5546875" style="73" customWidth="1"/>
    <col min="6412" max="6412" width="13.6640625" style="73" customWidth="1"/>
    <col min="6413" max="6656" width="9.109375" style="73"/>
    <col min="6657" max="6657" width="5.6640625" style="73" customWidth="1"/>
    <col min="6658" max="6658" width="39.6640625" style="73" customWidth="1"/>
    <col min="6659" max="6659" width="22.109375" style="73" customWidth="1"/>
    <col min="6660" max="6660" width="9.5546875" style="73" customWidth="1"/>
    <col min="6661" max="6661" width="20" style="73" customWidth="1"/>
    <col min="6662" max="6662" width="14" style="73" bestFit="1" customWidth="1"/>
    <col min="6663" max="6663" width="12.109375" style="73" customWidth="1"/>
    <col min="6664" max="6664" width="16.109375" style="73" customWidth="1"/>
    <col min="6665" max="6665" width="13.5546875" style="73" customWidth="1"/>
    <col min="6666" max="6666" width="12.33203125" style="73" customWidth="1"/>
    <col min="6667" max="6667" width="12.5546875" style="73" customWidth="1"/>
    <col min="6668" max="6668" width="13.6640625" style="73" customWidth="1"/>
    <col min="6669" max="6912" width="9.109375" style="73"/>
    <col min="6913" max="6913" width="5.6640625" style="73" customWidth="1"/>
    <col min="6914" max="6914" width="39.6640625" style="73" customWidth="1"/>
    <col min="6915" max="6915" width="22.109375" style="73" customWidth="1"/>
    <col min="6916" max="6916" width="9.5546875" style="73" customWidth="1"/>
    <col min="6917" max="6917" width="20" style="73" customWidth="1"/>
    <col min="6918" max="6918" width="14" style="73" bestFit="1" customWidth="1"/>
    <col min="6919" max="6919" width="12.109375" style="73" customWidth="1"/>
    <col min="6920" max="6920" width="16.109375" style="73" customWidth="1"/>
    <col min="6921" max="6921" width="13.5546875" style="73" customWidth="1"/>
    <col min="6922" max="6922" width="12.33203125" style="73" customWidth="1"/>
    <col min="6923" max="6923" width="12.5546875" style="73" customWidth="1"/>
    <col min="6924" max="6924" width="13.6640625" style="73" customWidth="1"/>
    <col min="6925" max="7168" width="9.109375" style="73"/>
    <col min="7169" max="7169" width="5.6640625" style="73" customWidth="1"/>
    <col min="7170" max="7170" width="39.6640625" style="73" customWidth="1"/>
    <col min="7171" max="7171" width="22.109375" style="73" customWidth="1"/>
    <col min="7172" max="7172" width="9.5546875" style="73" customWidth="1"/>
    <col min="7173" max="7173" width="20" style="73" customWidth="1"/>
    <col min="7174" max="7174" width="14" style="73" bestFit="1" customWidth="1"/>
    <col min="7175" max="7175" width="12.109375" style="73" customWidth="1"/>
    <col min="7176" max="7176" width="16.109375" style="73" customWidth="1"/>
    <col min="7177" max="7177" width="13.5546875" style="73" customWidth="1"/>
    <col min="7178" max="7178" width="12.33203125" style="73" customWidth="1"/>
    <col min="7179" max="7179" width="12.5546875" style="73" customWidth="1"/>
    <col min="7180" max="7180" width="13.6640625" style="73" customWidth="1"/>
    <col min="7181" max="7424" width="9.109375" style="73"/>
    <col min="7425" max="7425" width="5.6640625" style="73" customWidth="1"/>
    <col min="7426" max="7426" width="39.6640625" style="73" customWidth="1"/>
    <col min="7427" max="7427" width="22.109375" style="73" customWidth="1"/>
    <col min="7428" max="7428" width="9.5546875" style="73" customWidth="1"/>
    <col min="7429" max="7429" width="20" style="73" customWidth="1"/>
    <col min="7430" max="7430" width="14" style="73" bestFit="1" customWidth="1"/>
    <col min="7431" max="7431" width="12.109375" style="73" customWidth="1"/>
    <col min="7432" max="7432" width="16.109375" style="73" customWidth="1"/>
    <col min="7433" max="7433" width="13.5546875" style="73" customWidth="1"/>
    <col min="7434" max="7434" width="12.33203125" style="73" customWidth="1"/>
    <col min="7435" max="7435" width="12.5546875" style="73" customWidth="1"/>
    <col min="7436" max="7436" width="13.6640625" style="73" customWidth="1"/>
    <col min="7437" max="7680" width="9.109375" style="73"/>
    <col min="7681" max="7681" width="5.6640625" style="73" customWidth="1"/>
    <col min="7682" max="7682" width="39.6640625" style="73" customWidth="1"/>
    <col min="7683" max="7683" width="22.109375" style="73" customWidth="1"/>
    <col min="7684" max="7684" width="9.5546875" style="73" customWidth="1"/>
    <col min="7685" max="7685" width="20" style="73" customWidth="1"/>
    <col min="7686" max="7686" width="14" style="73" bestFit="1" customWidth="1"/>
    <col min="7687" max="7687" width="12.109375" style="73" customWidth="1"/>
    <col min="7688" max="7688" width="16.109375" style="73" customWidth="1"/>
    <col min="7689" max="7689" width="13.5546875" style="73" customWidth="1"/>
    <col min="7690" max="7690" width="12.33203125" style="73" customWidth="1"/>
    <col min="7691" max="7691" width="12.5546875" style="73" customWidth="1"/>
    <col min="7692" max="7692" width="13.6640625" style="73" customWidth="1"/>
    <col min="7693" max="7936" width="9.109375" style="73"/>
    <col min="7937" max="7937" width="5.6640625" style="73" customWidth="1"/>
    <col min="7938" max="7938" width="39.6640625" style="73" customWidth="1"/>
    <col min="7939" max="7939" width="22.109375" style="73" customWidth="1"/>
    <col min="7940" max="7940" width="9.5546875" style="73" customWidth="1"/>
    <col min="7941" max="7941" width="20" style="73" customWidth="1"/>
    <col min="7942" max="7942" width="14" style="73" bestFit="1" customWidth="1"/>
    <col min="7943" max="7943" width="12.109375" style="73" customWidth="1"/>
    <col min="7944" max="7944" width="16.109375" style="73" customWidth="1"/>
    <col min="7945" max="7945" width="13.5546875" style="73" customWidth="1"/>
    <col min="7946" max="7946" width="12.33203125" style="73" customWidth="1"/>
    <col min="7947" max="7947" width="12.5546875" style="73" customWidth="1"/>
    <col min="7948" max="7948" width="13.6640625" style="73" customWidth="1"/>
    <col min="7949" max="8192" width="9.109375" style="73"/>
    <col min="8193" max="8193" width="5.6640625" style="73" customWidth="1"/>
    <col min="8194" max="8194" width="39.6640625" style="73" customWidth="1"/>
    <col min="8195" max="8195" width="22.109375" style="73" customWidth="1"/>
    <col min="8196" max="8196" width="9.5546875" style="73" customWidth="1"/>
    <col min="8197" max="8197" width="20" style="73" customWidth="1"/>
    <col min="8198" max="8198" width="14" style="73" bestFit="1" customWidth="1"/>
    <col min="8199" max="8199" width="12.109375" style="73" customWidth="1"/>
    <col min="8200" max="8200" width="16.109375" style="73" customWidth="1"/>
    <col min="8201" max="8201" width="13.5546875" style="73" customWidth="1"/>
    <col min="8202" max="8202" width="12.33203125" style="73" customWidth="1"/>
    <col min="8203" max="8203" width="12.5546875" style="73" customWidth="1"/>
    <col min="8204" max="8204" width="13.6640625" style="73" customWidth="1"/>
    <col min="8205" max="8448" width="9.109375" style="73"/>
    <col min="8449" max="8449" width="5.6640625" style="73" customWidth="1"/>
    <col min="8450" max="8450" width="39.6640625" style="73" customWidth="1"/>
    <col min="8451" max="8451" width="22.109375" style="73" customWidth="1"/>
    <col min="8452" max="8452" width="9.5546875" style="73" customWidth="1"/>
    <col min="8453" max="8453" width="20" style="73" customWidth="1"/>
    <col min="8454" max="8454" width="14" style="73" bestFit="1" customWidth="1"/>
    <col min="8455" max="8455" width="12.109375" style="73" customWidth="1"/>
    <col min="8456" max="8456" width="16.109375" style="73" customWidth="1"/>
    <col min="8457" max="8457" width="13.5546875" style="73" customWidth="1"/>
    <col min="8458" max="8458" width="12.33203125" style="73" customWidth="1"/>
    <col min="8459" max="8459" width="12.5546875" style="73" customWidth="1"/>
    <col min="8460" max="8460" width="13.6640625" style="73" customWidth="1"/>
    <col min="8461" max="8704" width="9.109375" style="73"/>
    <col min="8705" max="8705" width="5.6640625" style="73" customWidth="1"/>
    <col min="8706" max="8706" width="39.6640625" style="73" customWidth="1"/>
    <col min="8707" max="8707" width="22.109375" style="73" customWidth="1"/>
    <col min="8708" max="8708" width="9.5546875" style="73" customWidth="1"/>
    <col min="8709" max="8709" width="20" style="73" customWidth="1"/>
    <col min="8710" max="8710" width="14" style="73" bestFit="1" customWidth="1"/>
    <col min="8711" max="8711" width="12.109375" style="73" customWidth="1"/>
    <col min="8712" max="8712" width="16.109375" style="73" customWidth="1"/>
    <col min="8713" max="8713" width="13.5546875" style="73" customWidth="1"/>
    <col min="8714" max="8714" width="12.33203125" style="73" customWidth="1"/>
    <col min="8715" max="8715" width="12.5546875" style="73" customWidth="1"/>
    <col min="8716" max="8716" width="13.6640625" style="73" customWidth="1"/>
    <col min="8717" max="8960" width="9.109375" style="73"/>
    <col min="8961" max="8961" width="5.6640625" style="73" customWidth="1"/>
    <col min="8962" max="8962" width="39.6640625" style="73" customWidth="1"/>
    <col min="8963" max="8963" width="22.109375" style="73" customWidth="1"/>
    <col min="8964" max="8964" width="9.5546875" style="73" customWidth="1"/>
    <col min="8965" max="8965" width="20" style="73" customWidth="1"/>
    <col min="8966" max="8966" width="14" style="73" bestFit="1" customWidth="1"/>
    <col min="8967" max="8967" width="12.109375" style="73" customWidth="1"/>
    <col min="8968" max="8968" width="16.109375" style="73" customWidth="1"/>
    <col min="8969" max="8969" width="13.5546875" style="73" customWidth="1"/>
    <col min="8970" max="8970" width="12.33203125" style="73" customWidth="1"/>
    <col min="8971" max="8971" width="12.5546875" style="73" customWidth="1"/>
    <col min="8972" max="8972" width="13.6640625" style="73" customWidth="1"/>
    <col min="8973" max="9216" width="9.109375" style="73"/>
    <col min="9217" max="9217" width="5.6640625" style="73" customWidth="1"/>
    <col min="9218" max="9218" width="39.6640625" style="73" customWidth="1"/>
    <col min="9219" max="9219" width="22.109375" style="73" customWidth="1"/>
    <col min="9220" max="9220" width="9.5546875" style="73" customWidth="1"/>
    <col min="9221" max="9221" width="20" style="73" customWidth="1"/>
    <col min="9222" max="9222" width="14" style="73" bestFit="1" customWidth="1"/>
    <col min="9223" max="9223" width="12.109375" style="73" customWidth="1"/>
    <col min="9224" max="9224" width="16.109375" style="73" customWidth="1"/>
    <col min="9225" max="9225" width="13.5546875" style="73" customWidth="1"/>
    <col min="9226" max="9226" width="12.33203125" style="73" customWidth="1"/>
    <col min="9227" max="9227" width="12.5546875" style="73" customWidth="1"/>
    <col min="9228" max="9228" width="13.6640625" style="73" customWidth="1"/>
    <col min="9229" max="9472" width="9.109375" style="73"/>
    <col min="9473" max="9473" width="5.6640625" style="73" customWidth="1"/>
    <col min="9474" max="9474" width="39.6640625" style="73" customWidth="1"/>
    <col min="9475" max="9475" width="22.109375" style="73" customWidth="1"/>
    <col min="9476" max="9476" width="9.5546875" style="73" customWidth="1"/>
    <col min="9477" max="9477" width="20" style="73" customWidth="1"/>
    <col min="9478" max="9478" width="14" style="73" bestFit="1" customWidth="1"/>
    <col min="9479" max="9479" width="12.109375" style="73" customWidth="1"/>
    <col min="9480" max="9480" width="16.109375" style="73" customWidth="1"/>
    <col min="9481" max="9481" width="13.5546875" style="73" customWidth="1"/>
    <col min="9482" max="9482" width="12.33203125" style="73" customWidth="1"/>
    <col min="9483" max="9483" width="12.5546875" style="73" customWidth="1"/>
    <col min="9484" max="9484" width="13.6640625" style="73" customWidth="1"/>
    <col min="9485" max="9728" width="9.109375" style="73"/>
    <col min="9729" max="9729" width="5.6640625" style="73" customWidth="1"/>
    <col min="9730" max="9730" width="39.6640625" style="73" customWidth="1"/>
    <col min="9731" max="9731" width="22.109375" style="73" customWidth="1"/>
    <col min="9732" max="9732" width="9.5546875" style="73" customWidth="1"/>
    <col min="9733" max="9733" width="20" style="73" customWidth="1"/>
    <col min="9734" max="9734" width="14" style="73" bestFit="1" customWidth="1"/>
    <col min="9735" max="9735" width="12.109375" style="73" customWidth="1"/>
    <col min="9736" max="9736" width="16.109375" style="73" customWidth="1"/>
    <col min="9737" max="9737" width="13.5546875" style="73" customWidth="1"/>
    <col min="9738" max="9738" width="12.33203125" style="73" customWidth="1"/>
    <col min="9739" max="9739" width="12.5546875" style="73" customWidth="1"/>
    <col min="9740" max="9740" width="13.6640625" style="73" customWidth="1"/>
    <col min="9741" max="9984" width="9.109375" style="73"/>
    <col min="9985" max="9985" width="5.6640625" style="73" customWidth="1"/>
    <col min="9986" max="9986" width="39.6640625" style="73" customWidth="1"/>
    <col min="9987" max="9987" width="22.109375" style="73" customWidth="1"/>
    <col min="9988" max="9988" width="9.5546875" style="73" customWidth="1"/>
    <col min="9989" max="9989" width="20" style="73" customWidth="1"/>
    <col min="9990" max="9990" width="14" style="73" bestFit="1" customWidth="1"/>
    <col min="9991" max="9991" width="12.109375" style="73" customWidth="1"/>
    <col min="9992" max="9992" width="16.109375" style="73" customWidth="1"/>
    <col min="9993" max="9993" width="13.5546875" style="73" customWidth="1"/>
    <col min="9994" max="9994" width="12.33203125" style="73" customWidth="1"/>
    <col min="9995" max="9995" width="12.5546875" style="73" customWidth="1"/>
    <col min="9996" max="9996" width="13.6640625" style="73" customWidth="1"/>
    <col min="9997" max="10240" width="9.109375" style="73"/>
    <col min="10241" max="10241" width="5.6640625" style="73" customWidth="1"/>
    <col min="10242" max="10242" width="39.6640625" style="73" customWidth="1"/>
    <col min="10243" max="10243" width="22.109375" style="73" customWidth="1"/>
    <col min="10244" max="10244" width="9.5546875" style="73" customWidth="1"/>
    <col min="10245" max="10245" width="20" style="73" customWidth="1"/>
    <col min="10246" max="10246" width="14" style="73" bestFit="1" customWidth="1"/>
    <col min="10247" max="10247" width="12.109375" style="73" customWidth="1"/>
    <col min="10248" max="10248" width="16.109375" style="73" customWidth="1"/>
    <col min="10249" max="10249" width="13.5546875" style="73" customWidth="1"/>
    <col min="10250" max="10250" width="12.33203125" style="73" customWidth="1"/>
    <col min="10251" max="10251" width="12.5546875" style="73" customWidth="1"/>
    <col min="10252" max="10252" width="13.6640625" style="73" customWidth="1"/>
    <col min="10253" max="10496" width="9.109375" style="73"/>
    <col min="10497" max="10497" width="5.6640625" style="73" customWidth="1"/>
    <col min="10498" max="10498" width="39.6640625" style="73" customWidth="1"/>
    <col min="10499" max="10499" width="22.109375" style="73" customWidth="1"/>
    <col min="10500" max="10500" width="9.5546875" style="73" customWidth="1"/>
    <col min="10501" max="10501" width="20" style="73" customWidth="1"/>
    <col min="10502" max="10502" width="14" style="73" bestFit="1" customWidth="1"/>
    <col min="10503" max="10503" width="12.109375" style="73" customWidth="1"/>
    <col min="10504" max="10504" width="16.109375" style="73" customWidth="1"/>
    <col min="10505" max="10505" width="13.5546875" style="73" customWidth="1"/>
    <col min="10506" max="10506" width="12.33203125" style="73" customWidth="1"/>
    <col min="10507" max="10507" width="12.5546875" style="73" customWidth="1"/>
    <col min="10508" max="10508" width="13.6640625" style="73" customWidth="1"/>
    <col min="10509" max="10752" width="9.109375" style="73"/>
    <col min="10753" max="10753" width="5.6640625" style="73" customWidth="1"/>
    <col min="10754" max="10754" width="39.6640625" style="73" customWidth="1"/>
    <col min="10755" max="10755" width="22.109375" style="73" customWidth="1"/>
    <col min="10756" max="10756" width="9.5546875" style="73" customWidth="1"/>
    <col min="10757" max="10757" width="20" style="73" customWidth="1"/>
    <col min="10758" max="10758" width="14" style="73" bestFit="1" customWidth="1"/>
    <col min="10759" max="10759" width="12.109375" style="73" customWidth="1"/>
    <col min="10760" max="10760" width="16.109375" style="73" customWidth="1"/>
    <col min="10761" max="10761" width="13.5546875" style="73" customWidth="1"/>
    <col min="10762" max="10762" width="12.33203125" style="73" customWidth="1"/>
    <col min="10763" max="10763" width="12.5546875" style="73" customWidth="1"/>
    <col min="10764" max="10764" width="13.6640625" style="73" customWidth="1"/>
    <col min="10765" max="11008" width="9.109375" style="73"/>
    <col min="11009" max="11009" width="5.6640625" style="73" customWidth="1"/>
    <col min="11010" max="11010" width="39.6640625" style="73" customWidth="1"/>
    <col min="11011" max="11011" width="22.109375" style="73" customWidth="1"/>
    <col min="11012" max="11012" width="9.5546875" style="73" customWidth="1"/>
    <col min="11013" max="11013" width="20" style="73" customWidth="1"/>
    <col min="11014" max="11014" width="14" style="73" bestFit="1" customWidth="1"/>
    <col min="11015" max="11015" width="12.109375" style="73" customWidth="1"/>
    <col min="11016" max="11016" width="16.109375" style="73" customWidth="1"/>
    <col min="11017" max="11017" width="13.5546875" style="73" customWidth="1"/>
    <col min="11018" max="11018" width="12.33203125" style="73" customWidth="1"/>
    <col min="11019" max="11019" width="12.5546875" style="73" customWidth="1"/>
    <col min="11020" max="11020" width="13.6640625" style="73" customWidth="1"/>
    <col min="11021" max="11264" width="9.109375" style="73"/>
    <col min="11265" max="11265" width="5.6640625" style="73" customWidth="1"/>
    <col min="11266" max="11266" width="39.6640625" style="73" customWidth="1"/>
    <col min="11267" max="11267" width="22.109375" style="73" customWidth="1"/>
    <col min="11268" max="11268" width="9.5546875" style="73" customWidth="1"/>
    <col min="11269" max="11269" width="20" style="73" customWidth="1"/>
    <col min="11270" max="11270" width="14" style="73" bestFit="1" customWidth="1"/>
    <col min="11271" max="11271" width="12.109375" style="73" customWidth="1"/>
    <col min="11272" max="11272" width="16.109375" style="73" customWidth="1"/>
    <col min="11273" max="11273" width="13.5546875" style="73" customWidth="1"/>
    <col min="11274" max="11274" width="12.33203125" style="73" customWidth="1"/>
    <col min="11275" max="11275" width="12.5546875" style="73" customWidth="1"/>
    <col min="11276" max="11276" width="13.6640625" style="73" customWidth="1"/>
    <col min="11277" max="11520" width="9.109375" style="73"/>
    <col min="11521" max="11521" width="5.6640625" style="73" customWidth="1"/>
    <col min="11522" max="11522" width="39.6640625" style="73" customWidth="1"/>
    <col min="11523" max="11523" width="22.109375" style="73" customWidth="1"/>
    <col min="11524" max="11524" width="9.5546875" style="73" customWidth="1"/>
    <col min="11525" max="11525" width="20" style="73" customWidth="1"/>
    <col min="11526" max="11526" width="14" style="73" bestFit="1" customWidth="1"/>
    <col min="11527" max="11527" width="12.109375" style="73" customWidth="1"/>
    <col min="11528" max="11528" width="16.109375" style="73" customWidth="1"/>
    <col min="11529" max="11529" width="13.5546875" style="73" customWidth="1"/>
    <col min="11530" max="11530" width="12.33203125" style="73" customWidth="1"/>
    <col min="11531" max="11531" width="12.5546875" style="73" customWidth="1"/>
    <col min="11532" max="11532" width="13.6640625" style="73" customWidth="1"/>
    <col min="11533" max="11776" width="9.109375" style="73"/>
    <col min="11777" max="11777" width="5.6640625" style="73" customWidth="1"/>
    <col min="11778" max="11778" width="39.6640625" style="73" customWidth="1"/>
    <col min="11779" max="11779" width="22.109375" style="73" customWidth="1"/>
    <col min="11780" max="11780" width="9.5546875" style="73" customWidth="1"/>
    <col min="11781" max="11781" width="20" style="73" customWidth="1"/>
    <col min="11782" max="11782" width="14" style="73" bestFit="1" customWidth="1"/>
    <col min="11783" max="11783" width="12.109375" style="73" customWidth="1"/>
    <col min="11784" max="11784" width="16.109375" style="73" customWidth="1"/>
    <col min="11785" max="11785" width="13.5546875" style="73" customWidth="1"/>
    <col min="11786" max="11786" width="12.33203125" style="73" customWidth="1"/>
    <col min="11787" max="11787" width="12.5546875" style="73" customWidth="1"/>
    <col min="11788" max="11788" width="13.6640625" style="73" customWidth="1"/>
    <col min="11789" max="12032" width="9.109375" style="73"/>
    <col min="12033" max="12033" width="5.6640625" style="73" customWidth="1"/>
    <col min="12034" max="12034" width="39.6640625" style="73" customWidth="1"/>
    <col min="12035" max="12035" width="22.109375" style="73" customWidth="1"/>
    <col min="12036" max="12036" width="9.5546875" style="73" customWidth="1"/>
    <col min="12037" max="12037" width="20" style="73" customWidth="1"/>
    <col min="12038" max="12038" width="14" style="73" bestFit="1" customWidth="1"/>
    <col min="12039" max="12039" width="12.109375" style="73" customWidth="1"/>
    <col min="12040" max="12040" width="16.109375" style="73" customWidth="1"/>
    <col min="12041" max="12041" width="13.5546875" style="73" customWidth="1"/>
    <col min="12042" max="12042" width="12.33203125" style="73" customWidth="1"/>
    <col min="12043" max="12043" width="12.5546875" style="73" customWidth="1"/>
    <col min="12044" max="12044" width="13.6640625" style="73" customWidth="1"/>
    <col min="12045" max="12288" width="9.109375" style="73"/>
    <col min="12289" max="12289" width="5.6640625" style="73" customWidth="1"/>
    <col min="12290" max="12290" width="39.6640625" style="73" customWidth="1"/>
    <col min="12291" max="12291" width="22.109375" style="73" customWidth="1"/>
    <col min="12292" max="12292" width="9.5546875" style="73" customWidth="1"/>
    <col min="12293" max="12293" width="20" style="73" customWidth="1"/>
    <col min="12294" max="12294" width="14" style="73" bestFit="1" customWidth="1"/>
    <col min="12295" max="12295" width="12.109375" style="73" customWidth="1"/>
    <col min="12296" max="12296" width="16.109375" style="73" customWidth="1"/>
    <col min="12297" max="12297" width="13.5546875" style="73" customWidth="1"/>
    <col min="12298" max="12298" width="12.33203125" style="73" customWidth="1"/>
    <col min="12299" max="12299" width="12.5546875" style="73" customWidth="1"/>
    <col min="12300" max="12300" width="13.6640625" style="73" customWidth="1"/>
    <col min="12301" max="12544" width="9.109375" style="73"/>
    <col min="12545" max="12545" width="5.6640625" style="73" customWidth="1"/>
    <col min="12546" max="12546" width="39.6640625" style="73" customWidth="1"/>
    <col min="12547" max="12547" width="22.109375" style="73" customWidth="1"/>
    <col min="12548" max="12548" width="9.5546875" style="73" customWidth="1"/>
    <col min="12549" max="12549" width="20" style="73" customWidth="1"/>
    <col min="12550" max="12550" width="14" style="73" bestFit="1" customWidth="1"/>
    <col min="12551" max="12551" width="12.109375" style="73" customWidth="1"/>
    <col min="12552" max="12552" width="16.109375" style="73" customWidth="1"/>
    <col min="12553" max="12553" width="13.5546875" style="73" customWidth="1"/>
    <col min="12554" max="12554" width="12.33203125" style="73" customWidth="1"/>
    <col min="12555" max="12555" width="12.5546875" style="73" customWidth="1"/>
    <col min="12556" max="12556" width="13.6640625" style="73" customWidth="1"/>
    <col min="12557" max="12800" width="9.109375" style="73"/>
    <col min="12801" max="12801" width="5.6640625" style="73" customWidth="1"/>
    <col min="12802" max="12802" width="39.6640625" style="73" customWidth="1"/>
    <col min="12803" max="12803" width="22.109375" style="73" customWidth="1"/>
    <col min="12804" max="12804" width="9.5546875" style="73" customWidth="1"/>
    <col min="12805" max="12805" width="20" style="73" customWidth="1"/>
    <col min="12806" max="12806" width="14" style="73" bestFit="1" customWidth="1"/>
    <col min="12807" max="12807" width="12.109375" style="73" customWidth="1"/>
    <col min="12808" max="12808" width="16.109375" style="73" customWidth="1"/>
    <col min="12809" max="12809" width="13.5546875" style="73" customWidth="1"/>
    <col min="12810" max="12810" width="12.33203125" style="73" customWidth="1"/>
    <col min="12811" max="12811" width="12.5546875" style="73" customWidth="1"/>
    <col min="12812" max="12812" width="13.6640625" style="73" customWidth="1"/>
    <col min="12813" max="13056" width="9.109375" style="73"/>
    <col min="13057" max="13057" width="5.6640625" style="73" customWidth="1"/>
    <col min="13058" max="13058" width="39.6640625" style="73" customWidth="1"/>
    <col min="13059" max="13059" width="22.109375" style="73" customWidth="1"/>
    <col min="13060" max="13060" width="9.5546875" style="73" customWidth="1"/>
    <col min="13061" max="13061" width="20" style="73" customWidth="1"/>
    <col min="13062" max="13062" width="14" style="73" bestFit="1" customWidth="1"/>
    <col min="13063" max="13063" width="12.109375" style="73" customWidth="1"/>
    <col min="13064" max="13064" width="16.109375" style="73" customWidth="1"/>
    <col min="13065" max="13065" width="13.5546875" style="73" customWidth="1"/>
    <col min="13066" max="13066" width="12.33203125" style="73" customWidth="1"/>
    <col min="13067" max="13067" width="12.5546875" style="73" customWidth="1"/>
    <col min="13068" max="13068" width="13.6640625" style="73" customWidth="1"/>
    <col min="13069" max="13312" width="9.109375" style="73"/>
    <col min="13313" max="13313" width="5.6640625" style="73" customWidth="1"/>
    <col min="13314" max="13314" width="39.6640625" style="73" customWidth="1"/>
    <col min="13315" max="13315" width="22.109375" style="73" customWidth="1"/>
    <col min="13316" max="13316" width="9.5546875" style="73" customWidth="1"/>
    <col min="13317" max="13317" width="20" style="73" customWidth="1"/>
    <col min="13318" max="13318" width="14" style="73" bestFit="1" customWidth="1"/>
    <col min="13319" max="13319" width="12.109375" style="73" customWidth="1"/>
    <col min="13320" max="13320" width="16.109375" style="73" customWidth="1"/>
    <col min="13321" max="13321" width="13.5546875" style="73" customWidth="1"/>
    <col min="13322" max="13322" width="12.33203125" style="73" customWidth="1"/>
    <col min="13323" max="13323" width="12.5546875" style="73" customWidth="1"/>
    <col min="13324" max="13324" width="13.6640625" style="73" customWidth="1"/>
    <col min="13325" max="13568" width="9.109375" style="73"/>
    <col min="13569" max="13569" width="5.6640625" style="73" customWidth="1"/>
    <col min="13570" max="13570" width="39.6640625" style="73" customWidth="1"/>
    <col min="13571" max="13571" width="22.109375" style="73" customWidth="1"/>
    <col min="13572" max="13572" width="9.5546875" style="73" customWidth="1"/>
    <col min="13573" max="13573" width="20" style="73" customWidth="1"/>
    <col min="13574" max="13574" width="14" style="73" bestFit="1" customWidth="1"/>
    <col min="13575" max="13575" width="12.109375" style="73" customWidth="1"/>
    <col min="13576" max="13576" width="16.109375" style="73" customWidth="1"/>
    <col min="13577" max="13577" width="13.5546875" style="73" customWidth="1"/>
    <col min="13578" max="13578" width="12.33203125" style="73" customWidth="1"/>
    <col min="13579" max="13579" width="12.5546875" style="73" customWidth="1"/>
    <col min="13580" max="13580" width="13.6640625" style="73" customWidth="1"/>
    <col min="13581" max="13824" width="9.109375" style="73"/>
    <col min="13825" max="13825" width="5.6640625" style="73" customWidth="1"/>
    <col min="13826" max="13826" width="39.6640625" style="73" customWidth="1"/>
    <col min="13827" max="13827" width="22.109375" style="73" customWidth="1"/>
    <col min="13828" max="13828" width="9.5546875" style="73" customWidth="1"/>
    <col min="13829" max="13829" width="20" style="73" customWidth="1"/>
    <col min="13830" max="13830" width="14" style="73" bestFit="1" customWidth="1"/>
    <col min="13831" max="13831" width="12.109375" style="73" customWidth="1"/>
    <col min="13832" max="13832" width="16.109375" style="73" customWidth="1"/>
    <col min="13833" max="13833" width="13.5546875" style="73" customWidth="1"/>
    <col min="13834" max="13834" width="12.33203125" style="73" customWidth="1"/>
    <col min="13835" max="13835" width="12.5546875" style="73" customWidth="1"/>
    <col min="13836" max="13836" width="13.6640625" style="73" customWidth="1"/>
    <col min="13837" max="14080" width="9.109375" style="73"/>
    <col min="14081" max="14081" width="5.6640625" style="73" customWidth="1"/>
    <col min="14082" max="14082" width="39.6640625" style="73" customWidth="1"/>
    <col min="14083" max="14083" width="22.109375" style="73" customWidth="1"/>
    <col min="14084" max="14084" width="9.5546875" style="73" customWidth="1"/>
    <col min="14085" max="14085" width="20" style="73" customWidth="1"/>
    <col min="14086" max="14086" width="14" style="73" bestFit="1" customWidth="1"/>
    <col min="14087" max="14087" width="12.109375" style="73" customWidth="1"/>
    <col min="14088" max="14088" width="16.109375" style="73" customWidth="1"/>
    <col min="14089" max="14089" width="13.5546875" style="73" customWidth="1"/>
    <col min="14090" max="14090" width="12.33203125" style="73" customWidth="1"/>
    <col min="14091" max="14091" width="12.5546875" style="73" customWidth="1"/>
    <col min="14092" max="14092" width="13.6640625" style="73" customWidth="1"/>
    <col min="14093" max="14336" width="9.109375" style="73"/>
    <col min="14337" max="14337" width="5.6640625" style="73" customWidth="1"/>
    <col min="14338" max="14338" width="39.6640625" style="73" customWidth="1"/>
    <col min="14339" max="14339" width="22.109375" style="73" customWidth="1"/>
    <col min="14340" max="14340" width="9.5546875" style="73" customWidth="1"/>
    <col min="14341" max="14341" width="20" style="73" customWidth="1"/>
    <col min="14342" max="14342" width="14" style="73" bestFit="1" customWidth="1"/>
    <col min="14343" max="14343" width="12.109375" style="73" customWidth="1"/>
    <col min="14344" max="14344" width="16.109375" style="73" customWidth="1"/>
    <col min="14345" max="14345" width="13.5546875" style="73" customWidth="1"/>
    <col min="14346" max="14346" width="12.33203125" style="73" customWidth="1"/>
    <col min="14347" max="14347" width="12.5546875" style="73" customWidth="1"/>
    <col min="14348" max="14348" width="13.6640625" style="73" customWidth="1"/>
    <col min="14349" max="14592" width="9.109375" style="73"/>
    <col min="14593" max="14593" width="5.6640625" style="73" customWidth="1"/>
    <col min="14594" max="14594" width="39.6640625" style="73" customWidth="1"/>
    <col min="14595" max="14595" width="22.109375" style="73" customWidth="1"/>
    <col min="14596" max="14596" width="9.5546875" style="73" customWidth="1"/>
    <col min="14597" max="14597" width="20" style="73" customWidth="1"/>
    <col min="14598" max="14598" width="14" style="73" bestFit="1" customWidth="1"/>
    <col min="14599" max="14599" width="12.109375" style="73" customWidth="1"/>
    <col min="14600" max="14600" width="16.109375" style="73" customWidth="1"/>
    <col min="14601" max="14601" width="13.5546875" style="73" customWidth="1"/>
    <col min="14602" max="14602" width="12.33203125" style="73" customWidth="1"/>
    <col min="14603" max="14603" width="12.5546875" style="73" customWidth="1"/>
    <col min="14604" max="14604" width="13.6640625" style="73" customWidth="1"/>
    <col min="14605" max="14848" width="9.109375" style="73"/>
    <col min="14849" max="14849" width="5.6640625" style="73" customWidth="1"/>
    <col min="14850" max="14850" width="39.6640625" style="73" customWidth="1"/>
    <col min="14851" max="14851" width="22.109375" style="73" customWidth="1"/>
    <col min="14852" max="14852" width="9.5546875" style="73" customWidth="1"/>
    <col min="14853" max="14853" width="20" style="73" customWidth="1"/>
    <col min="14854" max="14854" width="14" style="73" bestFit="1" customWidth="1"/>
    <col min="14855" max="14855" width="12.109375" style="73" customWidth="1"/>
    <col min="14856" max="14856" width="16.109375" style="73" customWidth="1"/>
    <col min="14857" max="14857" width="13.5546875" style="73" customWidth="1"/>
    <col min="14858" max="14858" width="12.33203125" style="73" customWidth="1"/>
    <col min="14859" max="14859" width="12.5546875" style="73" customWidth="1"/>
    <col min="14860" max="14860" width="13.6640625" style="73" customWidth="1"/>
    <col min="14861" max="15104" width="9.109375" style="73"/>
    <col min="15105" max="15105" width="5.6640625" style="73" customWidth="1"/>
    <col min="15106" max="15106" width="39.6640625" style="73" customWidth="1"/>
    <col min="15107" max="15107" width="22.109375" style="73" customWidth="1"/>
    <col min="15108" max="15108" width="9.5546875" style="73" customWidth="1"/>
    <col min="15109" max="15109" width="20" style="73" customWidth="1"/>
    <col min="15110" max="15110" width="14" style="73" bestFit="1" customWidth="1"/>
    <col min="15111" max="15111" width="12.109375" style="73" customWidth="1"/>
    <col min="15112" max="15112" width="16.109375" style="73" customWidth="1"/>
    <col min="15113" max="15113" width="13.5546875" style="73" customWidth="1"/>
    <col min="15114" max="15114" width="12.33203125" style="73" customWidth="1"/>
    <col min="15115" max="15115" width="12.5546875" style="73" customWidth="1"/>
    <col min="15116" max="15116" width="13.6640625" style="73" customWidth="1"/>
    <col min="15117" max="15360" width="9.109375" style="73"/>
    <col min="15361" max="15361" width="5.6640625" style="73" customWidth="1"/>
    <col min="15362" max="15362" width="39.6640625" style="73" customWidth="1"/>
    <col min="15363" max="15363" width="22.109375" style="73" customWidth="1"/>
    <col min="15364" max="15364" width="9.5546875" style="73" customWidth="1"/>
    <col min="15365" max="15365" width="20" style="73" customWidth="1"/>
    <col min="15366" max="15366" width="14" style="73" bestFit="1" customWidth="1"/>
    <col min="15367" max="15367" width="12.109375" style="73" customWidth="1"/>
    <col min="15368" max="15368" width="16.109375" style="73" customWidth="1"/>
    <col min="15369" max="15369" width="13.5546875" style="73" customWidth="1"/>
    <col min="15370" max="15370" width="12.33203125" style="73" customWidth="1"/>
    <col min="15371" max="15371" width="12.5546875" style="73" customWidth="1"/>
    <col min="15372" max="15372" width="13.6640625" style="73" customWidth="1"/>
    <col min="15373" max="15616" width="9.109375" style="73"/>
    <col min="15617" max="15617" width="5.6640625" style="73" customWidth="1"/>
    <col min="15618" max="15618" width="39.6640625" style="73" customWidth="1"/>
    <col min="15619" max="15619" width="22.109375" style="73" customWidth="1"/>
    <col min="15620" max="15620" width="9.5546875" style="73" customWidth="1"/>
    <col min="15621" max="15621" width="20" style="73" customWidth="1"/>
    <col min="15622" max="15622" width="14" style="73" bestFit="1" customWidth="1"/>
    <col min="15623" max="15623" width="12.109375" style="73" customWidth="1"/>
    <col min="15624" max="15624" width="16.109375" style="73" customWidth="1"/>
    <col min="15625" max="15625" width="13.5546875" style="73" customWidth="1"/>
    <col min="15626" max="15626" width="12.33203125" style="73" customWidth="1"/>
    <col min="15627" max="15627" width="12.5546875" style="73" customWidth="1"/>
    <col min="15628" max="15628" width="13.6640625" style="73" customWidth="1"/>
    <col min="15629" max="15872" width="9.109375" style="73"/>
    <col min="15873" max="15873" width="5.6640625" style="73" customWidth="1"/>
    <col min="15874" max="15874" width="39.6640625" style="73" customWidth="1"/>
    <col min="15875" max="15875" width="22.109375" style="73" customWidth="1"/>
    <col min="15876" max="15876" width="9.5546875" style="73" customWidth="1"/>
    <col min="15877" max="15877" width="20" style="73" customWidth="1"/>
    <col min="15878" max="15878" width="14" style="73" bestFit="1" customWidth="1"/>
    <col min="15879" max="15879" width="12.109375" style="73" customWidth="1"/>
    <col min="15880" max="15880" width="16.109375" style="73" customWidth="1"/>
    <col min="15881" max="15881" width="13.5546875" style="73" customWidth="1"/>
    <col min="15882" max="15882" width="12.33203125" style="73" customWidth="1"/>
    <col min="15883" max="15883" width="12.5546875" style="73" customWidth="1"/>
    <col min="15884" max="15884" width="13.6640625" style="73" customWidth="1"/>
    <col min="15885" max="16128" width="9.109375" style="73"/>
    <col min="16129" max="16129" width="5.6640625" style="73" customWidth="1"/>
    <col min="16130" max="16130" width="39.6640625" style="73" customWidth="1"/>
    <col min="16131" max="16131" width="22.109375" style="73" customWidth="1"/>
    <col min="16132" max="16132" width="9.5546875" style="73" customWidth="1"/>
    <col min="16133" max="16133" width="20" style="73" customWidth="1"/>
    <col min="16134" max="16134" width="14" style="73" bestFit="1" customWidth="1"/>
    <col min="16135" max="16135" width="12.109375" style="73" customWidth="1"/>
    <col min="16136" max="16136" width="16.109375" style="73" customWidth="1"/>
    <col min="16137" max="16137" width="13.5546875" style="73" customWidth="1"/>
    <col min="16138" max="16138" width="12.33203125" style="73" customWidth="1"/>
    <col min="16139" max="16139" width="12.5546875" style="73" customWidth="1"/>
    <col min="16140" max="16140" width="13.6640625" style="73" customWidth="1"/>
    <col min="16141" max="16384" width="9.109375" style="73"/>
  </cols>
  <sheetData>
    <row r="1" spans="1:12" ht="20.399999999999999" x14ac:dyDescent="0.35">
      <c r="A1" s="261" t="s">
        <v>94</v>
      </c>
      <c r="B1" s="261"/>
      <c r="C1" s="261"/>
      <c r="D1" s="261"/>
      <c r="E1" s="261"/>
      <c r="F1" s="261"/>
      <c r="G1" s="261"/>
      <c r="H1" s="261"/>
    </row>
    <row r="2" spans="1:12" ht="20.399999999999999" x14ac:dyDescent="0.35">
      <c r="A2" s="261" t="s">
        <v>95</v>
      </c>
      <c r="B2" s="261"/>
      <c r="C2" s="261"/>
      <c r="D2" s="261"/>
      <c r="E2" s="261"/>
      <c r="F2" s="261"/>
      <c r="G2" s="261"/>
      <c r="H2" s="261"/>
    </row>
    <row r="3" spans="1:12" ht="20.399999999999999" x14ac:dyDescent="0.35">
      <c r="A3" s="261" t="s">
        <v>96</v>
      </c>
      <c r="B3" s="261"/>
      <c r="C3" s="261"/>
      <c r="D3" s="261"/>
      <c r="E3" s="261"/>
      <c r="F3" s="261"/>
      <c r="G3" s="261"/>
      <c r="H3" s="261"/>
    </row>
    <row r="4" spans="1:12" ht="18" x14ac:dyDescent="0.35">
      <c r="A4" s="74"/>
      <c r="B4" s="74"/>
      <c r="C4" s="74"/>
      <c r="D4" s="74"/>
      <c r="E4" s="74"/>
      <c r="F4" s="74"/>
      <c r="G4" s="74"/>
      <c r="H4" s="74"/>
    </row>
    <row r="5" spans="1:12" s="75" customFormat="1" ht="22.5" customHeight="1" x14ac:dyDescent="0.3">
      <c r="A5" s="262" t="s">
        <v>97</v>
      </c>
      <c r="B5" s="262"/>
      <c r="C5" s="262"/>
      <c r="D5" s="262"/>
      <c r="E5" s="262"/>
      <c r="F5" s="262"/>
      <c r="G5" s="262"/>
      <c r="H5" s="262"/>
    </row>
    <row r="6" spans="1:12" s="75" customFormat="1" ht="22.5" customHeight="1" x14ac:dyDescent="0.3">
      <c r="A6" s="262" t="s">
        <v>167</v>
      </c>
      <c r="B6" s="262"/>
      <c r="C6" s="262"/>
      <c r="D6" s="262"/>
      <c r="E6" s="262"/>
      <c r="F6" s="262"/>
      <c r="G6" s="262"/>
      <c r="H6" s="262"/>
    </row>
    <row r="7" spans="1:12" ht="20.25" customHeight="1" x14ac:dyDescent="0.3">
      <c r="A7" s="76"/>
      <c r="B7" s="77"/>
      <c r="C7" s="78"/>
      <c r="D7" s="263"/>
      <c r="E7" s="263"/>
      <c r="F7" s="263"/>
      <c r="G7" s="263"/>
      <c r="H7" s="263"/>
    </row>
    <row r="8" spans="1:12" ht="21" customHeight="1" x14ac:dyDescent="0.3">
      <c r="A8" s="79" t="s">
        <v>98</v>
      </c>
      <c r="B8" s="80"/>
      <c r="C8" s="78"/>
      <c r="D8" s="78"/>
      <c r="E8" s="78"/>
      <c r="F8" s="81"/>
      <c r="G8" s="81"/>
      <c r="H8" s="82"/>
    </row>
    <row r="9" spans="1:12" ht="21.75" customHeight="1" x14ac:dyDescent="0.35">
      <c r="A9" s="79" t="s">
        <v>99</v>
      </c>
      <c r="B9" s="83"/>
      <c r="C9" s="84"/>
      <c r="D9" s="85"/>
      <c r="E9" s="86"/>
      <c r="F9" s="86"/>
      <c r="G9" s="86"/>
      <c r="H9" s="87"/>
      <c r="I9" s="88"/>
      <c r="J9" s="89" t="s">
        <v>100</v>
      </c>
      <c r="K9" s="89" t="s">
        <v>101</v>
      </c>
      <c r="L9" s="88"/>
    </row>
    <row r="10" spans="1:12" ht="21.75" customHeight="1" thickBot="1" x14ac:dyDescent="0.35">
      <c r="A10" s="260" t="s">
        <v>102</v>
      </c>
      <c r="B10" s="260"/>
      <c r="C10" s="260"/>
      <c r="D10" s="260"/>
      <c r="E10" s="260"/>
      <c r="F10" s="260"/>
      <c r="G10" s="260"/>
      <c r="H10" s="260"/>
      <c r="I10" s="88"/>
      <c r="J10" s="89"/>
      <c r="K10" s="89"/>
      <c r="L10" s="88"/>
    </row>
    <row r="11" spans="1:12" s="96" customFormat="1" ht="28.5" customHeight="1" thickBot="1" x14ac:dyDescent="0.3">
      <c r="A11" s="90" t="s">
        <v>5</v>
      </c>
      <c r="B11" s="91" t="s">
        <v>103</v>
      </c>
      <c r="C11" s="91" t="s">
        <v>104</v>
      </c>
      <c r="D11" s="92" t="s">
        <v>12</v>
      </c>
      <c r="E11" s="92" t="s">
        <v>105</v>
      </c>
      <c r="F11" s="93" t="s">
        <v>11</v>
      </c>
      <c r="G11" s="93" t="s">
        <v>12</v>
      </c>
      <c r="H11" s="94" t="s">
        <v>15</v>
      </c>
      <c r="I11" s="95"/>
      <c r="J11" s="95"/>
      <c r="K11" s="95"/>
      <c r="L11" s="95"/>
    </row>
    <row r="12" spans="1:12" s="103" customFormat="1" ht="41.4" x14ac:dyDescent="0.25">
      <c r="A12" s="65">
        <v>1</v>
      </c>
      <c r="B12" s="66" t="s">
        <v>118</v>
      </c>
      <c r="C12" s="97">
        <f>'quqntity cqlculqtion'!G71</f>
        <v>46.720463339199377</v>
      </c>
      <c r="D12" s="98" t="s">
        <v>106</v>
      </c>
      <c r="E12" s="99" t="s">
        <v>107</v>
      </c>
      <c r="F12" s="100">
        <f>C12*560*0.5</f>
        <v>13081.729734975825</v>
      </c>
      <c r="G12" s="67" t="s">
        <v>108</v>
      </c>
      <c r="H12" s="101" t="s">
        <v>109</v>
      </c>
      <c r="I12" s="102"/>
      <c r="J12" s="102">
        <v>560</v>
      </c>
      <c r="K12" s="102">
        <v>14.78</v>
      </c>
      <c r="L12" s="102">
        <f t="shared" ref="L12:L18" si="0">F12*K12</f>
        <v>193347.96548294267</v>
      </c>
    </row>
    <row r="13" spans="1:12" s="103" customFormat="1" ht="15.6" x14ac:dyDescent="0.25">
      <c r="A13" s="65"/>
      <c r="B13" s="66"/>
      <c r="C13" s="100"/>
      <c r="D13" s="104"/>
      <c r="E13" s="99"/>
      <c r="F13" s="105"/>
      <c r="G13" s="67"/>
      <c r="H13" s="101"/>
      <c r="I13" s="102"/>
      <c r="J13" s="102"/>
      <c r="K13" s="102"/>
      <c r="L13" s="102"/>
    </row>
    <row r="14" spans="1:12" s="96" customFormat="1" ht="27.6" x14ac:dyDescent="0.3">
      <c r="A14" s="106">
        <v>2</v>
      </c>
      <c r="B14" s="66" t="str">
        <f>'quqntity cqlculqtion'!B73</f>
        <v>0.45mm thick CGI sheet for roofing</v>
      </c>
      <c r="C14" s="97">
        <f>'quqntity cqlculqtion'!G89</f>
        <v>319.20323876973481</v>
      </c>
      <c r="D14" s="104" t="s">
        <v>111</v>
      </c>
      <c r="E14" s="115" t="s">
        <v>113</v>
      </c>
      <c r="F14" s="97">
        <f>C14*4.235</f>
        <v>1351.8257161898271</v>
      </c>
      <c r="G14" s="104" t="s">
        <v>111</v>
      </c>
      <c r="H14" s="113" t="s">
        <v>115</v>
      </c>
      <c r="I14" s="107"/>
      <c r="J14" s="107">
        <v>1</v>
      </c>
      <c r="K14" s="108">
        <v>84</v>
      </c>
      <c r="L14" s="107">
        <f t="shared" si="0"/>
        <v>113553.36015994547</v>
      </c>
    </row>
    <row r="15" spans="1:12" s="103" customFormat="1" ht="15.6" x14ac:dyDescent="0.3">
      <c r="A15" s="109"/>
      <c r="B15" s="68"/>
      <c r="C15" s="110"/>
      <c r="D15" s="111"/>
      <c r="E15" s="112"/>
      <c r="F15" s="97"/>
      <c r="G15" s="69"/>
      <c r="H15" s="113"/>
      <c r="I15" s="102"/>
      <c r="J15" s="102"/>
      <c r="K15" s="102"/>
      <c r="L15" s="102"/>
    </row>
    <row r="16" spans="1:12" s="103" customFormat="1" ht="28.8" x14ac:dyDescent="0.3">
      <c r="A16" s="109">
        <v>3</v>
      </c>
      <c r="B16" s="125" t="s">
        <v>119</v>
      </c>
      <c r="C16" s="97">
        <f>'quqntity cqlculqtion'!G145</f>
        <v>3.602304488720617</v>
      </c>
      <c r="D16" s="104" t="s">
        <v>90</v>
      </c>
      <c r="E16" s="97" t="s">
        <v>110</v>
      </c>
      <c r="F16" s="97">
        <f>C16</f>
        <v>3.602304488720617</v>
      </c>
      <c r="G16" s="104" t="s">
        <v>90</v>
      </c>
      <c r="H16" s="113"/>
      <c r="I16" s="102"/>
      <c r="J16" s="114">
        <v>1.1000000000000001</v>
      </c>
      <c r="K16" s="114">
        <v>204798</v>
      </c>
      <c r="L16" s="102">
        <f t="shared" si="0"/>
        <v>737744.75468100491</v>
      </c>
    </row>
    <row r="17" spans="1:12" s="103" customFormat="1" ht="15.6" x14ac:dyDescent="0.3">
      <c r="A17" s="109"/>
      <c r="B17" s="70"/>
      <c r="C17" s="110"/>
      <c r="D17" s="111"/>
      <c r="E17" s="97"/>
      <c r="F17" s="97"/>
      <c r="G17" s="111"/>
      <c r="H17" s="113"/>
      <c r="I17" s="102"/>
      <c r="J17" s="102"/>
      <c r="K17" s="102"/>
      <c r="L17" s="102"/>
    </row>
    <row r="18" spans="1:12" s="103" customFormat="1" ht="15.6" x14ac:dyDescent="0.3">
      <c r="A18" s="109">
        <v>4</v>
      </c>
      <c r="B18" s="70" t="str">
        <f>'quqntity cqlculqtion'!B147</f>
        <v>Sal Wood from Roof, doors and windows</v>
      </c>
      <c r="C18" s="97">
        <f>'quqntity cqlculqtion'!G156</f>
        <v>0.24798870728081582</v>
      </c>
      <c r="D18" s="98" t="s">
        <v>106</v>
      </c>
      <c r="E18" s="97" t="s">
        <v>110</v>
      </c>
      <c r="F18" s="97">
        <f>C18</f>
        <v>0.24798870728081582</v>
      </c>
      <c r="G18" s="98" t="s">
        <v>106</v>
      </c>
      <c r="H18" s="113"/>
      <c r="I18" s="102"/>
      <c r="J18" s="114">
        <f>0.084/2.114</f>
        <v>3.9735099337748346E-2</v>
      </c>
      <c r="K18" s="114">
        <v>204798</v>
      </c>
      <c r="L18" s="102">
        <f t="shared" si="0"/>
        <v>50787.591273696518</v>
      </c>
    </row>
    <row r="19" spans="1:12" s="103" customFormat="1" ht="15.6" x14ac:dyDescent="0.3">
      <c r="A19" s="109"/>
      <c r="B19" s="71"/>
      <c r="C19" s="110"/>
      <c r="D19" s="111"/>
      <c r="E19" s="112"/>
      <c r="F19" s="97"/>
      <c r="G19" s="111"/>
      <c r="H19" s="113"/>
      <c r="I19" s="102"/>
      <c r="J19" s="102"/>
      <c r="K19" s="102"/>
      <c r="L19" s="102"/>
    </row>
    <row r="20" spans="1:12" ht="14.4" thickBot="1" x14ac:dyDescent="0.3">
      <c r="A20" s="116"/>
      <c r="B20" s="117"/>
      <c r="C20" s="118"/>
      <c r="D20" s="119"/>
      <c r="E20" s="120"/>
      <c r="F20" s="121"/>
      <c r="G20" s="72"/>
      <c r="H20" s="122"/>
      <c r="L20" s="73">
        <f>SUM(L12:L19)</f>
        <v>1095433.6715975897</v>
      </c>
    </row>
    <row r="21" spans="1:12" x14ac:dyDescent="0.25">
      <c r="A21" s="88"/>
      <c r="B21" s="88"/>
      <c r="C21" s="88"/>
      <c r="D21" s="88"/>
      <c r="E21" s="88"/>
      <c r="F21" s="88"/>
      <c r="G21" s="88"/>
      <c r="H21" s="88"/>
    </row>
    <row r="22" spans="1:12" x14ac:dyDescent="0.25">
      <c r="A22" s="88"/>
      <c r="B22" s="88"/>
      <c r="C22" s="88"/>
      <c r="D22" s="88"/>
      <c r="E22" s="88"/>
      <c r="F22" s="88"/>
      <c r="G22" s="88"/>
      <c r="H22" s="88"/>
    </row>
    <row r="23" spans="1:12" x14ac:dyDescent="0.25">
      <c r="A23" s="88"/>
      <c r="B23" s="88"/>
      <c r="C23" s="88"/>
      <c r="D23" s="88"/>
      <c r="E23" s="88"/>
      <c r="F23" s="123"/>
      <c r="G23" s="88"/>
      <c r="H23" s="123"/>
    </row>
    <row r="24" spans="1:12" x14ac:dyDescent="0.25">
      <c r="A24" s="88"/>
      <c r="B24" s="88"/>
      <c r="C24" s="88"/>
      <c r="D24" s="88"/>
      <c r="E24" s="88"/>
      <c r="F24" s="88"/>
      <c r="G24" s="88"/>
      <c r="H24" s="88"/>
      <c r="L24" s="124" t="s">
        <v>116</v>
      </c>
    </row>
    <row r="25" spans="1:12" x14ac:dyDescent="0.25">
      <c r="A25" s="88"/>
      <c r="B25" s="88"/>
      <c r="C25" s="88"/>
      <c r="D25" s="88"/>
      <c r="E25" s="88"/>
      <c r="F25" s="88"/>
      <c r="G25" s="88"/>
      <c r="H25" s="88"/>
      <c r="L25" s="124" t="s">
        <v>117</v>
      </c>
    </row>
    <row r="26" spans="1:12" x14ac:dyDescent="0.25">
      <c r="A26" s="88"/>
      <c r="B26" s="88"/>
      <c r="C26" s="88"/>
      <c r="D26" s="88"/>
      <c r="E26" s="88"/>
      <c r="F26" s="88"/>
      <c r="G26" s="88"/>
      <c r="H26" s="88"/>
    </row>
    <row r="27" spans="1:12" x14ac:dyDescent="0.25">
      <c r="A27" s="88"/>
      <c r="B27" s="88"/>
      <c r="C27" s="88"/>
      <c r="D27" s="88"/>
      <c r="E27" s="88"/>
      <c r="F27" s="88"/>
      <c r="G27" s="88"/>
      <c r="H27" s="88"/>
    </row>
    <row r="28" spans="1:12" x14ac:dyDescent="0.25">
      <c r="A28" s="88"/>
      <c r="B28" s="88"/>
      <c r="C28" s="88"/>
      <c r="D28" s="88"/>
      <c r="E28" s="88"/>
      <c r="F28" s="88"/>
      <c r="G28" s="88"/>
      <c r="H28" s="88"/>
    </row>
    <row r="29" spans="1:12" x14ac:dyDescent="0.25">
      <c r="A29" s="88"/>
      <c r="B29" s="88"/>
      <c r="C29" s="88"/>
      <c r="D29" s="88"/>
      <c r="E29" s="88"/>
      <c r="F29" s="88"/>
      <c r="G29" s="88"/>
      <c r="H29" s="88"/>
    </row>
    <row r="30" spans="1:12" x14ac:dyDescent="0.25">
      <c r="A30" s="88"/>
      <c r="B30" s="88"/>
      <c r="C30" s="88"/>
      <c r="D30" s="88"/>
      <c r="E30" s="88"/>
      <c r="F30" s="88"/>
      <c r="G30" s="88"/>
      <c r="H30" s="88"/>
    </row>
    <row r="31" spans="1:12" x14ac:dyDescent="0.25">
      <c r="A31" s="88"/>
      <c r="B31" s="88"/>
      <c r="C31" s="88"/>
      <c r="D31" s="88"/>
      <c r="E31" s="88"/>
      <c r="F31" s="88"/>
      <c r="G31" s="88"/>
      <c r="H31" s="88"/>
    </row>
    <row r="32" spans="1:12" x14ac:dyDescent="0.25">
      <c r="A32" s="88"/>
      <c r="B32" s="88"/>
      <c r="C32" s="88"/>
      <c r="D32" s="88"/>
      <c r="E32" s="88"/>
      <c r="F32" s="88"/>
      <c r="G32" s="88"/>
      <c r="H32" s="88"/>
    </row>
    <row r="33" spans="1:8" x14ac:dyDescent="0.25">
      <c r="A33" s="88"/>
      <c r="B33" s="88"/>
      <c r="C33" s="88"/>
      <c r="D33" s="88"/>
      <c r="E33" s="88"/>
      <c r="F33" s="88"/>
      <c r="G33" s="88"/>
      <c r="H33" s="88"/>
    </row>
    <row r="34" spans="1:8" x14ac:dyDescent="0.25">
      <c r="A34" s="88"/>
      <c r="B34" s="88"/>
      <c r="C34" s="88"/>
      <c r="D34" s="88"/>
      <c r="E34" s="88"/>
      <c r="F34" s="88"/>
      <c r="G34" s="88"/>
      <c r="H34" s="88"/>
    </row>
    <row r="35" spans="1:8" x14ac:dyDescent="0.25">
      <c r="A35" s="88"/>
      <c r="B35" s="88"/>
      <c r="C35" s="88"/>
      <c r="D35" s="88"/>
      <c r="E35" s="88"/>
      <c r="F35" s="88"/>
      <c r="G35" s="88"/>
      <c r="H35" s="88"/>
    </row>
    <row r="36" spans="1:8" x14ac:dyDescent="0.25">
      <c r="A36" s="88"/>
      <c r="B36" s="88"/>
      <c r="C36" s="88"/>
      <c r="D36" s="88"/>
      <c r="E36" s="88"/>
      <c r="F36" s="88"/>
      <c r="G36" s="88"/>
      <c r="H36" s="88"/>
    </row>
    <row r="37" spans="1:8" x14ac:dyDescent="0.25">
      <c r="A37" s="88"/>
      <c r="B37" s="88"/>
      <c r="C37" s="88"/>
      <c r="D37" s="88"/>
      <c r="E37" s="88"/>
      <c r="F37" s="88"/>
      <c r="G37" s="88"/>
      <c r="H37" s="88"/>
    </row>
    <row r="38" spans="1:8" x14ac:dyDescent="0.25">
      <c r="A38" s="88"/>
      <c r="B38" s="88"/>
      <c r="C38" s="88"/>
      <c r="D38" s="88"/>
      <c r="E38" s="88"/>
      <c r="F38" s="88"/>
      <c r="G38" s="88"/>
      <c r="H38" s="88"/>
    </row>
    <row r="39" spans="1:8" x14ac:dyDescent="0.25">
      <c r="A39" s="88"/>
      <c r="B39" s="88"/>
      <c r="C39" s="88"/>
      <c r="D39" s="88"/>
      <c r="E39" s="88"/>
      <c r="F39" s="88"/>
      <c r="G39" s="88"/>
      <c r="H39" s="88"/>
    </row>
    <row r="40" spans="1:8" x14ac:dyDescent="0.25">
      <c r="A40" s="88"/>
      <c r="B40" s="88"/>
      <c r="C40" s="88"/>
      <c r="D40" s="88"/>
      <c r="E40" s="88"/>
      <c r="F40" s="88"/>
      <c r="G40" s="88"/>
      <c r="H40" s="88"/>
    </row>
    <row r="41" spans="1:8" x14ac:dyDescent="0.25">
      <c r="A41" s="88"/>
      <c r="B41" s="88"/>
      <c r="C41" s="88"/>
      <c r="D41" s="88"/>
      <c r="E41" s="88"/>
      <c r="F41" s="88"/>
      <c r="G41" s="88"/>
      <c r="H41" s="88"/>
    </row>
    <row r="42" spans="1:8" x14ac:dyDescent="0.25">
      <c r="A42" s="88"/>
      <c r="B42" s="88"/>
      <c r="C42" s="88"/>
      <c r="D42" s="88"/>
      <c r="E42" s="88"/>
      <c r="F42" s="88"/>
      <c r="G42" s="88"/>
      <c r="H42" s="88"/>
    </row>
    <row r="43" spans="1:8" x14ac:dyDescent="0.25">
      <c r="A43" s="88"/>
      <c r="B43" s="88"/>
      <c r="C43" s="88"/>
      <c r="D43" s="88"/>
      <c r="E43" s="88"/>
      <c r="F43" s="88"/>
      <c r="G43" s="88"/>
      <c r="H43" s="88"/>
    </row>
    <row r="44" spans="1:8" x14ac:dyDescent="0.25">
      <c r="A44" s="88"/>
      <c r="B44" s="88"/>
      <c r="C44" s="88"/>
      <c r="D44" s="88"/>
      <c r="E44" s="88"/>
      <c r="F44" s="88"/>
      <c r="G44" s="88"/>
      <c r="H44" s="88"/>
    </row>
    <row r="45" spans="1:8" x14ac:dyDescent="0.25">
      <c r="A45" s="88"/>
      <c r="B45" s="88"/>
      <c r="C45" s="88"/>
      <c r="D45" s="88"/>
      <c r="E45" s="88"/>
      <c r="F45" s="88"/>
      <c r="G45" s="88"/>
      <c r="H45" s="88"/>
    </row>
    <row r="46" spans="1:8" x14ac:dyDescent="0.25">
      <c r="A46" s="88"/>
      <c r="B46" s="88"/>
      <c r="C46" s="88"/>
      <c r="D46" s="88"/>
      <c r="E46" s="88"/>
      <c r="F46" s="88"/>
      <c r="G46" s="88"/>
      <c r="H46" s="88"/>
    </row>
    <row r="47" spans="1:8" x14ac:dyDescent="0.25">
      <c r="A47" s="88"/>
      <c r="B47" s="88"/>
      <c r="C47" s="88"/>
      <c r="D47" s="88"/>
      <c r="E47" s="88"/>
      <c r="F47" s="88"/>
      <c r="G47" s="88"/>
      <c r="H47" s="88"/>
    </row>
    <row r="48" spans="1:8" x14ac:dyDescent="0.25">
      <c r="A48" s="88"/>
      <c r="B48" s="88"/>
      <c r="C48" s="88"/>
      <c r="D48" s="88"/>
      <c r="E48" s="88"/>
      <c r="F48" s="88"/>
      <c r="G48" s="88"/>
      <c r="H48" s="88"/>
    </row>
    <row r="49" spans="1:8" x14ac:dyDescent="0.25">
      <c r="A49" s="88"/>
      <c r="B49" s="88"/>
      <c r="C49" s="88"/>
      <c r="D49" s="88"/>
      <c r="E49" s="88"/>
      <c r="F49" s="88"/>
      <c r="G49" s="88"/>
      <c r="H49" s="88"/>
    </row>
    <row r="50" spans="1:8" x14ac:dyDescent="0.25">
      <c r="A50" s="88"/>
      <c r="B50" s="88"/>
      <c r="C50" s="88"/>
      <c r="D50" s="88"/>
      <c r="E50" s="88"/>
      <c r="F50" s="88"/>
      <c r="G50" s="88"/>
      <c r="H50" s="88"/>
    </row>
    <row r="51" spans="1:8" x14ac:dyDescent="0.25">
      <c r="A51" s="88"/>
      <c r="B51" s="88"/>
      <c r="C51" s="88"/>
      <c r="D51" s="88"/>
      <c r="E51" s="88"/>
      <c r="F51" s="88"/>
      <c r="G51" s="88"/>
      <c r="H51" s="88"/>
    </row>
    <row r="52" spans="1:8" x14ac:dyDescent="0.25">
      <c r="A52" s="88"/>
      <c r="B52" s="88"/>
      <c r="C52" s="88"/>
      <c r="D52" s="88"/>
      <c r="E52" s="88"/>
      <c r="F52" s="88"/>
      <c r="G52" s="88"/>
      <c r="H52" s="88"/>
    </row>
    <row r="53" spans="1:8" x14ac:dyDescent="0.25">
      <c r="A53" s="88"/>
      <c r="B53" s="88"/>
      <c r="C53" s="88"/>
      <c r="D53" s="88"/>
      <c r="E53" s="88"/>
      <c r="F53" s="88"/>
      <c r="G53" s="88"/>
      <c r="H53" s="88"/>
    </row>
    <row r="54" spans="1:8" x14ac:dyDescent="0.25">
      <c r="A54" s="88"/>
      <c r="B54" s="88"/>
      <c r="C54" s="88"/>
      <c r="D54" s="88"/>
      <c r="E54" s="88"/>
      <c r="F54" s="88"/>
      <c r="G54" s="88"/>
      <c r="H54" s="88"/>
    </row>
    <row r="55" spans="1:8" x14ac:dyDescent="0.25">
      <c r="A55" s="88"/>
      <c r="B55" s="88"/>
      <c r="C55" s="88"/>
      <c r="D55" s="88"/>
      <c r="E55" s="88"/>
      <c r="F55" s="88"/>
      <c r="G55" s="88"/>
      <c r="H55" s="88"/>
    </row>
    <row r="56" spans="1:8" x14ac:dyDescent="0.25">
      <c r="A56" s="88"/>
      <c r="B56" s="88"/>
      <c r="C56" s="88"/>
      <c r="D56" s="88"/>
      <c r="E56" s="88"/>
      <c r="F56" s="88"/>
      <c r="G56" s="88"/>
      <c r="H56" s="88"/>
    </row>
    <row r="57" spans="1:8" x14ac:dyDescent="0.25">
      <c r="A57" s="88"/>
      <c r="B57" s="88"/>
      <c r="C57" s="88"/>
      <c r="D57" s="88"/>
      <c r="E57" s="88"/>
      <c r="F57" s="88"/>
      <c r="G57" s="88"/>
      <c r="H57" s="88"/>
    </row>
    <row r="58" spans="1:8" x14ac:dyDescent="0.25">
      <c r="A58" s="88"/>
      <c r="B58" s="88"/>
      <c r="C58" s="88"/>
      <c r="D58" s="88"/>
      <c r="E58" s="88"/>
      <c r="F58" s="88"/>
      <c r="G58" s="88"/>
      <c r="H58" s="88"/>
    </row>
    <row r="59" spans="1:8" x14ac:dyDescent="0.25">
      <c r="A59" s="88"/>
      <c r="B59" s="88"/>
      <c r="C59" s="88"/>
      <c r="D59" s="88"/>
      <c r="E59" s="88"/>
      <c r="F59" s="88"/>
      <c r="G59" s="88"/>
      <c r="H59" s="88"/>
    </row>
    <row r="60" spans="1:8" x14ac:dyDescent="0.25">
      <c r="A60" s="88"/>
      <c r="B60" s="88"/>
      <c r="C60" s="88"/>
      <c r="D60" s="88"/>
      <c r="E60" s="88"/>
      <c r="F60" s="88"/>
      <c r="G60" s="88"/>
      <c r="H60" s="88"/>
    </row>
    <row r="61" spans="1:8" x14ac:dyDescent="0.25">
      <c r="A61" s="88"/>
      <c r="B61" s="88"/>
      <c r="C61" s="88"/>
      <c r="D61" s="88"/>
      <c r="E61" s="88"/>
      <c r="F61" s="88"/>
      <c r="G61" s="88"/>
      <c r="H61" s="88"/>
    </row>
    <row r="62" spans="1:8" x14ac:dyDescent="0.25">
      <c r="A62" s="88"/>
      <c r="B62" s="88"/>
      <c r="C62" s="88"/>
      <c r="D62" s="88"/>
      <c r="E62" s="88"/>
      <c r="F62" s="88"/>
      <c r="G62" s="88"/>
      <c r="H62" s="88"/>
    </row>
    <row r="63" spans="1:8" x14ac:dyDescent="0.25">
      <c r="A63" s="88"/>
      <c r="B63" s="88"/>
      <c r="C63" s="88"/>
      <c r="D63" s="88"/>
      <c r="E63" s="88"/>
      <c r="F63" s="88"/>
      <c r="G63" s="88"/>
      <c r="H63" s="88"/>
    </row>
    <row r="64" spans="1:8" x14ac:dyDescent="0.25">
      <c r="A64" s="88"/>
      <c r="B64" s="88"/>
      <c r="C64" s="88"/>
      <c r="D64" s="88"/>
      <c r="E64" s="88"/>
      <c r="F64" s="88"/>
      <c r="G64" s="88"/>
      <c r="H64" s="88"/>
    </row>
    <row r="65" spans="1:8" x14ac:dyDescent="0.25">
      <c r="A65" s="88"/>
      <c r="B65" s="88"/>
      <c r="C65" s="88"/>
      <c r="D65" s="88"/>
      <c r="E65" s="88"/>
      <c r="F65" s="88"/>
      <c r="G65" s="88"/>
      <c r="H65" s="88"/>
    </row>
    <row r="66" spans="1:8" x14ac:dyDescent="0.25">
      <c r="A66" s="88"/>
      <c r="B66" s="88"/>
      <c r="C66" s="88"/>
      <c r="D66" s="88"/>
      <c r="E66" s="88"/>
      <c r="F66" s="88"/>
      <c r="G66" s="88"/>
      <c r="H66" s="88"/>
    </row>
    <row r="67" spans="1:8" x14ac:dyDescent="0.25">
      <c r="A67" s="88"/>
      <c r="B67" s="88"/>
      <c r="C67" s="88"/>
      <c r="D67" s="88"/>
      <c r="E67" s="88"/>
      <c r="F67" s="88"/>
      <c r="G67" s="88"/>
      <c r="H67" s="88"/>
    </row>
    <row r="68" spans="1:8" x14ac:dyDescent="0.25">
      <c r="A68" s="88"/>
      <c r="B68" s="88"/>
      <c r="C68" s="88"/>
      <c r="D68" s="88"/>
      <c r="E68" s="88"/>
      <c r="F68" s="88"/>
      <c r="G68" s="88"/>
      <c r="H68" s="88"/>
    </row>
    <row r="69" spans="1:8" x14ac:dyDescent="0.25">
      <c r="A69" s="88"/>
      <c r="B69" s="88"/>
      <c r="C69" s="88"/>
      <c r="D69" s="88"/>
      <c r="E69" s="88"/>
      <c r="F69" s="88"/>
      <c r="G69" s="88"/>
      <c r="H69" s="88"/>
    </row>
    <row r="70" spans="1:8" x14ac:dyDescent="0.25">
      <c r="A70" s="88"/>
      <c r="B70" s="88"/>
      <c r="C70" s="88"/>
      <c r="D70" s="88"/>
      <c r="E70" s="88"/>
      <c r="F70" s="88"/>
      <c r="G70" s="88"/>
      <c r="H70" s="88"/>
    </row>
  </sheetData>
  <mergeCells count="7">
    <mergeCell ref="A10:H10"/>
    <mergeCell ref="A1:H1"/>
    <mergeCell ref="A2:H2"/>
    <mergeCell ref="A3:H3"/>
    <mergeCell ref="A5:H5"/>
    <mergeCell ref="A6:H6"/>
    <mergeCell ref="D7:H7"/>
  </mergeCells>
  <printOptions horizontalCentered="1"/>
  <pageMargins left="0.5" right="0.5" top="0.5" bottom="0.75" header="0.3" footer="0.3"/>
  <pageSetup paperSize="9" scale="95" orientation="landscape" r:id="rId1"/>
  <headerFooter>
    <oddHeader>&amp;RPage &amp;P of &amp;N</oddHeader>
    <oddFooter xml:space="preserve">&amp;LPrepared by;-&amp;CChecked by;-                           &amp;RApproved by;-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view="pageBreakPreview" topLeftCell="A4" zoomScale="110" zoomScaleNormal="100" zoomScaleSheetLayoutView="110" workbookViewId="0">
      <selection activeCell="E15" sqref="E15"/>
    </sheetView>
  </sheetViews>
  <sheetFormatPr defaultRowHeight="13.2" x14ac:dyDescent="0.25"/>
  <cols>
    <col min="1" max="1" width="4.33203125" style="126" customWidth="1"/>
    <col min="2" max="2" width="39.44140625" style="126" customWidth="1"/>
    <col min="3" max="3" width="4.6640625" style="126" customWidth="1"/>
    <col min="4" max="4" width="12" style="126" customWidth="1"/>
    <col min="5" max="5" width="11.33203125" style="126" customWidth="1"/>
    <col min="6" max="6" width="13.33203125" style="126" customWidth="1"/>
    <col min="7" max="7" width="10.109375" style="126" bestFit="1" customWidth="1"/>
    <col min="8" max="256" width="9.109375" style="126"/>
    <col min="257" max="257" width="4.33203125" style="126" customWidth="1"/>
    <col min="258" max="258" width="39.44140625" style="126" customWidth="1"/>
    <col min="259" max="259" width="4.6640625" style="126" customWidth="1"/>
    <col min="260" max="260" width="12" style="126" customWidth="1"/>
    <col min="261" max="261" width="11.33203125" style="126" customWidth="1"/>
    <col min="262" max="262" width="13.33203125" style="126" customWidth="1"/>
    <col min="263" max="263" width="10.109375" style="126" bestFit="1" customWidth="1"/>
    <col min="264" max="512" width="9.109375" style="126"/>
    <col min="513" max="513" width="4.33203125" style="126" customWidth="1"/>
    <col min="514" max="514" width="39.44140625" style="126" customWidth="1"/>
    <col min="515" max="515" width="4.6640625" style="126" customWidth="1"/>
    <col min="516" max="516" width="12" style="126" customWidth="1"/>
    <col min="517" max="517" width="11.33203125" style="126" customWidth="1"/>
    <col min="518" max="518" width="13.33203125" style="126" customWidth="1"/>
    <col min="519" max="519" width="10.109375" style="126" bestFit="1" customWidth="1"/>
    <col min="520" max="768" width="9.109375" style="126"/>
    <col min="769" max="769" width="4.33203125" style="126" customWidth="1"/>
    <col min="770" max="770" width="39.44140625" style="126" customWidth="1"/>
    <col min="771" max="771" width="4.6640625" style="126" customWidth="1"/>
    <col min="772" max="772" width="12" style="126" customWidth="1"/>
    <col min="773" max="773" width="11.33203125" style="126" customWidth="1"/>
    <col min="774" max="774" width="13.33203125" style="126" customWidth="1"/>
    <col min="775" max="775" width="10.109375" style="126" bestFit="1" customWidth="1"/>
    <col min="776" max="1024" width="9.109375" style="126"/>
    <col min="1025" max="1025" width="4.33203125" style="126" customWidth="1"/>
    <col min="1026" max="1026" width="39.44140625" style="126" customWidth="1"/>
    <col min="1027" max="1027" width="4.6640625" style="126" customWidth="1"/>
    <col min="1028" max="1028" width="12" style="126" customWidth="1"/>
    <col min="1029" max="1029" width="11.33203125" style="126" customWidth="1"/>
    <col min="1030" max="1030" width="13.33203125" style="126" customWidth="1"/>
    <col min="1031" max="1031" width="10.109375" style="126" bestFit="1" customWidth="1"/>
    <col min="1032" max="1280" width="9.109375" style="126"/>
    <col min="1281" max="1281" width="4.33203125" style="126" customWidth="1"/>
    <col min="1282" max="1282" width="39.44140625" style="126" customWidth="1"/>
    <col min="1283" max="1283" width="4.6640625" style="126" customWidth="1"/>
    <col min="1284" max="1284" width="12" style="126" customWidth="1"/>
    <col min="1285" max="1285" width="11.33203125" style="126" customWidth="1"/>
    <col min="1286" max="1286" width="13.33203125" style="126" customWidth="1"/>
    <col min="1287" max="1287" width="10.109375" style="126" bestFit="1" customWidth="1"/>
    <col min="1288" max="1536" width="9.109375" style="126"/>
    <col min="1537" max="1537" width="4.33203125" style="126" customWidth="1"/>
    <col min="1538" max="1538" width="39.44140625" style="126" customWidth="1"/>
    <col min="1539" max="1539" width="4.6640625" style="126" customWidth="1"/>
    <col min="1540" max="1540" width="12" style="126" customWidth="1"/>
    <col min="1541" max="1541" width="11.33203125" style="126" customWidth="1"/>
    <col min="1542" max="1542" width="13.33203125" style="126" customWidth="1"/>
    <col min="1543" max="1543" width="10.109375" style="126" bestFit="1" customWidth="1"/>
    <col min="1544" max="1792" width="9.109375" style="126"/>
    <col min="1793" max="1793" width="4.33203125" style="126" customWidth="1"/>
    <col min="1794" max="1794" width="39.44140625" style="126" customWidth="1"/>
    <col min="1795" max="1795" width="4.6640625" style="126" customWidth="1"/>
    <col min="1796" max="1796" width="12" style="126" customWidth="1"/>
    <col min="1797" max="1797" width="11.33203125" style="126" customWidth="1"/>
    <col min="1798" max="1798" width="13.33203125" style="126" customWidth="1"/>
    <col min="1799" max="1799" width="10.109375" style="126" bestFit="1" customWidth="1"/>
    <col min="1800" max="2048" width="9.109375" style="126"/>
    <col min="2049" max="2049" width="4.33203125" style="126" customWidth="1"/>
    <col min="2050" max="2050" width="39.44140625" style="126" customWidth="1"/>
    <col min="2051" max="2051" width="4.6640625" style="126" customWidth="1"/>
    <col min="2052" max="2052" width="12" style="126" customWidth="1"/>
    <col min="2053" max="2053" width="11.33203125" style="126" customWidth="1"/>
    <col min="2054" max="2054" width="13.33203125" style="126" customWidth="1"/>
    <col min="2055" max="2055" width="10.109375" style="126" bestFit="1" customWidth="1"/>
    <col min="2056" max="2304" width="9.109375" style="126"/>
    <col min="2305" max="2305" width="4.33203125" style="126" customWidth="1"/>
    <col min="2306" max="2306" width="39.44140625" style="126" customWidth="1"/>
    <col min="2307" max="2307" width="4.6640625" style="126" customWidth="1"/>
    <col min="2308" max="2308" width="12" style="126" customWidth="1"/>
    <col min="2309" max="2309" width="11.33203125" style="126" customWidth="1"/>
    <col min="2310" max="2310" width="13.33203125" style="126" customWidth="1"/>
    <col min="2311" max="2311" width="10.109375" style="126" bestFit="1" customWidth="1"/>
    <col min="2312" max="2560" width="9.109375" style="126"/>
    <col min="2561" max="2561" width="4.33203125" style="126" customWidth="1"/>
    <col min="2562" max="2562" width="39.44140625" style="126" customWidth="1"/>
    <col min="2563" max="2563" width="4.6640625" style="126" customWidth="1"/>
    <col min="2564" max="2564" width="12" style="126" customWidth="1"/>
    <col min="2565" max="2565" width="11.33203125" style="126" customWidth="1"/>
    <col min="2566" max="2566" width="13.33203125" style="126" customWidth="1"/>
    <col min="2567" max="2567" width="10.109375" style="126" bestFit="1" customWidth="1"/>
    <col min="2568" max="2816" width="9.109375" style="126"/>
    <col min="2817" max="2817" width="4.33203125" style="126" customWidth="1"/>
    <col min="2818" max="2818" width="39.44140625" style="126" customWidth="1"/>
    <col min="2819" max="2819" width="4.6640625" style="126" customWidth="1"/>
    <col min="2820" max="2820" width="12" style="126" customWidth="1"/>
    <col min="2821" max="2821" width="11.33203125" style="126" customWidth="1"/>
    <col min="2822" max="2822" width="13.33203125" style="126" customWidth="1"/>
    <col min="2823" max="2823" width="10.109375" style="126" bestFit="1" customWidth="1"/>
    <col min="2824" max="3072" width="9.109375" style="126"/>
    <col min="3073" max="3073" width="4.33203125" style="126" customWidth="1"/>
    <col min="3074" max="3074" width="39.44140625" style="126" customWidth="1"/>
    <col min="3075" max="3075" width="4.6640625" style="126" customWidth="1"/>
    <col min="3076" max="3076" width="12" style="126" customWidth="1"/>
    <col min="3077" max="3077" width="11.33203125" style="126" customWidth="1"/>
    <col min="3078" max="3078" width="13.33203125" style="126" customWidth="1"/>
    <col min="3079" max="3079" width="10.109375" style="126" bestFit="1" customWidth="1"/>
    <col min="3080" max="3328" width="9.109375" style="126"/>
    <col min="3329" max="3329" width="4.33203125" style="126" customWidth="1"/>
    <col min="3330" max="3330" width="39.44140625" style="126" customWidth="1"/>
    <col min="3331" max="3331" width="4.6640625" style="126" customWidth="1"/>
    <col min="3332" max="3332" width="12" style="126" customWidth="1"/>
    <col min="3333" max="3333" width="11.33203125" style="126" customWidth="1"/>
    <col min="3334" max="3334" width="13.33203125" style="126" customWidth="1"/>
    <col min="3335" max="3335" width="10.109375" style="126" bestFit="1" customWidth="1"/>
    <col min="3336" max="3584" width="9.109375" style="126"/>
    <col min="3585" max="3585" width="4.33203125" style="126" customWidth="1"/>
    <col min="3586" max="3586" width="39.44140625" style="126" customWidth="1"/>
    <col min="3587" max="3587" width="4.6640625" style="126" customWidth="1"/>
    <col min="3588" max="3588" width="12" style="126" customWidth="1"/>
    <col min="3589" max="3589" width="11.33203125" style="126" customWidth="1"/>
    <col min="3590" max="3590" width="13.33203125" style="126" customWidth="1"/>
    <col min="3591" max="3591" width="10.109375" style="126" bestFit="1" customWidth="1"/>
    <col min="3592" max="3840" width="9.109375" style="126"/>
    <col min="3841" max="3841" width="4.33203125" style="126" customWidth="1"/>
    <col min="3842" max="3842" width="39.44140625" style="126" customWidth="1"/>
    <col min="3843" max="3843" width="4.6640625" style="126" customWidth="1"/>
    <col min="3844" max="3844" width="12" style="126" customWidth="1"/>
    <col min="3845" max="3845" width="11.33203125" style="126" customWidth="1"/>
    <col min="3846" max="3846" width="13.33203125" style="126" customWidth="1"/>
    <col min="3847" max="3847" width="10.109375" style="126" bestFit="1" customWidth="1"/>
    <col min="3848" max="4096" width="9.109375" style="126"/>
    <col min="4097" max="4097" width="4.33203125" style="126" customWidth="1"/>
    <col min="4098" max="4098" width="39.44140625" style="126" customWidth="1"/>
    <col min="4099" max="4099" width="4.6640625" style="126" customWidth="1"/>
    <col min="4100" max="4100" width="12" style="126" customWidth="1"/>
    <col min="4101" max="4101" width="11.33203125" style="126" customWidth="1"/>
    <col min="4102" max="4102" width="13.33203125" style="126" customWidth="1"/>
    <col min="4103" max="4103" width="10.109375" style="126" bestFit="1" customWidth="1"/>
    <col min="4104" max="4352" width="9.109375" style="126"/>
    <col min="4353" max="4353" width="4.33203125" style="126" customWidth="1"/>
    <col min="4354" max="4354" width="39.44140625" style="126" customWidth="1"/>
    <col min="4355" max="4355" width="4.6640625" style="126" customWidth="1"/>
    <col min="4356" max="4356" width="12" style="126" customWidth="1"/>
    <col min="4357" max="4357" width="11.33203125" style="126" customWidth="1"/>
    <col min="4358" max="4358" width="13.33203125" style="126" customWidth="1"/>
    <col min="4359" max="4359" width="10.109375" style="126" bestFit="1" customWidth="1"/>
    <col min="4360" max="4608" width="9.109375" style="126"/>
    <col min="4609" max="4609" width="4.33203125" style="126" customWidth="1"/>
    <col min="4610" max="4610" width="39.44140625" style="126" customWidth="1"/>
    <col min="4611" max="4611" width="4.6640625" style="126" customWidth="1"/>
    <col min="4612" max="4612" width="12" style="126" customWidth="1"/>
    <col min="4613" max="4613" width="11.33203125" style="126" customWidth="1"/>
    <col min="4614" max="4614" width="13.33203125" style="126" customWidth="1"/>
    <col min="4615" max="4615" width="10.109375" style="126" bestFit="1" customWidth="1"/>
    <col min="4616" max="4864" width="9.109375" style="126"/>
    <col min="4865" max="4865" width="4.33203125" style="126" customWidth="1"/>
    <col min="4866" max="4866" width="39.44140625" style="126" customWidth="1"/>
    <col min="4867" max="4867" width="4.6640625" style="126" customWidth="1"/>
    <col min="4868" max="4868" width="12" style="126" customWidth="1"/>
    <col min="4869" max="4869" width="11.33203125" style="126" customWidth="1"/>
    <col min="4870" max="4870" width="13.33203125" style="126" customWidth="1"/>
    <col min="4871" max="4871" width="10.109375" style="126" bestFit="1" customWidth="1"/>
    <col min="4872" max="5120" width="9.109375" style="126"/>
    <col min="5121" max="5121" width="4.33203125" style="126" customWidth="1"/>
    <col min="5122" max="5122" width="39.44140625" style="126" customWidth="1"/>
    <col min="5123" max="5123" width="4.6640625" style="126" customWidth="1"/>
    <col min="5124" max="5124" width="12" style="126" customWidth="1"/>
    <col min="5125" max="5125" width="11.33203125" style="126" customWidth="1"/>
    <col min="5126" max="5126" width="13.33203125" style="126" customWidth="1"/>
    <col min="5127" max="5127" width="10.109375" style="126" bestFit="1" customWidth="1"/>
    <col min="5128" max="5376" width="9.109375" style="126"/>
    <col min="5377" max="5377" width="4.33203125" style="126" customWidth="1"/>
    <col min="5378" max="5378" width="39.44140625" style="126" customWidth="1"/>
    <col min="5379" max="5379" width="4.6640625" style="126" customWidth="1"/>
    <col min="5380" max="5380" width="12" style="126" customWidth="1"/>
    <col min="5381" max="5381" width="11.33203125" style="126" customWidth="1"/>
    <col min="5382" max="5382" width="13.33203125" style="126" customWidth="1"/>
    <col min="5383" max="5383" width="10.109375" style="126" bestFit="1" customWidth="1"/>
    <col min="5384" max="5632" width="9.109375" style="126"/>
    <col min="5633" max="5633" width="4.33203125" style="126" customWidth="1"/>
    <col min="5634" max="5634" width="39.44140625" style="126" customWidth="1"/>
    <col min="5635" max="5635" width="4.6640625" style="126" customWidth="1"/>
    <col min="5636" max="5636" width="12" style="126" customWidth="1"/>
    <col min="5637" max="5637" width="11.33203125" style="126" customWidth="1"/>
    <col min="5638" max="5638" width="13.33203125" style="126" customWidth="1"/>
    <col min="5639" max="5639" width="10.109375" style="126" bestFit="1" customWidth="1"/>
    <col min="5640" max="5888" width="9.109375" style="126"/>
    <col min="5889" max="5889" width="4.33203125" style="126" customWidth="1"/>
    <col min="5890" max="5890" width="39.44140625" style="126" customWidth="1"/>
    <col min="5891" max="5891" width="4.6640625" style="126" customWidth="1"/>
    <col min="5892" max="5892" width="12" style="126" customWidth="1"/>
    <col min="5893" max="5893" width="11.33203125" style="126" customWidth="1"/>
    <col min="5894" max="5894" width="13.33203125" style="126" customWidth="1"/>
    <col min="5895" max="5895" width="10.109375" style="126" bestFit="1" customWidth="1"/>
    <col min="5896" max="6144" width="9.109375" style="126"/>
    <col min="6145" max="6145" width="4.33203125" style="126" customWidth="1"/>
    <col min="6146" max="6146" width="39.44140625" style="126" customWidth="1"/>
    <col min="6147" max="6147" width="4.6640625" style="126" customWidth="1"/>
    <col min="6148" max="6148" width="12" style="126" customWidth="1"/>
    <col min="6149" max="6149" width="11.33203125" style="126" customWidth="1"/>
    <col min="6150" max="6150" width="13.33203125" style="126" customWidth="1"/>
    <col min="6151" max="6151" width="10.109375" style="126" bestFit="1" customWidth="1"/>
    <col min="6152" max="6400" width="9.109375" style="126"/>
    <col min="6401" max="6401" width="4.33203125" style="126" customWidth="1"/>
    <col min="6402" max="6402" width="39.44140625" style="126" customWidth="1"/>
    <col min="6403" max="6403" width="4.6640625" style="126" customWidth="1"/>
    <col min="6404" max="6404" width="12" style="126" customWidth="1"/>
    <col min="6405" max="6405" width="11.33203125" style="126" customWidth="1"/>
    <col min="6406" max="6406" width="13.33203125" style="126" customWidth="1"/>
    <col min="6407" max="6407" width="10.109375" style="126" bestFit="1" customWidth="1"/>
    <col min="6408" max="6656" width="9.109375" style="126"/>
    <col min="6657" max="6657" width="4.33203125" style="126" customWidth="1"/>
    <col min="6658" max="6658" width="39.44140625" style="126" customWidth="1"/>
    <col min="6659" max="6659" width="4.6640625" style="126" customWidth="1"/>
    <col min="6660" max="6660" width="12" style="126" customWidth="1"/>
    <col min="6661" max="6661" width="11.33203125" style="126" customWidth="1"/>
    <col min="6662" max="6662" width="13.33203125" style="126" customWidth="1"/>
    <col min="6663" max="6663" width="10.109375" style="126" bestFit="1" customWidth="1"/>
    <col min="6664" max="6912" width="9.109375" style="126"/>
    <col min="6913" max="6913" width="4.33203125" style="126" customWidth="1"/>
    <col min="6914" max="6914" width="39.44140625" style="126" customWidth="1"/>
    <col min="6915" max="6915" width="4.6640625" style="126" customWidth="1"/>
    <col min="6916" max="6916" width="12" style="126" customWidth="1"/>
    <col min="6917" max="6917" width="11.33203125" style="126" customWidth="1"/>
    <col min="6918" max="6918" width="13.33203125" style="126" customWidth="1"/>
    <col min="6919" max="6919" width="10.109375" style="126" bestFit="1" customWidth="1"/>
    <col min="6920" max="7168" width="9.109375" style="126"/>
    <col min="7169" max="7169" width="4.33203125" style="126" customWidth="1"/>
    <col min="7170" max="7170" width="39.44140625" style="126" customWidth="1"/>
    <col min="7171" max="7171" width="4.6640625" style="126" customWidth="1"/>
    <col min="7172" max="7172" width="12" style="126" customWidth="1"/>
    <col min="7173" max="7173" width="11.33203125" style="126" customWidth="1"/>
    <col min="7174" max="7174" width="13.33203125" style="126" customWidth="1"/>
    <col min="7175" max="7175" width="10.109375" style="126" bestFit="1" customWidth="1"/>
    <col min="7176" max="7424" width="9.109375" style="126"/>
    <col min="7425" max="7425" width="4.33203125" style="126" customWidth="1"/>
    <col min="7426" max="7426" width="39.44140625" style="126" customWidth="1"/>
    <col min="7427" max="7427" width="4.6640625" style="126" customWidth="1"/>
    <col min="7428" max="7428" width="12" style="126" customWidth="1"/>
    <col min="7429" max="7429" width="11.33203125" style="126" customWidth="1"/>
    <col min="7430" max="7430" width="13.33203125" style="126" customWidth="1"/>
    <col min="7431" max="7431" width="10.109375" style="126" bestFit="1" customWidth="1"/>
    <col min="7432" max="7680" width="9.109375" style="126"/>
    <col min="7681" max="7681" width="4.33203125" style="126" customWidth="1"/>
    <col min="7682" max="7682" width="39.44140625" style="126" customWidth="1"/>
    <col min="7683" max="7683" width="4.6640625" style="126" customWidth="1"/>
    <col min="7684" max="7684" width="12" style="126" customWidth="1"/>
    <col min="7685" max="7685" width="11.33203125" style="126" customWidth="1"/>
    <col min="7686" max="7686" width="13.33203125" style="126" customWidth="1"/>
    <col min="7687" max="7687" width="10.109375" style="126" bestFit="1" customWidth="1"/>
    <col min="7688" max="7936" width="9.109375" style="126"/>
    <col min="7937" max="7937" width="4.33203125" style="126" customWidth="1"/>
    <col min="7938" max="7938" width="39.44140625" style="126" customWidth="1"/>
    <col min="7939" max="7939" width="4.6640625" style="126" customWidth="1"/>
    <col min="7940" max="7940" width="12" style="126" customWidth="1"/>
    <col min="7941" max="7941" width="11.33203125" style="126" customWidth="1"/>
    <col min="7942" max="7942" width="13.33203125" style="126" customWidth="1"/>
    <col min="7943" max="7943" width="10.109375" style="126" bestFit="1" customWidth="1"/>
    <col min="7944" max="8192" width="9.109375" style="126"/>
    <col min="8193" max="8193" width="4.33203125" style="126" customWidth="1"/>
    <col min="8194" max="8194" width="39.44140625" style="126" customWidth="1"/>
    <col min="8195" max="8195" width="4.6640625" style="126" customWidth="1"/>
    <col min="8196" max="8196" width="12" style="126" customWidth="1"/>
    <col min="8197" max="8197" width="11.33203125" style="126" customWidth="1"/>
    <col min="8198" max="8198" width="13.33203125" style="126" customWidth="1"/>
    <col min="8199" max="8199" width="10.109375" style="126" bestFit="1" customWidth="1"/>
    <col min="8200" max="8448" width="9.109375" style="126"/>
    <col min="8449" max="8449" width="4.33203125" style="126" customWidth="1"/>
    <col min="8450" max="8450" width="39.44140625" style="126" customWidth="1"/>
    <col min="8451" max="8451" width="4.6640625" style="126" customWidth="1"/>
    <col min="8452" max="8452" width="12" style="126" customWidth="1"/>
    <col min="8453" max="8453" width="11.33203125" style="126" customWidth="1"/>
    <col min="8454" max="8454" width="13.33203125" style="126" customWidth="1"/>
    <col min="8455" max="8455" width="10.109375" style="126" bestFit="1" customWidth="1"/>
    <col min="8456" max="8704" width="9.109375" style="126"/>
    <col min="8705" max="8705" width="4.33203125" style="126" customWidth="1"/>
    <col min="8706" max="8706" width="39.44140625" style="126" customWidth="1"/>
    <col min="8707" max="8707" width="4.6640625" style="126" customWidth="1"/>
    <col min="8708" max="8708" width="12" style="126" customWidth="1"/>
    <col min="8709" max="8709" width="11.33203125" style="126" customWidth="1"/>
    <col min="8710" max="8710" width="13.33203125" style="126" customWidth="1"/>
    <col min="8711" max="8711" width="10.109375" style="126" bestFit="1" customWidth="1"/>
    <col min="8712" max="8960" width="9.109375" style="126"/>
    <col min="8961" max="8961" width="4.33203125" style="126" customWidth="1"/>
    <col min="8962" max="8962" width="39.44140625" style="126" customWidth="1"/>
    <col min="8963" max="8963" width="4.6640625" style="126" customWidth="1"/>
    <col min="8964" max="8964" width="12" style="126" customWidth="1"/>
    <col min="8965" max="8965" width="11.33203125" style="126" customWidth="1"/>
    <col min="8966" max="8966" width="13.33203125" style="126" customWidth="1"/>
    <col min="8967" max="8967" width="10.109375" style="126" bestFit="1" customWidth="1"/>
    <col min="8968" max="9216" width="9.109375" style="126"/>
    <col min="9217" max="9217" width="4.33203125" style="126" customWidth="1"/>
    <col min="9218" max="9218" width="39.44140625" style="126" customWidth="1"/>
    <col min="9219" max="9219" width="4.6640625" style="126" customWidth="1"/>
    <col min="9220" max="9220" width="12" style="126" customWidth="1"/>
    <col min="9221" max="9221" width="11.33203125" style="126" customWidth="1"/>
    <col min="9222" max="9222" width="13.33203125" style="126" customWidth="1"/>
    <col min="9223" max="9223" width="10.109375" style="126" bestFit="1" customWidth="1"/>
    <col min="9224" max="9472" width="9.109375" style="126"/>
    <col min="9473" max="9473" width="4.33203125" style="126" customWidth="1"/>
    <col min="9474" max="9474" width="39.44140625" style="126" customWidth="1"/>
    <col min="9475" max="9475" width="4.6640625" style="126" customWidth="1"/>
    <col min="9476" max="9476" width="12" style="126" customWidth="1"/>
    <col min="9477" max="9477" width="11.33203125" style="126" customWidth="1"/>
    <col min="9478" max="9478" width="13.33203125" style="126" customWidth="1"/>
    <col min="9479" max="9479" width="10.109375" style="126" bestFit="1" customWidth="1"/>
    <col min="9480" max="9728" width="9.109375" style="126"/>
    <col min="9729" max="9729" width="4.33203125" style="126" customWidth="1"/>
    <col min="9730" max="9730" width="39.44140625" style="126" customWidth="1"/>
    <col min="9731" max="9731" width="4.6640625" style="126" customWidth="1"/>
    <col min="9732" max="9732" width="12" style="126" customWidth="1"/>
    <col min="9733" max="9733" width="11.33203125" style="126" customWidth="1"/>
    <col min="9734" max="9734" width="13.33203125" style="126" customWidth="1"/>
    <col min="9735" max="9735" width="10.109375" style="126" bestFit="1" customWidth="1"/>
    <col min="9736" max="9984" width="9.109375" style="126"/>
    <col min="9985" max="9985" width="4.33203125" style="126" customWidth="1"/>
    <col min="9986" max="9986" width="39.44140625" style="126" customWidth="1"/>
    <col min="9987" max="9987" width="4.6640625" style="126" customWidth="1"/>
    <col min="9988" max="9988" width="12" style="126" customWidth="1"/>
    <col min="9989" max="9989" width="11.33203125" style="126" customWidth="1"/>
    <col min="9990" max="9990" width="13.33203125" style="126" customWidth="1"/>
    <col min="9991" max="9991" width="10.109375" style="126" bestFit="1" customWidth="1"/>
    <col min="9992" max="10240" width="9.109375" style="126"/>
    <col min="10241" max="10241" width="4.33203125" style="126" customWidth="1"/>
    <col min="10242" max="10242" width="39.44140625" style="126" customWidth="1"/>
    <col min="10243" max="10243" width="4.6640625" style="126" customWidth="1"/>
    <col min="10244" max="10244" width="12" style="126" customWidth="1"/>
    <col min="10245" max="10245" width="11.33203125" style="126" customWidth="1"/>
    <col min="10246" max="10246" width="13.33203125" style="126" customWidth="1"/>
    <col min="10247" max="10247" width="10.109375" style="126" bestFit="1" customWidth="1"/>
    <col min="10248" max="10496" width="9.109375" style="126"/>
    <col min="10497" max="10497" width="4.33203125" style="126" customWidth="1"/>
    <col min="10498" max="10498" width="39.44140625" style="126" customWidth="1"/>
    <col min="10499" max="10499" width="4.6640625" style="126" customWidth="1"/>
    <col min="10500" max="10500" width="12" style="126" customWidth="1"/>
    <col min="10501" max="10501" width="11.33203125" style="126" customWidth="1"/>
    <col min="10502" max="10502" width="13.33203125" style="126" customWidth="1"/>
    <col min="10503" max="10503" width="10.109375" style="126" bestFit="1" customWidth="1"/>
    <col min="10504" max="10752" width="9.109375" style="126"/>
    <col min="10753" max="10753" width="4.33203125" style="126" customWidth="1"/>
    <col min="10754" max="10754" width="39.44140625" style="126" customWidth="1"/>
    <col min="10755" max="10755" width="4.6640625" style="126" customWidth="1"/>
    <col min="10756" max="10756" width="12" style="126" customWidth="1"/>
    <col min="10757" max="10757" width="11.33203125" style="126" customWidth="1"/>
    <col min="10758" max="10758" width="13.33203125" style="126" customWidth="1"/>
    <col min="10759" max="10759" width="10.109375" style="126" bestFit="1" customWidth="1"/>
    <col min="10760" max="11008" width="9.109375" style="126"/>
    <col min="11009" max="11009" width="4.33203125" style="126" customWidth="1"/>
    <col min="11010" max="11010" width="39.44140625" style="126" customWidth="1"/>
    <col min="11011" max="11011" width="4.6640625" style="126" customWidth="1"/>
    <col min="11012" max="11012" width="12" style="126" customWidth="1"/>
    <col min="11013" max="11013" width="11.33203125" style="126" customWidth="1"/>
    <col min="11014" max="11014" width="13.33203125" style="126" customWidth="1"/>
    <col min="11015" max="11015" width="10.109375" style="126" bestFit="1" customWidth="1"/>
    <col min="11016" max="11264" width="9.109375" style="126"/>
    <col min="11265" max="11265" width="4.33203125" style="126" customWidth="1"/>
    <col min="11266" max="11266" width="39.44140625" style="126" customWidth="1"/>
    <col min="11267" max="11267" width="4.6640625" style="126" customWidth="1"/>
    <col min="11268" max="11268" width="12" style="126" customWidth="1"/>
    <col min="11269" max="11269" width="11.33203125" style="126" customWidth="1"/>
    <col min="11270" max="11270" width="13.33203125" style="126" customWidth="1"/>
    <col min="11271" max="11271" width="10.109375" style="126" bestFit="1" customWidth="1"/>
    <col min="11272" max="11520" width="9.109375" style="126"/>
    <col min="11521" max="11521" width="4.33203125" style="126" customWidth="1"/>
    <col min="11522" max="11522" width="39.44140625" style="126" customWidth="1"/>
    <col min="11523" max="11523" width="4.6640625" style="126" customWidth="1"/>
    <col min="11524" max="11524" width="12" style="126" customWidth="1"/>
    <col min="11525" max="11525" width="11.33203125" style="126" customWidth="1"/>
    <col min="11526" max="11526" width="13.33203125" style="126" customWidth="1"/>
    <col min="11527" max="11527" width="10.109375" style="126" bestFit="1" customWidth="1"/>
    <col min="11528" max="11776" width="9.109375" style="126"/>
    <col min="11777" max="11777" width="4.33203125" style="126" customWidth="1"/>
    <col min="11778" max="11778" width="39.44140625" style="126" customWidth="1"/>
    <col min="11779" max="11779" width="4.6640625" style="126" customWidth="1"/>
    <col min="11780" max="11780" width="12" style="126" customWidth="1"/>
    <col min="11781" max="11781" width="11.33203125" style="126" customWidth="1"/>
    <col min="11782" max="11782" width="13.33203125" style="126" customWidth="1"/>
    <col min="11783" max="11783" width="10.109375" style="126" bestFit="1" customWidth="1"/>
    <col min="11784" max="12032" width="9.109375" style="126"/>
    <col min="12033" max="12033" width="4.33203125" style="126" customWidth="1"/>
    <col min="12034" max="12034" width="39.44140625" style="126" customWidth="1"/>
    <col min="12035" max="12035" width="4.6640625" style="126" customWidth="1"/>
    <col min="12036" max="12036" width="12" style="126" customWidth="1"/>
    <col min="12037" max="12037" width="11.33203125" style="126" customWidth="1"/>
    <col min="12038" max="12038" width="13.33203125" style="126" customWidth="1"/>
    <col min="12039" max="12039" width="10.109375" style="126" bestFit="1" customWidth="1"/>
    <col min="12040" max="12288" width="9.109375" style="126"/>
    <col min="12289" max="12289" width="4.33203125" style="126" customWidth="1"/>
    <col min="12290" max="12290" width="39.44140625" style="126" customWidth="1"/>
    <col min="12291" max="12291" width="4.6640625" style="126" customWidth="1"/>
    <col min="12292" max="12292" width="12" style="126" customWidth="1"/>
    <col min="12293" max="12293" width="11.33203125" style="126" customWidth="1"/>
    <col min="12294" max="12294" width="13.33203125" style="126" customWidth="1"/>
    <col min="12295" max="12295" width="10.109375" style="126" bestFit="1" customWidth="1"/>
    <col min="12296" max="12544" width="9.109375" style="126"/>
    <col min="12545" max="12545" width="4.33203125" style="126" customWidth="1"/>
    <col min="12546" max="12546" width="39.44140625" style="126" customWidth="1"/>
    <col min="12547" max="12547" width="4.6640625" style="126" customWidth="1"/>
    <col min="12548" max="12548" width="12" style="126" customWidth="1"/>
    <col min="12549" max="12549" width="11.33203125" style="126" customWidth="1"/>
    <col min="12550" max="12550" width="13.33203125" style="126" customWidth="1"/>
    <col min="12551" max="12551" width="10.109375" style="126" bestFit="1" customWidth="1"/>
    <col min="12552" max="12800" width="9.109375" style="126"/>
    <col min="12801" max="12801" width="4.33203125" style="126" customWidth="1"/>
    <col min="12802" max="12802" width="39.44140625" style="126" customWidth="1"/>
    <col min="12803" max="12803" width="4.6640625" style="126" customWidth="1"/>
    <col min="12804" max="12804" width="12" style="126" customWidth="1"/>
    <col min="12805" max="12805" width="11.33203125" style="126" customWidth="1"/>
    <col min="12806" max="12806" width="13.33203125" style="126" customWidth="1"/>
    <col min="12807" max="12807" width="10.109375" style="126" bestFit="1" customWidth="1"/>
    <col min="12808" max="13056" width="9.109375" style="126"/>
    <col min="13057" max="13057" width="4.33203125" style="126" customWidth="1"/>
    <col min="13058" max="13058" width="39.44140625" style="126" customWidth="1"/>
    <col min="13059" max="13059" width="4.6640625" style="126" customWidth="1"/>
    <col min="13060" max="13060" width="12" style="126" customWidth="1"/>
    <col min="13061" max="13061" width="11.33203125" style="126" customWidth="1"/>
    <col min="13062" max="13062" width="13.33203125" style="126" customWidth="1"/>
    <col min="13063" max="13063" width="10.109375" style="126" bestFit="1" customWidth="1"/>
    <col min="13064" max="13312" width="9.109375" style="126"/>
    <col min="13313" max="13313" width="4.33203125" style="126" customWidth="1"/>
    <col min="13314" max="13314" width="39.44140625" style="126" customWidth="1"/>
    <col min="13315" max="13315" width="4.6640625" style="126" customWidth="1"/>
    <col min="13316" max="13316" width="12" style="126" customWidth="1"/>
    <col min="13317" max="13317" width="11.33203125" style="126" customWidth="1"/>
    <col min="13318" max="13318" width="13.33203125" style="126" customWidth="1"/>
    <col min="13319" max="13319" width="10.109375" style="126" bestFit="1" customWidth="1"/>
    <col min="13320" max="13568" width="9.109375" style="126"/>
    <col min="13569" max="13569" width="4.33203125" style="126" customWidth="1"/>
    <col min="13570" max="13570" width="39.44140625" style="126" customWidth="1"/>
    <col min="13571" max="13571" width="4.6640625" style="126" customWidth="1"/>
    <col min="13572" max="13572" width="12" style="126" customWidth="1"/>
    <col min="13573" max="13573" width="11.33203125" style="126" customWidth="1"/>
    <col min="13574" max="13574" width="13.33203125" style="126" customWidth="1"/>
    <col min="13575" max="13575" width="10.109375" style="126" bestFit="1" customWidth="1"/>
    <col min="13576" max="13824" width="9.109375" style="126"/>
    <col min="13825" max="13825" width="4.33203125" style="126" customWidth="1"/>
    <col min="13826" max="13826" width="39.44140625" style="126" customWidth="1"/>
    <col min="13827" max="13827" width="4.6640625" style="126" customWidth="1"/>
    <col min="13828" max="13828" width="12" style="126" customWidth="1"/>
    <col min="13829" max="13829" width="11.33203125" style="126" customWidth="1"/>
    <col min="13830" max="13830" width="13.33203125" style="126" customWidth="1"/>
    <col min="13831" max="13831" width="10.109375" style="126" bestFit="1" customWidth="1"/>
    <col min="13832" max="14080" width="9.109375" style="126"/>
    <col min="14081" max="14081" width="4.33203125" style="126" customWidth="1"/>
    <col min="14082" max="14082" width="39.44140625" style="126" customWidth="1"/>
    <col min="14083" max="14083" width="4.6640625" style="126" customWidth="1"/>
    <col min="14084" max="14084" width="12" style="126" customWidth="1"/>
    <col min="14085" max="14085" width="11.33203125" style="126" customWidth="1"/>
    <col min="14086" max="14086" width="13.33203125" style="126" customWidth="1"/>
    <col min="14087" max="14087" width="10.109375" style="126" bestFit="1" customWidth="1"/>
    <col min="14088" max="14336" width="9.109375" style="126"/>
    <col min="14337" max="14337" width="4.33203125" style="126" customWidth="1"/>
    <col min="14338" max="14338" width="39.44140625" style="126" customWidth="1"/>
    <col min="14339" max="14339" width="4.6640625" style="126" customWidth="1"/>
    <col min="14340" max="14340" width="12" style="126" customWidth="1"/>
    <col min="14341" max="14341" width="11.33203125" style="126" customWidth="1"/>
    <col min="14342" max="14342" width="13.33203125" style="126" customWidth="1"/>
    <col min="14343" max="14343" width="10.109375" style="126" bestFit="1" customWidth="1"/>
    <col min="14344" max="14592" width="9.109375" style="126"/>
    <col min="14593" max="14593" width="4.33203125" style="126" customWidth="1"/>
    <col min="14594" max="14594" width="39.44140625" style="126" customWidth="1"/>
    <col min="14595" max="14595" width="4.6640625" style="126" customWidth="1"/>
    <col min="14596" max="14596" width="12" style="126" customWidth="1"/>
    <col min="14597" max="14597" width="11.33203125" style="126" customWidth="1"/>
    <col min="14598" max="14598" width="13.33203125" style="126" customWidth="1"/>
    <col min="14599" max="14599" width="10.109375" style="126" bestFit="1" customWidth="1"/>
    <col min="14600" max="14848" width="9.109375" style="126"/>
    <col min="14849" max="14849" width="4.33203125" style="126" customWidth="1"/>
    <col min="14850" max="14850" width="39.44140625" style="126" customWidth="1"/>
    <col min="14851" max="14851" width="4.6640625" style="126" customWidth="1"/>
    <col min="14852" max="14852" width="12" style="126" customWidth="1"/>
    <col min="14853" max="14853" width="11.33203125" style="126" customWidth="1"/>
    <col min="14854" max="14854" width="13.33203125" style="126" customWidth="1"/>
    <col min="14855" max="14855" width="10.109375" style="126" bestFit="1" customWidth="1"/>
    <col min="14856" max="15104" width="9.109375" style="126"/>
    <col min="15105" max="15105" width="4.33203125" style="126" customWidth="1"/>
    <col min="15106" max="15106" width="39.44140625" style="126" customWidth="1"/>
    <col min="15107" max="15107" width="4.6640625" style="126" customWidth="1"/>
    <col min="15108" max="15108" width="12" style="126" customWidth="1"/>
    <col min="15109" max="15109" width="11.33203125" style="126" customWidth="1"/>
    <col min="15110" max="15110" width="13.33203125" style="126" customWidth="1"/>
    <col min="15111" max="15111" width="10.109375" style="126" bestFit="1" customWidth="1"/>
    <col min="15112" max="15360" width="9.109375" style="126"/>
    <col min="15361" max="15361" width="4.33203125" style="126" customWidth="1"/>
    <col min="15362" max="15362" width="39.44140625" style="126" customWidth="1"/>
    <col min="15363" max="15363" width="4.6640625" style="126" customWidth="1"/>
    <col min="15364" max="15364" width="12" style="126" customWidth="1"/>
    <col min="15365" max="15365" width="11.33203125" style="126" customWidth="1"/>
    <col min="15366" max="15366" width="13.33203125" style="126" customWidth="1"/>
    <col min="15367" max="15367" width="10.109375" style="126" bestFit="1" customWidth="1"/>
    <col min="15368" max="15616" width="9.109375" style="126"/>
    <col min="15617" max="15617" width="4.33203125" style="126" customWidth="1"/>
    <col min="15618" max="15618" width="39.44140625" style="126" customWidth="1"/>
    <col min="15619" max="15619" width="4.6640625" style="126" customWidth="1"/>
    <col min="15620" max="15620" width="12" style="126" customWidth="1"/>
    <col min="15621" max="15621" width="11.33203125" style="126" customWidth="1"/>
    <col min="15622" max="15622" width="13.33203125" style="126" customWidth="1"/>
    <col min="15623" max="15623" width="10.109375" style="126" bestFit="1" customWidth="1"/>
    <col min="15624" max="15872" width="9.109375" style="126"/>
    <col min="15873" max="15873" width="4.33203125" style="126" customWidth="1"/>
    <col min="15874" max="15874" width="39.44140625" style="126" customWidth="1"/>
    <col min="15875" max="15875" width="4.6640625" style="126" customWidth="1"/>
    <col min="15876" max="15876" width="12" style="126" customWidth="1"/>
    <col min="15877" max="15877" width="11.33203125" style="126" customWidth="1"/>
    <col min="15878" max="15878" width="13.33203125" style="126" customWidth="1"/>
    <col min="15879" max="15879" width="10.109375" style="126" bestFit="1" customWidth="1"/>
    <col min="15880" max="16128" width="9.109375" style="126"/>
    <col min="16129" max="16129" width="4.33203125" style="126" customWidth="1"/>
    <col min="16130" max="16130" width="39.44140625" style="126" customWidth="1"/>
    <col min="16131" max="16131" width="4.6640625" style="126" customWidth="1"/>
    <col min="16132" max="16132" width="12" style="126" customWidth="1"/>
    <col min="16133" max="16133" width="11.33203125" style="126" customWidth="1"/>
    <col min="16134" max="16134" width="13.33203125" style="126" customWidth="1"/>
    <col min="16135" max="16135" width="10.109375" style="126" bestFit="1" customWidth="1"/>
    <col min="16136" max="16384" width="9.109375" style="126"/>
  </cols>
  <sheetData>
    <row r="1" spans="1:8" ht="13.8" x14ac:dyDescent="0.25">
      <c r="A1" s="279" t="s">
        <v>94</v>
      </c>
      <c r="B1" s="280"/>
      <c r="C1" s="280"/>
      <c r="D1" s="280"/>
      <c r="E1" s="280"/>
      <c r="F1" s="280"/>
      <c r="G1" s="281"/>
    </row>
    <row r="2" spans="1:8" ht="13.8" x14ac:dyDescent="0.25">
      <c r="A2" s="282" t="s">
        <v>95</v>
      </c>
      <c r="B2" s="283"/>
      <c r="C2" s="283"/>
      <c r="D2" s="283"/>
      <c r="E2" s="283"/>
      <c r="F2" s="283"/>
      <c r="G2" s="284"/>
    </row>
    <row r="3" spans="1:8" ht="13.8" x14ac:dyDescent="0.25">
      <c r="A3" s="282" t="s">
        <v>96</v>
      </c>
      <c r="B3" s="283"/>
      <c r="C3" s="283"/>
      <c r="D3" s="283"/>
      <c r="E3" s="283"/>
      <c r="F3" s="283"/>
      <c r="G3" s="284"/>
    </row>
    <row r="4" spans="1:8" x14ac:dyDescent="0.25">
      <c r="A4" s="285"/>
      <c r="B4" s="286"/>
      <c r="C4" s="286"/>
      <c r="D4" s="286"/>
      <c r="E4" s="286"/>
      <c r="F4" s="286"/>
      <c r="G4" s="287"/>
    </row>
    <row r="5" spans="1:8" x14ac:dyDescent="0.25">
      <c r="A5" s="127"/>
      <c r="B5" s="128"/>
      <c r="C5" s="128"/>
      <c r="D5" s="128"/>
      <c r="E5" s="128"/>
      <c r="F5" s="128"/>
      <c r="G5" s="129"/>
    </row>
    <row r="6" spans="1:8" ht="15.6" x14ac:dyDescent="0.3">
      <c r="A6" s="288" t="s">
        <v>121</v>
      </c>
      <c r="B6" s="289"/>
      <c r="C6" s="289"/>
      <c r="D6" s="289"/>
      <c r="E6" s="289"/>
      <c r="F6" s="289"/>
      <c r="G6" s="290"/>
    </row>
    <row r="7" spans="1:8" x14ac:dyDescent="0.25">
      <c r="A7" s="130"/>
      <c r="B7" s="131"/>
      <c r="C7" s="131"/>
      <c r="D7" s="131"/>
      <c r="E7" s="131"/>
      <c r="F7" s="131"/>
      <c r="G7" s="132"/>
    </row>
    <row r="8" spans="1:8" x14ac:dyDescent="0.25">
      <c r="A8" s="133" t="s">
        <v>122</v>
      </c>
      <c r="B8" s="134"/>
      <c r="C8" s="134"/>
      <c r="D8" s="134"/>
      <c r="E8" s="134"/>
      <c r="F8" s="134"/>
      <c r="G8" s="135"/>
      <c r="H8" s="134"/>
    </row>
    <row r="9" spans="1:8" x14ac:dyDescent="0.25">
      <c r="A9" s="133" t="s">
        <v>123</v>
      </c>
      <c r="B9" s="134"/>
      <c r="C9" s="134"/>
      <c r="D9" s="134"/>
      <c r="E9" s="134"/>
      <c r="F9" s="136" t="s">
        <v>124</v>
      </c>
      <c r="G9" s="135"/>
      <c r="H9" s="131"/>
    </row>
    <row r="10" spans="1:8" x14ac:dyDescent="0.25">
      <c r="A10" s="291" t="s">
        <v>125</v>
      </c>
      <c r="B10" s="292"/>
      <c r="C10" s="292"/>
      <c r="D10" s="292"/>
      <c r="E10" s="292"/>
      <c r="F10" s="292"/>
      <c r="G10" s="293"/>
    </row>
    <row r="11" spans="1:8" ht="13.8" thickBot="1" x14ac:dyDescent="0.3">
      <c r="A11" s="270" t="s">
        <v>167</v>
      </c>
      <c r="B11" s="271"/>
      <c r="C11" s="271"/>
      <c r="D11" s="271"/>
      <c r="E11" s="271"/>
      <c r="F11" s="271"/>
      <c r="G11" s="272"/>
    </row>
    <row r="12" spans="1:8" x14ac:dyDescent="0.25">
      <c r="A12" s="273" t="s">
        <v>5</v>
      </c>
      <c r="B12" s="275" t="s">
        <v>126</v>
      </c>
      <c r="C12" s="275" t="s">
        <v>127</v>
      </c>
      <c r="D12" s="275" t="s">
        <v>128</v>
      </c>
      <c r="E12" s="275" t="s">
        <v>129</v>
      </c>
      <c r="F12" s="275" t="s">
        <v>130</v>
      </c>
      <c r="G12" s="277" t="s">
        <v>131</v>
      </c>
    </row>
    <row r="13" spans="1:8" ht="13.8" thickBot="1" x14ac:dyDescent="0.3">
      <c r="A13" s="274"/>
      <c r="B13" s="276"/>
      <c r="C13" s="276"/>
      <c r="D13" s="276"/>
      <c r="E13" s="276"/>
      <c r="F13" s="276"/>
      <c r="G13" s="278"/>
    </row>
    <row r="14" spans="1:8" ht="18.75" customHeight="1" x14ac:dyDescent="0.25">
      <c r="A14" s="137" t="s">
        <v>132</v>
      </c>
      <c r="B14" s="264" t="s">
        <v>133</v>
      </c>
      <c r="C14" s="265"/>
      <c r="D14" s="265"/>
      <c r="E14" s="265"/>
      <c r="F14" s="265"/>
      <c r="G14" s="266"/>
    </row>
    <row r="15" spans="1:8" ht="26.4" x14ac:dyDescent="0.25">
      <c r="A15" s="138">
        <v>1</v>
      </c>
      <c r="B15" s="139" t="s">
        <v>151</v>
      </c>
      <c r="C15" s="140" t="s">
        <v>134</v>
      </c>
      <c r="D15" s="141">
        <f>'Compilation 1'!C12</f>
        <v>46.720463339199377</v>
      </c>
      <c r="E15" s="142">
        <v>2242.96</v>
      </c>
      <c r="F15" s="143">
        <f>D15*E15</f>
        <v>104792.13045129064</v>
      </c>
      <c r="G15" s="144"/>
    </row>
    <row r="16" spans="1:8" ht="26.4" x14ac:dyDescent="0.25">
      <c r="A16" s="138">
        <v>3</v>
      </c>
      <c r="B16" s="139" t="s">
        <v>135</v>
      </c>
      <c r="C16" s="140" t="s">
        <v>136</v>
      </c>
      <c r="D16" s="141">
        <f>'Compilation 1'!C14</f>
        <v>319.20323876973481</v>
      </c>
      <c r="E16" s="142">
        <v>80.349999999999994</v>
      </c>
      <c r="F16" s="143">
        <f>D16*E16</f>
        <v>25647.980235148189</v>
      </c>
      <c r="G16" s="144"/>
    </row>
    <row r="17" spans="1:10" x14ac:dyDescent="0.25">
      <c r="A17" s="138"/>
      <c r="B17" s="145"/>
      <c r="C17" s="140"/>
      <c r="D17" s="141"/>
      <c r="E17" s="146"/>
      <c r="F17" s="143"/>
      <c r="G17" s="144"/>
    </row>
    <row r="18" spans="1:10" x14ac:dyDescent="0.25">
      <c r="A18" s="138"/>
      <c r="B18" s="147" t="s">
        <v>137</v>
      </c>
      <c r="C18" s="140"/>
      <c r="D18" s="148"/>
      <c r="E18" s="146"/>
      <c r="F18" s="149">
        <f>SUM(F15:F16)</f>
        <v>130440.11068643883</v>
      </c>
      <c r="G18" s="150"/>
    </row>
    <row r="19" spans="1:10" ht="13.8" x14ac:dyDescent="0.25">
      <c r="A19" s="138"/>
      <c r="B19" s="267" t="s">
        <v>138</v>
      </c>
      <c r="C19" s="268"/>
      <c r="D19" s="268"/>
      <c r="E19" s="268"/>
      <c r="F19" s="268"/>
      <c r="G19" s="269"/>
    </row>
    <row r="20" spans="1:10" ht="13.8" x14ac:dyDescent="0.25">
      <c r="A20" s="151" t="s">
        <v>139</v>
      </c>
      <c r="B20" s="267" t="s">
        <v>140</v>
      </c>
      <c r="C20" s="268"/>
      <c r="D20" s="268"/>
      <c r="E20" s="268"/>
      <c r="F20" s="268"/>
      <c r="G20" s="269"/>
    </row>
    <row r="21" spans="1:10" ht="61.8" x14ac:dyDescent="0.25">
      <c r="A21" s="152" t="s">
        <v>141</v>
      </c>
      <c r="B21" s="153" t="s">
        <v>142</v>
      </c>
      <c r="C21" s="154" t="s">
        <v>108</v>
      </c>
      <c r="D21" s="155">
        <f>('Compilation 1'!C12)*560*0.5</f>
        <v>13081.729734975825</v>
      </c>
      <c r="E21" s="156">
        <f>'Brick rate'!F18</f>
        <v>10.783239999999999</v>
      </c>
      <c r="F21" s="157">
        <f>D21*E21</f>
        <v>141063.43134738071</v>
      </c>
      <c r="G21" s="150" t="s">
        <v>143</v>
      </c>
    </row>
    <row r="22" spans="1:10" x14ac:dyDescent="0.25">
      <c r="A22" s="138"/>
      <c r="B22" s="153" t="s">
        <v>144</v>
      </c>
      <c r="C22" s="158"/>
      <c r="D22" s="148"/>
      <c r="E22" s="146"/>
      <c r="F22" s="157"/>
      <c r="G22" s="150"/>
    </row>
    <row r="23" spans="1:10" ht="15.6" x14ac:dyDescent="0.25">
      <c r="A23" s="152" t="s">
        <v>145</v>
      </c>
      <c r="B23" s="153" t="s">
        <v>146</v>
      </c>
      <c r="C23" s="140" t="s">
        <v>134</v>
      </c>
      <c r="D23" s="155">
        <f>('Compilation 1'!C12)*0.5</f>
        <v>23.360231669599688</v>
      </c>
      <c r="E23" s="146">
        <v>2625</v>
      </c>
      <c r="F23" s="157">
        <f>D23*E23</f>
        <v>61320.608132699184</v>
      </c>
      <c r="G23" s="150"/>
      <c r="J23" s="126">
        <v>245.96</v>
      </c>
    </row>
    <row r="24" spans="1:10" x14ac:dyDescent="0.25">
      <c r="A24" s="138"/>
      <c r="B24" s="153" t="s">
        <v>147</v>
      </c>
      <c r="C24" s="158"/>
      <c r="D24" s="148"/>
      <c r="E24" s="146"/>
      <c r="F24" s="157"/>
      <c r="G24" s="150"/>
    </row>
    <row r="25" spans="1:10" ht="26.4" x14ac:dyDescent="0.25">
      <c r="A25" s="138">
        <v>3</v>
      </c>
      <c r="B25" s="159" t="s">
        <v>168</v>
      </c>
      <c r="C25" s="140" t="s">
        <v>148</v>
      </c>
      <c r="D25" s="148">
        <f>'Compilation 1'!C18</f>
        <v>0.24798870728081582</v>
      </c>
      <c r="E25" s="146">
        <f>'wood frame'!F18</f>
        <v>153106.98479999998</v>
      </c>
      <c r="F25" s="157">
        <f>D25*E25</f>
        <v>37968.803236215514</v>
      </c>
      <c r="G25" s="150"/>
      <c r="J25" s="126">
        <v>2</v>
      </c>
    </row>
    <row r="26" spans="1:10" x14ac:dyDescent="0.25">
      <c r="A26" s="138">
        <v>8</v>
      </c>
      <c r="B26" s="139" t="s">
        <v>149</v>
      </c>
      <c r="C26" s="160" t="s">
        <v>114</v>
      </c>
      <c r="D26" s="141">
        <f>'Compilation 1'!F14</f>
        <v>1351.8257161898271</v>
      </c>
      <c r="E26" s="142">
        <v>20</v>
      </c>
      <c r="F26" s="157">
        <f>D26*E26</f>
        <v>27036.514323796542</v>
      </c>
      <c r="G26" s="144"/>
    </row>
    <row r="27" spans="1:10" x14ac:dyDescent="0.25">
      <c r="A27" s="161"/>
      <c r="B27" s="139" t="s">
        <v>175</v>
      </c>
      <c r="C27" s="160" t="s">
        <v>114</v>
      </c>
      <c r="D27" s="148">
        <f>'quqntity cqlculqtion'!G145*1000</f>
        <v>3602.304488720617</v>
      </c>
      <c r="E27" s="146">
        <f>'MS rate'!F18</f>
        <v>66.215999999999994</v>
      </c>
      <c r="F27" s="157">
        <f>D27*E27</f>
        <v>238530.19402512436</v>
      </c>
      <c r="G27" s="150"/>
    </row>
    <row r="28" spans="1:10" x14ac:dyDescent="0.25">
      <c r="A28" s="161"/>
      <c r="B28" s="162"/>
      <c r="C28" s="140"/>
      <c r="D28" s="148"/>
      <c r="E28" s="146"/>
      <c r="F28" s="157"/>
      <c r="G28" s="150"/>
    </row>
    <row r="29" spans="1:10" ht="26.4" x14ac:dyDescent="0.25">
      <c r="A29" s="161"/>
      <c r="B29" s="163" t="s">
        <v>150</v>
      </c>
      <c r="C29" s="140"/>
      <c r="D29" s="148"/>
      <c r="E29" s="146"/>
      <c r="F29" s="149">
        <f>SUM(F21:F27)</f>
        <v>505919.55106521631</v>
      </c>
      <c r="G29" s="150"/>
    </row>
    <row r="30" spans="1:10" ht="13.8" thickBot="1" x14ac:dyDescent="0.3">
      <c r="A30" s="164"/>
      <c r="B30" s="165"/>
      <c r="C30" s="166"/>
      <c r="D30" s="167"/>
      <c r="E30" s="168"/>
      <c r="F30" s="169"/>
      <c r="G30" s="170"/>
    </row>
    <row r="31" spans="1:10" x14ac:dyDescent="0.25">
      <c r="A31" s="134"/>
      <c r="B31" s="134"/>
      <c r="C31" s="136"/>
      <c r="D31" s="171"/>
      <c r="E31" s="172"/>
      <c r="F31" s="173"/>
      <c r="G31" s="134"/>
    </row>
    <row r="32" spans="1:10" x14ac:dyDescent="0.25">
      <c r="A32" s="134"/>
      <c r="B32" s="131"/>
      <c r="C32" s="136"/>
      <c r="D32" s="174"/>
      <c r="E32" s="134"/>
      <c r="F32" s="173"/>
      <c r="G32" s="134"/>
    </row>
    <row r="33" spans="1:7" x14ac:dyDescent="0.25">
      <c r="A33" s="134"/>
      <c r="B33" s="131"/>
      <c r="C33" s="136"/>
      <c r="D33" s="174"/>
      <c r="E33" s="172"/>
      <c r="F33" s="173"/>
      <c r="G33" s="134"/>
    </row>
    <row r="34" spans="1:7" x14ac:dyDescent="0.25">
      <c r="A34" s="134"/>
      <c r="B34" s="131"/>
      <c r="C34" s="136"/>
      <c r="D34" s="175"/>
      <c r="E34" s="173"/>
      <c r="F34" s="173"/>
      <c r="G34" s="134"/>
    </row>
    <row r="35" spans="1:7" x14ac:dyDescent="0.25">
      <c r="A35" s="134"/>
      <c r="B35" s="134"/>
      <c r="C35" s="136"/>
      <c r="D35" s="176"/>
      <c r="E35" s="176"/>
      <c r="F35" s="177"/>
      <c r="G35" s="134"/>
    </row>
    <row r="36" spans="1:7" x14ac:dyDescent="0.25">
      <c r="A36" s="134"/>
      <c r="B36" s="134"/>
      <c r="C36" s="136"/>
      <c r="D36" s="175"/>
      <c r="E36" s="134"/>
      <c r="F36" s="173"/>
      <c r="G36" s="134"/>
    </row>
    <row r="37" spans="1:7" x14ac:dyDescent="0.25">
      <c r="A37" s="134"/>
      <c r="B37" s="178"/>
      <c r="C37" s="178"/>
      <c r="D37" s="178"/>
      <c r="E37" s="178"/>
      <c r="F37" s="177"/>
      <c r="G37" s="134"/>
    </row>
    <row r="38" spans="1:7" x14ac:dyDescent="0.25">
      <c r="A38" s="134"/>
      <c r="B38" s="178"/>
      <c r="C38" s="178"/>
      <c r="D38" s="178"/>
      <c r="E38" s="178"/>
      <c r="F38" s="177"/>
      <c r="G38" s="134"/>
    </row>
    <row r="39" spans="1:7" x14ac:dyDescent="0.25">
      <c r="A39" s="134"/>
      <c r="B39" s="134"/>
      <c r="C39" s="136"/>
      <c r="D39" s="136"/>
      <c r="E39" s="134"/>
      <c r="F39" s="134"/>
      <c r="G39" s="134"/>
    </row>
    <row r="40" spans="1:7" x14ac:dyDescent="0.25">
      <c r="A40" s="134"/>
      <c r="B40" s="134"/>
      <c r="C40" s="136"/>
      <c r="D40" s="136"/>
      <c r="E40" s="134"/>
      <c r="F40" s="134"/>
      <c r="G40" s="134"/>
    </row>
    <row r="41" spans="1:7" x14ac:dyDescent="0.25">
      <c r="A41" s="134"/>
      <c r="B41" s="134"/>
      <c r="C41" s="136"/>
      <c r="D41" s="136"/>
      <c r="E41" s="134"/>
      <c r="F41" s="134"/>
      <c r="G41" s="134"/>
    </row>
    <row r="42" spans="1:7" x14ac:dyDescent="0.25">
      <c r="A42" s="134"/>
      <c r="B42" s="134"/>
      <c r="C42" s="136"/>
      <c r="D42" s="136"/>
      <c r="E42" s="134"/>
      <c r="F42" s="134"/>
      <c r="G42" s="134"/>
    </row>
    <row r="43" spans="1:7" x14ac:dyDescent="0.25">
      <c r="A43" s="134"/>
      <c r="B43" s="134"/>
      <c r="C43" s="136"/>
      <c r="D43" s="136"/>
      <c r="E43" s="134"/>
      <c r="F43" s="134"/>
      <c r="G43" s="134"/>
    </row>
    <row r="44" spans="1:7" x14ac:dyDescent="0.25">
      <c r="A44" s="134"/>
      <c r="B44" s="134"/>
      <c r="C44" s="136"/>
      <c r="D44" s="136"/>
      <c r="E44" s="134"/>
      <c r="F44" s="134"/>
      <c r="G44" s="134"/>
    </row>
    <row r="45" spans="1:7" x14ac:dyDescent="0.25">
      <c r="A45" s="134"/>
      <c r="B45" s="134"/>
      <c r="C45" s="136"/>
      <c r="D45" s="136"/>
      <c r="E45" s="134"/>
      <c r="F45" s="134"/>
      <c r="G45" s="134"/>
    </row>
    <row r="46" spans="1:7" x14ac:dyDescent="0.25">
      <c r="A46" s="134"/>
      <c r="B46" s="134"/>
      <c r="C46" s="136"/>
      <c r="D46" s="136"/>
      <c r="E46" s="134"/>
      <c r="F46" s="134"/>
      <c r="G46" s="134"/>
    </row>
    <row r="47" spans="1:7" x14ac:dyDescent="0.25">
      <c r="A47" s="134"/>
      <c r="B47" s="134"/>
      <c r="C47" s="136"/>
      <c r="D47" s="136"/>
      <c r="E47" s="134"/>
      <c r="F47" s="134"/>
      <c r="G47" s="134"/>
    </row>
    <row r="48" spans="1:7" x14ac:dyDescent="0.25">
      <c r="A48" s="134"/>
      <c r="B48" s="134"/>
      <c r="C48" s="136"/>
      <c r="D48" s="136"/>
      <c r="E48" s="134"/>
      <c r="F48" s="134"/>
      <c r="G48" s="134"/>
    </row>
    <row r="49" spans="1:7" x14ac:dyDescent="0.25">
      <c r="A49" s="134"/>
      <c r="B49" s="134"/>
      <c r="C49" s="136"/>
      <c r="D49" s="136"/>
      <c r="E49" s="134"/>
      <c r="F49" s="134"/>
      <c r="G49" s="134"/>
    </row>
    <row r="50" spans="1:7" x14ac:dyDescent="0.25">
      <c r="A50" s="134"/>
      <c r="B50" s="134"/>
      <c r="C50" s="136"/>
      <c r="D50" s="136"/>
      <c r="E50" s="134"/>
      <c r="F50" s="134"/>
      <c r="G50" s="134"/>
    </row>
    <row r="51" spans="1:7" x14ac:dyDescent="0.25">
      <c r="A51" s="134"/>
      <c r="B51" s="134"/>
      <c r="C51" s="136"/>
      <c r="D51" s="136"/>
      <c r="E51" s="134"/>
      <c r="F51" s="134"/>
      <c r="G51" s="134"/>
    </row>
    <row r="52" spans="1:7" x14ac:dyDescent="0.25">
      <c r="A52" s="134"/>
      <c r="B52" s="134"/>
      <c r="C52" s="136"/>
      <c r="D52" s="136"/>
      <c r="E52" s="134"/>
      <c r="F52" s="134"/>
      <c r="G52" s="134"/>
    </row>
    <row r="53" spans="1:7" x14ac:dyDescent="0.25">
      <c r="A53" s="134"/>
      <c r="B53" s="134"/>
      <c r="C53" s="136"/>
      <c r="D53" s="136"/>
      <c r="E53" s="134"/>
      <c r="F53" s="134"/>
      <c r="G53" s="134"/>
    </row>
    <row r="54" spans="1:7" x14ac:dyDescent="0.25">
      <c r="A54" s="134"/>
      <c r="B54" s="134"/>
      <c r="C54" s="136"/>
      <c r="D54" s="136"/>
      <c r="E54" s="134"/>
      <c r="F54" s="134"/>
      <c r="G54" s="134"/>
    </row>
    <row r="55" spans="1:7" x14ac:dyDescent="0.25">
      <c r="A55" s="134"/>
      <c r="B55" s="134"/>
      <c r="C55" s="136"/>
      <c r="D55" s="136"/>
      <c r="E55" s="134"/>
      <c r="F55" s="134"/>
      <c r="G55" s="134"/>
    </row>
    <row r="56" spans="1:7" x14ac:dyDescent="0.25">
      <c r="A56" s="134"/>
      <c r="B56" s="134"/>
      <c r="C56" s="136"/>
      <c r="D56" s="136"/>
      <c r="E56" s="134"/>
      <c r="F56" s="134"/>
      <c r="G56" s="134"/>
    </row>
    <row r="57" spans="1:7" x14ac:dyDescent="0.25">
      <c r="A57" s="134"/>
      <c r="B57" s="134"/>
      <c r="C57" s="136"/>
      <c r="D57" s="136"/>
      <c r="E57" s="134"/>
      <c r="F57" s="134"/>
      <c r="G57" s="134"/>
    </row>
    <row r="58" spans="1:7" x14ac:dyDescent="0.25">
      <c r="A58" s="134"/>
      <c r="B58" s="134"/>
      <c r="C58" s="136"/>
      <c r="D58" s="136"/>
      <c r="E58" s="134"/>
      <c r="F58" s="134"/>
      <c r="G58" s="134"/>
    </row>
    <row r="59" spans="1:7" x14ac:dyDescent="0.25">
      <c r="A59" s="134"/>
      <c r="B59" s="134"/>
      <c r="C59" s="136"/>
      <c r="D59" s="136"/>
      <c r="E59" s="134"/>
      <c r="F59" s="134"/>
      <c r="G59" s="134"/>
    </row>
    <row r="60" spans="1:7" x14ac:dyDescent="0.25">
      <c r="C60" s="179"/>
      <c r="D60" s="179"/>
    </row>
    <row r="61" spans="1:7" x14ac:dyDescent="0.25">
      <c r="C61" s="179"/>
      <c r="D61" s="179"/>
    </row>
    <row r="62" spans="1:7" x14ac:dyDescent="0.25">
      <c r="C62" s="179"/>
      <c r="D62" s="179"/>
    </row>
    <row r="63" spans="1:7" x14ac:dyDescent="0.25">
      <c r="C63" s="179"/>
      <c r="D63" s="179"/>
    </row>
    <row r="64" spans="1:7" x14ac:dyDescent="0.25">
      <c r="C64" s="179"/>
      <c r="D64" s="179"/>
    </row>
    <row r="65" spans="3:4" x14ac:dyDescent="0.25">
      <c r="C65" s="179"/>
      <c r="D65" s="179"/>
    </row>
    <row r="66" spans="3:4" x14ac:dyDescent="0.25">
      <c r="C66" s="179"/>
      <c r="D66" s="179"/>
    </row>
    <row r="67" spans="3:4" x14ac:dyDescent="0.25">
      <c r="C67" s="179"/>
      <c r="D67" s="179"/>
    </row>
    <row r="68" spans="3:4" x14ac:dyDescent="0.25">
      <c r="C68" s="179"/>
      <c r="D68" s="179"/>
    </row>
    <row r="69" spans="3:4" x14ac:dyDescent="0.25">
      <c r="C69" s="179"/>
      <c r="D69" s="179"/>
    </row>
  </sheetData>
  <mergeCells count="17">
    <mergeCell ref="A10:G10"/>
    <mergeCell ref="A1:G1"/>
    <mergeCell ref="A2:G2"/>
    <mergeCell ref="A3:G3"/>
    <mergeCell ref="A4:G4"/>
    <mergeCell ref="A6:G6"/>
    <mergeCell ref="B14:G14"/>
    <mergeCell ref="B19:G19"/>
    <mergeCell ref="B20:G20"/>
    <mergeCell ref="A11:G11"/>
    <mergeCell ref="A12:A13"/>
    <mergeCell ref="B12:B13"/>
    <mergeCell ref="C12:C13"/>
    <mergeCell ref="D12:D13"/>
    <mergeCell ref="E12:E13"/>
    <mergeCell ref="F12:F13"/>
    <mergeCell ref="G12:G13"/>
  </mergeCells>
  <printOptions horizontalCentered="1"/>
  <pageMargins left="0.7" right="0.7" top="0.75" bottom="0.75" header="0.3" footer="0.3"/>
  <pageSetup paperSize="9" scale="9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view="pageBreakPreview" zoomScaleNormal="100" zoomScaleSheetLayoutView="100" workbookViewId="0">
      <selection activeCell="F26" sqref="F26"/>
    </sheetView>
  </sheetViews>
  <sheetFormatPr defaultRowHeight="13.2" x14ac:dyDescent="0.25"/>
  <cols>
    <col min="1" max="1" width="4.33203125" style="103" customWidth="1"/>
    <col min="2" max="2" width="39.44140625" style="103" customWidth="1"/>
    <col min="3" max="3" width="4.6640625" style="103" customWidth="1"/>
    <col min="4" max="4" width="12" style="103" customWidth="1"/>
    <col min="5" max="5" width="4.6640625" style="103" customWidth="1"/>
    <col min="6" max="6" width="18.44140625" style="103" customWidth="1"/>
    <col min="7" max="7" width="11.33203125" style="103" customWidth="1"/>
    <col min="8" max="256" width="8.88671875" style="103"/>
    <col min="257" max="257" width="4.33203125" style="103" customWidth="1"/>
    <col min="258" max="258" width="39.44140625" style="103" customWidth="1"/>
    <col min="259" max="259" width="4.6640625" style="103" customWidth="1"/>
    <col min="260" max="260" width="12" style="103" customWidth="1"/>
    <col min="261" max="261" width="4.6640625" style="103" customWidth="1"/>
    <col min="262" max="262" width="18.44140625" style="103" customWidth="1"/>
    <col min="263" max="263" width="11.33203125" style="103" customWidth="1"/>
    <col min="264" max="512" width="8.88671875" style="103"/>
    <col min="513" max="513" width="4.33203125" style="103" customWidth="1"/>
    <col min="514" max="514" width="39.44140625" style="103" customWidth="1"/>
    <col min="515" max="515" width="4.6640625" style="103" customWidth="1"/>
    <col min="516" max="516" width="12" style="103" customWidth="1"/>
    <col min="517" max="517" width="4.6640625" style="103" customWidth="1"/>
    <col min="518" max="518" width="18.44140625" style="103" customWidth="1"/>
    <col min="519" max="519" width="11.33203125" style="103" customWidth="1"/>
    <col min="520" max="768" width="8.88671875" style="103"/>
    <col min="769" max="769" width="4.33203125" style="103" customWidth="1"/>
    <col min="770" max="770" width="39.44140625" style="103" customWidth="1"/>
    <col min="771" max="771" width="4.6640625" style="103" customWidth="1"/>
    <col min="772" max="772" width="12" style="103" customWidth="1"/>
    <col min="773" max="773" width="4.6640625" style="103" customWidth="1"/>
    <col min="774" max="774" width="18.44140625" style="103" customWidth="1"/>
    <col min="775" max="775" width="11.33203125" style="103" customWidth="1"/>
    <col min="776" max="1024" width="8.88671875" style="103"/>
    <col min="1025" max="1025" width="4.33203125" style="103" customWidth="1"/>
    <col min="1026" max="1026" width="39.44140625" style="103" customWidth="1"/>
    <col min="1027" max="1027" width="4.6640625" style="103" customWidth="1"/>
    <col min="1028" max="1028" width="12" style="103" customWidth="1"/>
    <col min="1029" max="1029" width="4.6640625" style="103" customWidth="1"/>
    <col min="1030" max="1030" width="18.44140625" style="103" customWidth="1"/>
    <col min="1031" max="1031" width="11.33203125" style="103" customWidth="1"/>
    <col min="1032" max="1280" width="8.88671875" style="103"/>
    <col min="1281" max="1281" width="4.33203125" style="103" customWidth="1"/>
    <col min="1282" max="1282" width="39.44140625" style="103" customWidth="1"/>
    <col min="1283" max="1283" width="4.6640625" style="103" customWidth="1"/>
    <col min="1284" max="1284" width="12" style="103" customWidth="1"/>
    <col min="1285" max="1285" width="4.6640625" style="103" customWidth="1"/>
    <col min="1286" max="1286" width="18.44140625" style="103" customWidth="1"/>
    <col min="1287" max="1287" width="11.33203125" style="103" customWidth="1"/>
    <col min="1288" max="1536" width="8.88671875" style="103"/>
    <col min="1537" max="1537" width="4.33203125" style="103" customWidth="1"/>
    <col min="1538" max="1538" width="39.44140625" style="103" customWidth="1"/>
    <col min="1539" max="1539" width="4.6640625" style="103" customWidth="1"/>
    <col min="1540" max="1540" width="12" style="103" customWidth="1"/>
    <col min="1541" max="1541" width="4.6640625" style="103" customWidth="1"/>
    <col min="1542" max="1542" width="18.44140625" style="103" customWidth="1"/>
    <col min="1543" max="1543" width="11.33203125" style="103" customWidth="1"/>
    <col min="1544" max="1792" width="8.88671875" style="103"/>
    <col min="1793" max="1793" width="4.33203125" style="103" customWidth="1"/>
    <col min="1794" max="1794" width="39.44140625" style="103" customWidth="1"/>
    <col min="1795" max="1795" width="4.6640625" style="103" customWidth="1"/>
    <col min="1796" max="1796" width="12" style="103" customWidth="1"/>
    <col min="1797" max="1797" width="4.6640625" style="103" customWidth="1"/>
    <col min="1798" max="1798" width="18.44140625" style="103" customWidth="1"/>
    <col min="1799" max="1799" width="11.33203125" style="103" customWidth="1"/>
    <col min="1800" max="2048" width="8.88671875" style="103"/>
    <col min="2049" max="2049" width="4.33203125" style="103" customWidth="1"/>
    <col min="2050" max="2050" width="39.44140625" style="103" customWidth="1"/>
    <col min="2051" max="2051" width="4.6640625" style="103" customWidth="1"/>
    <col min="2052" max="2052" width="12" style="103" customWidth="1"/>
    <col min="2053" max="2053" width="4.6640625" style="103" customWidth="1"/>
    <col min="2054" max="2054" width="18.44140625" style="103" customWidth="1"/>
    <col min="2055" max="2055" width="11.33203125" style="103" customWidth="1"/>
    <col min="2056" max="2304" width="8.88671875" style="103"/>
    <col min="2305" max="2305" width="4.33203125" style="103" customWidth="1"/>
    <col min="2306" max="2306" width="39.44140625" style="103" customWidth="1"/>
    <col min="2307" max="2307" width="4.6640625" style="103" customWidth="1"/>
    <col min="2308" max="2308" width="12" style="103" customWidth="1"/>
    <col min="2309" max="2309" width="4.6640625" style="103" customWidth="1"/>
    <col min="2310" max="2310" width="18.44140625" style="103" customWidth="1"/>
    <col min="2311" max="2311" width="11.33203125" style="103" customWidth="1"/>
    <col min="2312" max="2560" width="8.88671875" style="103"/>
    <col min="2561" max="2561" width="4.33203125" style="103" customWidth="1"/>
    <col min="2562" max="2562" width="39.44140625" style="103" customWidth="1"/>
    <col min="2563" max="2563" width="4.6640625" style="103" customWidth="1"/>
    <col min="2564" max="2564" width="12" style="103" customWidth="1"/>
    <col min="2565" max="2565" width="4.6640625" style="103" customWidth="1"/>
    <col min="2566" max="2566" width="18.44140625" style="103" customWidth="1"/>
    <col min="2567" max="2567" width="11.33203125" style="103" customWidth="1"/>
    <col min="2568" max="2816" width="8.88671875" style="103"/>
    <col min="2817" max="2817" width="4.33203125" style="103" customWidth="1"/>
    <col min="2818" max="2818" width="39.44140625" style="103" customWidth="1"/>
    <col min="2819" max="2819" width="4.6640625" style="103" customWidth="1"/>
    <col min="2820" max="2820" width="12" style="103" customWidth="1"/>
    <col min="2821" max="2821" width="4.6640625" style="103" customWidth="1"/>
    <col min="2822" max="2822" width="18.44140625" style="103" customWidth="1"/>
    <col min="2823" max="2823" width="11.33203125" style="103" customWidth="1"/>
    <col min="2824" max="3072" width="8.88671875" style="103"/>
    <col min="3073" max="3073" width="4.33203125" style="103" customWidth="1"/>
    <col min="3074" max="3074" width="39.44140625" style="103" customWidth="1"/>
    <col min="3075" max="3075" width="4.6640625" style="103" customWidth="1"/>
    <col min="3076" max="3076" width="12" style="103" customWidth="1"/>
    <col min="3077" max="3077" width="4.6640625" style="103" customWidth="1"/>
    <col min="3078" max="3078" width="18.44140625" style="103" customWidth="1"/>
    <col min="3079" max="3079" width="11.33203125" style="103" customWidth="1"/>
    <col min="3080" max="3328" width="8.88671875" style="103"/>
    <col min="3329" max="3329" width="4.33203125" style="103" customWidth="1"/>
    <col min="3330" max="3330" width="39.44140625" style="103" customWidth="1"/>
    <col min="3331" max="3331" width="4.6640625" style="103" customWidth="1"/>
    <col min="3332" max="3332" width="12" style="103" customWidth="1"/>
    <col min="3333" max="3333" width="4.6640625" style="103" customWidth="1"/>
    <col min="3334" max="3334" width="18.44140625" style="103" customWidth="1"/>
    <col min="3335" max="3335" width="11.33203125" style="103" customWidth="1"/>
    <col min="3336" max="3584" width="8.88671875" style="103"/>
    <col min="3585" max="3585" width="4.33203125" style="103" customWidth="1"/>
    <col min="3586" max="3586" width="39.44140625" style="103" customWidth="1"/>
    <col min="3587" max="3587" width="4.6640625" style="103" customWidth="1"/>
    <col min="3588" max="3588" width="12" style="103" customWidth="1"/>
    <col min="3589" max="3589" width="4.6640625" style="103" customWidth="1"/>
    <col min="3590" max="3590" width="18.44140625" style="103" customWidth="1"/>
    <col min="3591" max="3591" width="11.33203125" style="103" customWidth="1"/>
    <col min="3592" max="3840" width="8.88671875" style="103"/>
    <col min="3841" max="3841" width="4.33203125" style="103" customWidth="1"/>
    <col min="3842" max="3842" width="39.44140625" style="103" customWidth="1"/>
    <col min="3843" max="3843" width="4.6640625" style="103" customWidth="1"/>
    <col min="3844" max="3844" width="12" style="103" customWidth="1"/>
    <col min="3845" max="3845" width="4.6640625" style="103" customWidth="1"/>
    <col min="3846" max="3846" width="18.44140625" style="103" customWidth="1"/>
    <col min="3847" max="3847" width="11.33203125" style="103" customWidth="1"/>
    <col min="3848" max="4096" width="8.88671875" style="103"/>
    <col min="4097" max="4097" width="4.33203125" style="103" customWidth="1"/>
    <col min="4098" max="4098" width="39.44140625" style="103" customWidth="1"/>
    <col min="4099" max="4099" width="4.6640625" style="103" customWidth="1"/>
    <col min="4100" max="4100" width="12" style="103" customWidth="1"/>
    <col min="4101" max="4101" width="4.6640625" style="103" customWidth="1"/>
    <col min="4102" max="4102" width="18.44140625" style="103" customWidth="1"/>
    <col min="4103" max="4103" width="11.33203125" style="103" customWidth="1"/>
    <col min="4104" max="4352" width="8.88671875" style="103"/>
    <col min="4353" max="4353" width="4.33203125" style="103" customWidth="1"/>
    <col min="4354" max="4354" width="39.44140625" style="103" customWidth="1"/>
    <col min="4355" max="4355" width="4.6640625" style="103" customWidth="1"/>
    <col min="4356" max="4356" width="12" style="103" customWidth="1"/>
    <col min="4357" max="4357" width="4.6640625" style="103" customWidth="1"/>
    <col min="4358" max="4358" width="18.44140625" style="103" customWidth="1"/>
    <col min="4359" max="4359" width="11.33203125" style="103" customWidth="1"/>
    <col min="4360" max="4608" width="8.88671875" style="103"/>
    <col min="4609" max="4609" width="4.33203125" style="103" customWidth="1"/>
    <col min="4610" max="4610" width="39.44140625" style="103" customWidth="1"/>
    <col min="4611" max="4611" width="4.6640625" style="103" customWidth="1"/>
    <col min="4612" max="4612" width="12" style="103" customWidth="1"/>
    <col min="4613" max="4613" width="4.6640625" style="103" customWidth="1"/>
    <col min="4614" max="4614" width="18.44140625" style="103" customWidth="1"/>
    <col min="4615" max="4615" width="11.33203125" style="103" customWidth="1"/>
    <col min="4616" max="4864" width="8.88671875" style="103"/>
    <col min="4865" max="4865" width="4.33203125" style="103" customWidth="1"/>
    <col min="4866" max="4866" width="39.44140625" style="103" customWidth="1"/>
    <col min="4867" max="4867" width="4.6640625" style="103" customWidth="1"/>
    <col min="4868" max="4868" width="12" style="103" customWidth="1"/>
    <col min="4869" max="4869" width="4.6640625" style="103" customWidth="1"/>
    <col min="4870" max="4870" width="18.44140625" style="103" customWidth="1"/>
    <col min="4871" max="4871" width="11.33203125" style="103" customWidth="1"/>
    <col min="4872" max="5120" width="8.88671875" style="103"/>
    <col min="5121" max="5121" width="4.33203125" style="103" customWidth="1"/>
    <col min="5122" max="5122" width="39.44140625" style="103" customWidth="1"/>
    <col min="5123" max="5123" width="4.6640625" style="103" customWidth="1"/>
    <col min="5124" max="5124" width="12" style="103" customWidth="1"/>
    <col min="5125" max="5125" width="4.6640625" style="103" customWidth="1"/>
    <col min="5126" max="5126" width="18.44140625" style="103" customWidth="1"/>
    <col min="5127" max="5127" width="11.33203125" style="103" customWidth="1"/>
    <col min="5128" max="5376" width="8.88671875" style="103"/>
    <col min="5377" max="5377" width="4.33203125" style="103" customWidth="1"/>
    <col min="5378" max="5378" width="39.44140625" style="103" customWidth="1"/>
    <col min="5379" max="5379" width="4.6640625" style="103" customWidth="1"/>
    <col min="5380" max="5380" width="12" style="103" customWidth="1"/>
    <col min="5381" max="5381" width="4.6640625" style="103" customWidth="1"/>
    <col min="5382" max="5382" width="18.44140625" style="103" customWidth="1"/>
    <col min="5383" max="5383" width="11.33203125" style="103" customWidth="1"/>
    <col min="5384" max="5632" width="8.88671875" style="103"/>
    <col min="5633" max="5633" width="4.33203125" style="103" customWidth="1"/>
    <col min="5634" max="5634" width="39.44140625" style="103" customWidth="1"/>
    <col min="5635" max="5635" width="4.6640625" style="103" customWidth="1"/>
    <col min="5636" max="5636" width="12" style="103" customWidth="1"/>
    <col min="5637" max="5637" width="4.6640625" style="103" customWidth="1"/>
    <col min="5638" max="5638" width="18.44140625" style="103" customWidth="1"/>
    <col min="5639" max="5639" width="11.33203125" style="103" customWidth="1"/>
    <col min="5640" max="5888" width="8.88671875" style="103"/>
    <col min="5889" max="5889" width="4.33203125" style="103" customWidth="1"/>
    <col min="5890" max="5890" width="39.44140625" style="103" customWidth="1"/>
    <col min="5891" max="5891" width="4.6640625" style="103" customWidth="1"/>
    <col min="5892" max="5892" width="12" style="103" customWidth="1"/>
    <col min="5893" max="5893" width="4.6640625" style="103" customWidth="1"/>
    <col min="5894" max="5894" width="18.44140625" style="103" customWidth="1"/>
    <col min="5895" max="5895" width="11.33203125" style="103" customWidth="1"/>
    <col min="5896" max="6144" width="8.88671875" style="103"/>
    <col min="6145" max="6145" width="4.33203125" style="103" customWidth="1"/>
    <col min="6146" max="6146" width="39.44140625" style="103" customWidth="1"/>
    <col min="6147" max="6147" width="4.6640625" style="103" customWidth="1"/>
    <col min="6148" max="6148" width="12" style="103" customWidth="1"/>
    <col min="6149" max="6149" width="4.6640625" style="103" customWidth="1"/>
    <col min="6150" max="6150" width="18.44140625" style="103" customWidth="1"/>
    <col min="6151" max="6151" width="11.33203125" style="103" customWidth="1"/>
    <col min="6152" max="6400" width="8.88671875" style="103"/>
    <col min="6401" max="6401" width="4.33203125" style="103" customWidth="1"/>
    <col min="6402" max="6402" width="39.44140625" style="103" customWidth="1"/>
    <col min="6403" max="6403" width="4.6640625" style="103" customWidth="1"/>
    <col min="6404" max="6404" width="12" style="103" customWidth="1"/>
    <col min="6405" max="6405" width="4.6640625" style="103" customWidth="1"/>
    <col min="6406" max="6406" width="18.44140625" style="103" customWidth="1"/>
    <col min="6407" max="6407" width="11.33203125" style="103" customWidth="1"/>
    <col min="6408" max="6656" width="8.88671875" style="103"/>
    <col min="6657" max="6657" width="4.33203125" style="103" customWidth="1"/>
    <col min="6658" max="6658" width="39.44140625" style="103" customWidth="1"/>
    <col min="6659" max="6659" width="4.6640625" style="103" customWidth="1"/>
    <col min="6660" max="6660" width="12" style="103" customWidth="1"/>
    <col min="6661" max="6661" width="4.6640625" style="103" customWidth="1"/>
    <col min="6662" max="6662" width="18.44140625" style="103" customWidth="1"/>
    <col min="6663" max="6663" width="11.33203125" style="103" customWidth="1"/>
    <col min="6664" max="6912" width="8.88671875" style="103"/>
    <col min="6913" max="6913" width="4.33203125" style="103" customWidth="1"/>
    <col min="6914" max="6914" width="39.44140625" style="103" customWidth="1"/>
    <col min="6915" max="6915" width="4.6640625" style="103" customWidth="1"/>
    <col min="6916" max="6916" width="12" style="103" customWidth="1"/>
    <col min="6917" max="6917" width="4.6640625" style="103" customWidth="1"/>
    <col min="6918" max="6918" width="18.44140625" style="103" customWidth="1"/>
    <col min="6919" max="6919" width="11.33203125" style="103" customWidth="1"/>
    <col min="6920" max="7168" width="8.88671875" style="103"/>
    <col min="7169" max="7169" width="4.33203125" style="103" customWidth="1"/>
    <col min="7170" max="7170" width="39.44140625" style="103" customWidth="1"/>
    <col min="7171" max="7171" width="4.6640625" style="103" customWidth="1"/>
    <col min="7172" max="7172" width="12" style="103" customWidth="1"/>
    <col min="7173" max="7173" width="4.6640625" style="103" customWidth="1"/>
    <col min="7174" max="7174" width="18.44140625" style="103" customWidth="1"/>
    <col min="7175" max="7175" width="11.33203125" style="103" customWidth="1"/>
    <col min="7176" max="7424" width="8.88671875" style="103"/>
    <col min="7425" max="7425" width="4.33203125" style="103" customWidth="1"/>
    <col min="7426" max="7426" width="39.44140625" style="103" customWidth="1"/>
    <col min="7427" max="7427" width="4.6640625" style="103" customWidth="1"/>
    <col min="7428" max="7428" width="12" style="103" customWidth="1"/>
    <col min="7429" max="7429" width="4.6640625" style="103" customWidth="1"/>
    <col min="7430" max="7430" width="18.44140625" style="103" customWidth="1"/>
    <col min="7431" max="7431" width="11.33203125" style="103" customWidth="1"/>
    <col min="7432" max="7680" width="8.88671875" style="103"/>
    <col min="7681" max="7681" width="4.33203125" style="103" customWidth="1"/>
    <col min="7682" max="7682" width="39.44140625" style="103" customWidth="1"/>
    <col min="7683" max="7683" width="4.6640625" style="103" customWidth="1"/>
    <col min="7684" max="7684" width="12" style="103" customWidth="1"/>
    <col min="7685" max="7685" width="4.6640625" style="103" customWidth="1"/>
    <col min="7686" max="7686" width="18.44140625" style="103" customWidth="1"/>
    <col min="7687" max="7687" width="11.33203125" style="103" customWidth="1"/>
    <col min="7688" max="7936" width="8.88671875" style="103"/>
    <col min="7937" max="7937" width="4.33203125" style="103" customWidth="1"/>
    <col min="7938" max="7938" width="39.44140625" style="103" customWidth="1"/>
    <col min="7939" max="7939" width="4.6640625" style="103" customWidth="1"/>
    <col min="7940" max="7940" width="12" style="103" customWidth="1"/>
    <col min="7941" max="7941" width="4.6640625" style="103" customWidth="1"/>
    <col min="7942" max="7942" width="18.44140625" style="103" customWidth="1"/>
    <col min="7943" max="7943" width="11.33203125" style="103" customWidth="1"/>
    <col min="7944" max="8192" width="8.88671875" style="103"/>
    <col min="8193" max="8193" width="4.33203125" style="103" customWidth="1"/>
    <col min="8194" max="8194" width="39.44140625" style="103" customWidth="1"/>
    <col min="8195" max="8195" width="4.6640625" style="103" customWidth="1"/>
    <col min="8196" max="8196" width="12" style="103" customWidth="1"/>
    <col min="8197" max="8197" width="4.6640625" style="103" customWidth="1"/>
    <col min="8198" max="8198" width="18.44140625" style="103" customWidth="1"/>
    <col min="8199" max="8199" width="11.33203125" style="103" customWidth="1"/>
    <col min="8200" max="8448" width="8.88671875" style="103"/>
    <col min="8449" max="8449" width="4.33203125" style="103" customWidth="1"/>
    <col min="8450" max="8450" width="39.44140625" style="103" customWidth="1"/>
    <col min="8451" max="8451" width="4.6640625" style="103" customWidth="1"/>
    <col min="8452" max="8452" width="12" style="103" customWidth="1"/>
    <col min="8453" max="8453" width="4.6640625" style="103" customWidth="1"/>
    <col min="8454" max="8454" width="18.44140625" style="103" customWidth="1"/>
    <col min="8455" max="8455" width="11.33203125" style="103" customWidth="1"/>
    <col min="8456" max="8704" width="8.88671875" style="103"/>
    <col min="8705" max="8705" width="4.33203125" style="103" customWidth="1"/>
    <col min="8706" max="8706" width="39.44140625" style="103" customWidth="1"/>
    <col min="8707" max="8707" width="4.6640625" style="103" customWidth="1"/>
    <col min="8708" max="8708" width="12" style="103" customWidth="1"/>
    <col min="8709" max="8709" width="4.6640625" style="103" customWidth="1"/>
    <col min="8710" max="8710" width="18.44140625" style="103" customWidth="1"/>
    <col min="8711" max="8711" width="11.33203125" style="103" customWidth="1"/>
    <col min="8712" max="8960" width="8.88671875" style="103"/>
    <col min="8961" max="8961" width="4.33203125" style="103" customWidth="1"/>
    <col min="8962" max="8962" width="39.44140625" style="103" customWidth="1"/>
    <col min="8963" max="8963" width="4.6640625" style="103" customWidth="1"/>
    <col min="8964" max="8964" width="12" style="103" customWidth="1"/>
    <col min="8965" max="8965" width="4.6640625" style="103" customWidth="1"/>
    <col min="8966" max="8966" width="18.44140625" style="103" customWidth="1"/>
    <col min="8967" max="8967" width="11.33203125" style="103" customWidth="1"/>
    <col min="8968" max="9216" width="8.88671875" style="103"/>
    <col min="9217" max="9217" width="4.33203125" style="103" customWidth="1"/>
    <col min="9218" max="9218" width="39.44140625" style="103" customWidth="1"/>
    <col min="9219" max="9219" width="4.6640625" style="103" customWidth="1"/>
    <col min="9220" max="9220" width="12" style="103" customWidth="1"/>
    <col min="9221" max="9221" width="4.6640625" style="103" customWidth="1"/>
    <col min="9222" max="9222" width="18.44140625" style="103" customWidth="1"/>
    <col min="9223" max="9223" width="11.33203125" style="103" customWidth="1"/>
    <col min="9224" max="9472" width="8.88671875" style="103"/>
    <col min="9473" max="9473" width="4.33203125" style="103" customWidth="1"/>
    <col min="9474" max="9474" width="39.44140625" style="103" customWidth="1"/>
    <col min="9475" max="9475" width="4.6640625" style="103" customWidth="1"/>
    <col min="9476" max="9476" width="12" style="103" customWidth="1"/>
    <col min="9477" max="9477" width="4.6640625" style="103" customWidth="1"/>
    <col min="9478" max="9478" width="18.44140625" style="103" customWidth="1"/>
    <col min="9479" max="9479" width="11.33203125" style="103" customWidth="1"/>
    <col min="9480" max="9728" width="8.88671875" style="103"/>
    <col min="9729" max="9729" width="4.33203125" style="103" customWidth="1"/>
    <col min="9730" max="9730" width="39.44140625" style="103" customWidth="1"/>
    <col min="9731" max="9731" width="4.6640625" style="103" customWidth="1"/>
    <col min="9732" max="9732" width="12" style="103" customWidth="1"/>
    <col min="9733" max="9733" width="4.6640625" style="103" customWidth="1"/>
    <col min="9734" max="9734" width="18.44140625" style="103" customWidth="1"/>
    <col min="9735" max="9735" width="11.33203125" style="103" customWidth="1"/>
    <col min="9736" max="9984" width="8.88671875" style="103"/>
    <col min="9985" max="9985" width="4.33203125" style="103" customWidth="1"/>
    <col min="9986" max="9986" width="39.44140625" style="103" customWidth="1"/>
    <col min="9987" max="9987" width="4.6640625" style="103" customWidth="1"/>
    <col min="9988" max="9988" width="12" style="103" customWidth="1"/>
    <col min="9989" max="9989" width="4.6640625" style="103" customWidth="1"/>
    <col min="9990" max="9990" width="18.44140625" style="103" customWidth="1"/>
    <col min="9991" max="9991" width="11.33203125" style="103" customWidth="1"/>
    <col min="9992" max="10240" width="8.88671875" style="103"/>
    <col min="10241" max="10241" width="4.33203125" style="103" customWidth="1"/>
    <col min="10242" max="10242" width="39.44140625" style="103" customWidth="1"/>
    <col min="10243" max="10243" width="4.6640625" style="103" customWidth="1"/>
    <col min="10244" max="10244" width="12" style="103" customWidth="1"/>
    <col min="10245" max="10245" width="4.6640625" style="103" customWidth="1"/>
    <col min="10246" max="10246" width="18.44140625" style="103" customWidth="1"/>
    <col min="10247" max="10247" width="11.33203125" style="103" customWidth="1"/>
    <col min="10248" max="10496" width="8.88671875" style="103"/>
    <col min="10497" max="10497" width="4.33203125" style="103" customWidth="1"/>
    <col min="10498" max="10498" width="39.44140625" style="103" customWidth="1"/>
    <col min="10499" max="10499" width="4.6640625" style="103" customWidth="1"/>
    <col min="10500" max="10500" width="12" style="103" customWidth="1"/>
    <col min="10501" max="10501" width="4.6640625" style="103" customWidth="1"/>
    <col min="10502" max="10502" width="18.44140625" style="103" customWidth="1"/>
    <col min="10503" max="10503" width="11.33203125" style="103" customWidth="1"/>
    <col min="10504" max="10752" width="8.88671875" style="103"/>
    <col min="10753" max="10753" width="4.33203125" style="103" customWidth="1"/>
    <col min="10754" max="10754" width="39.44140625" style="103" customWidth="1"/>
    <col min="10755" max="10755" width="4.6640625" style="103" customWidth="1"/>
    <col min="10756" max="10756" width="12" style="103" customWidth="1"/>
    <col min="10757" max="10757" width="4.6640625" style="103" customWidth="1"/>
    <col min="10758" max="10758" width="18.44140625" style="103" customWidth="1"/>
    <col min="10759" max="10759" width="11.33203125" style="103" customWidth="1"/>
    <col min="10760" max="11008" width="8.88671875" style="103"/>
    <col min="11009" max="11009" width="4.33203125" style="103" customWidth="1"/>
    <col min="11010" max="11010" width="39.44140625" style="103" customWidth="1"/>
    <col min="11011" max="11011" width="4.6640625" style="103" customWidth="1"/>
    <col min="11012" max="11012" width="12" style="103" customWidth="1"/>
    <col min="11013" max="11013" width="4.6640625" style="103" customWidth="1"/>
    <col min="11014" max="11014" width="18.44140625" style="103" customWidth="1"/>
    <col min="11015" max="11015" width="11.33203125" style="103" customWidth="1"/>
    <col min="11016" max="11264" width="8.88671875" style="103"/>
    <col min="11265" max="11265" width="4.33203125" style="103" customWidth="1"/>
    <col min="11266" max="11266" width="39.44140625" style="103" customWidth="1"/>
    <col min="11267" max="11267" width="4.6640625" style="103" customWidth="1"/>
    <col min="11268" max="11268" width="12" style="103" customWidth="1"/>
    <col min="11269" max="11269" width="4.6640625" style="103" customWidth="1"/>
    <col min="11270" max="11270" width="18.44140625" style="103" customWidth="1"/>
    <col min="11271" max="11271" width="11.33203125" style="103" customWidth="1"/>
    <col min="11272" max="11520" width="8.88671875" style="103"/>
    <col min="11521" max="11521" width="4.33203125" style="103" customWidth="1"/>
    <col min="11522" max="11522" width="39.44140625" style="103" customWidth="1"/>
    <col min="11523" max="11523" width="4.6640625" style="103" customWidth="1"/>
    <col min="11524" max="11524" width="12" style="103" customWidth="1"/>
    <col min="11525" max="11525" width="4.6640625" style="103" customWidth="1"/>
    <col min="11526" max="11526" width="18.44140625" style="103" customWidth="1"/>
    <col min="11527" max="11527" width="11.33203125" style="103" customWidth="1"/>
    <col min="11528" max="11776" width="8.88671875" style="103"/>
    <col min="11777" max="11777" width="4.33203125" style="103" customWidth="1"/>
    <col min="11778" max="11778" width="39.44140625" style="103" customWidth="1"/>
    <col min="11779" max="11779" width="4.6640625" style="103" customWidth="1"/>
    <col min="11780" max="11780" width="12" style="103" customWidth="1"/>
    <col min="11781" max="11781" width="4.6640625" style="103" customWidth="1"/>
    <col min="11782" max="11782" width="18.44140625" style="103" customWidth="1"/>
    <col min="11783" max="11783" width="11.33203125" style="103" customWidth="1"/>
    <col min="11784" max="12032" width="8.88671875" style="103"/>
    <col min="12033" max="12033" width="4.33203125" style="103" customWidth="1"/>
    <col min="12034" max="12034" width="39.44140625" style="103" customWidth="1"/>
    <col min="12035" max="12035" width="4.6640625" style="103" customWidth="1"/>
    <col min="12036" max="12036" width="12" style="103" customWidth="1"/>
    <col min="12037" max="12037" width="4.6640625" style="103" customWidth="1"/>
    <col min="12038" max="12038" width="18.44140625" style="103" customWidth="1"/>
    <col min="12039" max="12039" width="11.33203125" style="103" customWidth="1"/>
    <col min="12040" max="12288" width="8.88671875" style="103"/>
    <col min="12289" max="12289" width="4.33203125" style="103" customWidth="1"/>
    <col min="12290" max="12290" width="39.44140625" style="103" customWidth="1"/>
    <col min="12291" max="12291" width="4.6640625" style="103" customWidth="1"/>
    <col min="12292" max="12292" width="12" style="103" customWidth="1"/>
    <col min="12293" max="12293" width="4.6640625" style="103" customWidth="1"/>
    <col min="12294" max="12294" width="18.44140625" style="103" customWidth="1"/>
    <col min="12295" max="12295" width="11.33203125" style="103" customWidth="1"/>
    <col min="12296" max="12544" width="8.88671875" style="103"/>
    <col min="12545" max="12545" width="4.33203125" style="103" customWidth="1"/>
    <col min="12546" max="12546" width="39.44140625" style="103" customWidth="1"/>
    <col min="12547" max="12547" width="4.6640625" style="103" customWidth="1"/>
    <col min="12548" max="12548" width="12" style="103" customWidth="1"/>
    <col min="12549" max="12549" width="4.6640625" style="103" customWidth="1"/>
    <col min="12550" max="12550" width="18.44140625" style="103" customWidth="1"/>
    <col min="12551" max="12551" width="11.33203125" style="103" customWidth="1"/>
    <col min="12552" max="12800" width="8.88671875" style="103"/>
    <col min="12801" max="12801" width="4.33203125" style="103" customWidth="1"/>
    <col min="12802" max="12802" width="39.44140625" style="103" customWidth="1"/>
    <col min="12803" max="12803" width="4.6640625" style="103" customWidth="1"/>
    <col min="12804" max="12804" width="12" style="103" customWidth="1"/>
    <col min="12805" max="12805" width="4.6640625" style="103" customWidth="1"/>
    <col min="12806" max="12806" width="18.44140625" style="103" customWidth="1"/>
    <col min="12807" max="12807" width="11.33203125" style="103" customWidth="1"/>
    <col min="12808" max="13056" width="8.88671875" style="103"/>
    <col min="13057" max="13057" width="4.33203125" style="103" customWidth="1"/>
    <col min="13058" max="13058" width="39.44140625" style="103" customWidth="1"/>
    <col min="13059" max="13059" width="4.6640625" style="103" customWidth="1"/>
    <col min="13060" max="13060" width="12" style="103" customWidth="1"/>
    <col min="13061" max="13061" width="4.6640625" style="103" customWidth="1"/>
    <col min="13062" max="13062" width="18.44140625" style="103" customWidth="1"/>
    <col min="13063" max="13063" width="11.33203125" style="103" customWidth="1"/>
    <col min="13064" max="13312" width="8.88671875" style="103"/>
    <col min="13313" max="13313" width="4.33203125" style="103" customWidth="1"/>
    <col min="13314" max="13314" width="39.44140625" style="103" customWidth="1"/>
    <col min="13315" max="13315" width="4.6640625" style="103" customWidth="1"/>
    <col min="13316" max="13316" width="12" style="103" customWidth="1"/>
    <col min="13317" max="13317" width="4.6640625" style="103" customWidth="1"/>
    <col min="13318" max="13318" width="18.44140625" style="103" customWidth="1"/>
    <col min="13319" max="13319" width="11.33203125" style="103" customWidth="1"/>
    <col min="13320" max="13568" width="8.88671875" style="103"/>
    <col min="13569" max="13569" width="4.33203125" style="103" customWidth="1"/>
    <col min="13570" max="13570" width="39.44140625" style="103" customWidth="1"/>
    <col min="13571" max="13571" width="4.6640625" style="103" customWidth="1"/>
    <col min="13572" max="13572" width="12" style="103" customWidth="1"/>
    <col min="13573" max="13573" width="4.6640625" style="103" customWidth="1"/>
    <col min="13574" max="13574" width="18.44140625" style="103" customWidth="1"/>
    <col min="13575" max="13575" width="11.33203125" style="103" customWidth="1"/>
    <col min="13576" max="13824" width="8.88671875" style="103"/>
    <col min="13825" max="13825" width="4.33203125" style="103" customWidth="1"/>
    <col min="13826" max="13826" width="39.44140625" style="103" customWidth="1"/>
    <col min="13827" max="13827" width="4.6640625" style="103" customWidth="1"/>
    <col min="13828" max="13828" width="12" style="103" customWidth="1"/>
    <col min="13829" max="13829" width="4.6640625" style="103" customWidth="1"/>
    <col min="13830" max="13830" width="18.44140625" style="103" customWidth="1"/>
    <col min="13831" max="13831" width="11.33203125" style="103" customWidth="1"/>
    <col min="13832" max="14080" width="8.88671875" style="103"/>
    <col min="14081" max="14081" width="4.33203125" style="103" customWidth="1"/>
    <col min="14082" max="14082" width="39.44140625" style="103" customWidth="1"/>
    <col min="14083" max="14083" width="4.6640625" style="103" customWidth="1"/>
    <col min="14084" max="14084" width="12" style="103" customWidth="1"/>
    <col min="14085" max="14085" width="4.6640625" style="103" customWidth="1"/>
    <col min="14086" max="14086" width="18.44140625" style="103" customWidth="1"/>
    <col min="14087" max="14087" width="11.33203125" style="103" customWidth="1"/>
    <col min="14088" max="14336" width="8.88671875" style="103"/>
    <col min="14337" max="14337" width="4.33203125" style="103" customWidth="1"/>
    <col min="14338" max="14338" width="39.44140625" style="103" customWidth="1"/>
    <col min="14339" max="14339" width="4.6640625" style="103" customWidth="1"/>
    <col min="14340" max="14340" width="12" style="103" customWidth="1"/>
    <col min="14341" max="14341" width="4.6640625" style="103" customWidth="1"/>
    <col min="14342" max="14342" width="18.44140625" style="103" customWidth="1"/>
    <col min="14343" max="14343" width="11.33203125" style="103" customWidth="1"/>
    <col min="14344" max="14592" width="8.88671875" style="103"/>
    <col min="14593" max="14593" width="4.33203125" style="103" customWidth="1"/>
    <col min="14594" max="14594" width="39.44140625" style="103" customWidth="1"/>
    <col min="14595" max="14595" width="4.6640625" style="103" customWidth="1"/>
    <col min="14596" max="14596" width="12" style="103" customWidth="1"/>
    <col min="14597" max="14597" width="4.6640625" style="103" customWidth="1"/>
    <col min="14598" max="14598" width="18.44140625" style="103" customWidth="1"/>
    <col min="14599" max="14599" width="11.33203125" style="103" customWidth="1"/>
    <col min="14600" max="14848" width="8.88671875" style="103"/>
    <col min="14849" max="14849" width="4.33203125" style="103" customWidth="1"/>
    <col min="14850" max="14850" width="39.44140625" style="103" customWidth="1"/>
    <col min="14851" max="14851" width="4.6640625" style="103" customWidth="1"/>
    <col min="14852" max="14852" width="12" style="103" customWidth="1"/>
    <col min="14853" max="14853" width="4.6640625" style="103" customWidth="1"/>
    <col min="14854" max="14854" width="18.44140625" style="103" customWidth="1"/>
    <col min="14855" max="14855" width="11.33203125" style="103" customWidth="1"/>
    <col min="14856" max="15104" width="8.88671875" style="103"/>
    <col min="15105" max="15105" width="4.33203125" style="103" customWidth="1"/>
    <col min="15106" max="15106" width="39.44140625" style="103" customWidth="1"/>
    <col min="15107" max="15107" width="4.6640625" style="103" customWidth="1"/>
    <col min="15108" max="15108" width="12" style="103" customWidth="1"/>
    <col min="15109" max="15109" width="4.6640625" style="103" customWidth="1"/>
    <col min="15110" max="15110" width="18.44140625" style="103" customWidth="1"/>
    <col min="15111" max="15111" width="11.33203125" style="103" customWidth="1"/>
    <col min="15112" max="15360" width="8.88671875" style="103"/>
    <col min="15361" max="15361" width="4.33203125" style="103" customWidth="1"/>
    <col min="15362" max="15362" width="39.44140625" style="103" customWidth="1"/>
    <col min="15363" max="15363" width="4.6640625" style="103" customWidth="1"/>
    <col min="15364" max="15364" width="12" style="103" customWidth="1"/>
    <col min="15365" max="15365" width="4.6640625" style="103" customWidth="1"/>
    <col min="15366" max="15366" width="18.44140625" style="103" customWidth="1"/>
    <col min="15367" max="15367" width="11.33203125" style="103" customWidth="1"/>
    <col min="15368" max="15616" width="8.88671875" style="103"/>
    <col min="15617" max="15617" width="4.33203125" style="103" customWidth="1"/>
    <col min="15618" max="15618" width="39.44140625" style="103" customWidth="1"/>
    <col min="15619" max="15619" width="4.6640625" style="103" customWidth="1"/>
    <col min="15620" max="15620" width="12" style="103" customWidth="1"/>
    <col min="15621" max="15621" width="4.6640625" style="103" customWidth="1"/>
    <col min="15622" max="15622" width="18.44140625" style="103" customWidth="1"/>
    <col min="15623" max="15623" width="11.33203125" style="103" customWidth="1"/>
    <col min="15624" max="15872" width="8.88671875" style="103"/>
    <col min="15873" max="15873" width="4.33203125" style="103" customWidth="1"/>
    <col min="15874" max="15874" width="39.44140625" style="103" customWidth="1"/>
    <col min="15875" max="15875" width="4.6640625" style="103" customWidth="1"/>
    <col min="15876" max="15876" width="12" style="103" customWidth="1"/>
    <col min="15877" max="15877" width="4.6640625" style="103" customWidth="1"/>
    <col min="15878" max="15878" width="18.44140625" style="103" customWidth="1"/>
    <col min="15879" max="15879" width="11.33203125" style="103" customWidth="1"/>
    <col min="15880" max="16128" width="8.88671875" style="103"/>
    <col min="16129" max="16129" width="4.33203125" style="103" customWidth="1"/>
    <col min="16130" max="16130" width="39.44140625" style="103" customWidth="1"/>
    <col min="16131" max="16131" width="4.6640625" style="103" customWidth="1"/>
    <col min="16132" max="16132" width="12" style="103" customWidth="1"/>
    <col min="16133" max="16133" width="4.6640625" style="103" customWidth="1"/>
    <col min="16134" max="16134" width="18.44140625" style="103" customWidth="1"/>
    <col min="16135" max="16135" width="11.33203125" style="103" customWidth="1"/>
    <col min="16136" max="16384" width="8.88671875" style="103"/>
  </cols>
  <sheetData>
    <row r="1" spans="1:8" ht="13.8" x14ac:dyDescent="0.25">
      <c r="A1" s="346" t="str">
        <f>'[8]COD-2'!A1:G1</f>
        <v>Shankharapur Municipality</v>
      </c>
      <c r="B1" s="347"/>
      <c r="C1" s="347"/>
      <c r="D1" s="347"/>
      <c r="E1" s="347"/>
      <c r="F1" s="347"/>
      <c r="G1" s="348"/>
    </row>
    <row r="2" spans="1:8" ht="13.8" x14ac:dyDescent="0.25">
      <c r="A2" s="349" t="str">
        <f>'[8]COD-2'!A2:G2</f>
        <v>Office of The Municipal Executive</v>
      </c>
      <c r="B2" s="350"/>
      <c r="C2" s="350"/>
      <c r="D2" s="350"/>
      <c r="E2" s="350"/>
      <c r="F2" s="350"/>
      <c r="G2" s="351"/>
    </row>
    <row r="3" spans="1:8" ht="13.8" x14ac:dyDescent="0.25">
      <c r="A3" s="349" t="str">
        <f>'[8]COD-2'!A3:G3</f>
        <v>Shankhu,Kathmandu</v>
      </c>
      <c r="B3" s="350"/>
      <c r="C3" s="350"/>
      <c r="D3" s="350"/>
      <c r="E3" s="350"/>
      <c r="F3" s="350"/>
      <c r="G3" s="351"/>
    </row>
    <row r="4" spans="1:8" x14ac:dyDescent="0.25">
      <c r="A4" s="352"/>
      <c r="B4" s="353"/>
      <c r="C4" s="353"/>
      <c r="D4" s="353"/>
      <c r="E4" s="353"/>
      <c r="F4" s="353"/>
      <c r="G4" s="354"/>
    </row>
    <row r="5" spans="1:8" x14ac:dyDescent="0.25">
      <c r="A5" s="355"/>
      <c r="B5" s="356"/>
      <c r="C5" s="356"/>
      <c r="D5" s="356"/>
      <c r="E5" s="356"/>
      <c r="F5" s="356"/>
      <c r="G5" s="357"/>
    </row>
    <row r="6" spans="1:8" ht="15.6" x14ac:dyDescent="0.3">
      <c r="A6" s="358" t="s">
        <v>184</v>
      </c>
      <c r="B6" s="359"/>
      <c r="C6" s="359"/>
      <c r="D6" s="359"/>
      <c r="E6" s="359"/>
      <c r="F6" s="359"/>
      <c r="G6" s="360"/>
    </row>
    <row r="7" spans="1:8" x14ac:dyDescent="0.25">
      <c r="A7" s="361"/>
      <c r="B7" s="362"/>
      <c r="C7" s="362"/>
      <c r="D7" s="362"/>
      <c r="E7" s="362"/>
      <c r="F7" s="362"/>
      <c r="G7" s="363"/>
    </row>
    <row r="8" spans="1:8" x14ac:dyDescent="0.25">
      <c r="A8" s="364" t="s">
        <v>176</v>
      </c>
      <c r="B8" s="102"/>
      <c r="C8" s="102"/>
      <c r="D8" s="102"/>
      <c r="E8" s="102"/>
      <c r="F8" s="102"/>
      <c r="G8" s="365"/>
      <c r="H8" s="102"/>
    </row>
    <row r="9" spans="1:8" x14ac:dyDescent="0.25">
      <c r="A9" s="364" t="s">
        <v>123</v>
      </c>
      <c r="B9" s="102"/>
      <c r="C9" s="102"/>
      <c r="D9" s="102"/>
      <c r="E9" s="102"/>
      <c r="F9" s="366" t="s">
        <v>124</v>
      </c>
      <c r="G9" s="365"/>
      <c r="H9" s="362"/>
    </row>
    <row r="10" spans="1:8" x14ac:dyDescent="0.25">
      <c r="A10" s="367" t="s">
        <v>125</v>
      </c>
      <c r="B10" s="368"/>
      <c r="C10" s="368"/>
      <c r="D10" s="368"/>
      <c r="E10" s="368"/>
      <c r="F10" s="368"/>
      <c r="G10" s="369"/>
    </row>
    <row r="11" spans="1:8" ht="13.8" thickBot="1" x14ac:dyDescent="0.3">
      <c r="A11" s="370" t="s">
        <v>177</v>
      </c>
      <c r="B11" s="371"/>
      <c r="C11" s="371"/>
      <c r="D11" s="371"/>
      <c r="E11" s="371"/>
      <c r="F11" s="371"/>
      <c r="G11" s="372"/>
    </row>
    <row r="12" spans="1:8" x14ac:dyDescent="0.25">
      <c r="A12" s="373" t="s">
        <v>5</v>
      </c>
      <c r="B12" s="374" t="s">
        <v>126</v>
      </c>
      <c r="C12" s="375"/>
      <c r="D12" s="375"/>
      <c r="E12" s="376"/>
      <c r="F12" s="377" t="s">
        <v>130</v>
      </c>
      <c r="G12" s="378" t="s">
        <v>131</v>
      </c>
    </row>
    <row r="13" spans="1:8" ht="13.8" thickBot="1" x14ac:dyDescent="0.3">
      <c r="A13" s="379"/>
      <c r="B13" s="380"/>
      <c r="C13" s="381"/>
      <c r="D13" s="381"/>
      <c r="E13" s="382"/>
      <c r="F13" s="383"/>
      <c r="G13" s="384"/>
    </row>
    <row r="14" spans="1:8" ht="18.75" customHeight="1" x14ac:dyDescent="0.25">
      <c r="A14" s="385" t="s">
        <v>132</v>
      </c>
      <c r="B14" s="386" t="s">
        <v>133</v>
      </c>
      <c r="C14" s="387"/>
      <c r="D14" s="387"/>
      <c r="E14" s="387"/>
      <c r="F14" s="387"/>
      <c r="G14" s="388"/>
    </row>
    <row r="15" spans="1:8" ht="14.25" customHeight="1" x14ac:dyDescent="0.25">
      <c r="A15" s="389">
        <v>1</v>
      </c>
      <c r="B15" s="390" t="s">
        <v>178</v>
      </c>
      <c r="C15" s="391"/>
      <c r="D15" s="391"/>
      <c r="E15" s="392"/>
      <c r="F15" s="393">
        <f>'COD-1'!F18</f>
        <v>130440.11068643883</v>
      </c>
      <c r="G15" s="394"/>
    </row>
    <row r="16" spans="1:8" ht="14.25" customHeight="1" x14ac:dyDescent="0.25">
      <c r="A16" s="389"/>
      <c r="B16" s="395"/>
      <c r="C16" s="396"/>
      <c r="D16" s="396"/>
      <c r="E16" s="397"/>
      <c r="F16" s="393"/>
      <c r="G16" s="394"/>
    </row>
    <row r="17" spans="1:7" x14ac:dyDescent="0.25">
      <c r="A17" s="389"/>
      <c r="B17" s="398" t="s">
        <v>137</v>
      </c>
      <c r="C17" s="399"/>
      <c r="D17" s="399"/>
      <c r="E17" s="400"/>
      <c r="F17" s="401">
        <f>SUM(F15:F15)</f>
        <v>130440.11068643883</v>
      </c>
      <c r="G17" s="402"/>
    </row>
    <row r="18" spans="1:7" ht="13.8" x14ac:dyDescent="0.25">
      <c r="A18" s="389"/>
      <c r="B18" s="403" t="s">
        <v>138</v>
      </c>
      <c r="C18" s="404"/>
      <c r="D18" s="404"/>
      <c r="E18" s="404"/>
      <c r="F18" s="404"/>
      <c r="G18" s="405"/>
    </row>
    <row r="19" spans="1:7" ht="13.8" x14ac:dyDescent="0.25">
      <c r="A19" s="406" t="s">
        <v>139</v>
      </c>
      <c r="B19" s="407" t="s">
        <v>140</v>
      </c>
      <c r="C19" s="408"/>
      <c r="D19" s="408"/>
      <c r="E19" s="408"/>
      <c r="F19" s="408"/>
      <c r="G19" s="409"/>
    </row>
    <row r="20" spans="1:7" x14ac:dyDescent="0.25">
      <c r="A20" s="410">
        <v>1</v>
      </c>
      <c r="B20" s="390" t="s">
        <v>179</v>
      </c>
      <c r="C20" s="391"/>
      <c r="D20" s="391"/>
      <c r="E20" s="392"/>
      <c r="F20" s="411">
        <f>'COD-1'!F29</f>
        <v>505919.55106521631</v>
      </c>
      <c r="G20" s="402"/>
    </row>
    <row r="21" spans="1:7" x14ac:dyDescent="0.25">
      <c r="A21" s="389"/>
      <c r="B21" s="412"/>
      <c r="C21" s="413"/>
      <c r="D21" s="413"/>
      <c r="E21" s="414"/>
      <c r="F21" s="411"/>
      <c r="G21" s="402"/>
    </row>
    <row r="22" spans="1:7" x14ac:dyDescent="0.25">
      <c r="A22" s="415"/>
      <c r="B22" s="416" t="s">
        <v>180</v>
      </c>
      <c r="C22" s="417"/>
      <c r="D22" s="417"/>
      <c r="E22" s="418"/>
      <c r="F22" s="419">
        <f>SUM(F20:F21)</f>
        <v>505919.55106521631</v>
      </c>
      <c r="G22" s="402"/>
    </row>
    <row r="23" spans="1:7" ht="13.8" thickBot="1" x14ac:dyDescent="0.3">
      <c r="A23" s="420"/>
      <c r="B23" s="421"/>
      <c r="C23" s="422"/>
      <c r="D23" s="422"/>
      <c r="E23" s="423"/>
      <c r="F23" s="424"/>
      <c r="G23" s="425"/>
    </row>
    <row r="24" spans="1:7" ht="23.25" customHeight="1" thickBot="1" x14ac:dyDescent="0.3">
      <c r="A24" s="426"/>
      <c r="B24" s="427" t="s">
        <v>181</v>
      </c>
      <c r="C24" s="428"/>
      <c r="D24" s="428"/>
      <c r="E24" s="429"/>
      <c r="F24" s="430">
        <f>F22-F17</f>
        <v>375479.44037877745</v>
      </c>
      <c r="G24" s="431"/>
    </row>
    <row r="25" spans="1:7" ht="24" customHeight="1" thickBot="1" x14ac:dyDescent="0.3">
      <c r="A25" s="426"/>
      <c r="B25" s="427" t="s">
        <v>182</v>
      </c>
      <c r="C25" s="428"/>
      <c r="D25" s="428"/>
      <c r="E25" s="429"/>
      <c r="F25" s="432">
        <f>0.13*F24</f>
        <v>48812.327249241069</v>
      </c>
      <c r="G25" s="433"/>
    </row>
    <row r="26" spans="1:7" ht="26.25" customHeight="1" thickBot="1" x14ac:dyDescent="0.3">
      <c r="A26" s="434"/>
      <c r="B26" s="435" t="s">
        <v>183</v>
      </c>
      <c r="C26" s="436"/>
      <c r="D26" s="436"/>
      <c r="E26" s="437"/>
      <c r="F26" s="438">
        <f>SUM(F24:F25)</f>
        <v>424291.76762801851</v>
      </c>
      <c r="G26" s="439"/>
    </row>
    <row r="27" spans="1:7" x14ac:dyDescent="0.25">
      <c r="A27" s="102"/>
      <c r="B27" s="102"/>
      <c r="C27" s="366"/>
      <c r="D27" s="440"/>
      <c r="E27" s="441"/>
      <c r="F27" s="114"/>
      <c r="G27" s="102"/>
    </row>
    <row r="28" spans="1:7" x14ac:dyDescent="0.25">
      <c r="A28" s="102"/>
      <c r="B28" s="362"/>
      <c r="C28" s="366"/>
      <c r="D28" s="442"/>
      <c r="E28" s="102"/>
      <c r="F28" s="114"/>
      <c r="G28" s="102"/>
    </row>
    <row r="29" spans="1:7" x14ac:dyDescent="0.25">
      <c r="A29" s="102"/>
      <c r="B29" s="362"/>
      <c r="C29" s="366"/>
      <c r="D29" s="442"/>
      <c r="E29" s="441"/>
      <c r="F29" s="114"/>
      <c r="G29" s="102"/>
    </row>
    <row r="30" spans="1:7" x14ac:dyDescent="0.25">
      <c r="A30" s="102"/>
      <c r="B30" s="362"/>
      <c r="C30" s="366"/>
      <c r="D30" s="443"/>
      <c r="E30" s="114"/>
      <c r="F30" s="114"/>
      <c r="G30" s="102"/>
    </row>
    <row r="31" spans="1:7" x14ac:dyDescent="0.25">
      <c r="A31" s="102"/>
      <c r="B31" s="102"/>
      <c r="C31" s="366"/>
      <c r="D31" s="444"/>
      <c r="E31" s="444"/>
      <c r="F31" s="445"/>
      <c r="G31" s="102"/>
    </row>
    <row r="32" spans="1:7" x14ac:dyDescent="0.25">
      <c r="A32" s="102"/>
      <c r="B32" s="102"/>
      <c r="C32" s="366"/>
      <c r="D32" s="443"/>
      <c r="E32" s="102"/>
      <c r="F32" s="114"/>
      <c r="G32" s="102"/>
    </row>
    <row r="33" spans="1:7" x14ac:dyDescent="0.25">
      <c r="A33" s="102"/>
      <c r="B33" s="446"/>
      <c r="C33" s="446"/>
      <c r="D33" s="446"/>
      <c r="E33" s="446"/>
      <c r="F33" s="445"/>
      <c r="G33" s="102"/>
    </row>
    <row r="34" spans="1:7" x14ac:dyDescent="0.25">
      <c r="A34" s="102"/>
      <c r="B34" s="446"/>
      <c r="C34" s="446"/>
      <c r="D34" s="446"/>
      <c r="E34" s="446"/>
      <c r="F34" s="445"/>
      <c r="G34" s="102"/>
    </row>
    <row r="35" spans="1:7" x14ac:dyDescent="0.25">
      <c r="A35" s="102"/>
      <c r="B35" s="102"/>
      <c r="C35" s="366"/>
      <c r="D35" s="366"/>
      <c r="E35" s="102"/>
      <c r="F35" s="102"/>
      <c r="G35" s="102"/>
    </row>
    <row r="36" spans="1:7" x14ac:dyDescent="0.25">
      <c r="A36" s="102"/>
      <c r="B36" s="102"/>
      <c r="C36" s="366"/>
      <c r="D36" s="366"/>
      <c r="E36" s="102"/>
      <c r="F36" s="102"/>
      <c r="G36" s="102"/>
    </row>
    <row r="37" spans="1:7" x14ac:dyDescent="0.25">
      <c r="A37" s="102"/>
      <c r="B37" s="102"/>
      <c r="C37" s="366"/>
      <c r="D37" s="366"/>
      <c r="E37" s="102"/>
      <c r="F37" s="102"/>
      <c r="G37" s="102"/>
    </row>
    <row r="38" spans="1:7" x14ac:dyDescent="0.25">
      <c r="A38" s="102"/>
      <c r="B38" s="102"/>
      <c r="C38" s="366"/>
      <c r="D38" s="366"/>
      <c r="E38" s="102"/>
      <c r="F38" s="102"/>
      <c r="G38" s="102"/>
    </row>
    <row r="39" spans="1:7" x14ac:dyDescent="0.25">
      <c r="A39" s="102"/>
      <c r="B39" s="102"/>
      <c r="C39" s="366"/>
      <c r="D39" s="366"/>
      <c r="E39" s="102"/>
      <c r="F39" s="102"/>
      <c r="G39" s="102"/>
    </row>
    <row r="40" spans="1:7" x14ac:dyDescent="0.25">
      <c r="A40" s="102"/>
      <c r="B40" s="102"/>
      <c r="C40" s="366"/>
      <c r="D40" s="366"/>
      <c r="E40" s="102"/>
      <c r="F40" s="102"/>
      <c r="G40" s="102"/>
    </row>
    <row r="41" spans="1:7" x14ac:dyDescent="0.25">
      <c r="A41" s="102"/>
      <c r="B41" s="102"/>
      <c r="C41" s="366"/>
      <c r="D41" s="366"/>
      <c r="E41" s="102"/>
      <c r="F41" s="102"/>
      <c r="G41" s="102"/>
    </row>
    <row r="42" spans="1:7" x14ac:dyDescent="0.25">
      <c r="A42" s="102"/>
      <c r="B42" s="102"/>
      <c r="C42" s="366"/>
      <c r="D42" s="366"/>
      <c r="E42" s="102"/>
      <c r="F42" s="102"/>
      <c r="G42" s="102"/>
    </row>
    <row r="43" spans="1:7" x14ac:dyDescent="0.25">
      <c r="A43" s="102"/>
      <c r="B43" s="102"/>
      <c r="C43" s="366"/>
      <c r="D43" s="366"/>
      <c r="E43" s="102"/>
      <c r="F43" s="102"/>
      <c r="G43" s="102"/>
    </row>
    <row r="44" spans="1:7" x14ac:dyDescent="0.25">
      <c r="A44" s="102"/>
      <c r="B44" s="102"/>
      <c r="C44" s="366"/>
      <c r="D44" s="366"/>
      <c r="E44" s="102"/>
      <c r="F44" s="102"/>
      <c r="G44" s="102"/>
    </row>
    <row r="45" spans="1:7" x14ac:dyDescent="0.25">
      <c r="A45" s="102"/>
      <c r="B45" s="102"/>
      <c r="C45" s="366"/>
      <c r="D45" s="366"/>
      <c r="E45" s="102"/>
      <c r="F45" s="102"/>
      <c r="G45" s="102"/>
    </row>
    <row r="46" spans="1:7" x14ac:dyDescent="0.25">
      <c r="A46" s="102"/>
      <c r="B46" s="102"/>
      <c r="C46" s="366"/>
      <c r="D46" s="366"/>
      <c r="E46" s="102"/>
      <c r="F46" s="102"/>
      <c r="G46" s="102"/>
    </row>
    <row r="47" spans="1:7" x14ac:dyDescent="0.25">
      <c r="A47" s="102"/>
      <c r="B47" s="102"/>
      <c r="C47" s="366"/>
      <c r="D47" s="366"/>
      <c r="E47" s="102"/>
      <c r="F47" s="102"/>
      <c r="G47" s="102"/>
    </row>
    <row r="48" spans="1:7" x14ac:dyDescent="0.25">
      <c r="A48" s="102"/>
      <c r="B48" s="102"/>
      <c r="C48" s="366"/>
      <c r="D48" s="366"/>
      <c r="E48" s="102"/>
      <c r="F48" s="102"/>
      <c r="G48" s="102"/>
    </row>
    <row r="49" spans="1:7" x14ac:dyDescent="0.25">
      <c r="A49" s="102"/>
      <c r="B49" s="102"/>
      <c r="C49" s="366"/>
      <c r="D49" s="366"/>
      <c r="E49" s="102"/>
      <c r="F49" s="102"/>
      <c r="G49" s="102"/>
    </row>
    <row r="50" spans="1:7" x14ac:dyDescent="0.25">
      <c r="A50" s="102"/>
      <c r="B50" s="102"/>
      <c r="C50" s="366"/>
      <c r="D50" s="366"/>
      <c r="E50" s="102"/>
      <c r="F50" s="102"/>
      <c r="G50" s="102"/>
    </row>
    <row r="51" spans="1:7" x14ac:dyDescent="0.25">
      <c r="A51" s="102"/>
      <c r="B51" s="102"/>
      <c r="C51" s="366"/>
      <c r="D51" s="366"/>
      <c r="E51" s="102"/>
      <c r="F51" s="102"/>
      <c r="G51" s="102"/>
    </row>
    <row r="52" spans="1:7" x14ac:dyDescent="0.25">
      <c r="A52" s="102"/>
      <c r="B52" s="102"/>
      <c r="C52" s="366"/>
      <c r="D52" s="366"/>
      <c r="E52" s="102"/>
      <c r="F52" s="102"/>
      <c r="G52" s="102"/>
    </row>
    <row r="53" spans="1:7" x14ac:dyDescent="0.25">
      <c r="A53" s="102"/>
      <c r="B53" s="102"/>
      <c r="C53" s="366"/>
      <c r="D53" s="366"/>
      <c r="E53" s="102"/>
      <c r="F53" s="102"/>
      <c r="G53" s="102"/>
    </row>
    <row r="54" spans="1:7" x14ac:dyDescent="0.25">
      <c r="A54" s="102"/>
      <c r="B54" s="102"/>
      <c r="C54" s="366"/>
      <c r="D54" s="366"/>
      <c r="E54" s="102"/>
      <c r="F54" s="102"/>
      <c r="G54" s="102"/>
    </row>
    <row r="55" spans="1:7" x14ac:dyDescent="0.25">
      <c r="A55" s="102"/>
      <c r="B55" s="102"/>
      <c r="C55" s="366"/>
      <c r="D55" s="366"/>
      <c r="E55" s="102"/>
      <c r="F55" s="102"/>
      <c r="G55" s="102"/>
    </row>
    <row r="56" spans="1:7" x14ac:dyDescent="0.25">
      <c r="C56" s="447"/>
      <c r="D56" s="447"/>
    </row>
    <row r="57" spans="1:7" x14ac:dyDescent="0.25">
      <c r="C57" s="447"/>
      <c r="D57" s="447"/>
    </row>
    <row r="58" spans="1:7" x14ac:dyDescent="0.25">
      <c r="C58" s="447"/>
      <c r="D58" s="447"/>
    </row>
    <row r="59" spans="1:7" x14ac:dyDescent="0.25">
      <c r="C59" s="447"/>
      <c r="D59" s="447"/>
    </row>
    <row r="60" spans="1:7" x14ac:dyDescent="0.25">
      <c r="C60" s="447"/>
      <c r="D60" s="447"/>
    </row>
    <row r="61" spans="1:7" x14ac:dyDescent="0.25">
      <c r="C61" s="447"/>
      <c r="D61" s="447"/>
    </row>
    <row r="62" spans="1:7" x14ac:dyDescent="0.25">
      <c r="C62" s="447"/>
      <c r="D62" s="447"/>
    </row>
    <row r="63" spans="1:7" x14ac:dyDescent="0.25">
      <c r="C63" s="447"/>
      <c r="D63" s="447"/>
    </row>
    <row r="64" spans="1:7" x14ac:dyDescent="0.25">
      <c r="C64" s="447"/>
      <c r="D64" s="447"/>
    </row>
    <row r="65" spans="3:4" x14ac:dyDescent="0.25">
      <c r="C65" s="447"/>
      <c r="D65" s="447"/>
    </row>
  </sheetData>
  <mergeCells count="24">
    <mergeCell ref="B25:E25"/>
    <mergeCell ref="B26:E26"/>
    <mergeCell ref="B20:E20"/>
    <mergeCell ref="B21:E21"/>
    <mergeCell ref="B22:E22"/>
    <mergeCell ref="B23:E23"/>
    <mergeCell ref="B24:E24"/>
    <mergeCell ref="B15:E15"/>
    <mergeCell ref="B16:E16"/>
    <mergeCell ref="B17:E17"/>
    <mergeCell ref="B18:G18"/>
    <mergeCell ref="B19:G19"/>
    <mergeCell ref="A11:G11"/>
    <mergeCell ref="A12:A13"/>
    <mergeCell ref="B12:E13"/>
    <mergeCell ref="F12:F13"/>
    <mergeCell ref="G12:G13"/>
    <mergeCell ref="B14:G14"/>
    <mergeCell ref="A1:G1"/>
    <mergeCell ref="A2:G2"/>
    <mergeCell ref="A3:G3"/>
    <mergeCell ref="A4:G4"/>
    <mergeCell ref="A6:G6"/>
    <mergeCell ref="A10:G10"/>
  </mergeCells>
  <pageMargins left="0.7" right="0.7" top="0.75" bottom="0.75" header="0.3" footer="0.3"/>
  <pageSetup paperSize="9" scale="9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view="pageBreakPreview" topLeftCell="A13" zoomScaleNormal="100" zoomScaleSheetLayoutView="100" workbookViewId="0">
      <selection activeCell="A21" sqref="A21:XFD31"/>
    </sheetView>
  </sheetViews>
  <sheetFormatPr defaultRowHeight="13.2" x14ac:dyDescent="0.25"/>
  <cols>
    <col min="1" max="1" width="7.5546875" style="126" customWidth="1"/>
    <col min="2" max="2" width="21.109375" style="126" customWidth="1"/>
    <col min="3" max="3" width="6.6640625" style="126" customWidth="1"/>
    <col min="4" max="4" width="9.5546875" style="126" customWidth="1"/>
    <col min="5" max="5" width="14.6640625" style="126" customWidth="1"/>
    <col min="6" max="6" width="26.88671875" style="126" customWidth="1"/>
    <col min="7" max="7" width="5" style="126" customWidth="1"/>
    <col min="8" max="8" width="7.44140625" style="126" customWidth="1"/>
    <col min="9" max="9" width="14.44140625" style="126" customWidth="1"/>
    <col min="10" max="10" width="8" style="126" customWidth="1"/>
    <col min="11" max="11" width="8.6640625" style="126" customWidth="1"/>
    <col min="12" max="12" width="5.109375" style="126" customWidth="1"/>
    <col min="13" max="13" width="5" style="126" customWidth="1"/>
    <col min="14" max="14" width="4.6640625" style="126" customWidth="1"/>
    <col min="15" max="15" width="4.109375" style="126" customWidth="1"/>
    <col min="16" max="256" width="9.109375" style="126"/>
    <col min="257" max="257" width="7.5546875" style="126" customWidth="1"/>
    <col min="258" max="258" width="21.109375" style="126" customWidth="1"/>
    <col min="259" max="259" width="6.6640625" style="126" customWidth="1"/>
    <col min="260" max="260" width="9.5546875" style="126" customWidth="1"/>
    <col min="261" max="261" width="14.6640625" style="126" customWidth="1"/>
    <col min="262" max="262" width="26.88671875" style="126" customWidth="1"/>
    <col min="263" max="263" width="5" style="126" customWidth="1"/>
    <col min="264" max="264" width="7.44140625" style="126" customWidth="1"/>
    <col min="265" max="265" width="14.44140625" style="126" customWidth="1"/>
    <col min="266" max="266" width="8" style="126" customWidth="1"/>
    <col min="267" max="267" width="8.6640625" style="126" customWidth="1"/>
    <col min="268" max="268" width="5.109375" style="126" customWidth="1"/>
    <col min="269" max="269" width="5" style="126" customWidth="1"/>
    <col min="270" max="270" width="4.6640625" style="126" customWidth="1"/>
    <col min="271" max="271" width="4.109375" style="126" customWidth="1"/>
    <col min="272" max="512" width="9.109375" style="126"/>
    <col min="513" max="513" width="7.5546875" style="126" customWidth="1"/>
    <col min="514" max="514" width="21.109375" style="126" customWidth="1"/>
    <col min="515" max="515" width="6.6640625" style="126" customWidth="1"/>
    <col min="516" max="516" width="9.5546875" style="126" customWidth="1"/>
    <col min="517" max="517" width="14.6640625" style="126" customWidth="1"/>
    <col min="518" max="518" width="26.88671875" style="126" customWidth="1"/>
    <col min="519" max="519" width="5" style="126" customWidth="1"/>
    <col min="520" max="520" width="7.44140625" style="126" customWidth="1"/>
    <col min="521" max="521" width="14.44140625" style="126" customWidth="1"/>
    <col min="522" max="522" width="8" style="126" customWidth="1"/>
    <col min="523" max="523" width="8.6640625" style="126" customWidth="1"/>
    <col min="524" max="524" width="5.109375" style="126" customWidth="1"/>
    <col min="525" max="525" width="5" style="126" customWidth="1"/>
    <col min="526" max="526" width="4.6640625" style="126" customWidth="1"/>
    <col min="527" max="527" width="4.109375" style="126" customWidth="1"/>
    <col min="528" max="768" width="9.109375" style="126"/>
    <col min="769" max="769" width="7.5546875" style="126" customWidth="1"/>
    <col min="770" max="770" width="21.109375" style="126" customWidth="1"/>
    <col min="771" max="771" width="6.6640625" style="126" customWidth="1"/>
    <col min="772" max="772" width="9.5546875" style="126" customWidth="1"/>
    <col min="773" max="773" width="14.6640625" style="126" customWidth="1"/>
    <col min="774" max="774" width="26.88671875" style="126" customWidth="1"/>
    <col min="775" max="775" width="5" style="126" customWidth="1"/>
    <col min="776" max="776" width="7.44140625" style="126" customWidth="1"/>
    <col min="777" max="777" width="14.44140625" style="126" customWidth="1"/>
    <col min="778" max="778" width="8" style="126" customWidth="1"/>
    <col min="779" max="779" width="8.6640625" style="126" customWidth="1"/>
    <col min="780" max="780" width="5.109375" style="126" customWidth="1"/>
    <col min="781" max="781" width="5" style="126" customWidth="1"/>
    <col min="782" max="782" width="4.6640625" style="126" customWidth="1"/>
    <col min="783" max="783" width="4.109375" style="126" customWidth="1"/>
    <col min="784" max="1024" width="9.109375" style="126"/>
    <col min="1025" max="1025" width="7.5546875" style="126" customWidth="1"/>
    <col min="1026" max="1026" width="21.109375" style="126" customWidth="1"/>
    <col min="1027" max="1027" width="6.6640625" style="126" customWidth="1"/>
    <col min="1028" max="1028" width="9.5546875" style="126" customWidth="1"/>
    <col min="1029" max="1029" width="14.6640625" style="126" customWidth="1"/>
    <col min="1030" max="1030" width="26.88671875" style="126" customWidth="1"/>
    <col min="1031" max="1031" width="5" style="126" customWidth="1"/>
    <col min="1032" max="1032" width="7.44140625" style="126" customWidth="1"/>
    <col min="1033" max="1033" width="14.44140625" style="126" customWidth="1"/>
    <col min="1034" max="1034" width="8" style="126" customWidth="1"/>
    <col min="1035" max="1035" width="8.6640625" style="126" customWidth="1"/>
    <col min="1036" max="1036" width="5.109375" style="126" customWidth="1"/>
    <col min="1037" max="1037" width="5" style="126" customWidth="1"/>
    <col min="1038" max="1038" width="4.6640625" style="126" customWidth="1"/>
    <col min="1039" max="1039" width="4.109375" style="126" customWidth="1"/>
    <col min="1040" max="1280" width="9.109375" style="126"/>
    <col min="1281" max="1281" width="7.5546875" style="126" customWidth="1"/>
    <col min="1282" max="1282" width="21.109375" style="126" customWidth="1"/>
    <col min="1283" max="1283" width="6.6640625" style="126" customWidth="1"/>
    <col min="1284" max="1284" width="9.5546875" style="126" customWidth="1"/>
    <col min="1285" max="1285" width="14.6640625" style="126" customWidth="1"/>
    <col min="1286" max="1286" width="26.88671875" style="126" customWidth="1"/>
    <col min="1287" max="1287" width="5" style="126" customWidth="1"/>
    <col min="1288" max="1288" width="7.44140625" style="126" customWidth="1"/>
    <col min="1289" max="1289" width="14.44140625" style="126" customWidth="1"/>
    <col min="1290" max="1290" width="8" style="126" customWidth="1"/>
    <col min="1291" max="1291" width="8.6640625" style="126" customWidth="1"/>
    <col min="1292" max="1292" width="5.109375" style="126" customWidth="1"/>
    <col min="1293" max="1293" width="5" style="126" customWidth="1"/>
    <col min="1294" max="1294" width="4.6640625" style="126" customWidth="1"/>
    <col min="1295" max="1295" width="4.109375" style="126" customWidth="1"/>
    <col min="1296" max="1536" width="9.109375" style="126"/>
    <col min="1537" max="1537" width="7.5546875" style="126" customWidth="1"/>
    <col min="1538" max="1538" width="21.109375" style="126" customWidth="1"/>
    <col min="1539" max="1539" width="6.6640625" style="126" customWidth="1"/>
    <col min="1540" max="1540" width="9.5546875" style="126" customWidth="1"/>
    <col min="1541" max="1541" width="14.6640625" style="126" customWidth="1"/>
    <col min="1542" max="1542" width="26.88671875" style="126" customWidth="1"/>
    <col min="1543" max="1543" width="5" style="126" customWidth="1"/>
    <col min="1544" max="1544" width="7.44140625" style="126" customWidth="1"/>
    <col min="1545" max="1545" width="14.44140625" style="126" customWidth="1"/>
    <col min="1546" max="1546" width="8" style="126" customWidth="1"/>
    <col min="1547" max="1547" width="8.6640625" style="126" customWidth="1"/>
    <col min="1548" max="1548" width="5.109375" style="126" customWidth="1"/>
    <col min="1549" max="1549" width="5" style="126" customWidth="1"/>
    <col min="1550" max="1550" width="4.6640625" style="126" customWidth="1"/>
    <col min="1551" max="1551" width="4.109375" style="126" customWidth="1"/>
    <col min="1552" max="1792" width="9.109375" style="126"/>
    <col min="1793" max="1793" width="7.5546875" style="126" customWidth="1"/>
    <col min="1794" max="1794" width="21.109375" style="126" customWidth="1"/>
    <col min="1795" max="1795" width="6.6640625" style="126" customWidth="1"/>
    <col min="1796" max="1796" width="9.5546875" style="126" customWidth="1"/>
    <col min="1797" max="1797" width="14.6640625" style="126" customWidth="1"/>
    <col min="1798" max="1798" width="26.88671875" style="126" customWidth="1"/>
    <col min="1799" max="1799" width="5" style="126" customWidth="1"/>
    <col min="1800" max="1800" width="7.44140625" style="126" customWidth="1"/>
    <col min="1801" max="1801" width="14.44140625" style="126" customWidth="1"/>
    <col min="1802" max="1802" width="8" style="126" customWidth="1"/>
    <col min="1803" max="1803" width="8.6640625" style="126" customWidth="1"/>
    <col min="1804" max="1804" width="5.109375" style="126" customWidth="1"/>
    <col min="1805" max="1805" width="5" style="126" customWidth="1"/>
    <col min="1806" max="1806" width="4.6640625" style="126" customWidth="1"/>
    <col min="1807" max="1807" width="4.109375" style="126" customWidth="1"/>
    <col min="1808" max="2048" width="9.109375" style="126"/>
    <col min="2049" max="2049" width="7.5546875" style="126" customWidth="1"/>
    <col min="2050" max="2050" width="21.109375" style="126" customWidth="1"/>
    <col min="2051" max="2051" width="6.6640625" style="126" customWidth="1"/>
    <col min="2052" max="2052" width="9.5546875" style="126" customWidth="1"/>
    <col min="2053" max="2053" width="14.6640625" style="126" customWidth="1"/>
    <col min="2054" max="2054" width="26.88671875" style="126" customWidth="1"/>
    <col min="2055" max="2055" width="5" style="126" customWidth="1"/>
    <col min="2056" max="2056" width="7.44140625" style="126" customWidth="1"/>
    <col min="2057" max="2057" width="14.44140625" style="126" customWidth="1"/>
    <col min="2058" max="2058" width="8" style="126" customWidth="1"/>
    <col min="2059" max="2059" width="8.6640625" style="126" customWidth="1"/>
    <col min="2060" max="2060" width="5.109375" style="126" customWidth="1"/>
    <col min="2061" max="2061" width="5" style="126" customWidth="1"/>
    <col min="2062" max="2062" width="4.6640625" style="126" customWidth="1"/>
    <col min="2063" max="2063" width="4.109375" style="126" customWidth="1"/>
    <col min="2064" max="2304" width="9.109375" style="126"/>
    <col min="2305" max="2305" width="7.5546875" style="126" customWidth="1"/>
    <col min="2306" max="2306" width="21.109375" style="126" customWidth="1"/>
    <col min="2307" max="2307" width="6.6640625" style="126" customWidth="1"/>
    <col min="2308" max="2308" width="9.5546875" style="126" customWidth="1"/>
    <col min="2309" max="2309" width="14.6640625" style="126" customWidth="1"/>
    <col min="2310" max="2310" width="26.88671875" style="126" customWidth="1"/>
    <col min="2311" max="2311" width="5" style="126" customWidth="1"/>
    <col min="2312" max="2312" width="7.44140625" style="126" customWidth="1"/>
    <col min="2313" max="2313" width="14.44140625" style="126" customWidth="1"/>
    <col min="2314" max="2314" width="8" style="126" customWidth="1"/>
    <col min="2315" max="2315" width="8.6640625" style="126" customWidth="1"/>
    <col min="2316" max="2316" width="5.109375" style="126" customWidth="1"/>
    <col min="2317" max="2317" width="5" style="126" customWidth="1"/>
    <col min="2318" max="2318" width="4.6640625" style="126" customWidth="1"/>
    <col min="2319" max="2319" width="4.109375" style="126" customWidth="1"/>
    <col min="2320" max="2560" width="9.109375" style="126"/>
    <col min="2561" max="2561" width="7.5546875" style="126" customWidth="1"/>
    <col min="2562" max="2562" width="21.109375" style="126" customWidth="1"/>
    <col min="2563" max="2563" width="6.6640625" style="126" customWidth="1"/>
    <col min="2564" max="2564" width="9.5546875" style="126" customWidth="1"/>
    <col min="2565" max="2565" width="14.6640625" style="126" customWidth="1"/>
    <col min="2566" max="2566" width="26.88671875" style="126" customWidth="1"/>
    <col min="2567" max="2567" width="5" style="126" customWidth="1"/>
    <col min="2568" max="2568" width="7.44140625" style="126" customWidth="1"/>
    <col min="2569" max="2569" width="14.44140625" style="126" customWidth="1"/>
    <col min="2570" max="2570" width="8" style="126" customWidth="1"/>
    <col min="2571" max="2571" width="8.6640625" style="126" customWidth="1"/>
    <col min="2572" max="2572" width="5.109375" style="126" customWidth="1"/>
    <col min="2573" max="2573" width="5" style="126" customWidth="1"/>
    <col min="2574" max="2574" width="4.6640625" style="126" customWidth="1"/>
    <col min="2575" max="2575" width="4.109375" style="126" customWidth="1"/>
    <col min="2576" max="2816" width="9.109375" style="126"/>
    <col min="2817" max="2817" width="7.5546875" style="126" customWidth="1"/>
    <col min="2818" max="2818" width="21.109375" style="126" customWidth="1"/>
    <col min="2819" max="2819" width="6.6640625" style="126" customWidth="1"/>
    <col min="2820" max="2820" width="9.5546875" style="126" customWidth="1"/>
    <col min="2821" max="2821" width="14.6640625" style="126" customWidth="1"/>
    <col min="2822" max="2822" width="26.88671875" style="126" customWidth="1"/>
    <col min="2823" max="2823" width="5" style="126" customWidth="1"/>
    <col min="2824" max="2824" width="7.44140625" style="126" customWidth="1"/>
    <col min="2825" max="2825" width="14.44140625" style="126" customWidth="1"/>
    <col min="2826" max="2826" width="8" style="126" customWidth="1"/>
    <col min="2827" max="2827" width="8.6640625" style="126" customWidth="1"/>
    <col min="2828" max="2828" width="5.109375" style="126" customWidth="1"/>
    <col min="2829" max="2829" width="5" style="126" customWidth="1"/>
    <col min="2830" max="2830" width="4.6640625" style="126" customWidth="1"/>
    <col min="2831" max="2831" width="4.109375" style="126" customWidth="1"/>
    <col min="2832" max="3072" width="9.109375" style="126"/>
    <col min="3073" max="3073" width="7.5546875" style="126" customWidth="1"/>
    <col min="3074" max="3074" width="21.109375" style="126" customWidth="1"/>
    <col min="3075" max="3075" width="6.6640625" style="126" customWidth="1"/>
    <col min="3076" max="3076" width="9.5546875" style="126" customWidth="1"/>
    <col min="3077" max="3077" width="14.6640625" style="126" customWidth="1"/>
    <col min="3078" max="3078" width="26.88671875" style="126" customWidth="1"/>
    <col min="3079" max="3079" width="5" style="126" customWidth="1"/>
    <col min="3080" max="3080" width="7.44140625" style="126" customWidth="1"/>
    <col min="3081" max="3081" width="14.44140625" style="126" customWidth="1"/>
    <col min="3082" max="3082" width="8" style="126" customWidth="1"/>
    <col min="3083" max="3083" width="8.6640625" style="126" customWidth="1"/>
    <col min="3084" max="3084" width="5.109375" style="126" customWidth="1"/>
    <col min="3085" max="3085" width="5" style="126" customWidth="1"/>
    <col min="3086" max="3086" width="4.6640625" style="126" customWidth="1"/>
    <col min="3087" max="3087" width="4.109375" style="126" customWidth="1"/>
    <col min="3088" max="3328" width="9.109375" style="126"/>
    <col min="3329" max="3329" width="7.5546875" style="126" customWidth="1"/>
    <col min="3330" max="3330" width="21.109375" style="126" customWidth="1"/>
    <col min="3331" max="3331" width="6.6640625" style="126" customWidth="1"/>
    <col min="3332" max="3332" width="9.5546875" style="126" customWidth="1"/>
    <col min="3333" max="3333" width="14.6640625" style="126" customWidth="1"/>
    <col min="3334" max="3334" width="26.88671875" style="126" customWidth="1"/>
    <col min="3335" max="3335" width="5" style="126" customWidth="1"/>
    <col min="3336" max="3336" width="7.44140625" style="126" customWidth="1"/>
    <col min="3337" max="3337" width="14.44140625" style="126" customWidth="1"/>
    <col min="3338" max="3338" width="8" style="126" customWidth="1"/>
    <col min="3339" max="3339" width="8.6640625" style="126" customWidth="1"/>
    <col min="3340" max="3340" width="5.109375" style="126" customWidth="1"/>
    <col min="3341" max="3341" width="5" style="126" customWidth="1"/>
    <col min="3342" max="3342" width="4.6640625" style="126" customWidth="1"/>
    <col min="3343" max="3343" width="4.109375" style="126" customWidth="1"/>
    <col min="3344" max="3584" width="9.109375" style="126"/>
    <col min="3585" max="3585" width="7.5546875" style="126" customWidth="1"/>
    <col min="3586" max="3586" width="21.109375" style="126" customWidth="1"/>
    <col min="3587" max="3587" width="6.6640625" style="126" customWidth="1"/>
    <col min="3588" max="3588" width="9.5546875" style="126" customWidth="1"/>
    <col min="3589" max="3589" width="14.6640625" style="126" customWidth="1"/>
    <col min="3590" max="3590" width="26.88671875" style="126" customWidth="1"/>
    <col min="3591" max="3591" width="5" style="126" customWidth="1"/>
    <col min="3592" max="3592" width="7.44140625" style="126" customWidth="1"/>
    <col min="3593" max="3593" width="14.44140625" style="126" customWidth="1"/>
    <col min="3594" max="3594" width="8" style="126" customWidth="1"/>
    <col min="3595" max="3595" width="8.6640625" style="126" customWidth="1"/>
    <col min="3596" max="3596" width="5.109375" style="126" customWidth="1"/>
    <col min="3597" max="3597" width="5" style="126" customWidth="1"/>
    <col min="3598" max="3598" width="4.6640625" style="126" customWidth="1"/>
    <col min="3599" max="3599" width="4.109375" style="126" customWidth="1"/>
    <col min="3600" max="3840" width="9.109375" style="126"/>
    <col min="3841" max="3841" width="7.5546875" style="126" customWidth="1"/>
    <col min="3842" max="3842" width="21.109375" style="126" customWidth="1"/>
    <col min="3843" max="3843" width="6.6640625" style="126" customWidth="1"/>
    <col min="3844" max="3844" width="9.5546875" style="126" customWidth="1"/>
    <col min="3845" max="3845" width="14.6640625" style="126" customWidth="1"/>
    <col min="3846" max="3846" width="26.88671875" style="126" customWidth="1"/>
    <col min="3847" max="3847" width="5" style="126" customWidth="1"/>
    <col min="3848" max="3848" width="7.44140625" style="126" customWidth="1"/>
    <col min="3849" max="3849" width="14.44140625" style="126" customWidth="1"/>
    <col min="3850" max="3850" width="8" style="126" customWidth="1"/>
    <col min="3851" max="3851" width="8.6640625" style="126" customWidth="1"/>
    <col min="3852" max="3852" width="5.109375" style="126" customWidth="1"/>
    <col min="3853" max="3853" width="5" style="126" customWidth="1"/>
    <col min="3854" max="3854" width="4.6640625" style="126" customWidth="1"/>
    <col min="3855" max="3855" width="4.109375" style="126" customWidth="1"/>
    <col min="3856" max="4096" width="9.109375" style="126"/>
    <col min="4097" max="4097" width="7.5546875" style="126" customWidth="1"/>
    <col min="4098" max="4098" width="21.109375" style="126" customWidth="1"/>
    <col min="4099" max="4099" width="6.6640625" style="126" customWidth="1"/>
    <col min="4100" max="4100" width="9.5546875" style="126" customWidth="1"/>
    <col min="4101" max="4101" width="14.6640625" style="126" customWidth="1"/>
    <col min="4102" max="4102" width="26.88671875" style="126" customWidth="1"/>
    <col min="4103" max="4103" width="5" style="126" customWidth="1"/>
    <col min="4104" max="4104" width="7.44140625" style="126" customWidth="1"/>
    <col min="4105" max="4105" width="14.44140625" style="126" customWidth="1"/>
    <col min="4106" max="4106" width="8" style="126" customWidth="1"/>
    <col min="4107" max="4107" width="8.6640625" style="126" customWidth="1"/>
    <col min="4108" max="4108" width="5.109375" style="126" customWidth="1"/>
    <col min="4109" max="4109" width="5" style="126" customWidth="1"/>
    <col min="4110" max="4110" width="4.6640625" style="126" customWidth="1"/>
    <col min="4111" max="4111" width="4.109375" style="126" customWidth="1"/>
    <col min="4112" max="4352" width="9.109375" style="126"/>
    <col min="4353" max="4353" width="7.5546875" style="126" customWidth="1"/>
    <col min="4354" max="4354" width="21.109375" style="126" customWidth="1"/>
    <col min="4355" max="4355" width="6.6640625" style="126" customWidth="1"/>
    <col min="4356" max="4356" width="9.5546875" style="126" customWidth="1"/>
    <col min="4357" max="4357" width="14.6640625" style="126" customWidth="1"/>
    <col min="4358" max="4358" width="26.88671875" style="126" customWidth="1"/>
    <col min="4359" max="4359" width="5" style="126" customWidth="1"/>
    <col min="4360" max="4360" width="7.44140625" style="126" customWidth="1"/>
    <col min="4361" max="4361" width="14.44140625" style="126" customWidth="1"/>
    <col min="4362" max="4362" width="8" style="126" customWidth="1"/>
    <col min="4363" max="4363" width="8.6640625" style="126" customWidth="1"/>
    <col min="4364" max="4364" width="5.109375" style="126" customWidth="1"/>
    <col min="4365" max="4365" width="5" style="126" customWidth="1"/>
    <col min="4366" max="4366" width="4.6640625" style="126" customWidth="1"/>
    <col min="4367" max="4367" width="4.109375" style="126" customWidth="1"/>
    <col min="4368" max="4608" width="9.109375" style="126"/>
    <col min="4609" max="4609" width="7.5546875" style="126" customWidth="1"/>
    <col min="4610" max="4610" width="21.109375" style="126" customWidth="1"/>
    <col min="4611" max="4611" width="6.6640625" style="126" customWidth="1"/>
    <col min="4612" max="4612" width="9.5546875" style="126" customWidth="1"/>
    <col min="4613" max="4613" width="14.6640625" style="126" customWidth="1"/>
    <col min="4614" max="4614" width="26.88671875" style="126" customWidth="1"/>
    <col min="4615" max="4615" width="5" style="126" customWidth="1"/>
    <col min="4616" max="4616" width="7.44140625" style="126" customWidth="1"/>
    <col min="4617" max="4617" width="14.44140625" style="126" customWidth="1"/>
    <col min="4618" max="4618" width="8" style="126" customWidth="1"/>
    <col min="4619" max="4619" width="8.6640625" style="126" customWidth="1"/>
    <col min="4620" max="4620" width="5.109375" style="126" customWidth="1"/>
    <col min="4621" max="4621" width="5" style="126" customWidth="1"/>
    <col min="4622" max="4622" width="4.6640625" style="126" customWidth="1"/>
    <col min="4623" max="4623" width="4.109375" style="126" customWidth="1"/>
    <col min="4624" max="4864" width="9.109375" style="126"/>
    <col min="4865" max="4865" width="7.5546875" style="126" customWidth="1"/>
    <col min="4866" max="4866" width="21.109375" style="126" customWidth="1"/>
    <col min="4867" max="4867" width="6.6640625" style="126" customWidth="1"/>
    <col min="4868" max="4868" width="9.5546875" style="126" customWidth="1"/>
    <col min="4869" max="4869" width="14.6640625" style="126" customWidth="1"/>
    <col min="4870" max="4870" width="26.88671875" style="126" customWidth="1"/>
    <col min="4871" max="4871" width="5" style="126" customWidth="1"/>
    <col min="4872" max="4872" width="7.44140625" style="126" customWidth="1"/>
    <col min="4873" max="4873" width="14.44140625" style="126" customWidth="1"/>
    <col min="4874" max="4874" width="8" style="126" customWidth="1"/>
    <col min="4875" max="4875" width="8.6640625" style="126" customWidth="1"/>
    <col min="4876" max="4876" width="5.109375" style="126" customWidth="1"/>
    <col min="4877" max="4877" width="5" style="126" customWidth="1"/>
    <col min="4878" max="4878" width="4.6640625" style="126" customWidth="1"/>
    <col min="4879" max="4879" width="4.109375" style="126" customWidth="1"/>
    <col min="4880" max="5120" width="9.109375" style="126"/>
    <col min="5121" max="5121" width="7.5546875" style="126" customWidth="1"/>
    <col min="5122" max="5122" width="21.109375" style="126" customWidth="1"/>
    <col min="5123" max="5123" width="6.6640625" style="126" customWidth="1"/>
    <col min="5124" max="5124" width="9.5546875" style="126" customWidth="1"/>
    <col min="5125" max="5125" width="14.6640625" style="126" customWidth="1"/>
    <col min="5126" max="5126" width="26.88671875" style="126" customWidth="1"/>
    <col min="5127" max="5127" width="5" style="126" customWidth="1"/>
    <col min="5128" max="5128" width="7.44140625" style="126" customWidth="1"/>
    <col min="5129" max="5129" width="14.44140625" style="126" customWidth="1"/>
    <col min="5130" max="5130" width="8" style="126" customWidth="1"/>
    <col min="5131" max="5131" width="8.6640625" style="126" customWidth="1"/>
    <col min="5132" max="5132" width="5.109375" style="126" customWidth="1"/>
    <col min="5133" max="5133" width="5" style="126" customWidth="1"/>
    <col min="5134" max="5134" width="4.6640625" style="126" customWidth="1"/>
    <col min="5135" max="5135" width="4.109375" style="126" customWidth="1"/>
    <col min="5136" max="5376" width="9.109375" style="126"/>
    <col min="5377" max="5377" width="7.5546875" style="126" customWidth="1"/>
    <col min="5378" max="5378" width="21.109375" style="126" customWidth="1"/>
    <col min="5379" max="5379" width="6.6640625" style="126" customWidth="1"/>
    <col min="5380" max="5380" width="9.5546875" style="126" customWidth="1"/>
    <col min="5381" max="5381" width="14.6640625" style="126" customWidth="1"/>
    <col min="5382" max="5382" width="26.88671875" style="126" customWidth="1"/>
    <col min="5383" max="5383" width="5" style="126" customWidth="1"/>
    <col min="5384" max="5384" width="7.44140625" style="126" customWidth="1"/>
    <col min="5385" max="5385" width="14.44140625" style="126" customWidth="1"/>
    <col min="5386" max="5386" width="8" style="126" customWidth="1"/>
    <col min="5387" max="5387" width="8.6640625" style="126" customWidth="1"/>
    <col min="5388" max="5388" width="5.109375" style="126" customWidth="1"/>
    <col min="5389" max="5389" width="5" style="126" customWidth="1"/>
    <col min="5390" max="5390" width="4.6640625" style="126" customWidth="1"/>
    <col min="5391" max="5391" width="4.109375" style="126" customWidth="1"/>
    <col min="5392" max="5632" width="9.109375" style="126"/>
    <col min="5633" max="5633" width="7.5546875" style="126" customWidth="1"/>
    <col min="5634" max="5634" width="21.109375" style="126" customWidth="1"/>
    <col min="5635" max="5635" width="6.6640625" style="126" customWidth="1"/>
    <col min="5636" max="5636" width="9.5546875" style="126" customWidth="1"/>
    <col min="5637" max="5637" width="14.6640625" style="126" customWidth="1"/>
    <col min="5638" max="5638" width="26.88671875" style="126" customWidth="1"/>
    <col min="5639" max="5639" width="5" style="126" customWidth="1"/>
    <col min="5640" max="5640" width="7.44140625" style="126" customWidth="1"/>
    <col min="5641" max="5641" width="14.44140625" style="126" customWidth="1"/>
    <col min="5642" max="5642" width="8" style="126" customWidth="1"/>
    <col min="5643" max="5643" width="8.6640625" style="126" customWidth="1"/>
    <col min="5644" max="5644" width="5.109375" style="126" customWidth="1"/>
    <col min="5645" max="5645" width="5" style="126" customWidth="1"/>
    <col min="5646" max="5646" width="4.6640625" style="126" customWidth="1"/>
    <col min="5647" max="5647" width="4.109375" style="126" customWidth="1"/>
    <col min="5648" max="5888" width="9.109375" style="126"/>
    <col min="5889" max="5889" width="7.5546875" style="126" customWidth="1"/>
    <col min="5890" max="5890" width="21.109375" style="126" customWidth="1"/>
    <col min="5891" max="5891" width="6.6640625" style="126" customWidth="1"/>
    <col min="5892" max="5892" width="9.5546875" style="126" customWidth="1"/>
    <col min="5893" max="5893" width="14.6640625" style="126" customWidth="1"/>
    <col min="5894" max="5894" width="26.88671875" style="126" customWidth="1"/>
    <col min="5895" max="5895" width="5" style="126" customWidth="1"/>
    <col min="5896" max="5896" width="7.44140625" style="126" customWidth="1"/>
    <col min="5897" max="5897" width="14.44140625" style="126" customWidth="1"/>
    <col min="5898" max="5898" width="8" style="126" customWidth="1"/>
    <col min="5899" max="5899" width="8.6640625" style="126" customWidth="1"/>
    <col min="5900" max="5900" width="5.109375" style="126" customWidth="1"/>
    <col min="5901" max="5901" width="5" style="126" customWidth="1"/>
    <col min="5902" max="5902" width="4.6640625" style="126" customWidth="1"/>
    <col min="5903" max="5903" width="4.109375" style="126" customWidth="1"/>
    <col min="5904" max="6144" width="9.109375" style="126"/>
    <col min="6145" max="6145" width="7.5546875" style="126" customWidth="1"/>
    <col min="6146" max="6146" width="21.109375" style="126" customWidth="1"/>
    <col min="6147" max="6147" width="6.6640625" style="126" customWidth="1"/>
    <col min="6148" max="6148" width="9.5546875" style="126" customWidth="1"/>
    <col min="6149" max="6149" width="14.6640625" style="126" customWidth="1"/>
    <col min="6150" max="6150" width="26.88671875" style="126" customWidth="1"/>
    <col min="6151" max="6151" width="5" style="126" customWidth="1"/>
    <col min="6152" max="6152" width="7.44140625" style="126" customWidth="1"/>
    <col min="6153" max="6153" width="14.44140625" style="126" customWidth="1"/>
    <col min="6154" max="6154" width="8" style="126" customWidth="1"/>
    <col min="6155" max="6155" width="8.6640625" style="126" customWidth="1"/>
    <col min="6156" max="6156" width="5.109375" style="126" customWidth="1"/>
    <col min="6157" max="6157" width="5" style="126" customWidth="1"/>
    <col min="6158" max="6158" width="4.6640625" style="126" customWidth="1"/>
    <col min="6159" max="6159" width="4.109375" style="126" customWidth="1"/>
    <col min="6160" max="6400" width="9.109375" style="126"/>
    <col min="6401" max="6401" width="7.5546875" style="126" customWidth="1"/>
    <col min="6402" max="6402" width="21.109375" style="126" customWidth="1"/>
    <col min="6403" max="6403" width="6.6640625" style="126" customWidth="1"/>
    <col min="6404" max="6404" width="9.5546875" style="126" customWidth="1"/>
    <col min="6405" max="6405" width="14.6640625" style="126" customWidth="1"/>
    <col min="6406" max="6406" width="26.88671875" style="126" customWidth="1"/>
    <col min="6407" max="6407" width="5" style="126" customWidth="1"/>
    <col min="6408" max="6408" width="7.44140625" style="126" customWidth="1"/>
    <col min="6409" max="6409" width="14.44140625" style="126" customWidth="1"/>
    <col min="6410" max="6410" width="8" style="126" customWidth="1"/>
    <col min="6411" max="6411" width="8.6640625" style="126" customWidth="1"/>
    <col min="6412" max="6412" width="5.109375" style="126" customWidth="1"/>
    <col min="6413" max="6413" width="5" style="126" customWidth="1"/>
    <col min="6414" max="6414" width="4.6640625" style="126" customWidth="1"/>
    <col min="6415" max="6415" width="4.109375" style="126" customWidth="1"/>
    <col min="6416" max="6656" width="9.109375" style="126"/>
    <col min="6657" max="6657" width="7.5546875" style="126" customWidth="1"/>
    <col min="6658" max="6658" width="21.109375" style="126" customWidth="1"/>
    <col min="6659" max="6659" width="6.6640625" style="126" customWidth="1"/>
    <col min="6660" max="6660" width="9.5546875" style="126" customWidth="1"/>
    <col min="6661" max="6661" width="14.6640625" style="126" customWidth="1"/>
    <col min="6662" max="6662" width="26.88671875" style="126" customWidth="1"/>
    <col min="6663" max="6663" width="5" style="126" customWidth="1"/>
    <col min="6664" max="6664" width="7.44140625" style="126" customWidth="1"/>
    <col min="6665" max="6665" width="14.44140625" style="126" customWidth="1"/>
    <col min="6666" max="6666" width="8" style="126" customWidth="1"/>
    <col min="6667" max="6667" width="8.6640625" style="126" customWidth="1"/>
    <col min="6668" max="6668" width="5.109375" style="126" customWidth="1"/>
    <col min="6669" max="6669" width="5" style="126" customWidth="1"/>
    <col min="6670" max="6670" width="4.6640625" style="126" customWidth="1"/>
    <col min="6671" max="6671" width="4.109375" style="126" customWidth="1"/>
    <col min="6672" max="6912" width="9.109375" style="126"/>
    <col min="6913" max="6913" width="7.5546875" style="126" customWidth="1"/>
    <col min="6914" max="6914" width="21.109375" style="126" customWidth="1"/>
    <col min="6915" max="6915" width="6.6640625" style="126" customWidth="1"/>
    <col min="6916" max="6916" width="9.5546875" style="126" customWidth="1"/>
    <col min="6917" max="6917" width="14.6640625" style="126" customWidth="1"/>
    <col min="6918" max="6918" width="26.88671875" style="126" customWidth="1"/>
    <col min="6919" max="6919" width="5" style="126" customWidth="1"/>
    <col min="6920" max="6920" width="7.44140625" style="126" customWidth="1"/>
    <col min="6921" max="6921" width="14.44140625" style="126" customWidth="1"/>
    <col min="6922" max="6922" width="8" style="126" customWidth="1"/>
    <col min="6923" max="6923" width="8.6640625" style="126" customWidth="1"/>
    <col min="6924" max="6924" width="5.109375" style="126" customWidth="1"/>
    <col min="6925" max="6925" width="5" style="126" customWidth="1"/>
    <col min="6926" max="6926" width="4.6640625" style="126" customWidth="1"/>
    <col min="6927" max="6927" width="4.109375" style="126" customWidth="1"/>
    <col min="6928" max="7168" width="9.109375" style="126"/>
    <col min="7169" max="7169" width="7.5546875" style="126" customWidth="1"/>
    <col min="7170" max="7170" width="21.109375" style="126" customWidth="1"/>
    <col min="7171" max="7171" width="6.6640625" style="126" customWidth="1"/>
    <col min="7172" max="7172" width="9.5546875" style="126" customWidth="1"/>
    <col min="7173" max="7173" width="14.6640625" style="126" customWidth="1"/>
    <col min="7174" max="7174" width="26.88671875" style="126" customWidth="1"/>
    <col min="7175" max="7175" width="5" style="126" customWidth="1"/>
    <col min="7176" max="7176" width="7.44140625" style="126" customWidth="1"/>
    <col min="7177" max="7177" width="14.44140625" style="126" customWidth="1"/>
    <col min="7178" max="7178" width="8" style="126" customWidth="1"/>
    <col min="7179" max="7179" width="8.6640625" style="126" customWidth="1"/>
    <col min="7180" max="7180" width="5.109375" style="126" customWidth="1"/>
    <col min="7181" max="7181" width="5" style="126" customWidth="1"/>
    <col min="7182" max="7182" width="4.6640625" style="126" customWidth="1"/>
    <col min="7183" max="7183" width="4.109375" style="126" customWidth="1"/>
    <col min="7184" max="7424" width="9.109375" style="126"/>
    <col min="7425" max="7425" width="7.5546875" style="126" customWidth="1"/>
    <col min="7426" max="7426" width="21.109375" style="126" customWidth="1"/>
    <col min="7427" max="7427" width="6.6640625" style="126" customWidth="1"/>
    <col min="7428" max="7428" width="9.5546875" style="126" customWidth="1"/>
    <col min="7429" max="7429" width="14.6640625" style="126" customWidth="1"/>
    <col min="7430" max="7430" width="26.88671875" style="126" customWidth="1"/>
    <col min="7431" max="7431" width="5" style="126" customWidth="1"/>
    <col min="7432" max="7432" width="7.44140625" style="126" customWidth="1"/>
    <col min="7433" max="7433" width="14.44140625" style="126" customWidth="1"/>
    <col min="7434" max="7434" width="8" style="126" customWidth="1"/>
    <col min="7435" max="7435" width="8.6640625" style="126" customWidth="1"/>
    <col min="7436" max="7436" width="5.109375" style="126" customWidth="1"/>
    <col min="7437" max="7437" width="5" style="126" customWidth="1"/>
    <col min="7438" max="7438" width="4.6640625" style="126" customWidth="1"/>
    <col min="7439" max="7439" width="4.109375" style="126" customWidth="1"/>
    <col min="7440" max="7680" width="9.109375" style="126"/>
    <col min="7681" max="7681" width="7.5546875" style="126" customWidth="1"/>
    <col min="7682" max="7682" width="21.109375" style="126" customWidth="1"/>
    <col min="7683" max="7683" width="6.6640625" style="126" customWidth="1"/>
    <col min="7684" max="7684" width="9.5546875" style="126" customWidth="1"/>
    <col min="7685" max="7685" width="14.6640625" style="126" customWidth="1"/>
    <col min="7686" max="7686" width="26.88671875" style="126" customWidth="1"/>
    <col min="7687" max="7687" width="5" style="126" customWidth="1"/>
    <col min="7688" max="7688" width="7.44140625" style="126" customWidth="1"/>
    <col min="7689" max="7689" width="14.44140625" style="126" customWidth="1"/>
    <col min="7690" max="7690" width="8" style="126" customWidth="1"/>
    <col min="7691" max="7691" width="8.6640625" style="126" customWidth="1"/>
    <col min="7692" max="7692" width="5.109375" style="126" customWidth="1"/>
    <col min="7693" max="7693" width="5" style="126" customWidth="1"/>
    <col min="7694" max="7694" width="4.6640625" style="126" customWidth="1"/>
    <col min="7695" max="7695" width="4.109375" style="126" customWidth="1"/>
    <col min="7696" max="7936" width="9.109375" style="126"/>
    <col min="7937" max="7937" width="7.5546875" style="126" customWidth="1"/>
    <col min="7938" max="7938" width="21.109375" style="126" customWidth="1"/>
    <col min="7939" max="7939" width="6.6640625" style="126" customWidth="1"/>
    <col min="7940" max="7940" width="9.5546875" style="126" customWidth="1"/>
    <col min="7941" max="7941" width="14.6640625" style="126" customWidth="1"/>
    <col min="7942" max="7942" width="26.88671875" style="126" customWidth="1"/>
    <col min="7943" max="7943" width="5" style="126" customWidth="1"/>
    <col min="7944" max="7944" width="7.44140625" style="126" customWidth="1"/>
    <col min="7945" max="7945" width="14.44140625" style="126" customWidth="1"/>
    <col min="7946" max="7946" width="8" style="126" customWidth="1"/>
    <col min="7947" max="7947" width="8.6640625" style="126" customWidth="1"/>
    <col min="7948" max="7948" width="5.109375" style="126" customWidth="1"/>
    <col min="7949" max="7949" width="5" style="126" customWidth="1"/>
    <col min="7950" max="7950" width="4.6640625" style="126" customWidth="1"/>
    <col min="7951" max="7951" width="4.109375" style="126" customWidth="1"/>
    <col min="7952" max="8192" width="9.109375" style="126"/>
    <col min="8193" max="8193" width="7.5546875" style="126" customWidth="1"/>
    <col min="8194" max="8194" width="21.109375" style="126" customWidth="1"/>
    <col min="8195" max="8195" width="6.6640625" style="126" customWidth="1"/>
    <col min="8196" max="8196" width="9.5546875" style="126" customWidth="1"/>
    <col min="8197" max="8197" width="14.6640625" style="126" customWidth="1"/>
    <col min="8198" max="8198" width="26.88671875" style="126" customWidth="1"/>
    <col min="8199" max="8199" width="5" style="126" customWidth="1"/>
    <col min="8200" max="8200" width="7.44140625" style="126" customWidth="1"/>
    <col min="8201" max="8201" width="14.44140625" style="126" customWidth="1"/>
    <col min="8202" max="8202" width="8" style="126" customWidth="1"/>
    <col min="8203" max="8203" width="8.6640625" style="126" customWidth="1"/>
    <col min="8204" max="8204" width="5.109375" style="126" customWidth="1"/>
    <col min="8205" max="8205" width="5" style="126" customWidth="1"/>
    <col min="8206" max="8206" width="4.6640625" style="126" customWidth="1"/>
    <col min="8207" max="8207" width="4.109375" style="126" customWidth="1"/>
    <col min="8208" max="8448" width="9.109375" style="126"/>
    <col min="8449" max="8449" width="7.5546875" style="126" customWidth="1"/>
    <col min="8450" max="8450" width="21.109375" style="126" customWidth="1"/>
    <col min="8451" max="8451" width="6.6640625" style="126" customWidth="1"/>
    <col min="8452" max="8452" width="9.5546875" style="126" customWidth="1"/>
    <col min="8453" max="8453" width="14.6640625" style="126" customWidth="1"/>
    <col min="8454" max="8454" width="26.88671875" style="126" customWidth="1"/>
    <col min="8455" max="8455" width="5" style="126" customWidth="1"/>
    <col min="8456" max="8456" width="7.44140625" style="126" customWidth="1"/>
    <col min="8457" max="8457" width="14.44140625" style="126" customWidth="1"/>
    <col min="8458" max="8458" width="8" style="126" customWidth="1"/>
    <col min="8459" max="8459" width="8.6640625" style="126" customWidth="1"/>
    <col min="8460" max="8460" width="5.109375" style="126" customWidth="1"/>
    <col min="8461" max="8461" width="5" style="126" customWidth="1"/>
    <col min="8462" max="8462" width="4.6640625" style="126" customWidth="1"/>
    <col min="8463" max="8463" width="4.109375" style="126" customWidth="1"/>
    <col min="8464" max="8704" width="9.109375" style="126"/>
    <col min="8705" max="8705" width="7.5546875" style="126" customWidth="1"/>
    <col min="8706" max="8706" width="21.109375" style="126" customWidth="1"/>
    <col min="8707" max="8707" width="6.6640625" style="126" customWidth="1"/>
    <col min="8708" max="8708" width="9.5546875" style="126" customWidth="1"/>
    <col min="8709" max="8709" width="14.6640625" style="126" customWidth="1"/>
    <col min="8710" max="8710" width="26.88671875" style="126" customWidth="1"/>
    <col min="8711" max="8711" width="5" style="126" customWidth="1"/>
    <col min="8712" max="8712" width="7.44140625" style="126" customWidth="1"/>
    <col min="8713" max="8713" width="14.44140625" style="126" customWidth="1"/>
    <col min="8714" max="8714" width="8" style="126" customWidth="1"/>
    <col min="8715" max="8715" width="8.6640625" style="126" customWidth="1"/>
    <col min="8716" max="8716" width="5.109375" style="126" customWidth="1"/>
    <col min="8717" max="8717" width="5" style="126" customWidth="1"/>
    <col min="8718" max="8718" width="4.6640625" style="126" customWidth="1"/>
    <col min="8719" max="8719" width="4.109375" style="126" customWidth="1"/>
    <col min="8720" max="8960" width="9.109375" style="126"/>
    <col min="8961" max="8961" width="7.5546875" style="126" customWidth="1"/>
    <col min="8962" max="8962" width="21.109375" style="126" customWidth="1"/>
    <col min="8963" max="8963" width="6.6640625" style="126" customWidth="1"/>
    <col min="8964" max="8964" width="9.5546875" style="126" customWidth="1"/>
    <col min="8965" max="8965" width="14.6640625" style="126" customWidth="1"/>
    <col min="8966" max="8966" width="26.88671875" style="126" customWidth="1"/>
    <col min="8967" max="8967" width="5" style="126" customWidth="1"/>
    <col min="8968" max="8968" width="7.44140625" style="126" customWidth="1"/>
    <col min="8969" max="8969" width="14.44140625" style="126" customWidth="1"/>
    <col min="8970" max="8970" width="8" style="126" customWidth="1"/>
    <col min="8971" max="8971" width="8.6640625" style="126" customWidth="1"/>
    <col min="8972" max="8972" width="5.109375" style="126" customWidth="1"/>
    <col min="8973" max="8973" width="5" style="126" customWidth="1"/>
    <col min="8974" max="8974" width="4.6640625" style="126" customWidth="1"/>
    <col min="8975" max="8975" width="4.109375" style="126" customWidth="1"/>
    <col min="8976" max="9216" width="9.109375" style="126"/>
    <col min="9217" max="9217" width="7.5546875" style="126" customWidth="1"/>
    <col min="9218" max="9218" width="21.109375" style="126" customWidth="1"/>
    <col min="9219" max="9219" width="6.6640625" style="126" customWidth="1"/>
    <col min="9220" max="9220" width="9.5546875" style="126" customWidth="1"/>
    <col min="9221" max="9221" width="14.6640625" style="126" customWidth="1"/>
    <col min="9222" max="9222" width="26.88671875" style="126" customWidth="1"/>
    <col min="9223" max="9223" width="5" style="126" customWidth="1"/>
    <col min="9224" max="9224" width="7.44140625" style="126" customWidth="1"/>
    <col min="9225" max="9225" width="14.44140625" style="126" customWidth="1"/>
    <col min="9226" max="9226" width="8" style="126" customWidth="1"/>
    <col min="9227" max="9227" width="8.6640625" style="126" customWidth="1"/>
    <col min="9228" max="9228" width="5.109375" style="126" customWidth="1"/>
    <col min="9229" max="9229" width="5" style="126" customWidth="1"/>
    <col min="9230" max="9230" width="4.6640625" style="126" customWidth="1"/>
    <col min="9231" max="9231" width="4.109375" style="126" customWidth="1"/>
    <col min="9232" max="9472" width="9.109375" style="126"/>
    <col min="9473" max="9473" width="7.5546875" style="126" customWidth="1"/>
    <col min="9474" max="9474" width="21.109375" style="126" customWidth="1"/>
    <col min="9475" max="9475" width="6.6640625" style="126" customWidth="1"/>
    <col min="9476" max="9476" width="9.5546875" style="126" customWidth="1"/>
    <col min="9477" max="9477" width="14.6640625" style="126" customWidth="1"/>
    <col min="9478" max="9478" width="26.88671875" style="126" customWidth="1"/>
    <col min="9479" max="9479" width="5" style="126" customWidth="1"/>
    <col min="9480" max="9480" width="7.44140625" style="126" customWidth="1"/>
    <col min="9481" max="9481" width="14.44140625" style="126" customWidth="1"/>
    <col min="9482" max="9482" width="8" style="126" customWidth="1"/>
    <col min="9483" max="9483" width="8.6640625" style="126" customWidth="1"/>
    <col min="9484" max="9484" width="5.109375" style="126" customWidth="1"/>
    <col min="9485" max="9485" width="5" style="126" customWidth="1"/>
    <col min="9486" max="9486" width="4.6640625" style="126" customWidth="1"/>
    <col min="9487" max="9487" width="4.109375" style="126" customWidth="1"/>
    <col min="9488" max="9728" width="9.109375" style="126"/>
    <col min="9729" max="9729" width="7.5546875" style="126" customWidth="1"/>
    <col min="9730" max="9730" width="21.109375" style="126" customWidth="1"/>
    <col min="9731" max="9731" width="6.6640625" style="126" customWidth="1"/>
    <col min="9732" max="9732" width="9.5546875" style="126" customWidth="1"/>
    <col min="9733" max="9733" width="14.6640625" style="126" customWidth="1"/>
    <col min="9734" max="9734" width="26.88671875" style="126" customWidth="1"/>
    <col min="9735" max="9735" width="5" style="126" customWidth="1"/>
    <col min="9736" max="9736" width="7.44140625" style="126" customWidth="1"/>
    <col min="9737" max="9737" width="14.44140625" style="126" customWidth="1"/>
    <col min="9738" max="9738" width="8" style="126" customWidth="1"/>
    <col min="9739" max="9739" width="8.6640625" style="126" customWidth="1"/>
    <col min="9740" max="9740" width="5.109375" style="126" customWidth="1"/>
    <col min="9741" max="9741" width="5" style="126" customWidth="1"/>
    <col min="9742" max="9742" width="4.6640625" style="126" customWidth="1"/>
    <col min="9743" max="9743" width="4.109375" style="126" customWidth="1"/>
    <col min="9744" max="9984" width="9.109375" style="126"/>
    <col min="9985" max="9985" width="7.5546875" style="126" customWidth="1"/>
    <col min="9986" max="9986" width="21.109375" style="126" customWidth="1"/>
    <col min="9987" max="9987" width="6.6640625" style="126" customWidth="1"/>
    <col min="9988" max="9988" width="9.5546875" style="126" customWidth="1"/>
    <col min="9989" max="9989" width="14.6640625" style="126" customWidth="1"/>
    <col min="9990" max="9990" width="26.88671875" style="126" customWidth="1"/>
    <col min="9991" max="9991" width="5" style="126" customWidth="1"/>
    <col min="9992" max="9992" width="7.44140625" style="126" customWidth="1"/>
    <col min="9993" max="9993" width="14.44140625" style="126" customWidth="1"/>
    <col min="9994" max="9994" width="8" style="126" customWidth="1"/>
    <col min="9995" max="9995" width="8.6640625" style="126" customWidth="1"/>
    <col min="9996" max="9996" width="5.109375" style="126" customWidth="1"/>
    <col min="9997" max="9997" width="5" style="126" customWidth="1"/>
    <col min="9998" max="9998" width="4.6640625" style="126" customWidth="1"/>
    <col min="9999" max="9999" width="4.109375" style="126" customWidth="1"/>
    <col min="10000" max="10240" width="9.109375" style="126"/>
    <col min="10241" max="10241" width="7.5546875" style="126" customWidth="1"/>
    <col min="10242" max="10242" width="21.109375" style="126" customWidth="1"/>
    <col min="10243" max="10243" width="6.6640625" style="126" customWidth="1"/>
    <col min="10244" max="10244" width="9.5546875" style="126" customWidth="1"/>
    <col min="10245" max="10245" width="14.6640625" style="126" customWidth="1"/>
    <col min="10246" max="10246" width="26.88671875" style="126" customWidth="1"/>
    <col min="10247" max="10247" width="5" style="126" customWidth="1"/>
    <col min="10248" max="10248" width="7.44140625" style="126" customWidth="1"/>
    <col min="10249" max="10249" width="14.44140625" style="126" customWidth="1"/>
    <col min="10250" max="10250" width="8" style="126" customWidth="1"/>
    <col min="10251" max="10251" width="8.6640625" style="126" customWidth="1"/>
    <col min="10252" max="10252" width="5.109375" style="126" customWidth="1"/>
    <col min="10253" max="10253" width="5" style="126" customWidth="1"/>
    <col min="10254" max="10254" width="4.6640625" style="126" customWidth="1"/>
    <col min="10255" max="10255" width="4.109375" style="126" customWidth="1"/>
    <col min="10256" max="10496" width="9.109375" style="126"/>
    <col min="10497" max="10497" width="7.5546875" style="126" customWidth="1"/>
    <col min="10498" max="10498" width="21.109375" style="126" customWidth="1"/>
    <col min="10499" max="10499" width="6.6640625" style="126" customWidth="1"/>
    <col min="10500" max="10500" width="9.5546875" style="126" customWidth="1"/>
    <col min="10501" max="10501" width="14.6640625" style="126" customWidth="1"/>
    <col min="10502" max="10502" width="26.88671875" style="126" customWidth="1"/>
    <col min="10503" max="10503" width="5" style="126" customWidth="1"/>
    <col min="10504" max="10504" width="7.44140625" style="126" customWidth="1"/>
    <col min="10505" max="10505" width="14.44140625" style="126" customWidth="1"/>
    <col min="10506" max="10506" width="8" style="126" customWidth="1"/>
    <col min="10507" max="10507" width="8.6640625" style="126" customWidth="1"/>
    <col min="10508" max="10508" width="5.109375" style="126" customWidth="1"/>
    <col min="10509" max="10509" width="5" style="126" customWidth="1"/>
    <col min="10510" max="10510" width="4.6640625" style="126" customWidth="1"/>
    <col min="10511" max="10511" width="4.109375" style="126" customWidth="1"/>
    <col min="10512" max="10752" width="9.109375" style="126"/>
    <col min="10753" max="10753" width="7.5546875" style="126" customWidth="1"/>
    <col min="10754" max="10754" width="21.109375" style="126" customWidth="1"/>
    <col min="10755" max="10755" width="6.6640625" style="126" customWidth="1"/>
    <col min="10756" max="10756" width="9.5546875" style="126" customWidth="1"/>
    <col min="10757" max="10757" width="14.6640625" style="126" customWidth="1"/>
    <col min="10758" max="10758" width="26.88671875" style="126" customWidth="1"/>
    <col min="10759" max="10759" width="5" style="126" customWidth="1"/>
    <col min="10760" max="10760" width="7.44140625" style="126" customWidth="1"/>
    <col min="10761" max="10761" width="14.44140625" style="126" customWidth="1"/>
    <col min="10762" max="10762" width="8" style="126" customWidth="1"/>
    <col min="10763" max="10763" width="8.6640625" style="126" customWidth="1"/>
    <col min="10764" max="10764" width="5.109375" style="126" customWidth="1"/>
    <col min="10765" max="10765" width="5" style="126" customWidth="1"/>
    <col min="10766" max="10766" width="4.6640625" style="126" customWidth="1"/>
    <col min="10767" max="10767" width="4.109375" style="126" customWidth="1"/>
    <col min="10768" max="11008" width="9.109375" style="126"/>
    <col min="11009" max="11009" width="7.5546875" style="126" customWidth="1"/>
    <col min="11010" max="11010" width="21.109375" style="126" customWidth="1"/>
    <col min="11011" max="11011" width="6.6640625" style="126" customWidth="1"/>
    <col min="11012" max="11012" width="9.5546875" style="126" customWidth="1"/>
    <col min="11013" max="11013" width="14.6640625" style="126" customWidth="1"/>
    <col min="11014" max="11014" width="26.88671875" style="126" customWidth="1"/>
    <col min="11015" max="11015" width="5" style="126" customWidth="1"/>
    <col min="11016" max="11016" width="7.44140625" style="126" customWidth="1"/>
    <col min="11017" max="11017" width="14.44140625" style="126" customWidth="1"/>
    <col min="11018" max="11018" width="8" style="126" customWidth="1"/>
    <col min="11019" max="11019" width="8.6640625" style="126" customWidth="1"/>
    <col min="11020" max="11020" width="5.109375" style="126" customWidth="1"/>
    <col min="11021" max="11021" width="5" style="126" customWidth="1"/>
    <col min="11022" max="11022" width="4.6640625" style="126" customWidth="1"/>
    <col min="11023" max="11023" width="4.109375" style="126" customWidth="1"/>
    <col min="11024" max="11264" width="9.109375" style="126"/>
    <col min="11265" max="11265" width="7.5546875" style="126" customWidth="1"/>
    <col min="11266" max="11266" width="21.109375" style="126" customWidth="1"/>
    <col min="11267" max="11267" width="6.6640625" style="126" customWidth="1"/>
    <col min="11268" max="11268" width="9.5546875" style="126" customWidth="1"/>
    <col min="11269" max="11269" width="14.6640625" style="126" customWidth="1"/>
    <col min="11270" max="11270" width="26.88671875" style="126" customWidth="1"/>
    <col min="11271" max="11271" width="5" style="126" customWidth="1"/>
    <col min="11272" max="11272" width="7.44140625" style="126" customWidth="1"/>
    <col min="11273" max="11273" width="14.44140625" style="126" customWidth="1"/>
    <col min="11274" max="11274" width="8" style="126" customWidth="1"/>
    <col min="11275" max="11275" width="8.6640625" style="126" customWidth="1"/>
    <col min="11276" max="11276" width="5.109375" style="126" customWidth="1"/>
    <col min="11277" max="11277" width="5" style="126" customWidth="1"/>
    <col min="11278" max="11278" width="4.6640625" style="126" customWidth="1"/>
    <col min="11279" max="11279" width="4.109375" style="126" customWidth="1"/>
    <col min="11280" max="11520" width="9.109375" style="126"/>
    <col min="11521" max="11521" width="7.5546875" style="126" customWidth="1"/>
    <col min="11522" max="11522" width="21.109375" style="126" customWidth="1"/>
    <col min="11523" max="11523" width="6.6640625" style="126" customWidth="1"/>
    <col min="11524" max="11524" width="9.5546875" style="126" customWidth="1"/>
    <col min="11525" max="11525" width="14.6640625" style="126" customWidth="1"/>
    <col min="11526" max="11526" width="26.88671875" style="126" customWidth="1"/>
    <col min="11527" max="11527" width="5" style="126" customWidth="1"/>
    <col min="11528" max="11528" width="7.44140625" style="126" customWidth="1"/>
    <col min="11529" max="11529" width="14.44140625" style="126" customWidth="1"/>
    <col min="11530" max="11530" width="8" style="126" customWidth="1"/>
    <col min="11531" max="11531" width="8.6640625" style="126" customWidth="1"/>
    <col min="11532" max="11532" width="5.109375" style="126" customWidth="1"/>
    <col min="11533" max="11533" width="5" style="126" customWidth="1"/>
    <col min="11534" max="11534" width="4.6640625" style="126" customWidth="1"/>
    <col min="11535" max="11535" width="4.109375" style="126" customWidth="1"/>
    <col min="11536" max="11776" width="9.109375" style="126"/>
    <col min="11777" max="11777" width="7.5546875" style="126" customWidth="1"/>
    <col min="11778" max="11778" width="21.109375" style="126" customWidth="1"/>
    <col min="11779" max="11779" width="6.6640625" style="126" customWidth="1"/>
    <col min="11780" max="11780" width="9.5546875" style="126" customWidth="1"/>
    <col min="11781" max="11781" width="14.6640625" style="126" customWidth="1"/>
    <col min="11782" max="11782" width="26.88671875" style="126" customWidth="1"/>
    <col min="11783" max="11783" width="5" style="126" customWidth="1"/>
    <col min="11784" max="11784" width="7.44140625" style="126" customWidth="1"/>
    <col min="11785" max="11785" width="14.44140625" style="126" customWidth="1"/>
    <col min="11786" max="11786" width="8" style="126" customWidth="1"/>
    <col min="11787" max="11787" width="8.6640625" style="126" customWidth="1"/>
    <col min="11788" max="11788" width="5.109375" style="126" customWidth="1"/>
    <col min="11789" max="11789" width="5" style="126" customWidth="1"/>
    <col min="11790" max="11790" width="4.6640625" style="126" customWidth="1"/>
    <col min="11791" max="11791" width="4.109375" style="126" customWidth="1"/>
    <col min="11792" max="12032" width="9.109375" style="126"/>
    <col min="12033" max="12033" width="7.5546875" style="126" customWidth="1"/>
    <col min="12034" max="12034" width="21.109375" style="126" customWidth="1"/>
    <col min="12035" max="12035" width="6.6640625" style="126" customWidth="1"/>
    <col min="12036" max="12036" width="9.5546875" style="126" customWidth="1"/>
    <col min="12037" max="12037" width="14.6640625" style="126" customWidth="1"/>
    <col min="12038" max="12038" width="26.88671875" style="126" customWidth="1"/>
    <col min="12039" max="12039" width="5" style="126" customWidth="1"/>
    <col min="12040" max="12040" width="7.44140625" style="126" customWidth="1"/>
    <col min="12041" max="12041" width="14.44140625" style="126" customWidth="1"/>
    <col min="12042" max="12042" width="8" style="126" customWidth="1"/>
    <col min="12043" max="12043" width="8.6640625" style="126" customWidth="1"/>
    <col min="12044" max="12044" width="5.109375" style="126" customWidth="1"/>
    <col min="12045" max="12045" width="5" style="126" customWidth="1"/>
    <col min="12046" max="12046" width="4.6640625" style="126" customWidth="1"/>
    <col min="12047" max="12047" width="4.109375" style="126" customWidth="1"/>
    <col min="12048" max="12288" width="9.109375" style="126"/>
    <col min="12289" max="12289" width="7.5546875" style="126" customWidth="1"/>
    <col min="12290" max="12290" width="21.109375" style="126" customWidth="1"/>
    <col min="12291" max="12291" width="6.6640625" style="126" customWidth="1"/>
    <col min="12292" max="12292" width="9.5546875" style="126" customWidth="1"/>
    <col min="12293" max="12293" width="14.6640625" style="126" customWidth="1"/>
    <col min="12294" max="12294" width="26.88671875" style="126" customWidth="1"/>
    <col min="12295" max="12295" width="5" style="126" customWidth="1"/>
    <col min="12296" max="12296" width="7.44140625" style="126" customWidth="1"/>
    <col min="12297" max="12297" width="14.44140625" style="126" customWidth="1"/>
    <col min="12298" max="12298" width="8" style="126" customWidth="1"/>
    <col min="12299" max="12299" width="8.6640625" style="126" customWidth="1"/>
    <col min="12300" max="12300" width="5.109375" style="126" customWidth="1"/>
    <col min="12301" max="12301" width="5" style="126" customWidth="1"/>
    <col min="12302" max="12302" width="4.6640625" style="126" customWidth="1"/>
    <col min="12303" max="12303" width="4.109375" style="126" customWidth="1"/>
    <col min="12304" max="12544" width="9.109375" style="126"/>
    <col min="12545" max="12545" width="7.5546875" style="126" customWidth="1"/>
    <col min="12546" max="12546" width="21.109375" style="126" customWidth="1"/>
    <col min="12547" max="12547" width="6.6640625" style="126" customWidth="1"/>
    <col min="12548" max="12548" width="9.5546875" style="126" customWidth="1"/>
    <col min="12549" max="12549" width="14.6640625" style="126" customWidth="1"/>
    <col min="12550" max="12550" width="26.88671875" style="126" customWidth="1"/>
    <col min="12551" max="12551" width="5" style="126" customWidth="1"/>
    <col min="12552" max="12552" width="7.44140625" style="126" customWidth="1"/>
    <col min="12553" max="12553" width="14.44140625" style="126" customWidth="1"/>
    <col min="12554" max="12554" width="8" style="126" customWidth="1"/>
    <col min="12555" max="12555" width="8.6640625" style="126" customWidth="1"/>
    <col min="12556" max="12556" width="5.109375" style="126" customWidth="1"/>
    <col min="12557" max="12557" width="5" style="126" customWidth="1"/>
    <col min="12558" max="12558" width="4.6640625" style="126" customWidth="1"/>
    <col min="12559" max="12559" width="4.109375" style="126" customWidth="1"/>
    <col min="12560" max="12800" width="9.109375" style="126"/>
    <col min="12801" max="12801" width="7.5546875" style="126" customWidth="1"/>
    <col min="12802" max="12802" width="21.109375" style="126" customWidth="1"/>
    <col min="12803" max="12803" width="6.6640625" style="126" customWidth="1"/>
    <col min="12804" max="12804" width="9.5546875" style="126" customWidth="1"/>
    <col min="12805" max="12805" width="14.6640625" style="126" customWidth="1"/>
    <col min="12806" max="12806" width="26.88671875" style="126" customWidth="1"/>
    <col min="12807" max="12807" width="5" style="126" customWidth="1"/>
    <col min="12808" max="12808" width="7.44140625" style="126" customWidth="1"/>
    <col min="12809" max="12809" width="14.44140625" style="126" customWidth="1"/>
    <col min="12810" max="12810" width="8" style="126" customWidth="1"/>
    <col min="12811" max="12811" width="8.6640625" style="126" customWidth="1"/>
    <col min="12812" max="12812" width="5.109375" style="126" customWidth="1"/>
    <col min="12813" max="12813" width="5" style="126" customWidth="1"/>
    <col min="12814" max="12814" width="4.6640625" style="126" customWidth="1"/>
    <col min="12815" max="12815" width="4.109375" style="126" customWidth="1"/>
    <col min="12816" max="13056" width="9.109375" style="126"/>
    <col min="13057" max="13057" width="7.5546875" style="126" customWidth="1"/>
    <col min="13058" max="13058" width="21.109375" style="126" customWidth="1"/>
    <col min="13059" max="13059" width="6.6640625" style="126" customWidth="1"/>
    <col min="13060" max="13060" width="9.5546875" style="126" customWidth="1"/>
    <col min="13061" max="13061" width="14.6640625" style="126" customWidth="1"/>
    <col min="13062" max="13062" width="26.88671875" style="126" customWidth="1"/>
    <col min="13063" max="13063" width="5" style="126" customWidth="1"/>
    <col min="13064" max="13064" width="7.44140625" style="126" customWidth="1"/>
    <col min="13065" max="13065" width="14.44140625" style="126" customWidth="1"/>
    <col min="13066" max="13066" width="8" style="126" customWidth="1"/>
    <col min="13067" max="13067" width="8.6640625" style="126" customWidth="1"/>
    <col min="13068" max="13068" width="5.109375" style="126" customWidth="1"/>
    <col min="13069" max="13069" width="5" style="126" customWidth="1"/>
    <col min="13070" max="13070" width="4.6640625" style="126" customWidth="1"/>
    <col min="13071" max="13071" width="4.109375" style="126" customWidth="1"/>
    <col min="13072" max="13312" width="9.109375" style="126"/>
    <col min="13313" max="13313" width="7.5546875" style="126" customWidth="1"/>
    <col min="13314" max="13314" width="21.109375" style="126" customWidth="1"/>
    <col min="13315" max="13315" width="6.6640625" style="126" customWidth="1"/>
    <col min="13316" max="13316" width="9.5546875" style="126" customWidth="1"/>
    <col min="13317" max="13317" width="14.6640625" style="126" customWidth="1"/>
    <col min="13318" max="13318" width="26.88671875" style="126" customWidth="1"/>
    <col min="13319" max="13319" width="5" style="126" customWidth="1"/>
    <col min="13320" max="13320" width="7.44140625" style="126" customWidth="1"/>
    <col min="13321" max="13321" width="14.44140625" style="126" customWidth="1"/>
    <col min="13322" max="13322" width="8" style="126" customWidth="1"/>
    <col min="13323" max="13323" width="8.6640625" style="126" customWidth="1"/>
    <col min="13324" max="13324" width="5.109375" style="126" customWidth="1"/>
    <col min="13325" max="13325" width="5" style="126" customWidth="1"/>
    <col min="13326" max="13326" width="4.6640625" style="126" customWidth="1"/>
    <col min="13327" max="13327" width="4.109375" style="126" customWidth="1"/>
    <col min="13328" max="13568" width="9.109375" style="126"/>
    <col min="13569" max="13569" width="7.5546875" style="126" customWidth="1"/>
    <col min="13570" max="13570" width="21.109375" style="126" customWidth="1"/>
    <col min="13571" max="13571" width="6.6640625" style="126" customWidth="1"/>
    <col min="13572" max="13572" width="9.5546875" style="126" customWidth="1"/>
    <col min="13573" max="13573" width="14.6640625" style="126" customWidth="1"/>
    <col min="13574" max="13574" width="26.88671875" style="126" customWidth="1"/>
    <col min="13575" max="13575" width="5" style="126" customWidth="1"/>
    <col min="13576" max="13576" width="7.44140625" style="126" customWidth="1"/>
    <col min="13577" max="13577" width="14.44140625" style="126" customWidth="1"/>
    <col min="13578" max="13578" width="8" style="126" customWidth="1"/>
    <col min="13579" max="13579" width="8.6640625" style="126" customWidth="1"/>
    <col min="13580" max="13580" width="5.109375" style="126" customWidth="1"/>
    <col min="13581" max="13581" width="5" style="126" customWidth="1"/>
    <col min="13582" max="13582" width="4.6640625" style="126" customWidth="1"/>
    <col min="13583" max="13583" width="4.109375" style="126" customWidth="1"/>
    <col min="13584" max="13824" width="9.109375" style="126"/>
    <col min="13825" max="13825" width="7.5546875" style="126" customWidth="1"/>
    <col min="13826" max="13826" width="21.109375" style="126" customWidth="1"/>
    <col min="13827" max="13827" width="6.6640625" style="126" customWidth="1"/>
    <col min="13828" max="13828" width="9.5546875" style="126" customWidth="1"/>
    <col min="13829" max="13829" width="14.6640625" style="126" customWidth="1"/>
    <col min="13830" max="13830" width="26.88671875" style="126" customWidth="1"/>
    <col min="13831" max="13831" width="5" style="126" customWidth="1"/>
    <col min="13832" max="13832" width="7.44140625" style="126" customWidth="1"/>
    <col min="13833" max="13833" width="14.44140625" style="126" customWidth="1"/>
    <col min="13834" max="13834" width="8" style="126" customWidth="1"/>
    <col min="13835" max="13835" width="8.6640625" style="126" customWidth="1"/>
    <col min="13836" max="13836" width="5.109375" style="126" customWidth="1"/>
    <col min="13837" max="13837" width="5" style="126" customWidth="1"/>
    <col min="13838" max="13838" width="4.6640625" style="126" customWidth="1"/>
    <col min="13839" max="13839" width="4.109375" style="126" customWidth="1"/>
    <col min="13840" max="14080" width="9.109375" style="126"/>
    <col min="14081" max="14081" width="7.5546875" style="126" customWidth="1"/>
    <col min="14082" max="14082" width="21.109375" style="126" customWidth="1"/>
    <col min="14083" max="14083" width="6.6640625" style="126" customWidth="1"/>
    <col min="14084" max="14084" width="9.5546875" style="126" customWidth="1"/>
    <col min="14085" max="14085" width="14.6640625" style="126" customWidth="1"/>
    <col min="14086" max="14086" width="26.88671875" style="126" customWidth="1"/>
    <col min="14087" max="14087" width="5" style="126" customWidth="1"/>
    <col min="14088" max="14088" width="7.44140625" style="126" customWidth="1"/>
    <col min="14089" max="14089" width="14.44140625" style="126" customWidth="1"/>
    <col min="14090" max="14090" width="8" style="126" customWidth="1"/>
    <col min="14091" max="14091" width="8.6640625" style="126" customWidth="1"/>
    <col min="14092" max="14092" width="5.109375" style="126" customWidth="1"/>
    <col min="14093" max="14093" width="5" style="126" customWidth="1"/>
    <col min="14094" max="14094" width="4.6640625" style="126" customWidth="1"/>
    <col min="14095" max="14095" width="4.109375" style="126" customWidth="1"/>
    <col min="14096" max="14336" width="9.109375" style="126"/>
    <col min="14337" max="14337" width="7.5546875" style="126" customWidth="1"/>
    <col min="14338" max="14338" width="21.109375" style="126" customWidth="1"/>
    <col min="14339" max="14339" width="6.6640625" style="126" customWidth="1"/>
    <col min="14340" max="14340" width="9.5546875" style="126" customWidth="1"/>
    <col min="14341" max="14341" width="14.6640625" style="126" customWidth="1"/>
    <col min="14342" max="14342" width="26.88671875" style="126" customWidth="1"/>
    <col min="14343" max="14343" width="5" style="126" customWidth="1"/>
    <col min="14344" max="14344" width="7.44140625" style="126" customWidth="1"/>
    <col min="14345" max="14345" width="14.44140625" style="126" customWidth="1"/>
    <col min="14346" max="14346" width="8" style="126" customWidth="1"/>
    <col min="14347" max="14347" width="8.6640625" style="126" customWidth="1"/>
    <col min="14348" max="14348" width="5.109375" style="126" customWidth="1"/>
    <col min="14349" max="14349" width="5" style="126" customWidth="1"/>
    <col min="14350" max="14350" width="4.6640625" style="126" customWidth="1"/>
    <col min="14351" max="14351" width="4.109375" style="126" customWidth="1"/>
    <col min="14352" max="14592" width="9.109375" style="126"/>
    <col min="14593" max="14593" width="7.5546875" style="126" customWidth="1"/>
    <col min="14594" max="14594" width="21.109375" style="126" customWidth="1"/>
    <col min="14595" max="14595" width="6.6640625" style="126" customWidth="1"/>
    <col min="14596" max="14596" width="9.5546875" style="126" customWidth="1"/>
    <col min="14597" max="14597" width="14.6640625" style="126" customWidth="1"/>
    <col min="14598" max="14598" width="26.88671875" style="126" customWidth="1"/>
    <col min="14599" max="14599" width="5" style="126" customWidth="1"/>
    <col min="14600" max="14600" width="7.44140625" style="126" customWidth="1"/>
    <col min="14601" max="14601" width="14.44140625" style="126" customWidth="1"/>
    <col min="14602" max="14602" width="8" style="126" customWidth="1"/>
    <col min="14603" max="14603" width="8.6640625" style="126" customWidth="1"/>
    <col min="14604" max="14604" width="5.109375" style="126" customWidth="1"/>
    <col min="14605" max="14605" width="5" style="126" customWidth="1"/>
    <col min="14606" max="14606" width="4.6640625" style="126" customWidth="1"/>
    <col min="14607" max="14607" width="4.109375" style="126" customWidth="1"/>
    <col min="14608" max="14848" width="9.109375" style="126"/>
    <col min="14849" max="14849" width="7.5546875" style="126" customWidth="1"/>
    <col min="14850" max="14850" width="21.109375" style="126" customWidth="1"/>
    <col min="14851" max="14851" width="6.6640625" style="126" customWidth="1"/>
    <col min="14852" max="14852" width="9.5546875" style="126" customWidth="1"/>
    <col min="14853" max="14853" width="14.6640625" style="126" customWidth="1"/>
    <col min="14854" max="14854" width="26.88671875" style="126" customWidth="1"/>
    <col min="14855" max="14855" width="5" style="126" customWidth="1"/>
    <col min="14856" max="14856" width="7.44140625" style="126" customWidth="1"/>
    <col min="14857" max="14857" width="14.44140625" style="126" customWidth="1"/>
    <col min="14858" max="14858" width="8" style="126" customWidth="1"/>
    <col min="14859" max="14859" width="8.6640625" style="126" customWidth="1"/>
    <col min="14860" max="14860" width="5.109375" style="126" customWidth="1"/>
    <col min="14861" max="14861" width="5" style="126" customWidth="1"/>
    <col min="14862" max="14862" width="4.6640625" style="126" customWidth="1"/>
    <col min="14863" max="14863" width="4.109375" style="126" customWidth="1"/>
    <col min="14864" max="15104" width="9.109375" style="126"/>
    <col min="15105" max="15105" width="7.5546875" style="126" customWidth="1"/>
    <col min="15106" max="15106" width="21.109375" style="126" customWidth="1"/>
    <col min="15107" max="15107" width="6.6640625" style="126" customWidth="1"/>
    <col min="15108" max="15108" width="9.5546875" style="126" customWidth="1"/>
    <col min="15109" max="15109" width="14.6640625" style="126" customWidth="1"/>
    <col min="15110" max="15110" width="26.88671875" style="126" customWidth="1"/>
    <col min="15111" max="15111" width="5" style="126" customWidth="1"/>
    <col min="15112" max="15112" width="7.44140625" style="126" customWidth="1"/>
    <col min="15113" max="15113" width="14.44140625" style="126" customWidth="1"/>
    <col min="15114" max="15114" width="8" style="126" customWidth="1"/>
    <col min="15115" max="15115" width="8.6640625" style="126" customWidth="1"/>
    <col min="15116" max="15116" width="5.109375" style="126" customWidth="1"/>
    <col min="15117" max="15117" width="5" style="126" customWidth="1"/>
    <col min="15118" max="15118" width="4.6640625" style="126" customWidth="1"/>
    <col min="15119" max="15119" width="4.109375" style="126" customWidth="1"/>
    <col min="15120" max="15360" width="9.109375" style="126"/>
    <col min="15361" max="15361" width="7.5546875" style="126" customWidth="1"/>
    <col min="15362" max="15362" width="21.109375" style="126" customWidth="1"/>
    <col min="15363" max="15363" width="6.6640625" style="126" customWidth="1"/>
    <col min="15364" max="15364" width="9.5546875" style="126" customWidth="1"/>
    <col min="15365" max="15365" width="14.6640625" style="126" customWidth="1"/>
    <col min="15366" max="15366" width="26.88671875" style="126" customWidth="1"/>
    <col min="15367" max="15367" width="5" style="126" customWidth="1"/>
    <col min="15368" max="15368" width="7.44140625" style="126" customWidth="1"/>
    <col min="15369" max="15369" width="14.44140625" style="126" customWidth="1"/>
    <col min="15370" max="15370" width="8" style="126" customWidth="1"/>
    <col min="15371" max="15371" width="8.6640625" style="126" customWidth="1"/>
    <col min="15372" max="15372" width="5.109375" style="126" customWidth="1"/>
    <col min="15373" max="15373" width="5" style="126" customWidth="1"/>
    <col min="15374" max="15374" width="4.6640625" style="126" customWidth="1"/>
    <col min="15375" max="15375" width="4.109375" style="126" customWidth="1"/>
    <col min="15376" max="15616" width="9.109375" style="126"/>
    <col min="15617" max="15617" width="7.5546875" style="126" customWidth="1"/>
    <col min="15618" max="15618" width="21.109375" style="126" customWidth="1"/>
    <col min="15619" max="15619" width="6.6640625" style="126" customWidth="1"/>
    <col min="15620" max="15620" width="9.5546875" style="126" customWidth="1"/>
    <col min="15621" max="15621" width="14.6640625" style="126" customWidth="1"/>
    <col min="15622" max="15622" width="26.88671875" style="126" customWidth="1"/>
    <col min="15623" max="15623" width="5" style="126" customWidth="1"/>
    <col min="15624" max="15624" width="7.44140625" style="126" customWidth="1"/>
    <col min="15625" max="15625" width="14.44140625" style="126" customWidth="1"/>
    <col min="15626" max="15626" width="8" style="126" customWidth="1"/>
    <col min="15627" max="15627" width="8.6640625" style="126" customWidth="1"/>
    <col min="15628" max="15628" width="5.109375" style="126" customWidth="1"/>
    <col min="15629" max="15629" width="5" style="126" customWidth="1"/>
    <col min="15630" max="15630" width="4.6640625" style="126" customWidth="1"/>
    <col min="15631" max="15631" width="4.109375" style="126" customWidth="1"/>
    <col min="15632" max="15872" width="9.109375" style="126"/>
    <col min="15873" max="15873" width="7.5546875" style="126" customWidth="1"/>
    <col min="15874" max="15874" width="21.109375" style="126" customWidth="1"/>
    <col min="15875" max="15875" width="6.6640625" style="126" customWidth="1"/>
    <col min="15876" max="15876" width="9.5546875" style="126" customWidth="1"/>
    <col min="15877" max="15877" width="14.6640625" style="126" customWidth="1"/>
    <col min="15878" max="15878" width="26.88671875" style="126" customWidth="1"/>
    <col min="15879" max="15879" width="5" style="126" customWidth="1"/>
    <col min="15880" max="15880" width="7.44140625" style="126" customWidth="1"/>
    <col min="15881" max="15881" width="14.44140625" style="126" customWidth="1"/>
    <col min="15882" max="15882" width="8" style="126" customWidth="1"/>
    <col min="15883" max="15883" width="8.6640625" style="126" customWidth="1"/>
    <col min="15884" max="15884" width="5.109375" style="126" customWidth="1"/>
    <col min="15885" max="15885" width="5" style="126" customWidth="1"/>
    <col min="15886" max="15886" width="4.6640625" style="126" customWidth="1"/>
    <col min="15887" max="15887" width="4.109375" style="126" customWidth="1"/>
    <col min="15888" max="16128" width="9.109375" style="126"/>
    <col min="16129" max="16129" width="7.5546875" style="126" customWidth="1"/>
    <col min="16130" max="16130" width="21.109375" style="126" customWidth="1"/>
    <col min="16131" max="16131" width="6.6640625" style="126" customWidth="1"/>
    <col min="16132" max="16132" width="9.5546875" style="126" customWidth="1"/>
    <col min="16133" max="16133" width="14.6640625" style="126" customWidth="1"/>
    <col min="16134" max="16134" width="26.88671875" style="126" customWidth="1"/>
    <col min="16135" max="16135" width="5" style="126" customWidth="1"/>
    <col min="16136" max="16136" width="7.44140625" style="126" customWidth="1"/>
    <col min="16137" max="16137" width="14.44140625" style="126" customWidth="1"/>
    <col min="16138" max="16138" width="8" style="126" customWidth="1"/>
    <col min="16139" max="16139" width="8.6640625" style="126" customWidth="1"/>
    <col min="16140" max="16140" width="5.109375" style="126" customWidth="1"/>
    <col min="16141" max="16141" width="5" style="126" customWidth="1"/>
    <col min="16142" max="16142" width="4.6640625" style="126" customWidth="1"/>
    <col min="16143" max="16143" width="4.109375" style="126" customWidth="1"/>
    <col min="16144" max="16384" width="9.109375" style="126"/>
  </cols>
  <sheetData>
    <row r="1" spans="1:16" ht="26.25" customHeight="1" x14ac:dyDescent="0.35">
      <c r="A1" s="304" t="s">
        <v>94</v>
      </c>
      <c r="B1" s="305"/>
      <c r="C1" s="305"/>
      <c r="D1" s="305"/>
      <c r="E1" s="305"/>
      <c r="F1" s="306"/>
      <c r="G1" s="180"/>
      <c r="H1" s="180"/>
      <c r="I1" s="180"/>
      <c r="J1" s="180"/>
    </row>
    <row r="2" spans="1:16" ht="23.25" customHeight="1" x14ac:dyDescent="0.35">
      <c r="A2" s="307" t="s">
        <v>95</v>
      </c>
      <c r="B2" s="308"/>
      <c r="C2" s="308"/>
      <c r="D2" s="308"/>
      <c r="E2" s="308"/>
      <c r="F2" s="309"/>
      <c r="G2" s="181"/>
      <c r="H2" s="181"/>
      <c r="I2" s="181"/>
      <c r="J2" s="181"/>
    </row>
    <row r="3" spans="1:16" ht="18.75" customHeight="1" x14ac:dyDescent="0.35">
      <c r="A3" s="307" t="s">
        <v>96</v>
      </c>
      <c r="B3" s="308"/>
      <c r="C3" s="308"/>
      <c r="D3" s="308"/>
      <c r="E3" s="308"/>
      <c r="F3" s="309"/>
      <c r="G3" s="181"/>
      <c r="H3" s="181"/>
      <c r="I3" s="181"/>
      <c r="J3" s="181"/>
    </row>
    <row r="4" spans="1:16" ht="15.6" x14ac:dyDescent="0.3">
      <c r="A4" s="182"/>
      <c r="B4" s="183"/>
      <c r="C4" s="183"/>
      <c r="D4" s="183"/>
      <c r="E4" s="183"/>
      <c r="F4" s="184"/>
      <c r="G4" s="185"/>
      <c r="H4" s="186"/>
      <c r="I4" s="186"/>
      <c r="J4" s="186"/>
    </row>
    <row r="5" spans="1:16" ht="13.8" x14ac:dyDescent="0.3">
      <c r="A5" s="182"/>
      <c r="B5" s="187"/>
      <c r="C5" s="187"/>
      <c r="D5" s="187"/>
      <c r="E5" s="187"/>
      <c r="F5" s="188"/>
      <c r="G5" s="189"/>
      <c r="H5" s="189"/>
      <c r="J5" s="189"/>
    </row>
    <row r="6" spans="1:16" x14ac:dyDescent="0.25">
      <c r="A6" s="190"/>
      <c r="B6" s="191"/>
      <c r="C6" s="192"/>
      <c r="D6" s="310"/>
      <c r="E6" s="310"/>
      <c r="F6" s="193"/>
      <c r="G6" s="194"/>
      <c r="H6" s="195"/>
      <c r="I6" s="196"/>
      <c r="J6" s="197"/>
      <c r="L6" s="134"/>
      <c r="M6" s="134"/>
      <c r="N6" s="134"/>
      <c r="O6" s="134"/>
      <c r="P6" s="134"/>
    </row>
    <row r="7" spans="1:16" x14ac:dyDescent="0.25">
      <c r="A7" s="190"/>
      <c r="B7" s="311" t="s">
        <v>152</v>
      </c>
      <c r="C7" s="312"/>
      <c r="D7" s="312"/>
      <c r="E7" s="312"/>
      <c r="F7" s="313"/>
      <c r="G7" s="198"/>
      <c r="H7" s="199"/>
      <c r="I7" s="200"/>
      <c r="J7" s="201"/>
      <c r="L7" s="134"/>
      <c r="M7" s="134"/>
      <c r="N7" s="134"/>
      <c r="O7" s="134"/>
      <c r="P7" s="134"/>
    </row>
    <row r="8" spans="1:16" x14ac:dyDescent="0.25">
      <c r="A8" s="190"/>
      <c r="B8" s="202"/>
      <c r="C8" s="203"/>
      <c r="D8" s="203"/>
      <c r="E8" s="203"/>
      <c r="F8" s="204"/>
      <c r="G8" s="198"/>
      <c r="H8" s="199"/>
      <c r="I8" s="200"/>
      <c r="J8" s="201"/>
      <c r="L8" s="134"/>
      <c r="M8" s="134"/>
      <c r="N8" s="134"/>
      <c r="O8" s="134"/>
      <c r="P8" s="134"/>
    </row>
    <row r="9" spans="1:16" ht="13.8" thickBot="1" x14ac:dyDescent="0.3">
      <c r="A9" s="205" t="s">
        <v>153</v>
      </c>
      <c r="B9" s="298" t="s">
        <v>154</v>
      </c>
      <c r="C9" s="299"/>
      <c r="D9" s="299"/>
      <c r="E9" s="299"/>
      <c r="F9" s="300"/>
      <c r="G9" s="206"/>
      <c r="H9" s="207"/>
      <c r="I9" s="208"/>
      <c r="J9" s="209"/>
      <c r="L9" s="134"/>
      <c r="M9" s="173"/>
      <c r="N9" s="134"/>
      <c r="O9" s="134"/>
      <c r="P9" s="134"/>
    </row>
    <row r="10" spans="1:16" ht="15" customHeight="1" thickBot="1" x14ac:dyDescent="0.45">
      <c r="A10" s="210"/>
      <c r="B10" s="301" t="s">
        <v>155</v>
      </c>
      <c r="C10" s="302"/>
      <c r="D10" s="302"/>
      <c r="E10" s="302"/>
      <c r="F10" s="303"/>
      <c r="G10" s="211"/>
      <c r="H10" s="212"/>
      <c r="I10" s="212"/>
      <c r="J10" s="213"/>
      <c r="K10" s="214"/>
      <c r="L10" s="215"/>
      <c r="M10" s="216"/>
      <c r="N10" s="134"/>
      <c r="O10" s="134"/>
      <c r="P10" s="134"/>
    </row>
    <row r="11" spans="1:16" ht="16.5" customHeight="1" x14ac:dyDescent="0.4">
      <c r="A11" s="217"/>
      <c r="B11" s="218" t="s">
        <v>156</v>
      </c>
      <c r="C11" s="219"/>
      <c r="D11" s="219"/>
      <c r="E11" s="220"/>
      <c r="F11" s="221">
        <v>15.145</v>
      </c>
      <c r="G11" s="222"/>
      <c r="H11" s="213"/>
      <c r="I11" s="213"/>
      <c r="J11" s="213"/>
      <c r="K11" s="214"/>
      <c r="L11" s="223"/>
    </row>
    <row r="12" spans="1:16" ht="14.25" customHeight="1" x14ac:dyDescent="0.4">
      <c r="A12" s="224"/>
      <c r="B12" s="294" t="s">
        <v>157</v>
      </c>
      <c r="C12" s="295"/>
      <c r="D12" s="295"/>
      <c r="E12" s="225"/>
      <c r="F12" s="226">
        <f>F11*0.1</f>
        <v>1.5145</v>
      </c>
      <c r="G12" s="222"/>
      <c r="H12" s="213"/>
      <c r="I12" s="227"/>
      <c r="J12" s="213"/>
      <c r="K12" s="214"/>
      <c r="L12" s="223"/>
    </row>
    <row r="13" spans="1:16" ht="18.75" customHeight="1" x14ac:dyDescent="0.4">
      <c r="A13" s="224"/>
      <c r="B13" s="294" t="s">
        <v>158</v>
      </c>
      <c r="C13" s="295"/>
      <c r="D13" s="295"/>
      <c r="E13" s="225"/>
      <c r="F13" s="228">
        <v>75</v>
      </c>
      <c r="G13" s="222"/>
      <c r="H13" s="213"/>
      <c r="I13" s="213"/>
      <c r="J13" s="213"/>
      <c r="K13" s="214"/>
      <c r="L13" s="223"/>
      <c r="M13" s="229"/>
    </row>
    <row r="14" spans="1:16" ht="14.25" customHeight="1" x14ac:dyDescent="0.4">
      <c r="A14" s="224"/>
      <c r="B14" s="294" t="s">
        <v>159</v>
      </c>
      <c r="C14" s="295"/>
      <c r="D14" s="295"/>
      <c r="E14" s="225"/>
      <c r="F14" s="230">
        <f>81-57</f>
        <v>24</v>
      </c>
      <c r="G14" s="222"/>
      <c r="H14" s="213"/>
      <c r="I14" s="213"/>
      <c r="J14" s="213"/>
      <c r="K14" s="231"/>
      <c r="L14" s="223"/>
    </row>
    <row r="15" spans="1:16" ht="21" x14ac:dyDescent="0.4">
      <c r="A15" s="224"/>
      <c r="B15" s="296" t="s">
        <v>160</v>
      </c>
      <c r="C15" s="296"/>
      <c r="D15" s="296"/>
      <c r="E15" s="296"/>
      <c r="F15" s="232" t="s">
        <v>161</v>
      </c>
      <c r="G15" s="222"/>
      <c r="H15" s="213"/>
      <c r="I15" s="233"/>
      <c r="J15" s="213"/>
      <c r="K15" s="234"/>
      <c r="L15" s="223"/>
    </row>
    <row r="16" spans="1:16" ht="18.75" customHeight="1" x14ac:dyDescent="0.4">
      <c r="A16" s="224"/>
      <c r="B16" s="297"/>
      <c r="C16" s="297"/>
      <c r="D16" s="297"/>
      <c r="E16" s="297"/>
      <c r="F16" s="236">
        <f>(F11-F12)/F13</f>
        <v>0.18173999999999998</v>
      </c>
      <c r="G16" s="222"/>
      <c r="H16" s="213"/>
      <c r="I16" s="213"/>
      <c r="J16" s="213"/>
      <c r="K16" s="234"/>
      <c r="L16" s="223"/>
    </row>
    <row r="17" spans="1:16" ht="17.25" customHeight="1" x14ac:dyDescent="0.4">
      <c r="A17" s="224"/>
      <c r="B17" s="294" t="s">
        <v>162</v>
      </c>
      <c r="C17" s="294"/>
      <c r="D17" s="294"/>
      <c r="E17" s="294"/>
      <c r="F17" s="232" t="s">
        <v>163</v>
      </c>
      <c r="G17" s="222"/>
      <c r="H17" s="213"/>
      <c r="I17" s="213"/>
      <c r="J17" s="213"/>
      <c r="K17" s="234"/>
      <c r="L17" s="237"/>
    </row>
    <row r="18" spans="1:16" ht="18.75" customHeight="1" x14ac:dyDescent="0.4">
      <c r="A18" s="224"/>
      <c r="B18" s="294" t="s">
        <v>164</v>
      </c>
      <c r="C18" s="294"/>
      <c r="D18" s="294"/>
      <c r="E18" s="294"/>
      <c r="F18" s="236">
        <f>F11-(F14*F16)</f>
        <v>10.783239999999999</v>
      </c>
      <c r="G18" s="222"/>
      <c r="H18" s="213"/>
      <c r="I18" s="213"/>
      <c r="J18" s="213"/>
      <c r="K18" s="234"/>
      <c r="L18" s="237"/>
    </row>
    <row r="19" spans="1:16" ht="18.75" customHeight="1" thickBot="1" x14ac:dyDescent="0.45">
      <c r="A19" s="238"/>
      <c r="B19" s="239"/>
      <c r="C19" s="240"/>
      <c r="D19" s="240"/>
      <c r="E19" s="240"/>
      <c r="F19" s="241"/>
      <c r="G19" s="242"/>
      <c r="H19" s="242"/>
      <c r="I19" s="242"/>
      <c r="J19" s="242"/>
      <c r="K19" s="214"/>
      <c r="L19" s="237"/>
    </row>
    <row r="20" spans="1:16" ht="18.75" customHeight="1" thickBot="1" x14ac:dyDescent="0.45">
      <c r="A20" s="243"/>
      <c r="B20" s="244"/>
      <c r="C20" s="245"/>
      <c r="D20" s="245"/>
      <c r="E20" s="245"/>
      <c r="F20" s="246"/>
      <c r="G20" s="242"/>
      <c r="H20" s="242"/>
      <c r="I20" s="242"/>
      <c r="J20" s="242"/>
      <c r="K20" s="214"/>
      <c r="L20" s="237"/>
    </row>
    <row r="21" spans="1:16" ht="13.8" hidden="1" thickBot="1" x14ac:dyDescent="0.3">
      <c r="A21" s="205" t="s">
        <v>165</v>
      </c>
      <c r="B21" s="298" t="s">
        <v>166</v>
      </c>
      <c r="C21" s="299"/>
      <c r="D21" s="299"/>
      <c r="E21" s="299"/>
      <c r="F21" s="300"/>
      <c r="G21" s="206"/>
      <c r="H21" s="207"/>
      <c r="I21" s="208"/>
      <c r="J21" s="209"/>
      <c r="L21" s="134"/>
      <c r="M21" s="173"/>
      <c r="N21" s="134"/>
      <c r="O21" s="134"/>
      <c r="P21" s="134"/>
    </row>
    <row r="22" spans="1:16" ht="15" hidden="1" customHeight="1" thickBot="1" x14ac:dyDescent="0.45">
      <c r="A22" s="210"/>
      <c r="B22" s="301" t="s">
        <v>155</v>
      </c>
      <c r="C22" s="302"/>
      <c r="D22" s="302"/>
      <c r="E22" s="302"/>
      <c r="F22" s="303"/>
      <c r="G22" s="211"/>
      <c r="H22" s="212"/>
      <c r="I22" s="212"/>
      <c r="J22" s="213"/>
      <c r="K22" s="214"/>
      <c r="L22" s="215"/>
      <c r="M22" s="216"/>
      <c r="N22" s="134"/>
      <c r="O22" s="134"/>
      <c r="P22" s="134"/>
    </row>
    <row r="23" spans="1:16" ht="16.5" hidden="1" customHeight="1" x14ac:dyDescent="0.4">
      <c r="A23" s="217"/>
      <c r="B23" s="218" t="s">
        <v>156</v>
      </c>
      <c r="C23" s="219"/>
      <c r="D23" s="219"/>
      <c r="E23" s="220"/>
      <c r="F23" s="221">
        <f>F11</f>
        <v>15.145</v>
      </c>
      <c r="G23" s="222"/>
      <c r="H23" s="213"/>
      <c r="I23" s="213"/>
      <c r="J23" s="213"/>
      <c r="K23" s="214"/>
      <c r="L23" s="223"/>
    </row>
    <row r="24" spans="1:16" ht="14.25" hidden="1" customHeight="1" x14ac:dyDescent="0.4">
      <c r="A24" s="224"/>
      <c r="B24" s="294" t="s">
        <v>157</v>
      </c>
      <c r="C24" s="295"/>
      <c r="D24" s="295"/>
      <c r="E24" s="225"/>
      <c r="F24" s="226">
        <f>F23*0.1</f>
        <v>1.5145</v>
      </c>
      <c r="G24" s="222"/>
      <c r="H24" s="213"/>
      <c r="I24" s="227"/>
      <c r="J24" s="213"/>
      <c r="K24" s="214"/>
      <c r="L24" s="223"/>
    </row>
    <row r="25" spans="1:16" ht="18.75" hidden="1" customHeight="1" x14ac:dyDescent="0.4">
      <c r="A25" s="224"/>
      <c r="B25" s="294" t="s">
        <v>158</v>
      </c>
      <c r="C25" s="295"/>
      <c r="D25" s="295"/>
      <c r="E25" s="225"/>
      <c r="F25" s="228">
        <v>75</v>
      </c>
      <c r="G25" s="222"/>
      <c r="H25" s="213"/>
      <c r="I25" s="213"/>
      <c r="J25" s="213"/>
      <c r="K25" s="214"/>
      <c r="L25" s="223"/>
      <c r="M25" s="229"/>
    </row>
    <row r="26" spans="1:16" ht="14.25" hidden="1" customHeight="1" x14ac:dyDescent="0.4">
      <c r="A26" s="224"/>
      <c r="B26" s="294" t="s">
        <v>159</v>
      </c>
      <c r="C26" s="295"/>
      <c r="D26" s="295"/>
      <c r="E26" s="225"/>
      <c r="F26" s="230">
        <v>3</v>
      </c>
      <c r="G26" s="222"/>
      <c r="H26" s="213"/>
      <c r="I26" s="213"/>
      <c r="J26" s="213"/>
      <c r="K26" s="231"/>
      <c r="L26" s="223"/>
    </row>
    <row r="27" spans="1:16" ht="21" hidden="1" x14ac:dyDescent="0.4">
      <c r="A27" s="224"/>
      <c r="B27" s="296" t="s">
        <v>160</v>
      </c>
      <c r="C27" s="296"/>
      <c r="D27" s="296"/>
      <c r="E27" s="296"/>
      <c r="F27" s="232" t="s">
        <v>161</v>
      </c>
      <c r="G27" s="222"/>
      <c r="H27" s="213"/>
      <c r="I27" s="233"/>
      <c r="J27" s="213"/>
      <c r="K27" s="234"/>
      <c r="L27" s="223"/>
    </row>
    <row r="28" spans="1:16" ht="18.75" hidden="1" customHeight="1" x14ac:dyDescent="0.4">
      <c r="A28" s="224"/>
      <c r="B28" s="297"/>
      <c r="C28" s="297"/>
      <c r="D28" s="297"/>
      <c r="E28" s="297"/>
      <c r="F28" s="236">
        <f>(F23-F24)/F25</f>
        <v>0.18173999999999998</v>
      </c>
      <c r="G28" s="222"/>
      <c r="H28" s="213"/>
      <c r="I28" s="213"/>
      <c r="J28" s="213"/>
      <c r="K28" s="234"/>
      <c r="L28" s="223"/>
    </row>
    <row r="29" spans="1:16" ht="17.25" hidden="1" customHeight="1" x14ac:dyDescent="0.4">
      <c r="A29" s="224"/>
      <c r="B29" s="294" t="s">
        <v>162</v>
      </c>
      <c r="C29" s="294"/>
      <c r="D29" s="294"/>
      <c r="E29" s="294"/>
      <c r="F29" s="232" t="s">
        <v>163</v>
      </c>
      <c r="G29" s="222"/>
      <c r="H29" s="213"/>
      <c r="I29" s="213"/>
      <c r="J29" s="213"/>
      <c r="K29" s="234"/>
      <c r="L29" s="237"/>
    </row>
    <row r="30" spans="1:16" ht="18.75" hidden="1" customHeight="1" x14ac:dyDescent="0.4">
      <c r="A30" s="224"/>
      <c r="B30" s="294" t="s">
        <v>164</v>
      </c>
      <c r="C30" s="294"/>
      <c r="D30" s="294"/>
      <c r="E30" s="294"/>
      <c r="F30" s="236">
        <f>F23-(F26*F28)</f>
        <v>14.599779999999999</v>
      </c>
      <c r="G30" s="222"/>
      <c r="H30" s="213"/>
      <c r="I30" s="213"/>
      <c r="J30" s="213"/>
      <c r="K30" s="234"/>
      <c r="L30" s="237"/>
    </row>
    <row r="31" spans="1:16" ht="18.75" hidden="1" customHeight="1" thickBot="1" x14ac:dyDescent="0.45">
      <c r="A31" s="238"/>
      <c r="B31" s="239"/>
      <c r="C31" s="240"/>
      <c r="D31" s="240"/>
      <c r="E31" s="240"/>
      <c r="F31" s="241"/>
      <c r="G31" s="242"/>
      <c r="H31" s="242"/>
      <c r="I31" s="242"/>
      <c r="J31" s="242"/>
      <c r="K31" s="214"/>
      <c r="L31" s="237"/>
    </row>
  </sheetData>
  <mergeCells count="23">
    <mergeCell ref="B9:F9"/>
    <mergeCell ref="A1:F1"/>
    <mergeCell ref="A2:F2"/>
    <mergeCell ref="A3:F3"/>
    <mergeCell ref="D6:E6"/>
    <mergeCell ref="B7:F7"/>
    <mergeCell ref="B25:D25"/>
    <mergeCell ref="B10:F10"/>
    <mergeCell ref="B12:D12"/>
    <mergeCell ref="B13:D13"/>
    <mergeCell ref="B14:D14"/>
    <mergeCell ref="B15:E15"/>
    <mergeCell ref="B16:E16"/>
    <mergeCell ref="B17:E17"/>
    <mergeCell ref="B18:E18"/>
    <mergeCell ref="B21:F21"/>
    <mergeCell ref="B22:F22"/>
    <mergeCell ref="B24:D24"/>
    <mergeCell ref="B26:D26"/>
    <mergeCell ref="B27:E27"/>
    <mergeCell ref="B28:E28"/>
    <mergeCell ref="B29:E29"/>
    <mergeCell ref="B30:E3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view="pageBreakPreview" topLeftCell="A16" zoomScaleNormal="100" zoomScaleSheetLayoutView="100" workbookViewId="0">
      <selection activeCell="A20" sqref="A20:XFD30"/>
    </sheetView>
  </sheetViews>
  <sheetFormatPr defaultColWidth="9.109375" defaultRowHeight="13.2" x14ac:dyDescent="0.25"/>
  <cols>
    <col min="1" max="1" width="6.88671875" style="126" customWidth="1"/>
    <col min="2" max="2" width="21.109375" style="126" customWidth="1"/>
    <col min="3" max="3" width="7.6640625" style="126" customWidth="1"/>
    <col min="4" max="4" width="12.44140625" style="126" customWidth="1"/>
    <col min="5" max="5" width="11" style="126" customWidth="1"/>
    <col min="6" max="6" width="27.44140625" style="126" customWidth="1"/>
    <col min="7" max="7" width="5" style="126" customWidth="1"/>
    <col min="8" max="8" width="7.44140625" style="126" customWidth="1"/>
    <col min="9" max="9" width="14.44140625" style="126" customWidth="1"/>
    <col min="10" max="10" width="8" style="126" customWidth="1"/>
    <col min="11" max="11" width="8.6640625" style="126" customWidth="1"/>
    <col min="12" max="12" width="5.109375" style="126" customWidth="1"/>
    <col min="13" max="13" width="5" style="126" customWidth="1"/>
    <col min="14" max="14" width="4.6640625" style="126" customWidth="1"/>
    <col min="15" max="15" width="4.109375" style="126" customWidth="1"/>
    <col min="16" max="256" width="9.109375" style="126"/>
    <col min="257" max="257" width="6.88671875" style="126" customWidth="1"/>
    <col min="258" max="258" width="21.109375" style="126" customWidth="1"/>
    <col min="259" max="259" width="7.6640625" style="126" customWidth="1"/>
    <col min="260" max="260" width="12.44140625" style="126" customWidth="1"/>
    <col min="261" max="261" width="11" style="126" customWidth="1"/>
    <col min="262" max="262" width="27.44140625" style="126" customWidth="1"/>
    <col min="263" max="263" width="5" style="126" customWidth="1"/>
    <col min="264" max="264" width="7.44140625" style="126" customWidth="1"/>
    <col min="265" max="265" width="14.44140625" style="126" customWidth="1"/>
    <col min="266" max="266" width="8" style="126" customWidth="1"/>
    <col min="267" max="267" width="8.6640625" style="126" customWidth="1"/>
    <col min="268" max="268" width="5.109375" style="126" customWidth="1"/>
    <col min="269" max="269" width="5" style="126" customWidth="1"/>
    <col min="270" max="270" width="4.6640625" style="126" customWidth="1"/>
    <col min="271" max="271" width="4.109375" style="126" customWidth="1"/>
    <col min="272" max="512" width="9.109375" style="126"/>
    <col min="513" max="513" width="6.88671875" style="126" customWidth="1"/>
    <col min="514" max="514" width="21.109375" style="126" customWidth="1"/>
    <col min="515" max="515" width="7.6640625" style="126" customWidth="1"/>
    <col min="516" max="516" width="12.44140625" style="126" customWidth="1"/>
    <col min="517" max="517" width="11" style="126" customWidth="1"/>
    <col min="518" max="518" width="27.44140625" style="126" customWidth="1"/>
    <col min="519" max="519" width="5" style="126" customWidth="1"/>
    <col min="520" max="520" width="7.44140625" style="126" customWidth="1"/>
    <col min="521" max="521" width="14.44140625" style="126" customWidth="1"/>
    <col min="522" max="522" width="8" style="126" customWidth="1"/>
    <col min="523" max="523" width="8.6640625" style="126" customWidth="1"/>
    <col min="524" max="524" width="5.109375" style="126" customWidth="1"/>
    <col min="525" max="525" width="5" style="126" customWidth="1"/>
    <col min="526" max="526" width="4.6640625" style="126" customWidth="1"/>
    <col min="527" max="527" width="4.109375" style="126" customWidth="1"/>
    <col min="528" max="768" width="9.109375" style="126"/>
    <col min="769" max="769" width="6.88671875" style="126" customWidth="1"/>
    <col min="770" max="770" width="21.109375" style="126" customWidth="1"/>
    <col min="771" max="771" width="7.6640625" style="126" customWidth="1"/>
    <col min="772" max="772" width="12.44140625" style="126" customWidth="1"/>
    <col min="773" max="773" width="11" style="126" customWidth="1"/>
    <col min="774" max="774" width="27.44140625" style="126" customWidth="1"/>
    <col min="775" max="775" width="5" style="126" customWidth="1"/>
    <col min="776" max="776" width="7.44140625" style="126" customWidth="1"/>
    <col min="777" max="777" width="14.44140625" style="126" customWidth="1"/>
    <col min="778" max="778" width="8" style="126" customWidth="1"/>
    <col min="779" max="779" width="8.6640625" style="126" customWidth="1"/>
    <col min="780" max="780" width="5.109375" style="126" customWidth="1"/>
    <col min="781" max="781" width="5" style="126" customWidth="1"/>
    <col min="782" max="782" width="4.6640625" style="126" customWidth="1"/>
    <col min="783" max="783" width="4.109375" style="126" customWidth="1"/>
    <col min="784" max="1024" width="9.109375" style="126"/>
    <col min="1025" max="1025" width="6.88671875" style="126" customWidth="1"/>
    <col min="1026" max="1026" width="21.109375" style="126" customWidth="1"/>
    <col min="1027" max="1027" width="7.6640625" style="126" customWidth="1"/>
    <col min="1028" max="1028" width="12.44140625" style="126" customWidth="1"/>
    <col min="1029" max="1029" width="11" style="126" customWidth="1"/>
    <col min="1030" max="1030" width="27.44140625" style="126" customWidth="1"/>
    <col min="1031" max="1031" width="5" style="126" customWidth="1"/>
    <col min="1032" max="1032" width="7.44140625" style="126" customWidth="1"/>
    <col min="1033" max="1033" width="14.44140625" style="126" customWidth="1"/>
    <col min="1034" max="1034" width="8" style="126" customWidth="1"/>
    <col min="1035" max="1035" width="8.6640625" style="126" customWidth="1"/>
    <col min="1036" max="1036" width="5.109375" style="126" customWidth="1"/>
    <col min="1037" max="1037" width="5" style="126" customWidth="1"/>
    <col min="1038" max="1038" width="4.6640625" style="126" customWidth="1"/>
    <col min="1039" max="1039" width="4.109375" style="126" customWidth="1"/>
    <col min="1040" max="1280" width="9.109375" style="126"/>
    <col min="1281" max="1281" width="6.88671875" style="126" customWidth="1"/>
    <col min="1282" max="1282" width="21.109375" style="126" customWidth="1"/>
    <col min="1283" max="1283" width="7.6640625" style="126" customWidth="1"/>
    <col min="1284" max="1284" width="12.44140625" style="126" customWidth="1"/>
    <col min="1285" max="1285" width="11" style="126" customWidth="1"/>
    <col min="1286" max="1286" width="27.44140625" style="126" customWidth="1"/>
    <col min="1287" max="1287" width="5" style="126" customWidth="1"/>
    <col min="1288" max="1288" width="7.44140625" style="126" customWidth="1"/>
    <col min="1289" max="1289" width="14.44140625" style="126" customWidth="1"/>
    <col min="1290" max="1290" width="8" style="126" customWidth="1"/>
    <col min="1291" max="1291" width="8.6640625" style="126" customWidth="1"/>
    <col min="1292" max="1292" width="5.109375" style="126" customWidth="1"/>
    <col min="1293" max="1293" width="5" style="126" customWidth="1"/>
    <col min="1294" max="1294" width="4.6640625" style="126" customWidth="1"/>
    <col min="1295" max="1295" width="4.109375" style="126" customWidth="1"/>
    <col min="1296" max="1536" width="9.109375" style="126"/>
    <col min="1537" max="1537" width="6.88671875" style="126" customWidth="1"/>
    <col min="1538" max="1538" width="21.109375" style="126" customWidth="1"/>
    <col min="1539" max="1539" width="7.6640625" style="126" customWidth="1"/>
    <col min="1540" max="1540" width="12.44140625" style="126" customWidth="1"/>
    <col min="1541" max="1541" width="11" style="126" customWidth="1"/>
    <col min="1542" max="1542" width="27.44140625" style="126" customWidth="1"/>
    <col min="1543" max="1543" width="5" style="126" customWidth="1"/>
    <col min="1544" max="1544" width="7.44140625" style="126" customWidth="1"/>
    <col min="1545" max="1545" width="14.44140625" style="126" customWidth="1"/>
    <col min="1546" max="1546" width="8" style="126" customWidth="1"/>
    <col min="1547" max="1547" width="8.6640625" style="126" customWidth="1"/>
    <col min="1548" max="1548" width="5.109375" style="126" customWidth="1"/>
    <col min="1549" max="1549" width="5" style="126" customWidth="1"/>
    <col min="1550" max="1550" width="4.6640625" style="126" customWidth="1"/>
    <col min="1551" max="1551" width="4.109375" style="126" customWidth="1"/>
    <col min="1552" max="1792" width="9.109375" style="126"/>
    <col min="1793" max="1793" width="6.88671875" style="126" customWidth="1"/>
    <col min="1794" max="1794" width="21.109375" style="126" customWidth="1"/>
    <col min="1795" max="1795" width="7.6640625" style="126" customWidth="1"/>
    <col min="1796" max="1796" width="12.44140625" style="126" customWidth="1"/>
    <col min="1797" max="1797" width="11" style="126" customWidth="1"/>
    <col min="1798" max="1798" width="27.44140625" style="126" customWidth="1"/>
    <col min="1799" max="1799" width="5" style="126" customWidth="1"/>
    <col min="1800" max="1800" width="7.44140625" style="126" customWidth="1"/>
    <col min="1801" max="1801" width="14.44140625" style="126" customWidth="1"/>
    <col min="1802" max="1802" width="8" style="126" customWidth="1"/>
    <col min="1803" max="1803" width="8.6640625" style="126" customWidth="1"/>
    <col min="1804" max="1804" width="5.109375" style="126" customWidth="1"/>
    <col min="1805" max="1805" width="5" style="126" customWidth="1"/>
    <col min="1806" max="1806" width="4.6640625" style="126" customWidth="1"/>
    <col min="1807" max="1807" width="4.109375" style="126" customWidth="1"/>
    <col min="1808" max="2048" width="9.109375" style="126"/>
    <col min="2049" max="2049" width="6.88671875" style="126" customWidth="1"/>
    <col min="2050" max="2050" width="21.109375" style="126" customWidth="1"/>
    <col min="2051" max="2051" width="7.6640625" style="126" customWidth="1"/>
    <col min="2052" max="2052" width="12.44140625" style="126" customWidth="1"/>
    <col min="2053" max="2053" width="11" style="126" customWidth="1"/>
    <col min="2054" max="2054" width="27.44140625" style="126" customWidth="1"/>
    <col min="2055" max="2055" width="5" style="126" customWidth="1"/>
    <col min="2056" max="2056" width="7.44140625" style="126" customWidth="1"/>
    <col min="2057" max="2057" width="14.44140625" style="126" customWidth="1"/>
    <col min="2058" max="2058" width="8" style="126" customWidth="1"/>
    <col min="2059" max="2059" width="8.6640625" style="126" customWidth="1"/>
    <col min="2060" max="2060" width="5.109375" style="126" customWidth="1"/>
    <col min="2061" max="2061" width="5" style="126" customWidth="1"/>
    <col min="2062" max="2062" width="4.6640625" style="126" customWidth="1"/>
    <col min="2063" max="2063" width="4.109375" style="126" customWidth="1"/>
    <col min="2064" max="2304" width="9.109375" style="126"/>
    <col min="2305" max="2305" width="6.88671875" style="126" customWidth="1"/>
    <col min="2306" max="2306" width="21.109375" style="126" customWidth="1"/>
    <col min="2307" max="2307" width="7.6640625" style="126" customWidth="1"/>
    <col min="2308" max="2308" width="12.44140625" style="126" customWidth="1"/>
    <col min="2309" max="2309" width="11" style="126" customWidth="1"/>
    <col min="2310" max="2310" width="27.44140625" style="126" customWidth="1"/>
    <col min="2311" max="2311" width="5" style="126" customWidth="1"/>
    <col min="2312" max="2312" width="7.44140625" style="126" customWidth="1"/>
    <col min="2313" max="2313" width="14.44140625" style="126" customWidth="1"/>
    <col min="2314" max="2314" width="8" style="126" customWidth="1"/>
    <col min="2315" max="2315" width="8.6640625" style="126" customWidth="1"/>
    <col min="2316" max="2316" width="5.109375" style="126" customWidth="1"/>
    <col min="2317" max="2317" width="5" style="126" customWidth="1"/>
    <col min="2318" max="2318" width="4.6640625" style="126" customWidth="1"/>
    <col min="2319" max="2319" width="4.109375" style="126" customWidth="1"/>
    <col min="2320" max="2560" width="9.109375" style="126"/>
    <col min="2561" max="2561" width="6.88671875" style="126" customWidth="1"/>
    <col min="2562" max="2562" width="21.109375" style="126" customWidth="1"/>
    <col min="2563" max="2563" width="7.6640625" style="126" customWidth="1"/>
    <col min="2564" max="2564" width="12.44140625" style="126" customWidth="1"/>
    <col min="2565" max="2565" width="11" style="126" customWidth="1"/>
    <col min="2566" max="2566" width="27.44140625" style="126" customWidth="1"/>
    <col min="2567" max="2567" width="5" style="126" customWidth="1"/>
    <col min="2568" max="2568" width="7.44140625" style="126" customWidth="1"/>
    <col min="2569" max="2569" width="14.44140625" style="126" customWidth="1"/>
    <col min="2570" max="2570" width="8" style="126" customWidth="1"/>
    <col min="2571" max="2571" width="8.6640625" style="126" customWidth="1"/>
    <col min="2572" max="2572" width="5.109375" style="126" customWidth="1"/>
    <col min="2573" max="2573" width="5" style="126" customWidth="1"/>
    <col min="2574" max="2574" width="4.6640625" style="126" customWidth="1"/>
    <col min="2575" max="2575" width="4.109375" style="126" customWidth="1"/>
    <col min="2576" max="2816" width="9.109375" style="126"/>
    <col min="2817" max="2817" width="6.88671875" style="126" customWidth="1"/>
    <col min="2818" max="2818" width="21.109375" style="126" customWidth="1"/>
    <col min="2819" max="2819" width="7.6640625" style="126" customWidth="1"/>
    <col min="2820" max="2820" width="12.44140625" style="126" customWidth="1"/>
    <col min="2821" max="2821" width="11" style="126" customWidth="1"/>
    <col min="2822" max="2822" width="27.44140625" style="126" customWidth="1"/>
    <col min="2823" max="2823" width="5" style="126" customWidth="1"/>
    <col min="2824" max="2824" width="7.44140625" style="126" customWidth="1"/>
    <col min="2825" max="2825" width="14.44140625" style="126" customWidth="1"/>
    <col min="2826" max="2826" width="8" style="126" customWidth="1"/>
    <col min="2827" max="2827" width="8.6640625" style="126" customWidth="1"/>
    <col min="2828" max="2828" width="5.109375" style="126" customWidth="1"/>
    <col min="2829" max="2829" width="5" style="126" customWidth="1"/>
    <col min="2830" max="2830" width="4.6640625" style="126" customWidth="1"/>
    <col min="2831" max="2831" width="4.109375" style="126" customWidth="1"/>
    <col min="2832" max="3072" width="9.109375" style="126"/>
    <col min="3073" max="3073" width="6.88671875" style="126" customWidth="1"/>
    <col min="3074" max="3074" width="21.109375" style="126" customWidth="1"/>
    <col min="3075" max="3075" width="7.6640625" style="126" customWidth="1"/>
    <col min="3076" max="3076" width="12.44140625" style="126" customWidth="1"/>
    <col min="3077" max="3077" width="11" style="126" customWidth="1"/>
    <col min="3078" max="3078" width="27.44140625" style="126" customWidth="1"/>
    <col min="3079" max="3079" width="5" style="126" customWidth="1"/>
    <col min="3080" max="3080" width="7.44140625" style="126" customWidth="1"/>
    <col min="3081" max="3081" width="14.44140625" style="126" customWidth="1"/>
    <col min="3082" max="3082" width="8" style="126" customWidth="1"/>
    <col min="3083" max="3083" width="8.6640625" style="126" customWidth="1"/>
    <col min="3084" max="3084" width="5.109375" style="126" customWidth="1"/>
    <col min="3085" max="3085" width="5" style="126" customWidth="1"/>
    <col min="3086" max="3086" width="4.6640625" style="126" customWidth="1"/>
    <col min="3087" max="3087" width="4.109375" style="126" customWidth="1"/>
    <col min="3088" max="3328" width="9.109375" style="126"/>
    <col min="3329" max="3329" width="6.88671875" style="126" customWidth="1"/>
    <col min="3330" max="3330" width="21.109375" style="126" customWidth="1"/>
    <col min="3331" max="3331" width="7.6640625" style="126" customWidth="1"/>
    <col min="3332" max="3332" width="12.44140625" style="126" customWidth="1"/>
    <col min="3333" max="3333" width="11" style="126" customWidth="1"/>
    <col min="3334" max="3334" width="27.44140625" style="126" customWidth="1"/>
    <col min="3335" max="3335" width="5" style="126" customWidth="1"/>
    <col min="3336" max="3336" width="7.44140625" style="126" customWidth="1"/>
    <col min="3337" max="3337" width="14.44140625" style="126" customWidth="1"/>
    <col min="3338" max="3338" width="8" style="126" customWidth="1"/>
    <col min="3339" max="3339" width="8.6640625" style="126" customWidth="1"/>
    <col min="3340" max="3340" width="5.109375" style="126" customWidth="1"/>
    <col min="3341" max="3341" width="5" style="126" customWidth="1"/>
    <col min="3342" max="3342" width="4.6640625" style="126" customWidth="1"/>
    <col min="3343" max="3343" width="4.109375" style="126" customWidth="1"/>
    <col min="3344" max="3584" width="9.109375" style="126"/>
    <col min="3585" max="3585" width="6.88671875" style="126" customWidth="1"/>
    <col min="3586" max="3586" width="21.109375" style="126" customWidth="1"/>
    <col min="3587" max="3587" width="7.6640625" style="126" customWidth="1"/>
    <col min="3588" max="3588" width="12.44140625" style="126" customWidth="1"/>
    <col min="3589" max="3589" width="11" style="126" customWidth="1"/>
    <col min="3590" max="3590" width="27.44140625" style="126" customWidth="1"/>
    <col min="3591" max="3591" width="5" style="126" customWidth="1"/>
    <col min="3592" max="3592" width="7.44140625" style="126" customWidth="1"/>
    <col min="3593" max="3593" width="14.44140625" style="126" customWidth="1"/>
    <col min="3594" max="3594" width="8" style="126" customWidth="1"/>
    <col min="3595" max="3595" width="8.6640625" style="126" customWidth="1"/>
    <col min="3596" max="3596" width="5.109375" style="126" customWidth="1"/>
    <col min="3597" max="3597" width="5" style="126" customWidth="1"/>
    <col min="3598" max="3598" width="4.6640625" style="126" customWidth="1"/>
    <col min="3599" max="3599" width="4.109375" style="126" customWidth="1"/>
    <col min="3600" max="3840" width="9.109375" style="126"/>
    <col min="3841" max="3841" width="6.88671875" style="126" customWidth="1"/>
    <col min="3842" max="3842" width="21.109375" style="126" customWidth="1"/>
    <col min="3843" max="3843" width="7.6640625" style="126" customWidth="1"/>
    <col min="3844" max="3844" width="12.44140625" style="126" customWidth="1"/>
    <col min="3845" max="3845" width="11" style="126" customWidth="1"/>
    <col min="3846" max="3846" width="27.44140625" style="126" customWidth="1"/>
    <col min="3847" max="3847" width="5" style="126" customWidth="1"/>
    <col min="3848" max="3848" width="7.44140625" style="126" customWidth="1"/>
    <col min="3849" max="3849" width="14.44140625" style="126" customWidth="1"/>
    <col min="3850" max="3850" width="8" style="126" customWidth="1"/>
    <col min="3851" max="3851" width="8.6640625" style="126" customWidth="1"/>
    <col min="3852" max="3852" width="5.109375" style="126" customWidth="1"/>
    <col min="3853" max="3853" width="5" style="126" customWidth="1"/>
    <col min="3854" max="3854" width="4.6640625" style="126" customWidth="1"/>
    <col min="3855" max="3855" width="4.109375" style="126" customWidth="1"/>
    <col min="3856" max="4096" width="9.109375" style="126"/>
    <col min="4097" max="4097" width="6.88671875" style="126" customWidth="1"/>
    <col min="4098" max="4098" width="21.109375" style="126" customWidth="1"/>
    <col min="4099" max="4099" width="7.6640625" style="126" customWidth="1"/>
    <col min="4100" max="4100" width="12.44140625" style="126" customWidth="1"/>
    <col min="4101" max="4101" width="11" style="126" customWidth="1"/>
    <col min="4102" max="4102" width="27.44140625" style="126" customWidth="1"/>
    <col min="4103" max="4103" width="5" style="126" customWidth="1"/>
    <col min="4104" max="4104" width="7.44140625" style="126" customWidth="1"/>
    <col min="4105" max="4105" width="14.44140625" style="126" customWidth="1"/>
    <col min="4106" max="4106" width="8" style="126" customWidth="1"/>
    <col min="4107" max="4107" width="8.6640625" style="126" customWidth="1"/>
    <col min="4108" max="4108" width="5.109375" style="126" customWidth="1"/>
    <col min="4109" max="4109" width="5" style="126" customWidth="1"/>
    <col min="4110" max="4110" width="4.6640625" style="126" customWidth="1"/>
    <col min="4111" max="4111" width="4.109375" style="126" customWidth="1"/>
    <col min="4112" max="4352" width="9.109375" style="126"/>
    <col min="4353" max="4353" width="6.88671875" style="126" customWidth="1"/>
    <col min="4354" max="4354" width="21.109375" style="126" customWidth="1"/>
    <col min="4355" max="4355" width="7.6640625" style="126" customWidth="1"/>
    <col min="4356" max="4356" width="12.44140625" style="126" customWidth="1"/>
    <col min="4357" max="4357" width="11" style="126" customWidth="1"/>
    <col min="4358" max="4358" width="27.44140625" style="126" customWidth="1"/>
    <col min="4359" max="4359" width="5" style="126" customWidth="1"/>
    <col min="4360" max="4360" width="7.44140625" style="126" customWidth="1"/>
    <col min="4361" max="4361" width="14.44140625" style="126" customWidth="1"/>
    <col min="4362" max="4362" width="8" style="126" customWidth="1"/>
    <col min="4363" max="4363" width="8.6640625" style="126" customWidth="1"/>
    <col min="4364" max="4364" width="5.109375" style="126" customWidth="1"/>
    <col min="4365" max="4365" width="5" style="126" customWidth="1"/>
    <col min="4366" max="4366" width="4.6640625" style="126" customWidth="1"/>
    <col min="4367" max="4367" width="4.109375" style="126" customWidth="1"/>
    <col min="4368" max="4608" width="9.109375" style="126"/>
    <col min="4609" max="4609" width="6.88671875" style="126" customWidth="1"/>
    <col min="4610" max="4610" width="21.109375" style="126" customWidth="1"/>
    <col min="4611" max="4611" width="7.6640625" style="126" customWidth="1"/>
    <col min="4612" max="4612" width="12.44140625" style="126" customWidth="1"/>
    <col min="4613" max="4613" width="11" style="126" customWidth="1"/>
    <col min="4614" max="4614" width="27.44140625" style="126" customWidth="1"/>
    <col min="4615" max="4615" width="5" style="126" customWidth="1"/>
    <col min="4616" max="4616" width="7.44140625" style="126" customWidth="1"/>
    <col min="4617" max="4617" width="14.44140625" style="126" customWidth="1"/>
    <col min="4618" max="4618" width="8" style="126" customWidth="1"/>
    <col min="4619" max="4619" width="8.6640625" style="126" customWidth="1"/>
    <col min="4620" max="4620" width="5.109375" style="126" customWidth="1"/>
    <col min="4621" max="4621" width="5" style="126" customWidth="1"/>
    <col min="4622" max="4622" width="4.6640625" style="126" customWidth="1"/>
    <col min="4623" max="4623" width="4.109375" style="126" customWidth="1"/>
    <col min="4624" max="4864" width="9.109375" style="126"/>
    <col min="4865" max="4865" width="6.88671875" style="126" customWidth="1"/>
    <col min="4866" max="4866" width="21.109375" style="126" customWidth="1"/>
    <col min="4867" max="4867" width="7.6640625" style="126" customWidth="1"/>
    <col min="4868" max="4868" width="12.44140625" style="126" customWidth="1"/>
    <col min="4869" max="4869" width="11" style="126" customWidth="1"/>
    <col min="4870" max="4870" width="27.44140625" style="126" customWidth="1"/>
    <col min="4871" max="4871" width="5" style="126" customWidth="1"/>
    <col min="4872" max="4872" width="7.44140625" style="126" customWidth="1"/>
    <col min="4873" max="4873" width="14.44140625" style="126" customWidth="1"/>
    <col min="4874" max="4874" width="8" style="126" customWidth="1"/>
    <col min="4875" max="4875" width="8.6640625" style="126" customWidth="1"/>
    <col min="4876" max="4876" width="5.109375" style="126" customWidth="1"/>
    <col min="4877" max="4877" width="5" style="126" customWidth="1"/>
    <col min="4878" max="4878" width="4.6640625" style="126" customWidth="1"/>
    <col min="4879" max="4879" width="4.109375" style="126" customWidth="1"/>
    <col min="4880" max="5120" width="9.109375" style="126"/>
    <col min="5121" max="5121" width="6.88671875" style="126" customWidth="1"/>
    <col min="5122" max="5122" width="21.109375" style="126" customWidth="1"/>
    <col min="5123" max="5123" width="7.6640625" style="126" customWidth="1"/>
    <col min="5124" max="5124" width="12.44140625" style="126" customWidth="1"/>
    <col min="5125" max="5125" width="11" style="126" customWidth="1"/>
    <col min="5126" max="5126" width="27.44140625" style="126" customWidth="1"/>
    <col min="5127" max="5127" width="5" style="126" customWidth="1"/>
    <col min="5128" max="5128" width="7.44140625" style="126" customWidth="1"/>
    <col min="5129" max="5129" width="14.44140625" style="126" customWidth="1"/>
    <col min="5130" max="5130" width="8" style="126" customWidth="1"/>
    <col min="5131" max="5131" width="8.6640625" style="126" customWidth="1"/>
    <col min="5132" max="5132" width="5.109375" style="126" customWidth="1"/>
    <col min="5133" max="5133" width="5" style="126" customWidth="1"/>
    <col min="5134" max="5134" width="4.6640625" style="126" customWidth="1"/>
    <col min="5135" max="5135" width="4.109375" style="126" customWidth="1"/>
    <col min="5136" max="5376" width="9.109375" style="126"/>
    <col min="5377" max="5377" width="6.88671875" style="126" customWidth="1"/>
    <col min="5378" max="5378" width="21.109375" style="126" customWidth="1"/>
    <col min="5379" max="5379" width="7.6640625" style="126" customWidth="1"/>
    <col min="5380" max="5380" width="12.44140625" style="126" customWidth="1"/>
    <col min="5381" max="5381" width="11" style="126" customWidth="1"/>
    <col min="5382" max="5382" width="27.44140625" style="126" customWidth="1"/>
    <col min="5383" max="5383" width="5" style="126" customWidth="1"/>
    <col min="5384" max="5384" width="7.44140625" style="126" customWidth="1"/>
    <col min="5385" max="5385" width="14.44140625" style="126" customWidth="1"/>
    <col min="5386" max="5386" width="8" style="126" customWidth="1"/>
    <col min="5387" max="5387" width="8.6640625" style="126" customWidth="1"/>
    <col min="5388" max="5388" width="5.109375" style="126" customWidth="1"/>
    <col min="5389" max="5389" width="5" style="126" customWidth="1"/>
    <col min="5390" max="5390" width="4.6640625" style="126" customWidth="1"/>
    <col min="5391" max="5391" width="4.109375" style="126" customWidth="1"/>
    <col min="5392" max="5632" width="9.109375" style="126"/>
    <col min="5633" max="5633" width="6.88671875" style="126" customWidth="1"/>
    <col min="5634" max="5634" width="21.109375" style="126" customWidth="1"/>
    <col min="5635" max="5635" width="7.6640625" style="126" customWidth="1"/>
    <col min="5636" max="5636" width="12.44140625" style="126" customWidth="1"/>
    <col min="5637" max="5637" width="11" style="126" customWidth="1"/>
    <col min="5638" max="5638" width="27.44140625" style="126" customWidth="1"/>
    <col min="5639" max="5639" width="5" style="126" customWidth="1"/>
    <col min="5640" max="5640" width="7.44140625" style="126" customWidth="1"/>
    <col min="5641" max="5641" width="14.44140625" style="126" customWidth="1"/>
    <col min="5642" max="5642" width="8" style="126" customWidth="1"/>
    <col min="5643" max="5643" width="8.6640625" style="126" customWidth="1"/>
    <col min="5644" max="5644" width="5.109375" style="126" customWidth="1"/>
    <col min="5645" max="5645" width="5" style="126" customWidth="1"/>
    <col min="5646" max="5646" width="4.6640625" style="126" customWidth="1"/>
    <col min="5647" max="5647" width="4.109375" style="126" customWidth="1"/>
    <col min="5648" max="5888" width="9.109375" style="126"/>
    <col min="5889" max="5889" width="6.88671875" style="126" customWidth="1"/>
    <col min="5890" max="5890" width="21.109375" style="126" customWidth="1"/>
    <col min="5891" max="5891" width="7.6640625" style="126" customWidth="1"/>
    <col min="5892" max="5892" width="12.44140625" style="126" customWidth="1"/>
    <col min="5893" max="5893" width="11" style="126" customWidth="1"/>
    <col min="5894" max="5894" width="27.44140625" style="126" customWidth="1"/>
    <col min="5895" max="5895" width="5" style="126" customWidth="1"/>
    <col min="5896" max="5896" width="7.44140625" style="126" customWidth="1"/>
    <col min="5897" max="5897" width="14.44140625" style="126" customWidth="1"/>
    <col min="5898" max="5898" width="8" style="126" customWidth="1"/>
    <col min="5899" max="5899" width="8.6640625" style="126" customWidth="1"/>
    <col min="5900" max="5900" width="5.109375" style="126" customWidth="1"/>
    <col min="5901" max="5901" width="5" style="126" customWidth="1"/>
    <col min="5902" max="5902" width="4.6640625" style="126" customWidth="1"/>
    <col min="5903" max="5903" width="4.109375" style="126" customWidth="1"/>
    <col min="5904" max="6144" width="9.109375" style="126"/>
    <col min="6145" max="6145" width="6.88671875" style="126" customWidth="1"/>
    <col min="6146" max="6146" width="21.109375" style="126" customWidth="1"/>
    <col min="6147" max="6147" width="7.6640625" style="126" customWidth="1"/>
    <col min="6148" max="6148" width="12.44140625" style="126" customWidth="1"/>
    <col min="6149" max="6149" width="11" style="126" customWidth="1"/>
    <col min="6150" max="6150" width="27.44140625" style="126" customWidth="1"/>
    <col min="6151" max="6151" width="5" style="126" customWidth="1"/>
    <col min="6152" max="6152" width="7.44140625" style="126" customWidth="1"/>
    <col min="6153" max="6153" width="14.44140625" style="126" customWidth="1"/>
    <col min="6154" max="6154" width="8" style="126" customWidth="1"/>
    <col min="6155" max="6155" width="8.6640625" style="126" customWidth="1"/>
    <col min="6156" max="6156" width="5.109375" style="126" customWidth="1"/>
    <col min="6157" max="6157" width="5" style="126" customWidth="1"/>
    <col min="6158" max="6158" width="4.6640625" style="126" customWidth="1"/>
    <col min="6159" max="6159" width="4.109375" style="126" customWidth="1"/>
    <col min="6160" max="6400" width="9.109375" style="126"/>
    <col min="6401" max="6401" width="6.88671875" style="126" customWidth="1"/>
    <col min="6402" max="6402" width="21.109375" style="126" customWidth="1"/>
    <col min="6403" max="6403" width="7.6640625" style="126" customWidth="1"/>
    <col min="6404" max="6404" width="12.44140625" style="126" customWidth="1"/>
    <col min="6405" max="6405" width="11" style="126" customWidth="1"/>
    <col min="6406" max="6406" width="27.44140625" style="126" customWidth="1"/>
    <col min="6407" max="6407" width="5" style="126" customWidth="1"/>
    <col min="6408" max="6408" width="7.44140625" style="126" customWidth="1"/>
    <col min="6409" max="6409" width="14.44140625" style="126" customWidth="1"/>
    <col min="6410" max="6410" width="8" style="126" customWidth="1"/>
    <col min="6411" max="6411" width="8.6640625" style="126" customWidth="1"/>
    <col min="6412" max="6412" width="5.109375" style="126" customWidth="1"/>
    <col min="6413" max="6413" width="5" style="126" customWidth="1"/>
    <col min="6414" max="6414" width="4.6640625" style="126" customWidth="1"/>
    <col min="6415" max="6415" width="4.109375" style="126" customWidth="1"/>
    <col min="6416" max="6656" width="9.109375" style="126"/>
    <col min="6657" max="6657" width="6.88671875" style="126" customWidth="1"/>
    <col min="6658" max="6658" width="21.109375" style="126" customWidth="1"/>
    <col min="6659" max="6659" width="7.6640625" style="126" customWidth="1"/>
    <col min="6660" max="6660" width="12.44140625" style="126" customWidth="1"/>
    <col min="6661" max="6661" width="11" style="126" customWidth="1"/>
    <col min="6662" max="6662" width="27.44140625" style="126" customWidth="1"/>
    <col min="6663" max="6663" width="5" style="126" customWidth="1"/>
    <col min="6664" max="6664" width="7.44140625" style="126" customWidth="1"/>
    <col min="6665" max="6665" width="14.44140625" style="126" customWidth="1"/>
    <col min="6666" max="6666" width="8" style="126" customWidth="1"/>
    <col min="6667" max="6667" width="8.6640625" style="126" customWidth="1"/>
    <col min="6668" max="6668" width="5.109375" style="126" customWidth="1"/>
    <col min="6669" max="6669" width="5" style="126" customWidth="1"/>
    <col min="6670" max="6670" width="4.6640625" style="126" customWidth="1"/>
    <col min="6671" max="6671" width="4.109375" style="126" customWidth="1"/>
    <col min="6672" max="6912" width="9.109375" style="126"/>
    <col min="6913" max="6913" width="6.88671875" style="126" customWidth="1"/>
    <col min="6914" max="6914" width="21.109375" style="126" customWidth="1"/>
    <col min="6915" max="6915" width="7.6640625" style="126" customWidth="1"/>
    <col min="6916" max="6916" width="12.44140625" style="126" customWidth="1"/>
    <col min="6917" max="6917" width="11" style="126" customWidth="1"/>
    <col min="6918" max="6918" width="27.44140625" style="126" customWidth="1"/>
    <col min="6919" max="6919" width="5" style="126" customWidth="1"/>
    <col min="6920" max="6920" width="7.44140625" style="126" customWidth="1"/>
    <col min="6921" max="6921" width="14.44140625" style="126" customWidth="1"/>
    <col min="6922" max="6922" width="8" style="126" customWidth="1"/>
    <col min="6923" max="6923" width="8.6640625" style="126" customWidth="1"/>
    <col min="6924" max="6924" width="5.109375" style="126" customWidth="1"/>
    <col min="6925" max="6925" width="5" style="126" customWidth="1"/>
    <col min="6926" max="6926" width="4.6640625" style="126" customWidth="1"/>
    <col min="6927" max="6927" width="4.109375" style="126" customWidth="1"/>
    <col min="6928" max="7168" width="9.109375" style="126"/>
    <col min="7169" max="7169" width="6.88671875" style="126" customWidth="1"/>
    <col min="7170" max="7170" width="21.109375" style="126" customWidth="1"/>
    <col min="7171" max="7171" width="7.6640625" style="126" customWidth="1"/>
    <col min="7172" max="7172" width="12.44140625" style="126" customWidth="1"/>
    <col min="7173" max="7173" width="11" style="126" customWidth="1"/>
    <col min="7174" max="7174" width="27.44140625" style="126" customWidth="1"/>
    <col min="7175" max="7175" width="5" style="126" customWidth="1"/>
    <col min="7176" max="7176" width="7.44140625" style="126" customWidth="1"/>
    <col min="7177" max="7177" width="14.44140625" style="126" customWidth="1"/>
    <col min="7178" max="7178" width="8" style="126" customWidth="1"/>
    <col min="7179" max="7179" width="8.6640625" style="126" customWidth="1"/>
    <col min="7180" max="7180" width="5.109375" style="126" customWidth="1"/>
    <col min="7181" max="7181" width="5" style="126" customWidth="1"/>
    <col min="7182" max="7182" width="4.6640625" style="126" customWidth="1"/>
    <col min="7183" max="7183" width="4.109375" style="126" customWidth="1"/>
    <col min="7184" max="7424" width="9.109375" style="126"/>
    <col min="7425" max="7425" width="6.88671875" style="126" customWidth="1"/>
    <col min="7426" max="7426" width="21.109375" style="126" customWidth="1"/>
    <col min="7427" max="7427" width="7.6640625" style="126" customWidth="1"/>
    <col min="7428" max="7428" width="12.44140625" style="126" customWidth="1"/>
    <col min="7429" max="7429" width="11" style="126" customWidth="1"/>
    <col min="7430" max="7430" width="27.44140625" style="126" customWidth="1"/>
    <col min="7431" max="7431" width="5" style="126" customWidth="1"/>
    <col min="7432" max="7432" width="7.44140625" style="126" customWidth="1"/>
    <col min="7433" max="7433" width="14.44140625" style="126" customWidth="1"/>
    <col min="7434" max="7434" width="8" style="126" customWidth="1"/>
    <col min="7435" max="7435" width="8.6640625" style="126" customWidth="1"/>
    <col min="7436" max="7436" width="5.109375" style="126" customWidth="1"/>
    <col min="7437" max="7437" width="5" style="126" customWidth="1"/>
    <col min="7438" max="7438" width="4.6640625" style="126" customWidth="1"/>
    <col min="7439" max="7439" width="4.109375" style="126" customWidth="1"/>
    <col min="7440" max="7680" width="9.109375" style="126"/>
    <col min="7681" max="7681" width="6.88671875" style="126" customWidth="1"/>
    <col min="7682" max="7682" width="21.109375" style="126" customWidth="1"/>
    <col min="7683" max="7683" width="7.6640625" style="126" customWidth="1"/>
    <col min="7684" max="7684" width="12.44140625" style="126" customWidth="1"/>
    <col min="7685" max="7685" width="11" style="126" customWidth="1"/>
    <col min="7686" max="7686" width="27.44140625" style="126" customWidth="1"/>
    <col min="7687" max="7687" width="5" style="126" customWidth="1"/>
    <col min="7688" max="7688" width="7.44140625" style="126" customWidth="1"/>
    <col min="7689" max="7689" width="14.44140625" style="126" customWidth="1"/>
    <col min="7690" max="7690" width="8" style="126" customWidth="1"/>
    <col min="7691" max="7691" width="8.6640625" style="126" customWidth="1"/>
    <col min="7692" max="7692" width="5.109375" style="126" customWidth="1"/>
    <col min="7693" max="7693" width="5" style="126" customWidth="1"/>
    <col min="7694" max="7694" width="4.6640625" style="126" customWidth="1"/>
    <col min="7695" max="7695" width="4.109375" style="126" customWidth="1"/>
    <col min="7696" max="7936" width="9.109375" style="126"/>
    <col min="7937" max="7937" width="6.88671875" style="126" customWidth="1"/>
    <col min="7938" max="7938" width="21.109375" style="126" customWidth="1"/>
    <col min="7939" max="7939" width="7.6640625" style="126" customWidth="1"/>
    <col min="7940" max="7940" width="12.44140625" style="126" customWidth="1"/>
    <col min="7941" max="7941" width="11" style="126" customWidth="1"/>
    <col min="7942" max="7942" width="27.44140625" style="126" customWidth="1"/>
    <col min="7943" max="7943" width="5" style="126" customWidth="1"/>
    <col min="7944" max="7944" width="7.44140625" style="126" customWidth="1"/>
    <col min="7945" max="7945" width="14.44140625" style="126" customWidth="1"/>
    <col min="7946" max="7946" width="8" style="126" customWidth="1"/>
    <col min="7947" max="7947" width="8.6640625" style="126" customWidth="1"/>
    <col min="7948" max="7948" width="5.109375" style="126" customWidth="1"/>
    <col min="7949" max="7949" width="5" style="126" customWidth="1"/>
    <col min="7950" max="7950" width="4.6640625" style="126" customWidth="1"/>
    <col min="7951" max="7951" width="4.109375" style="126" customWidth="1"/>
    <col min="7952" max="8192" width="9.109375" style="126"/>
    <col min="8193" max="8193" width="6.88671875" style="126" customWidth="1"/>
    <col min="8194" max="8194" width="21.109375" style="126" customWidth="1"/>
    <col min="8195" max="8195" width="7.6640625" style="126" customWidth="1"/>
    <col min="8196" max="8196" width="12.44140625" style="126" customWidth="1"/>
    <col min="8197" max="8197" width="11" style="126" customWidth="1"/>
    <col min="8198" max="8198" width="27.44140625" style="126" customWidth="1"/>
    <col min="8199" max="8199" width="5" style="126" customWidth="1"/>
    <col min="8200" max="8200" width="7.44140625" style="126" customWidth="1"/>
    <col min="8201" max="8201" width="14.44140625" style="126" customWidth="1"/>
    <col min="8202" max="8202" width="8" style="126" customWidth="1"/>
    <col min="8203" max="8203" width="8.6640625" style="126" customWidth="1"/>
    <col min="8204" max="8204" width="5.109375" style="126" customWidth="1"/>
    <col min="8205" max="8205" width="5" style="126" customWidth="1"/>
    <col min="8206" max="8206" width="4.6640625" style="126" customWidth="1"/>
    <col min="8207" max="8207" width="4.109375" style="126" customWidth="1"/>
    <col min="8208" max="8448" width="9.109375" style="126"/>
    <col min="8449" max="8449" width="6.88671875" style="126" customWidth="1"/>
    <col min="8450" max="8450" width="21.109375" style="126" customWidth="1"/>
    <col min="8451" max="8451" width="7.6640625" style="126" customWidth="1"/>
    <col min="8452" max="8452" width="12.44140625" style="126" customWidth="1"/>
    <col min="8453" max="8453" width="11" style="126" customWidth="1"/>
    <col min="8454" max="8454" width="27.44140625" style="126" customWidth="1"/>
    <col min="8455" max="8455" width="5" style="126" customWidth="1"/>
    <col min="8456" max="8456" width="7.44140625" style="126" customWidth="1"/>
    <col min="8457" max="8457" width="14.44140625" style="126" customWidth="1"/>
    <col min="8458" max="8458" width="8" style="126" customWidth="1"/>
    <col min="8459" max="8459" width="8.6640625" style="126" customWidth="1"/>
    <col min="8460" max="8460" width="5.109375" style="126" customWidth="1"/>
    <col min="8461" max="8461" width="5" style="126" customWidth="1"/>
    <col min="8462" max="8462" width="4.6640625" style="126" customWidth="1"/>
    <col min="8463" max="8463" width="4.109375" style="126" customWidth="1"/>
    <col min="8464" max="8704" width="9.109375" style="126"/>
    <col min="8705" max="8705" width="6.88671875" style="126" customWidth="1"/>
    <col min="8706" max="8706" width="21.109375" style="126" customWidth="1"/>
    <col min="8707" max="8707" width="7.6640625" style="126" customWidth="1"/>
    <col min="8708" max="8708" width="12.44140625" style="126" customWidth="1"/>
    <col min="8709" max="8709" width="11" style="126" customWidth="1"/>
    <col min="8710" max="8710" width="27.44140625" style="126" customWidth="1"/>
    <col min="8711" max="8711" width="5" style="126" customWidth="1"/>
    <col min="8712" max="8712" width="7.44140625" style="126" customWidth="1"/>
    <col min="8713" max="8713" width="14.44140625" style="126" customWidth="1"/>
    <col min="8714" max="8714" width="8" style="126" customWidth="1"/>
    <col min="8715" max="8715" width="8.6640625" style="126" customWidth="1"/>
    <col min="8716" max="8716" width="5.109375" style="126" customWidth="1"/>
    <col min="8717" max="8717" width="5" style="126" customWidth="1"/>
    <col min="8718" max="8718" width="4.6640625" style="126" customWidth="1"/>
    <col min="8719" max="8719" width="4.109375" style="126" customWidth="1"/>
    <col min="8720" max="8960" width="9.109375" style="126"/>
    <col min="8961" max="8961" width="6.88671875" style="126" customWidth="1"/>
    <col min="8962" max="8962" width="21.109375" style="126" customWidth="1"/>
    <col min="8963" max="8963" width="7.6640625" style="126" customWidth="1"/>
    <col min="8964" max="8964" width="12.44140625" style="126" customWidth="1"/>
    <col min="8965" max="8965" width="11" style="126" customWidth="1"/>
    <col min="8966" max="8966" width="27.44140625" style="126" customWidth="1"/>
    <col min="8967" max="8967" width="5" style="126" customWidth="1"/>
    <col min="8968" max="8968" width="7.44140625" style="126" customWidth="1"/>
    <col min="8969" max="8969" width="14.44140625" style="126" customWidth="1"/>
    <col min="8970" max="8970" width="8" style="126" customWidth="1"/>
    <col min="8971" max="8971" width="8.6640625" style="126" customWidth="1"/>
    <col min="8972" max="8972" width="5.109375" style="126" customWidth="1"/>
    <col min="8973" max="8973" width="5" style="126" customWidth="1"/>
    <col min="8974" max="8974" width="4.6640625" style="126" customWidth="1"/>
    <col min="8975" max="8975" width="4.109375" style="126" customWidth="1"/>
    <col min="8976" max="9216" width="9.109375" style="126"/>
    <col min="9217" max="9217" width="6.88671875" style="126" customWidth="1"/>
    <col min="9218" max="9218" width="21.109375" style="126" customWidth="1"/>
    <col min="9219" max="9219" width="7.6640625" style="126" customWidth="1"/>
    <col min="9220" max="9220" width="12.44140625" style="126" customWidth="1"/>
    <col min="9221" max="9221" width="11" style="126" customWidth="1"/>
    <col min="9222" max="9222" width="27.44140625" style="126" customWidth="1"/>
    <col min="9223" max="9223" width="5" style="126" customWidth="1"/>
    <col min="9224" max="9224" width="7.44140625" style="126" customWidth="1"/>
    <col min="9225" max="9225" width="14.44140625" style="126" customWidth="1"/>
    <col min="9226" max="9226" width="8" style="126" customWidth="1"/>
    <col min="9227" max="9227" width="8.6640625" style="126" customWidth="1"/>
    <col min="9228" max="9228" width="5.109375" style="126" customWidth="1"/>
    <col min="9229" max="9229" width="5" style="126" customWidth="1"/>
    <col min="9230" max="9230" width="4.6640625" style="126" customWidth="1"/>
    <col min="9231" max="9231" width="4.109375" style="126" customWidth="1"/>
    <col min="9232" max="9472" width="9.109375" style="126"/>
    <col min="9473" max="9473" width="6.88671875" style="126" customWidth="1"/>
    <col min="9474" max="9474" width="21.109375" style="126" customWidth="1"/>
    <col min="9475" max="9475" width="7.6640625" style="126" customWidth="1"/>
    <col min="9476" max="9476" width="12.44140625" style="126" customWidth="1"/>
    <col min="9477" max="9477" width="11" style="126" customWidth="1"/>
    <col min="9478" max="9478" width="27.44140625" style="126" customWidth="1"/>
    <col min="9479" max="9479" width="5" style="126" customWidth="1"/>
    <col min="9480" max="9480" width="7.44140625" style="126" customWidth="1"/>
    <col min="9481" max="9481" width="14.44140625" style="126" customWidth="1"/>
    <col min="9482" max="9482" width="8" style="126" customWidth="1"/>
    <col min="9483" max="9483" width="8.6640625" style="126" customWidth="1"/>
    <col min="9484" max="9484" width="5.109375" style="126" customWidth="1"/>
    <col min="9485" max="9485" width="5" style="126" customWidth="1"/>
    <col min="9486" max="9486" width="4.6640625" style="126" customWidth="1"/>
    <col min="9487" max="9487" width="4.109375" style="126" customWidth="1"/>
    <col min="9488" max="9728" width="9.109375" style="126"/>
    <col min="9729" max="9729" width="6.88671875" style="126" customWidth="1"/>
    <col min="9730" max="9730" width="21.109375" style="126" customWidth="1"/>
    <col min="9731" max="9731" width="7.6640625" style="126" customWidth="1"/>
    <col min="9732" max="9732" width="12.44140625" style="126" customWidth="1"/>
    <col min="9733" max="9733" width="11" style="126" customWidth="1"/>
    <col min="9734" max="9734" width="27.44140625" style="126" customWidth="1"/>
    <col min="9735" max="9735" width="5" style="126" customWidth="1"/>
    <col min="9736" max="9736" width="7.44140625" style="126" customWidth="1"/>
    <col min="9737" max="9737" width="14.44140625" style="126" customWidth="1"/>
    <col min="9738" max="9738" width="8" style="126" customWidth="1"/>
    <col min="9739" max="9739" width="8.6640625" style="126" customWidth="1"/>
    <col min="9740" max="9740" width="5.109375" style="126" customWidth="1"/>
    <col min="9741" max="9741" width="5" style="126" customWidth="1"/>
    <col min="9742" max="9742" width="4.6640625" style="126" customWidth="1"/>
    <col min="9743" max="9743" width="4.109375" style="126" customWidth="1"/>
    <col min="9744" max="9984" width="9.109375" style="126"/>
    <col min="9985" max="9985" width="6.88671875" style="126" customWidth="1"/>
    <col min="9986" max="9986" width="21.109375" style="126" customWidth="1"/>
    <col min="9987" max="9987" width="7.6640625" style="126" customWidth="1"/>
    <col min="9988" max="9988" width="12.44140625" style="126" customWidth="1"/>
    <col min="9989" max="9989" width="11" style="126" customWidth="1"/>
    <col min="9990" max="9990" width="27.44140625" style="126" customWidth="1"/>
    <col min="9991" max="9991" width="5" style="126" customWidth="1"/>
    <col min="9992" max="9992" width="7.44140625" style="126" customWidth="1"/>
    <col min="9993" max="9993" width="14.44140625" style="126" customWidth="1"/>
    <col min="9994" max="9994" width="8" style="126" customWidth="1"/>
    <col min="9995" max="9995" width="8.6640625" style="126" customWidth="1"/>
    <col min="9996" max="9996" width="5.109375" style="126" customWidth="1"/>
    <col min="9997" max="9997" width="5" style="126" customWidth="1"/>
    <col min="9998" max="9998" width="4.6640625" style="126" customWidth="1"/>
    <col min="9999" max="9999" width="4.109375" style="126" customWidth="1"/>
    <col min="10000" max="10240" width="9.109375" style="126"/>
    <col min="10241" max="10241" width="6.88671875" style="126" customWidth="1"/>
    <col min="10242" max="10242" width="21.109375" style="126" customWidth="1"/>
    <col min="10243" max="10243" width="7.6640625" style="126" customWidth="1"/>
    <col min="10244" max="10244" width="12.44140625" style="126" customWidth="1"/>
    <col min="10245" max="10245" width="11" style="126" customWidth="1"/>
    <col min="10246" max="10246" width="27.44140625" style="126" customWidth="1"/>
    <col min="10247" max="10247" width="5" style="126" customWidth="1"/>
    <col min="10248" max="10248" width="7.44140625" style="126" customWidth="1"/>
    <col min="10249" max="10249" width="14.44140625" style="126" customWidth="1"/>
    <col min="10250" max="10250" width="8" style="126" customWidth="1"/>
    <col min="10251" max="10251" width="8.6640625" style="126" customWidth="1"/>
    <col min="10252" max="10252" width="5.109375" style="126" customWidth="1"/>
    <col min="10253" max="10253" width="5" style="126" customWidth="1"/>
    <col min="10254" max="10254" width="4.6640625" style="126" customWidth="1"/>
    <col min="10255" max="10255" width="4.109375" style="126" customWidth="1"/>
    <col min="10256" max="10496" width="9.109375" style="126"/>
    <col min="10497" max="10497" width="6.88671875" style="126" customWidth="1"/>
    <col min="10498" max="10498" width="21.109375" style="126" customWidth="1"/>
    <col min="10499" max="10499" width="7.6640625" style="126" customWidth="1"/>
    <col min="10500" max="10500" width="12.44140625" style="126" customWidth="1"/>
    <col min="10501" max="10501" width="11" style="126" customWidth="1"/>
    <col min="10502" max="10502" width="27.44140625" style="126" customWidth="1"/>
    <col min="10503" max="10503" width="5" style="126" customWidth="1"/>
    <col min="10504" max="10504" width="7.44140625" style="126" customWidth="1"/>
    <col min="10505" max="10505" width="14.44140625" style="126" customWidth="1"/>
    <col min="10506" max="10506" width="8" style="126" customWidth="1"/>
    <col min="10507" max="10507" width="8.6640625" style="126" customWidth="1"/>
    <col min="10508" max="10508" width="5.109375" style="126" customWidth="1"/>
    <col min="10509" max="10509" width="5" style="126" customWidth="1"/>
    <col min="10510" max="10510" width="4.6640625" style="126" customWidth="1"/>
    <col min="10511" max="10511" width="4.109375" style="126" customWidth="1"/>
    <col min="10512" max="10752" width="9.109375" style="126"/>
    <col min="10753" max="10753" width="6.88671875" style="126" customWidth="1"/>
    <col min="10754" max="10754" width="21.109375" style="126" customWidth="1"/>
    <col min="10755" max="10755" width="7.6640625" style="126" customWidth="1"/>
    <col min="10756" max="10756" width="12.44140625" style="126" customWidth="1"/>
    <col min="10757" max="10757" width="11" style="126" customWidth="1"/>
    <col min="10758" max="10758" width="27.44140625" style="126" customWidth="1"/>
    <col min="10759" max="10759" width="5" style="126" customWidth="1"/>
    <col min="10760" max="10760" width="7.44140625" style="126" customWidth="1"/>
    <col min="10761" max="10761" width="14.44140625" style="126" customWidth="1"/>
    <col min="10762" max="10762" width="8" style="126" customWidth="1"/>
    <col min="10763" max="10763" width="8.6640625" style="126" customWidth="1"/>
    <col min="10764" max="10764" width="5.109375" style="126" customWidth="1"/>
    <col min="10765" max="10765" width="5" style="126" customWidth="1"/>
    <col min="10766" max="10766" width="4.6640625" style="126" customWidth="1"/>
    <col min="10767" max="10767" width="4.109375" style="126" customWidth="1"/>
    <col min="10768" max="11008" width="9.109375" style="126"/>
    <col min="11009" max="11009" width="6.88671875" style="126" customWidth="1"/>
    <col min="11010" max="11010" width="21.109375" style="126" customWidth="1"/>
    <col min="11011" max="11011" width="7.6640625" style="126" customWidth="1"/>
    <col min="11012" max="11012" width="12.44140625" style="126" customWidth="1"/>
    <col min="11013" max="11013" width="11" style="126" customWidth="1"/>
    <col min="11014" max="11014" width="27.44140625" style="126" customWidth="1"/>
    <col min="11015" max="11015" width="5" style="126" customWidth="1"/>
    <col min="11016" max="11016" width="7.44140625" style="126" customWidth="1"/>
    <col min="11017" max="11017" width="14.44140625" style="126" customWidth="1"/>
    <col min="11018" max="11018" width="8" style="126" customWidth="1"/>
    <col min="11019" max="11019" width="8.6640625" style="126" customWidth="1"/>
    <col min="11020" max="11020" width="5.109375" style="126" customWidth="1"/>
    <col min="11021" max="11021" width="5" style="126" customWidth="1"/>
    <col min="11022" max="11022" width="4.6640625" style="126" customWidth="1"/>
    <col min="11023" max="11023" width="4.109375" style="126" customWidth="1"/>
    <col min="11024" max="11264" width="9.109375" style="126"/>
    <col min="11265" max="11265" width="6.88671875" style="126" customWidth="1"/>
    <col min="11266" max="11266" width="21.109375" style="126" customWidth="1"/>
    <col min="11267" max="11267" width="7.6640625" style="126" customWidth="1"/>
    <col min="11268" max="11268" width="12.44140625" style="126" customWidth="1"/>
    <col min="11269" max="11269" width="11" style="126" customWidth="1"/>
    <col min="11270" max="11270" width="27.44140625" style="126" customWidth="1"/>
    <col min="11271" max="11271" width="5" style="126" customWidth="1"/>
    <col min="11272" max="11272" width="7.44140625" style="126" customWidth="1"/>
    <col min="11273" max="11273" width="14.44140625" style="126" customWidth="1"/>
    <col min="11274" max="11274" width="8" style="126" customWidth="1"/>
    <col min="11275" max="11275" width="8.6640625" style="126" customWidth="1"/>
    <col min="11276" max="11276" width="5.109375" style="126" customWidth="1"/>
    <col min="11277" max="11277" width="5" style="126" customWidth="1"/>
    <col min="11278" max="11278" width="4.6640625" style="126" customWidth="1"/>
    <col min="11279" max="11279" width="4.109375" style="126" customWidth="1"/>
    <col min="11280" max="11520" width="9.109375" style="126"/>
    <col min="11521" max="11521" width="6.88671875" style="126" customWidth="1"/>
    <col min="11522" max="11522" width="21.109375" style="126" customWidth="1"/>
    <col min="11523" max="11523" width="7.6640625" style="126" customWidth="1"/>
    <col min="11524" max="11524" width="12.44140625" style="126" customWidth="1"/>
    <col min="11525" max="11525" width="11" style="126" customWidth="1"/>
    <col min="11526" max="11526" width="27.44140625" style="126" customWidth="1"/>
    <col min="11527" max="11527" width="5" style="126" customWidth="1"/>
    <col min="11528" max="11528" width="7.44140625" style="126" customWidth="1"/>
    <col min="11529" max="11529" width="14.44140625" style="126" customWidth="1"/>
    <col min="11530" max="11530" width="8" style="126" customWidth="1"/>
    <col min="11531" max="11531" width="8.6640625" style="126" customWidth="1"/>
    <col min="11532" max="11532" width="5.109375" style="126" customWidth="1"/>
    <col min="11533" max="11533" width="5" style="126" customWidth="1"/>
    <col min="11534" max="11534" width="4.6640625" style="126" customWidth="1"/>
    <col min="11535" max="11535" width="4.109375" style="126" customWidth="1"/>
    <col min="11536" max="11776" width="9.109375" style="126"/>
    <col min="11777" max="11777" width="6.88671875" style="126" customWidth="1"/>
    <col min="11778" max="11778" width="21.109375" style="126" customWidth="1"/>
    <col min="11779" max="11779" width="7.6640625" style="126" customWidth="1"/>
    <col min="11780" max="11780" width="12.44140625" style="126" customWidth="1"/>
    <col min="11781" max="11781" width="11" style="126" customWidth="1"/>
    <col min="11782" max="11782" width="27.44140625" style="126" customWidth="1"/>
    <col min="11783" max="11783" width="5" style="126" customWidth="1"/>
    <col min="11784" max="11784" width="7.44140625" style="126" customWidth="1"/>
    <col min="11785" max="11785" width="14.44140625" style="126" customWidth="1"/>
    <col min="11786" max="11786" width="8" style="126" customWidth="1"/>
    <col min="11787" max="11787" width="8.6640625" style="126" customWidth="1"/>
    <col min="11788" max="11788" width="5.109375" style="126" customWidth="1"/>
    <col min="11789" max="11789" width="5" style="126" customWidth="1"/>
    <col min="11790" max="11790" width="4.6640625" style="126" customWidth="1"/>
    <col min="11791" max="11791" width="4.109375" style="126" customWidth="1"/>
    <col min="11792" max="12032" width="9.109375" style="126"/>
    <col min="12033" max="12033" width="6.88671875" style="126" customWidth="1"/>
    <col min="12034" max="12034" width="21.109375" style="126" customWidth="1"/>
    <col min="12035" max="12035" width="7.6640625" style="126" customWidth="1"/>
    <col min="12036" max="12036" width="12.44140625" style="126" customWidth="1"/>
    <col min="12037" max="12037" width="11" style="126" customWidth="1"/>
    <col min="12038" max="12038" width="27.44140625" style="126" customWidth="1"/>
    <col min="12039" max="12039" width="5" style="126" customWidth="1"/>
    <col min="12040" max="12040" width="7.44140625" style="126" customWidth="1"/>
    <col min="12041" max="12041" width="14.44140625" style="126" customWidth="1"/>
    <col min="12042" max="12042" width="8" style="126" customWidth="1"/>
    <col min="12043" max="12043" width="8.6640625" style="126" customWidth="1"/>
    <col min="12044" max="12044" width="5.109375" style="126" customWidth="1"/>
    <col min="12045" max="12045" width="5" style="126" customWidth="1"/>
    <col min="12046" max="12046" width="4.6640625" style="126" customWidth="1"/>
    <col min="12047" max="12047" width="4.109375" style="126" customWidth="1"/>
    <col min="12048" max="12288" width="9.109375" style="126"/>
    <col min="12289" max="12289" width="6.88671875" style="126" customWidth="1"/>
    <col min="12290" max="12290" width="21.109375" style="126" customWidth="1"/>
    <col min="12291" max="12291" width="7.6640625" style="126" customWidth="1"/>
    <col min="12292" max="12292" width="12.44140625" style="126" customWidth="1"/>
    <col min="12293" max="12293" width="11" style="126" customWidth="1"/>
    <col min="12294" max="12294" width="27.44140625" style="126" customWidth="1"/>
    <col min="12295" max="12295" width="5" style="126" customWidth="1"/>
    <col min="12296" max="12296" width="7.44140625" style="126" customWidth="1"/>
    <col min="12297" max="12297" width="14.44140625" style="126" customWidth="1"/>
    <col min="12298" max="12298" width="8" style="126" customWidth="1"/>
    <col min="12299" max="12299" width="8.6640625" style="126" customWidth="1"/>
    <col min="12300" max="12300" width="5.109375" style="126" customWidth="1"/>
    <col min="12301" max="12301" width="5" style="126" customWidth="1"/>
    <col min="12302" max="12302" width="4.6640625" style="126" customWidth="1"/>
    <col min="12303" max="12303" width="4.109375" style="126" customWidth="1"/>
    <col min="12304" max="12544" width="9.109375" style="126"/>
    <col min="12545" max="12545" width="6.88671875" style="126" customWidth="1"/>
    <col min="12546" max="12546" width="21.109375" style="126" customWidth="1"/>
    <col min="12547" max="12547" width="7.6640625" style="126" customWidth="1"/>
    <col min="12548" max="12548" width="12.44140625" style="126" customWidth="1"/>
    <col min="12549" max="12549" width="11" style="126" customWidth="1"/>
    <col min="12550" max="12550" width="27.44140625" style="126" customWidth="1"/>
    <col min="12551" max="12551" width="5" style="126" customWidth="1"/>
    <col min="12552" max="12552" width="7.44140625" style="126" customWidth="1"/>
    <col min="12553" max="12553" width="14.44140625" style="126" customWidth="1"/>
    <col min="12554" max="12554" width="8" style="126" customWidth="1"/>
    <col min="12555" max="12555" width="8.6640625" style="126" customWidth="1"/>
    <col min="12556" max="12556" width="5.109375" style="126" customWidth="1"/>
    <col min="12557" max="12557" width="5" style="126" customWidth="1"/>
    <col min="12558" max="12558" width="4.6640625" style="126" customWidth="1"/>
    <col min="12559" max="12559" width="4.109375" style="126" customWidth="1"/>
    <col min="12560" max="12800" width="9.109375" style="126"/>
    <col min="12801" max="12801" width="6.88671875" style="126" customWidth="1"/>
    <col min="12802" max="12802" width="21.109375" style="126" customWidth="1"/>
    <col min="12803" max="12803" width="7.6640625" style="126" customWidth="1"/>
    <col min="12804" max="12804" width="12.44140625" style="126" customWidth="1"/>
    <col min="12805" max="12805" width="11" style="126" customWidth="1"/>
    <col min="12806" max="12806" width="27.44140625" style="126" customWidth="1"/>
    <col min="12807" max="12807" width="5" style="126" customWidth="1"/>
    <col min="12808" max="12808" width="7.44140625" style="126" customWidth="1"/>
    <col min="12809" max="12809" width="14.44140625" style="126" customWidth="1"/>
    <col min="12810" max="12810" width="8" style="126" customWidth="1"/>
    <col min="12811" max="12811" width="8.6640625" style="126" customWidth="1"/>
    <col min="12812" max="12812" width="5.109375" style="126" customWidth="1"/>
    <col min="12813" max="12813" width="5" style="126" customWidth="1"/>
    <col min="12814" max="12814" width="4.6640625" style="126" customWidth="1"/>
    <col min="12815" max="12815" width="4.109375" style="126" customWidth="1"/>
    <col min="12816" max="13056" width="9.109375" style="126"/>
    <col min="13057" max="13057" width="6.88671875" style="126" customWidth="1"/>
    <col min="13058" max="13058" width="21.109375" style="126" customWidth="1"/>
    <col min="13059" max="13059" width="7.6640625" style="126" customWidth="1"/>
    <col min="13060" max="13060" width="12.44140625" style="126" customWidth="1"/>
    <col min="13061" max="13061" width="11" style="126" customWidth="1"/>
    <col min="13062" max="13062" width="27.44140625" style="126" customWidth="1"/>
    <col min="13063" max="13063" width="5" style="126" customWidth="1"/>
    <col min="13064" max="13064" width="7.44140625" style="126" customWidth="1"/>
    <col min="13065" max="13065" width="14.44140625" style="126" customWidth="1"/>
    <col min="13066" max="13066" width="8" style="126" customWidth="1"/>
    <col min="13067" max="13067" width="8.6640625" style="126" customWidth="1"/>
    <col min="13068" max="13068" width="5.109375" style="126" customWidth="1"/>
    <col min="13069" max="13069" width="5" style="126" customWidth="1"/>
    <col min="13070" max="13070" width="4.6640625" style="126" customWidth="1"/>
    <col min="13071" max="13071" width="4.109375" style="126" customWidth="1"/>
    <col min="13072" max="13312" width="9.109375" style="126"/>
    <col min="13313" max="13313" width="6.88671875" style="126" customWidth="1"/>
    <col min="13314" max="13314" width="21.109375" style="126" customWidth="1"/>
    <col min="13315" max="13315" width="7.6640625" style="126" customWidth="1"/>
    <col min="13316" max="13316" width="12.44140625" style="126" customWidth="1"/>
    <col min="13317" max="13317" width="11" style="126" customWidth="1"/>
    <col min="13318" max="13318" width="27.44140625" style="126" customWidth="1"/>
    <col min="13319" max="13319" width="5" style="126" customWidth="1"/>
    <col min="13320" max="13320" width="7.44140625" style="126" customWidth="1"/>
    <col min="13321" max="13321" width="14.44140625" style="126" customWidth="1"/>
    <col min="13322" max="13322" width="8" style="126" customWidth="1"/>
    <col min="13323" max="13323" width="8.6640625" style="126" customWidth="1"/>
    <col min="13324" max="13324" width="5.109375" style="126" customWidth="1"/>
    <col min="13325" max="13325" width="5" style="126" customWidth="1"/>
    <col min="13326" max="13326" width="4.6640625" style="126" customWidth="1"/>
    <col min="13327" max="13327" width="4.109375" style="126" customWidth="1"/>
    <col min="13328" max="13568" width="9.109375" style="126"/>
    <col min="13569" max="13569" width="6.88671875" style="126" customWidth="1"/>
    <col min="13570" max="13570" width="21.109375" style="126" customWidth="1"/>
    <col min="13571" max="13571" width="7.6640625" style="126" customWidth="1"/>
    <col min="13572" max="13572" width="12.44140625" style="126" customWidth="1"/>
    <col min="13573" max="13573" width="11" style="126" customWidth="1"/>
    <col min="13574" max="13574" width="27.44140625" style="126" customWidth="1"/>
    <col min="13575" max="13575" width="5" style="126" customWidth="1"/>
    <col min="13576" max="13576" width="7.44140625" style="126" customWidth="1"/>
    <col min="13577" max="13577" width="14.44140625" style="126" customWidth="1"/>
    <col min="13578" max="13578" width="8" style="126" customWidth="1"/>
    <col min="13579" max="13579" width="8.6640625" style="126" customWidth="1"/>
    <col min="13580" max="13580" width="5.109375" style="126" customWidth="1"/>
    <col min="13581" max="13581" width="5" style="126" customWidth="1"/>
    <col min="13582" max="13582" width="4.6640625" style="126" customWidth="1"/>
    <col min="13583" max="13583" width="4.109375" style="126" customWidth="1"/>
    <col min="13584" max="13824" width="9.109375" style="126"/>
    <col min="13825" max="13825" width="6.88671875" style="126" customWidth="1"/>
    <col min="13826" max="13826" width="21.109375" style="126" customWidth="1"/>
    <col min="13827" max="13827" width="7.6640625" style="126" customWidth="1"/>
    <col min="13828" max="13828" width="12.44140625" style="126" customWidth="1"/>
    <col min="13829" max="13829" width="11" style="126" customWidth="1"/>
    <col min="13830" max="13830" width="27.44140625" style="126" customWidth="1"/>
    <col min="13831" max="13831" width="5" style="126" customWidth="1"/>
    <col min="13832" max="13832" width="7.44140625" style="126" customWidth="1"/>
    <col min="13833" max="13833" width="14.44140625" style="126" customWidth="1"/>
    <col min="13834" max="13834" width="8" style="126" customWidth="1"/>
    <col min="13835" max="13835" width="8.6640625" style="126" customWidth="1"/>
    <col min="13836" max="13836" width="5.109375" style="126" customWidth="1"/>
    <col min="13837" max="13837" width="5" style="126" customWidth="1"/>
    <col min="13838" max="13838" width="4.6640625" style="126" customWidth="1"/>
    <col min="13839" max="13839" width="4.109375" style="126" customWidth="1"/>
    <col min="13840" max="14080" width="9.109375" style="126"/>
    <col min="14081" max="14081" width="6.88671875" style="126" customWidth="1"/>
    <col min="14082" max="14082" width="21.109375" style="126" customWidth="1"/>
    <col min="14083" max="14083" width="7.6640625" style="126" customWidth="1"/>
    <col min="14084" max="14084" width="12.44140625" style="126" customWidth="1"/>
    <col min="14085" max="14085" width="11" style="126" customWidth="1"/>
    <col min="14086" max="14086" width="27.44140625" style="126" customWidth="1"/>
    <col min="14087" max="14087" width="5" style="126" customWidth="1"/>
    <col min="14088" max="14088" width="7.44140625" style="126" customWidth="1"/>
    <col min="14089" max="14089" width="14.44140625" style="126" customWidth="1"/>
    <col min="14090" max="14090" width="8" style="126" customWidth="1"/>
    <col min="14091" max="14091" width="8.6640625" style="126" customWidth="1"/>
    <col min="14092" max="14092" width="5.109375" style="126" customWidth="1"/>
    <col min="14093" max="14093" width="5" style="126" customWidth="1"/>
    <col min="14094" max="14094" width="4.6640625" style="126" customWidth="1"/>
    <col min="14095" max="14095" width="4.109375" style="126" customWidth="1"/>
    <col min="14096" max="14336" width="9.109375" style="126"/>
    <col min="14337" max="14337" width="6.88671875" style="126" customWidth="1"/>
    <col min="14338" max="14338" width="21.109375" style="126" customWidth="1"/>
    <col min="14339" max="14339" width="7.6640625" style="126" customWidth="1"/>
    <col min="14340" max="14340" width="12.44140625" style="126" customWidth="1"/>
    <col min="14341" max="14341" width="11" style="126" customWidth="1"/>
    <col min="14342" max="14342" width="27.44140625" style="126" customWidth="1"/>
    <col min="14343" max="14343" width="5" style="126" customWidth="1"/>
    <col min="14344" max="14344" width="7.44140625" style="126" customWidth="1"/>
    <col min="14345" max="14345" width="14.44140625" style="126" customWidth="1"/>
    <col min="14346" max="14346" width="8" style="126" customWidth="1"/>
    <col min="14347" max="14347" width="8.6640625" style="126" customWidth="1"/>
    <col min="14348" max="14348" width="5.109375" style="126" customWidth="1"/>
    <col min="14349" max="14349" width="5" style="126" customWidth="1"/>
    <col min="14350" max="14350" width="4.6640625" style="126" customWidth="1"/>
    <col min="14351" max="14351" width="4.109375" style="126" customWidth="1"/>
    <col min="14352" max="14592" width="9.109375" style="126"/>
    <col min="14593" max="14593" width="6.88671875" style="126" customWidth="1"/>
    <col min="14594" max="14594" width="21.109375" style="126" customWidth="1"/>
    <col min="14595" max="14595" width="7.6640625" style="126" customWidth="1"/>
    <col min="14596" max="14596" width="12.44140625" style="126" customWidth="1"/>
    <col min="14597" max="14597" width="11" style="126" customWidth="1"/>
    <col min="14598" max="14598" width="27.44140625" style="126" customWidth="1"/>
    <col min="14599" max="14599" width="5" style="126" customWidth="1"/>
    <col min="14600" max="14600" width="7.44140625" style="126" customWidth="1"/>
    <col min="14601" max="14601" width="14.44140625" style="126" customWidth="1"/>
    <col min="14602" max="14602" width="8" style="126" customWidth="1"/>
    <col min="14603" max="14603" width="8.6640625" style="126" customWidth="1"/>
    <col min="14604" max="14604" width="5.109375" style="126" customWidth="1"/>
    <col min="14605" max="14605" width="5" style="126" customWidth="1"/>
    <col min="14606" max="14606" width="4.6640625" style="126" customWidth="1"/>
    <col min="14607" max="14607" width="4.109375" style="126" customWidth="1"/>
    <col min="14608" max="14848" width="9.109375" style="126"/>
    <col min="14849" max="14849" width="6.88671875" style="126" customWidth="1"/>
    <col min="14850" max="14850" width="21.109375" style="126" customWidth="1"/>
    <col min="14851" max="14851" width="7.6640625" style="126" customWidth="1"/>
    <col min="14852" max="14852" width="12.44140625" style="126" customWidth="1"/>
    <col min="14853" max="14853" width="11" style="126" customWidth="1"/>
    <col min="14854" max="14854" width="27.44140625" style="126" customWidth="1"/>
    <col min="14855" max="14855" width="5" style="126" customWidth="1"/>
    <col min="14856" max="14856" width="7.44140625" style="126" customWidth="1"/>
    <col min="14857" max="14857" width="14.44140625" style="126" customWidth="1"/>
    <col min="14858" max="14858" width="8" style="126" customWidth="1"/>
    <col min="14859" max="14859" width="8.6640625" style="126" customWidth="1"/>
    <col min="14860" max="14860" width="5.109375" style="126" customWidth="1"/>
    <col min="14861" max="14861" width="5" style="126" customWidth="1"/>
    <col min="14862" max="14862" width="4.6640625" style="126" customWidth="1"/>
    <col min="14863" max="14863" width="4.109375" style="126" customWidth="1"/>
    <col min="14864" max="15104" width="9.109375" style="126"/>
    <col min="15105" max="15105" width="6.88671875" style="126" customWidth="1"/>
    <col min="15106" max="15106" width="21.109375" style="126" customWidth="1"/>
    <col min="15107" max="15107" width="7.6640625" style="126" customWidth="1"/>
    <col min="15108" max="15108" width="12.44140625" style="126" customWidth="1"/>
    <col min="15109" max="15109" width="11" style="126" customWidth="1"/>
    <col min="15110" max="15110" width="27.44140625" style="126" customWidth="1"/>
    <col min="15111" max="15111" width="5" style="126" customWidth="1"/>
    <col min="15112" max="15112" width="7.44140625" style="126" customWidth="1"/>
    <col min="15113" max="15113" width="14.44140625" style="126" customWidth="1"/>
    <col min="15114" max="15114" width="8" style="126" customWidth="1"/>
    <col min="15115" max="15115" width="8.6640625" style="126" customWidth="1"/>
    <col min="15116" max="15116" width="5.109375" style="126" customWidth="1"/>
    <col min="15117" max="15117" width="5" style="126" customWidth="1"/>
    <col min="15118" max="15118" width="4.6640625" style="126" customWidth="1"/>
    <col min="15119" max="15119" width="4.109375" style="126" customWidth="1"/>
    <col min="15120" max="15360" width="9.109375" style="126"/>
    <col min="15361" max="15361" width="6.88671875" style="126" customWidth="1"/>
    <col min="15362" max="15362" width="21.109375" style="126" customWidth="1"/>
    <col min="15363" max="15363" width="7.6640625" style="126" customWidth="1"/>
    <col min="15364" max="15364" width="12.44140625" style="126" customWidth="1"/>
    <col min="15365" max="15365" width="11" style="126" customWidth="1"/>
    <col min="15366" max="15366" width="27.44140625" style="126" customWidth="1"/>
    <col min="15367" max="15367" width="5" style="126" customWidth="1"/>
    <col min="15368" max="15368" width="7.44140625" style="126" customWidth="1"/>
    <col min="15369" max="15369" width="14.44140625" style="126" customWidth="1"/>
    <col min="15370" max="15370" width="8" style="126" customWidth="1"/>
    <col min="15371" max="15371" width="8.6640625" style="126" customWidth="1"/>
    <col min="15372" max="15372" width="5.109375" style="126" customWidth="1"/>
    <col min="15373" max="15373" width="5" style="126" customWidth="1"/>
    <col min="15374" max="15374" width="4.6640625" style="126" customWidth="1"/>
    <col min="15375" max="15375" width="4.109375" style="126" customWidth="1"/>
    <col min="15376" max="15616" width="9.109375" style="126"/>
    <col min="15617" max="15617" width="6.88671875" style="126" customWidth="1"/>
    <col min="15618" max="15618" width="21.109375" style="126" customWidth="1"/>
    <col min="15619" max="15619" width="7.6640625" style="126" customWidth="1"/>
    <col min="15620" max="15620" width="12.44140625" style="126" customWidth="1"/>
    <col min="15621" max="15621" width="11" style="126" customWidth="1"/>
    <col min="15622" max="15622" width="27.44140625" style="126" customWidth="1"/>
    <col min="15623" max="15623" width="5" style="126" customWidth="1"/>
    <col min="15624" max="15624" width="7.44140625" style="126" customWidth="1"/>
    <col min="15625" max="15625" width="14.44140625" style="126" customWidth="1"/>
    <col min="15626" max="15626" width="8" style="126" customWidth="1"/>
    <col min="15627" max="15627" width="8.6640625" style="126" customWidth="1"/>
    <col min="15628" max="15628" width="5.109375" style="126" customWidth="1"/>
    <col min="15629" max="15629" width="5" style="126" customWidth="1"/>
    <col min="15630" max="15630" width="4.6640625" style="126" customWidth="1"/>
    <col min="15631" max="15631" width="4.109375" style="126" customWidth="1"/>
    <col min="15632" max="15872" width="9.109375" style="126"/>
    <col min="15873" max="15873" width="6.88671875" style="126" customWidth="1"/>
    <col min="15874" max="15874" width="21.109375" style="126" customWidth="1"/>
    <col min="15875" max="15875" width="7.6640625" style="126" customWidth="1"/>
    <col min="15876" max="15876" width="12.44140625" style="126" customWidth="1"/>
    <col min="15877" max="15877" width="11" style="126" customWidth="1"/>
    <col min="15878" max="15878" width="27.44140625" style="126" customWidth="1"/>
    <col min="15879" max="15879" width="5" style="126" customWidth="1"/>
    <col min="15880" max="15880" width="7.44140625" style="126" customWidth="1"/>
    <col min="15881" max="15881" width="14.44140625" style="126" customWidth="1"/>
    <col min="15882" max="15882" width="8" style="126" customWidth="1"/>
    <col min="15883" max="15883" width="8.6640625" style="126" customWidth="1"/>
    <col min="15884" max="15884" width="5.109375" style="126" customWidth="1"/>
    <col min="15885" max="15885" width="5" style="126" customWidth="1"/>
    <col min="15886" max="15886" width="4.6640625" style="126" customWidth="1"/>
    <col min="15887" max="15887" width="4.109375" style="126" customWidth="1"/>
    <col min="15888" max="16128" width="9.109375" style="126"/>
    <col min="16129" max="16129" width="6.88671875" style="126" customWidth="1"/>
    <col min="16130" max="16130" width="21.109375" style="126" customWidth="1"/>
    <col min="16131" max="16131" width="7.6640625" style="126" customWidth="1"/>
    <col min="16132" max="16132" width="12.44140625" style="126" customWidth="1"/>
    <col min="16133" max="16133" width="11" style="126" customWidth="1"/>
    <col min="16134" max="16134" width="27.44140625" style="126" customWidth="1"/>
    <col min="16135" max="16135" width="5" style="126" customWidth="1"/>
    <col min="16136" max="16136" width="7.44140625" style="126" customWidth="1"/>
    <col min="16137" max="16137" width="14.44140625" style="126" customWidth="1"/>
    <col min="16138" max="16138" width="8" style="126" customWidth="1"/>
    <col min="16139" max="16139" width="8.6640625" style="126" customWidth="1"/>
    <col min="16140" max="16140" width="5.109375" style="126" customWidth="1"/>
    <col min="16141" max="16141" width="5" style="126" customWidth="1"/>
    <col min="16142" max="16142" width="4.6640625" style="126" customWidth="1"/>
    <col min="16143" max="16143" width="4.109375" style="126" customWidth="1"/>
    <col min="16144" max="16384" width="9.109375" style="126"/>
  </cols>
  <sheetData>
    <row r="1" spans="1:16" ht="26.25" customHeight="1" x14ac:dyDescent="0.35">
      <c r="A1" s="304" t="str">
        <f>'[8]MS rate'!A1:F1</f>
        <v>Shankharapur Municipality</v>
      </c>
      <c r="B1" s="305"/>
      <c r="C1" s="305"/>
      <c r="D1" s="305"/>
      <c r="E1" s="305"/>
      <c r="F1" s="306"/>
      <c r="G1" s="180"/>
      <c r="H1" s="180"/>
      <c r="I1" s="180"/>
      <c r="J1" s="180"/>
    </row>
    <row r="2" spans="1:16" ht="23.25" customHeight="1" x14ac:dyDescent="0.35">
      <c r="A2" s="314" t="str">
        <f>'[8]MS rate'!A2:F2</f>
        <v>Office of The Municipal Executive</v>
      </c>
      <c r="B2" s="308"/>
      <c r="C2" s="308"/>
      <c r="D2" s="308"/>
      <c r="E2" s="308"/>
      <c r="F2" s="308"/>
      <c r="G2" s="181"/>
      <c r="H2" s="181"/>
      <c r="I2" s="181"/>
      <c r="J2" s="181"/>
    </row>
    <row r="3" spans="1:16" ht="21" customHeight="1" x14ac:dyDescent="0.35">
      <c r="A3" s="307" t="str">
        <f>'[8]MS rate'!A3:F3</f>
        <v>Shankhu,Kathmandu</v>
      </c>
      <c r="B3" s="308"/>
      <c r="C3" s="308"/>
      <c r="D3" s="308"/>
      <c r="E3" s="308"/>
      <c r="F3" s="309"/>
      <c r="G3" s="181"/>
      <c r="H3" s="181"/>
      <c r="I3" s="181"/>
      <c r="J3" s="181"/>
    </row>
    <row r="4" spans="1:16" ht="15.6" x14ac:dyDescent="0.3">
      <c r="A4" s="182"/>
      <c r="B4" s="183"/>
      <c r="C4" s="183"/>
      <c r="D4" s="183"/>
      <c r="E4" s="183"/>
      <c r="F4" s="315"/>
      <c r="G4" s="316"/>
      <c r="H4" s="186"/>
      <c r="I4" s="186"/>
      <c r="J4" s="186"/>
    </row>
    <row r="5" spans="1:16" ht="13.8" x14ac:dyDescent="0.3">
      <c r="A5" s="182"/>
      <c r="B5" s="187"/>
      <c r="C5" s="187"/>
      <c r="D5" s="187"/>
      <c r="E5" s="187"/>
      <c r="F5" s="188"/>
      <c r="G5" s="189"/>
      <c r="H5" s="189"/>
      <c r="J5" s="189"/>
    </row>
    <row r="6" spans="1:16" x14ac:dyDescent="0.25">
      <c r="A6" s="190"/>
      <c r="B6" s="191"/>
      <c r="C6" s="192"/>
      <c r="D6" s="310"/>
      <c r="E6" s="310"/>
      <c r="F6" s="193"/>
      <c r="G6" s="194"/>
      <c r="H6" s="195"/>
      <c r="I6" s="196"/>
      <c r="J6" s="197"/>
      <c r="L6" s="134"/>
      <c r="M6" s="134"/>
      <c r="N6" s="134"/>
      <c r="O6" s="134"/>
      <c r="P6" s="134"/>
    </row>
    <row r="7" spans="1:16" x14ac:dyDescent="0.25">
      <c r="A7" s="190"/>
      <c r="B7" s="311" t="s">
        <v>152</v>
      </c>
      <c r="C7" s="312"/>
      <c r="D7" s="312"/>
      <c r="E7" s="312"/>
      <c r="F7" s="313"/>
      <c r="G7" s="198"/>
      <c r="H7" s="199"/>
      <c r="I7" s="200"/>
      <c r="J7" s="201"/>
      <c r="L7" s="134"/>
      <c r="M7" s="134"/>
      <c r="N7" s="134"/>
      <c r="O7" s="134"/>
      <c r="P7" s="134"/>
    </row>
    <row r="8" spans="1:16" ht="13.8" thickBot="1" x14ac:dyDescent="0.3">
      <c r="A8" s="317"/>
      <c r="B8" s="318"/>
      <c r="C8" s="319"/>
      <c r="D8" s="319"/>
      <c r="E8" s="319"/>
      <c r="F8" s="320"/>
      <c r="G8" s="198"/>
      <c r="H8" s="199"/>
      <c r="I8" s="200"/>
      <c r="J8" s="201"/>
      <c r="L8" s="134"/>
      <c r="M8" s="134"/>
      <c r="N8" s="134"/>
      <c r="O8" s="134"/>
      <c r="P8" s="134"/>
    </row>
    <row r="9" spans="1:16" ht="13.8" thickBot="1" x14ac:dyDescent="0.3">
      <c r="A9" s="321" t="s">
        <v>169</v>
      </c>
      <c r="B9" s="322" t="s">
        <v>170</v>
      </c>
      <c r="C9" s="323"/>
      <c r="D9" s="323"/>
      <c r="E9" s="323"/>
      <c r="F9" s="324"/>
      <c r="G9" s="134"/>
      <c r="H9" s="134"/>
      <c r="I9" s="173"/>
    </row>
    <row r="10" spans="1:16" ht="21.6" thickBot="1" x14ac:dyDescent="0.45">
      <c r="A10" s="210"/>
      <c r="B10" s="325" t="s">
        <v>155</v>
      </c>
      <c r="C10" s="326"/>
      <c r="D10" s="326"/>
      <c r="E10" s="326"/>
      <c r="F10" s="327"/>
      <c r="G10" s="134"/>
      <c r="H10" s="134"/>
      <c r="I10" s="134"/>
    </row>
    <row r="11" spans="1:16" ht="21" x14ac:dyDescent="0.4">
      <c r="A11" s="217"/>
      <c r="B11" s="328" t="s">
        <v>156</v>
      </c>
      <c r="C11" s="329"/>
      <c r="D11" s="329"/>
      <c r="E11" s="220"/>
      <c r="F11" s="221">
        <v>215037.9</v>
      </c>
      <c r="G11" s="134"/>
      <c r="H11" s="134"/>
      <c r="I11" s="134"/>
    </row>
    <row r="12" spans="1:16" ht="21" x14ac:dyDescent="0.4">
      <c r="A12" s="224"/>
      <c r="B12" s="330" t="s">
        <v>157</v>
      </c>
      <c r="C12" s="331"/>
      <c r="D12" s="331"/>
      <c r="E12" s="235"/>
      <c r="F12" s="226">
        <f>F11*0.1</f>
        <v>21503.79</v>
      </c>
      <c r="G12" s="134"/>
      <c r="H12" s="134"/>
      <c r="I12" s="134"/>
    </row>
    <row r="13" spans="1:16" ht="21" x14ac:dyDescent="0.4">
      <c r="A13" s="224"/>
      <c r="B13" s="330" t="s">
        <v>158</v>
      </c>
      <c r="C13" s="331"/>
      <c r="D13" s="331"/>
      <c r="E13" s="235"/>
      <c r="F13" s="228">
        <v>75</v>
      </c>
    </row>
    <row r="14" spans="1:16" ht="21" x14ac:dyDescent="0.4">
      <c r="A14" s="224"/>
      <c r="B14" s="330" t="s">
        <v>159</v>
      </c>
      <c r="C14" s="331"/>
      <c r="D14" s="331"/>
      <c r="E14" s="235"/>
      <c r="F14" s="230">
        <f>81-57</f>
        <v>24</v>
      </c>
    </row>
    <row r="15" spans="1:16" ht="21" x14ac:dyDescent="0.4">
      <c r="A15" s="224"/>
      <c r="B15" s="332" t="s">
        <v>160</v>
      </c>
      <c r="C15" s="332"/>
      <c r="D15" s="332"/>
      <c r="E15" s="332"/>
      <c r="F15" s="333" t="s">
        <v>161</v>
      </c>
    </row>
    <row r="16" spans="1:16" ht="21" x14ac:dyDescent="0.4">
      <c r="A16" s="224"/>
      <c r="B16" s="297"/>
      <c r="C16" s="297"/>
      <c r="D16" s="297"/>
      <c r="E16" s="297"/>
      <c r="F16" s="334">
        <f>(F11-F12)/F13</f>
        <v>2580.4548</v>
      </c>
    </row>
    <row r="17" spans="1:9" ht="21" x14ac:dyDescent="0.4">
      <c r="A17" s="224"/>
      <c r="B17" s="330" t="s">
        <v>162</v>
      </c>
      <c r="C17" s="330"/>
      <c r="D17" s="330"/>
      <c r="E17" s="330"/>
      <c r="F17" s="333" t="s">
        <v>163</v>
      </c>
    </row>
    <row r="18" spans="1:9" ht="21" x14ac:dyDescent="0.4">
      <c r="A18" s="224"/>
      <c r="B18" s="330" t="s">
        <v>164</v>
      </c>
      <c r="C18" s="330"/>
      <c r="D18" s="330"/>
      <c r="E18" s="330"/>
      <c r="F18" s="334">
        <f>F11-(F14*F16)</f>
        <v>153106.98479999998</v>
      </c>
    </row>
    <row r="19" spans="1:9" ht="21.6" thickBot="1" x14ac:dyDescent="0.45">
      <c r="A19" s="238"/>
      <c r="B19" s="239"/>
      <c r="C19" s="240"/>
      <c r="D19" s="240"/>
      <c r="E19" s="240"/>
      <c r="F19" s="241"/>
    </row>
    <row r="20" spans="1:9" ht="13.8" hidden="1" thickBot="1" x14ac:dyDescent="0.3">
      <c r="A20" s="205" t="s">
        <v>171</v>
      </c>
      <c r="B20" s="322" t="s">
        <v>172</v>
      </c>
      <c r="C20" s="323"/>
      <c r="D20" s="323"/>
      <c r="E20" s="323"/>
      <c r="F20" s="324"/>
      <c r="G20" s="134"/>
      <c r="H20" s="134"/>
      <c r="I20" s="173"/>
    </row>
    <row r="21" spans="1:9" ht="21.6" hidden="1" thickBot="1" x14ac:dyDescent="0.45">
      <c r="A21" s="210"/>
      <c r="B21" s="325" t="s">
        <v>155</v>
      </c>
      <c r="C21" s="326"/>
      <c r="D21" s="326"/>
      <c r="E21" s="326"/>
      <c r="F21" s="327"/>
      <c r="G21" s="134"/>
      <c r="H21" s="134"/>
      <c r="I21" s="134"/>
    </row>
    <row r="22" spans="1:9" ht="21" hidden="1" x14ac:dyDescent="0.4">
      <c r="A22" s="217"/>
      <c r="B22" s="328" t="s">
        <v>156</v>
      </c>
      <c r="C22" s="329"/>
      <c r="D22" s="329"/>
      <c r="E22" s="220"/>
      <c r="F22" s="221">
        <f>F11</f>
        <v>215037.9</v>
      </c>
      <c r="G22" s="134"/>
      <c r="H22" s="134"/>
      <c r="I22" s="134"/>
    </row>
    <row r="23" spans="1:9" ht="21" hidden="1" x14ac:dyDescent="0.4">
      <c r="A23" s="224"/>
      <c r="B23" s="330" t="s">
        <v>157</v>
      </c>
      <c r="C23" s="331"/>
      <c r="D23" s="331"/>
      <c r="E23" s="235"/>
      <c r="F23" s="226">
        <f>F22*0.1</f>
        <v>21503.79</v>
      </c>
      <c r="G23" s="134"/>
      <c r="H23" s="134"/>
      <c r="I23" s="134"/>
    </row>
    <row r="24" spans="1:9" ht="21" hidden="1" x14ac:dyDescent="0.4">
      <c r="A24" s="224"/>
      <c r="B24" s="330" t="s">
        <v>158</v>
      </c>
      <c r="C24" s="331"/>
      <c r="D24" s="331"/>
      <c r="E24" s="235"/>
      <c r="F24" s="228">
        <v>75</v>
      </c>
    </row>
    <row r="25" spans="1:9" ht="21" hidden="1" x14ac:dyDescent="0.4">
      <c r="A25" s="224"/>
      <c r="B25" s="330" t="s">
        <v>159</v>
      </c>
      <c r="C25" s="331"/>
      <c r="D25" s="331"/>
      <c r="E25" s="235"/>
      <c r="F25" s="230">
        <v>3</v>
      </c>
    </row>
    <row r="26" spans="1:9" ht="21" hidden="1" x14ac:dyDescent="0.4">
      <c r="A26" s="224"/>
      <c r="B26" s="332" t="s">
        <v>160</v>
      </c>
      <c r="C26" s="332"/>
      <c r="D26" s="332"/>
      <c r="E26" s="332"/>
      <c r="F26" s="333" t="s">
        <v>161</v>
      </c>
    </row>
    <row r="27" spans="1:9" ht="21" hidden="1" x14ac:dyDescent="0.4">
      <c r="A27" s="224"/>
      <c r="B27" s="297"/>
      <c r="C27" s="297"/>
      <c r="D27" s="297"/>
      <c r="E27" s="297"/>
      <c r="F27" s="334">
        <f>(F22-F23)/F24</f>
        <v>2580.4548</v>
      </c>
    </row>
    <row r="28" spans="1:9" ht="21" hidden="1" x14ac:dyDescent="0.4">
      <c r="A28" s="224"/>
      <c r="B28" s="330" t="s">
        <v>162</v>
      </c>
      <c r="C28" s="330"/>
      <c r="D28" s="330"/>
      <c r="E28" s="330"/>
      <c r="F28" s="333" t="s">
        <v>163</v>
      </c>
    </row>
    <row r="29" spans="1:9" ht="21" hidden="1" x14ac:dyDescent="0.4">
      <c r="A29" s="224"/>
      <c r="B29" s="330" t="s">
        <v>164</v>
      </c>
      <c r="C29" s="330"/>
      <c r="D29" s="330"/>
      <c r="E29" s="330"/>
      <c r="F29" s="334">
        <f>F22-(F25*F27)</f>
        <v>207296.5356</v>
      </c>
    </row>
    <row r="30" spans="1:9" ht="21.6" hidden="1" thickBot="1" x14ac:dyDescent="0.45">
      <c r="A30" s="238"/>
      <c r="B30" s="239"/>
      <c r="C30" s="240"/>
      <c r="D30" s="240"/>
      <c r="E30" s="240"/>
      <c r="F30" s="241"/>
    </row>
  </sheetData>
  <mergeCells count="23">
    <mergeCell ref="B25:D25"/>
    <mergeCell ref="B26:E26"/>
    <mergeCell ref="B27:E27"/>
    <mergeCell ref="B28:E28"/>
    <mergeCell ref="B29:E29"/>
    <mergeCell ref="B17:E17"/>
    <mergeCell ref="B18:E18"/>
    <mergeCell ref="B20:F20"/>
    <mergeCell ref="B21:F21"/>
    <mergeCell ref="B23:D23"/>
    <mergeCell ref="B24:D24"/>
    <mergeCell ref="B10:F10"/>
    <mergeCell ref="B12:D12"/>
    <mergeCell ref="B13:D13"/>
    <mergeCell ref="B14:D14"/>
    <mergeCell ref="B15:E15"/>
    <mergeCell ref="B16:E16"/>
    <mergeCell ref="A1:F1"/>
    <mergeCell ref="A2:F2"/>
    <mergeCell ref="A3:F3"/>
    <mergeCell ref="D6:E6"/>
    <mergeCell ref="B7:F7"/>
    <mergeCell ref="B9:F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view="pageBreakPreview" zoomScaleNormal="100" zoomScaleSheetLayoutView="100" workbookViewId="0">
      <selection activeCell="B13" sqref="B13:D13"/>
    </sheetView>
  </sheetViews>
  <sheetFormatPr defaultColWidth="9.109375" defaultRowHeight="13.2" x14ac:dyDescent="0.25"/>
  <cols>
    <col min="1" max="1" width="7.44140625" style="126" customWidth="1"/>
    <col min="2" max="2" width="21.109375" style="126" customWidth="1"/>
    <col min="3" max="3" width="9.6640625" style="126" customWidth="1"/>
    <col min="4" max="4" width="11.109375" style="126" customWidth="1"/>
    <col min="5" max="5" width="11" style="126" customWidth="1"/>
    <col min="6" max="6" width="24.5546875" style="126" customWidth="1"/>
    <col min="7" max="7" width="5" style="126" customWidth="1"/>
    <col min="8" max="8" width="7.44140625" style="126" customWidth="1"/>
    <col min="9" max="9" width="14.44140625" style="126" customWidth="1"/>
    <col min="10" max="10" width="8" style="126" customWidth="1"/>
    <col min="11" max="11" width="8.6640625" style="126" customWidth="1"/>
    <col min="12" max="12" width="5.109375" style="126" customWidth="1"/>
    <col min="13" max="13" width="5" style="126" customWidth="1"/>
    <col min="14" max="14" width="4.6640625" style="126" customWidth="1"/>
    <col min="15" max="15" width="4.109375" style="126" customWidth="1"/>
    <col min="16" max="256" width="9.109375" style="126"/>
    <col min="257" max="257" width="7.44140625" style="126" customWidth="1"/>
    <col min="258" max="258" width="21.109375" style="126" customWidth="1"/>
    <col min="259" max="259" width="9.6640625" style="126" customWidth="1"/>
    <col min="260" max="260" width="11.109375" style="126" customWidth="1"/>
    <col min="261" max="261" width="11" style="126" customWidth="1"/>
    <col min="262" max="262" width="24.5546875" style="126" customWidth="1"/>
    <col min="263" max="263" width="5" style="126" customWidth="1"/>
    <col min="264" max="264" width="7.44140625" style="126" customWidth="1"/>
    <col min="265" max="265" width="14.44140625" style="126" customWidth="1"/>
    <col min="266" max="266" width="8" style="126" customWidth="1"/>
    <col min="267" max="267" width="8.6640625" style="126" customWidth="1"/>
    <col min="268" max="268" width="5.109375" style="126" customWidth="1"/>
    <col min="269" max="269" width="5" style="126" customWidth="1"/>
    <col min="270" max="270" width="4.6640625" style="126" customWidth="1"/>
    <col min="271" max="271" width="4.109375" style="126" customWidth="1"/>
    <col min="272" max="512" width="9.109375" style="126"/>
    <col min="513" max="513" width="7.44140625" style="126" customWidth="1"/>
    <col min="514" max="514" width="21.109375" style="126" customWidth="1"/>
    <col min="515" max="515" width="9.6640625" style="126" customWidth="1"/>
    <col min="516" max="516" width="11.109375" style="126" customWidth="1"/>
    <col min="517" max="517" width="11" style="126" customWidth="1"/>
    <col min="518" max="518" width="24.5546875" style="126" customWidth="1"/>
    <col min="519" max="519" width="5" style="126" customWidth="1"/>
    <col min="520" max="520" width="7.44140625" style="126" customWidth="1"/>
    <col min="521" max="521" width="14.44140625" style="126" customWidth="1"/>
    <col min="522" max="522" width="8" style="126" customWidth="1"/>
    <col min="523" max="523" width="8.6640625" style="126" customWidth="1"/>
    <col min="524" max="524" width="5.109375" style="126" customWidth="1"/>
    <col min="525" max="525" width="5" style="126" customWidth="1"/>
    <col min="526" max="526" width="4.6640625" style="126" customWidth="1"/>
    <col min="527" max="527" width="4.109375" style="126" customWidth="1"/>
    <col min="528" max="768" width="9.109375" style="126"/>
    <col min="769" max="769" width="7.44140625" style="126" customWidth="1"/>
    <col min="770" max="770" width="21.109375" style="126" customWidth="1"/>
    <col min="771" max="771" width="9.6640625" style="126" customWidth="1"/>
    <col min="772" max="772" width="11.109375" style="126" customWidth="1"/>
    <col min="773" max="773" width="11" style="126" customWidth="1"/>
    <col min="774" max="774" width="24.5546875" style="126" customWidth="1"/>
    <col min="775" max="775" width="5" style="126" customWidth="1"/>
    <col min="776" max="776" width="7.44140625" style="126" customWidth="1"/>
    <col min="777" max="777" width="14.44140625" style="126" customWidth="1"/>
    <col min="778" max="778" width="8" style="126" customWidth="1"/>
    <col min="779" max="779" width="8.6640625" style="126" customWidth="1"/>
    <col min="780" max="780" width="5.109375" style="126" customWidth="1"/>
    <col min="781" max="781" width="5" style="126" customWidth="1"/>
    <col min="782" max="782" width="4.6640625" style="126" customWidth="1"/>
    <col min="783" max="783" width="4.109375" style="126" customWidth="1"/>
    <col min="784" max="1024" width="9.109375" style="126"/>
    <col min="1025" max="1025" width="7.44140625" style="126" customWidth="1"/>
    <col min="1026" max="1026" width="21.109375" style="126" customWidth="1"/>
    <col min="1027" max="1027" width="9.6640625" style="126" customWidth="1"/>
    <col min="1028" max="1028" width="11.109375" style="126" customWidth="1"/>
    <col min="1029" max="1029" width="11" style="126" customWidth="1"/>
    <col min="1030" max="1030" width="24.5546875" style="126" customWidth="1"/>
    <col min="1031" max="1031" width="5" style="126" customWidth="1"/>
    <col min="1032" max="1032" width="7.44140625" style="126" customWidth="1"/>
    <col min="1033" max="1033" width="14.44140625" style="126" customWidth="1"/>
    <col min="1034" max="1034" width="8" style="126" customWidth="1"/>
    <col min="1035" max="1035" width="8.6640625" style="126" customWidth="1"/>
    <col min="1036" max="1036" width="5.109375" style="126" customWidth="1"/>
    <col min="1037" max="1037" width="5" style="126" customWidth="1"/>
    <col min="1038" max="1038" width="4.6640625" style="126" customWidth="1"/>
    <col min="1039" max="1039" width="4.109375" style="126" customWidth="1"/>
    <col min="1040" max="1280" width="9.109375" style="126"/>
    <col min="1281" max="1281" width="7.44140625" style="126" customWidth="1"/>
    <col min="1282" max="1282" width="21.109375" style="126" customWidth="1"/>
    <col min="1283" max="1283" width="9.6640625" style="126" customWidth="1"/>
    <col min="1284" max="1284" width="11.109375" style="126" customWidth="1"/>
    <col min="1285" max="1285" width="11" style="126" customWidth="1"/>
    <col min="1286" max="1286" width="24.5546875" style="126" customWidth="1"/>
    <col min="1287" max="1287" width="5" style="126" customWidth="1"/>
    <col min="1288" max="1288" width="7.44140625" style="126" customWidth="1"/>
    <col min="1289" max="1289" width="14.44140625" style="126" customWidth="1"/>
    <col min="1290" max="1290" width="8" style="126" customWidth="1"/>
    <col min="1291" max="1291" width="8.6640625" style="126" customWidth="1"/>
    <col min="1292" max="1292" width="5.109375" style="126" customWidth="1"/>
    <col min="1293" max="1293" width="5" style="126" customWidth="1"/>
    <col min="1294" max="1294" width="4.6640625" style="126" customWidth="1"/>
    <col min="1295" max="1295" width="4.109375" style="126" customWidth="1"/>
    <col min="1296" max="1536" width="9.109375" style="126"/>
    <col min="1537" max="1537" width="7.44140625" style="126" customWidth="1"/>
    <col min="1538" max="1538" width="21.109375" style="126" customWidth="1"/>
    <col min="1539" max="1539" width="9.6640625" style="126" customWidth="1"/>
    <col min="1540" max="1540" width="11.109375" style="126" customWidth="1"/>
    <col min="1541" max="1541" width="11" style="126" customWidth="1"/>
    <col min="1542" max="1542" width="24.5546875" style="126" customWidth="1"/>
    <col min="1543" max="1543" width="5" style="126" customWidth="1"/>
    <col min="1544" max="1544" width="7.44140625" style="126" customWidth="1"/>
    <col min="1545" max="1545" width="14.44140625" style="126" customWidth="1"/>
    <col min="1546" max="1546" width="8" style="126" customWidth="1"/>
    <col min="1547" max="1547" width="8.6640625" style="126" customWidth="1"/>
    <col min="1548" max="1548" width="5.109375" style="126" customWidth="1"/>
    <col min="1549" max="1549" width="5" style="126" customWidth="1"/>
    <col min="1550" max="1550" width="4.6640625" style="126" customWidth="1"/>
    <col min="1551" max="1551" width="4.109375" style="126" customWidth="1"/>
    <col min="1552" max="1792" width="9.109375" style="126"/>
    <col min="1793" max="1793" width="7.44140625" style="126" customWidth="1"/>
    <col min="1794" max="1794" width="21.109375" style="126" customWidth="1"/>
    <col min="1795" max="1795" width="9.6640625" style="126" customWidth="1"/>
    <col min="1796" max="1796" width="11.109375" style="126" customWidth="1"/>
    <col min="1797" max="1797" width="11" style="126" customWidth="1"/>
    <col min="1798" max="1798" width="24.5546875" style="126" customWidth="1"/>
    <col min="1799" max="1799" width="5" style="126" customWidth="1"/>
    <col min="1800" max="1800" width="7.44140625" style="126" customWidth="1"/>
    <col min="1801" max="1801" width="14.44140625" style="126" customWidth="1"/>
    <col min="1802" max="1802" width="8" style="126" customWidth="1"/>
    <col min="1803" max="1803" width="8.6640625" style="126" customWidth="1"/>
    <col min="1804" max="1804" width="5.109375" style="126" customWidth="1"/>
    <col min="1805" max="1805" width="5" style="126" customWidth="1"/>
    <col min="1806" max="1806" width="4.6640625" style="126" customWidth="1"/>
    <col min="1807" max="1807" width="4.109375" style="126" customWidth="1"/>
    <col min="1808" max="2048" width="9.109375" style="126"/>
    <col min="2049" max="2049" width="7.44140625" style="126" customWidth="1"/>
    <col min="2050" max="2050" width="21.109375" style="126" customWidth="1"/>
    <col min="2051" max="2051" width="9.6640625" style="126" customWidth="1"/>
    <col min="2052" max="2052" width="11.109375" style="126" customWidth="1"/>
    <col min="2053" max="2053" width="11" style="126" customWidth="1"/>
    <col min="2054" max="2054" width="24.5546875" style="126" customWidth="1"/>
    <col min="2055" max="2055" width="5" style="126" customWidth="1"/>
    <col min="2056" max="2056" width="7.44140625" style="126" customWidth="1"/>
    <col min="2057" max="2057" width="14.44140625" style="126" customWidth="1"/>
    <col min="2058" max="2058" width="8" style="126" customWidth="1"/>
    <col min="2059" max="2059" width="8.6640625" style="126" customWidth="1"/>
    <col min="2060" max="2060" width="5.109375" style="126" customWidth="1"/>
    <col min="2061" max="2061" width="5" style="126" customWidth="1"/>
    <col min="2062" max="2062" width="4.6640625" style="126" customWidth="1"/>
    <col min="2063" max="2063" width="4.109375" style="126" customWidth="1"/>
    <col min="2064" max="2304" width="9.109375" style="126"/>
    <col min="2305" max="2305" width="7.44140625" style="126" customWidth="1"/>
    <col min="2306" max="2306" width="21.109375" style="126" customWidth="1"/>
    <col min="2307" max="2307" width="9.6640625" style="126" customWidth="1"/>
    <col min="2308" max="2308" width="11.109375" style="126" customWidth="1"/>
    <col min="2309" max="2309" width="11" style="126" customWidth="1"/>
    <col min="2310" max="2310" width="24.5546875" style="126" customWidth="1"/>
    <col min="2311" max="2311" width="5" style="126" customWidth="1"/>
    <col min="2312" max="2312" width="7.44140625" style="126" customWidth="1"/>
    <col min="2313" max="2313" width="14.44140625" style="126" customWidth="1"/>
    <col min="2314" max="2314" width="8" style="126" customWidth="1"/>
    <col min="2315" max="2315" width="8.6640625" style="126" customWidth="1"/>
    <col min="2316" max="2316" width="5.109375" style="126" customWidth="1"/>
    <col min="2317" max="2317" width="5" style="126" customWidth="1"/>
    <col min="2318" max="2318" width="4.6640625" style="126" customWidth="1"/>
    <col min="2319" max="2319" width="4.109375" style="126" customWidth="1"/>
    <col min="2320" max="2560" width="9.109375" style="126"/>
    <col min="2561" max="2561" width="7.44140625" style="126" customWidth="1"/>
    <col min="2562" max="2562" width="21.109375" style="126" customWidth="1"/>
    <col min="2563" max="2563" width="9.6640625" style="126" customWidth="1"/>
    <col min="2564" max="2564" width="11.109375" style="126" customWidth="1"/>
    <col min="2565" max="2565" width="11" style="126" customWidth="1"/>
    <col min="2566" max="2566" width="24.5546875" style="126" customWidth="1"/>
    <col min="2567" max="2567" width="5" style="126" customWidth="1"/>
    <col min="2568" max="2568" width="7.44140625" style="126" customWidth="1"/>
    <col min="2569" max="2569" width="14.44140625" style="126" customWidth="1"/>
    <col min="2570" max="2570" width="8" style="126" customWidth="1"/>
    <col min="2571" max="2571" width="8.6640625" style="126" customWidth="1"/>
    <col min="2572" max="2572" width="5.109375" style="126" customWidth="1"/>
    <col min="2573" max="2573" width="5" style="126" customWidth="1"/>
    <col min="2574" max="2574" width="4.6640625" style="126" customWidth="1"/>
    <col min="2575" max="2575" width="4.109375" style="126" customWidth="1"/>
    <col min="2576" max="2816" width="9.109375" style="126"/>
    <col min="2817" max="2817" width="7.44140625" style="126" customWidth="1"/>
    <col min="2818" max="2818" width="21.109375" style="126" customWidth="1"/>
    <col min="2819" max="2819" width="9.6640625" style="126" customWidth="1"/>
    <col min="2820" max="2820" width="11.109375" style="126" customWidth="1"/>
    <col min="2821" max="2821" width="11" style="126" customWidth="1"/>
    <col min="2822" max="2822" width="24.5546875" style="126" customWidth="1"/>
    <col min="2823" max="2823" width="5" style="126" customWidth="1"/>
    <col min="2824" max="2824" width="7.44140625" style="126" customWidth="1"/>
    <col min="2825" max="2825" width="14.44140625" style="126" customWidth="1"/>
    <col min="2826" max="2826" width="8" style="126" customWidth="1"/>
    <col min="2827" max="2827" width="8.6640625" style="126" customWidth="1"/>
    <col min="2828" max="2828" width="5.109375" style="126" customWidth="1"/>
    <col min="2829" max="2829" width="5" style="126" customWidth="1"/>
    <col min="2830" max="2830" width="4.6640625" style="126" customWidth="1"/>
    <col min="2831" max="2831" width="4.109375" style="126" customWidth="1"/>
    <col min="2832" max="3072" width="9.109375" style="126"/>
    <col min="3073" max="3073" width="7.44140625" style="126" customWidth="1"/>
    <col min="3074" max="3074" width="21.109375" style="126" customWidth="1"/>
    <col min="3075" max="3075" width="9.6640625" style="126" customWidth="1"/>
    <col min="3076" max="3076" width="11.109375" style="126" customWidth="1"/>
    <col min="3077" max="3077" width="11" style="126" customWidth="1"/>
    <col min="3078" max="3078" width="24.5546875" style="126" customWidth="1"/>
    <col min="3079" max="3079" width="5" style="126" customWidth="1"/>
    <col min="3080" max="3080" width="7.44140625" style="126" customWidth="1"/>
    <col min="3081" max="3081" width="14.44140625" style="126" customWidth="1"/>
    <col min="3082" max="3082" width="8" style="126" customWidth="1"/>
    <col min="3083" max="3083" width="8.6640625" style="126" customWidth="1"/>
    <col min="3084" max="3084" width="5.109375" style="126" customWidth="1"/>
    <col min="3085" max="3085" width="5" style="126" customWidth="1"/>
    <col min="3086" max="3086" width="4.6640625" style="126" customWidth="1"/>
    <col min="3087" max="3087" width="4.109375" style="126" customWidth="1"/>
    <col min="3088" max="3328" width="9.109375" style="126"/>
    <col min="3329" max="3329" width="7.44140625" style="126" customWidth="1"/>
    <col min="3330" max="3330" width="21.109375" style="126" customWidth="1"/>
    <col min="3331" max="3331" width="9.6640625" style="126" customWidth="1"/>
    <col min="3332" max="3332" width="11.109375" style="126" customWidth="1"/>
    <col min="3333" max="3333" width="11" style="126" customWidth="1"/>
    <col min="3334" max="3334" width="24.5546875" style="126" customWidth="1"/>
    <col min="3335" max="3335" width="5" style="126" customWidth="1"/>
    <col min="3336" max="3336" width="7.44140625" style="126" customWidth="1"/>
    <col min="3337" max="3337" width="14.44140625" style="126" customWidth="1"/>
    <col min="3338" max="3338" width="8" style="126" customWidth="1"/>
    <col min="3339" max="3339" width="8.6640625" style="126" customWidth="1"/>
    <col min="3340" max="3340" width="5.109375" style="126" customWidth="1"/>
    <col min="3341" max="3341" width="5" style="126" customWidth="1"/>
    <col min="3342" max="3342" width="4.6640625" style="126" customWidth="1"/>
    <col min="3343" max="3343" width="4.109375" style="126" customWidth="1"/>
    <col min="3344" max="3584" width="9.109375" style="126"/>
    <col min="3585" max="3585" width="7.44140625" style="126" customWidth="1"/>
    <col min="3586" max="3586" width="21.109375" style="126" customWidth="1"/>
    <col min="3587" max="3587" width="9.6640625" style="126" customWidth="1"/>
    <col min="3588" max="3588" width="11.109375" style="126" customWidth="1"/>
    <col min="3589" max="3589" width="11" style="126" customWidth="1"/>
    <col min="3590" max="3590" width="24.5546875" style="126" customWidth="1"/>
    <col min="3591" max="3591" width="5" style="126" customWidth="1"/>
    <col min="3592" max="3592" width="7.44140625" style="126" customWidth="1"/>
    <col min="3593" max="3593" width="14.44140625" style="126" customWidth="1"/>
    <col min="3594" max="3594" width="8" style="126" customWidth="1"/>
    <col min="3595" max="3595" width="8.6640625" style="126" customWidth="1"/>
    <col min="3596" max="3596" width="5.109375" style="126" customWidth="1"/>
    <col min="3597" max="3597" width="5" style="126" customWidth="1"/>
    <col min="3598" max="3598" width="4.6640625" style="126" customWidth="1"/>
    <col min="3599" max="3599" width="4.109375" style="126" customWidth="1"/>
    <col min="3600" max="3840" width="9.109375" style="126"/>
    <col min="3841" max="3841" width="7.44140625" style="126" customWidth="1"/>
    <col min="3842" max="3842" width="21.109375" style="126" customWidth="1"/>
    <col min="3843" max="3843" width="9.6640625" style="126" customWidth="1"/>
    <col min="3844" max="3844" width="11.109375" style="126" customWidth="1"/>
    <col min="3845" max="3845" width="11" style="126" customWidth="1"/>
    <col min="3846" max="3846" width="24.5546875" style="126" customWidth="1"/>
    <col min="3847" max="3847" width="5" style="126" customWidth="1"/>
    <col min="3848" max="3848" width="7.44140625" style="126" customWidth="1"/>
    <col min="3849" max="3849" width="14.44140625" style="126" customWidth="1"/>
    <col min="3850" max="3850" width="8" style="126" customWidth="1"/>
    <col min="3851" max="3851" width="8.6640625" style="126" customWidth="1"/>
    <col min="3852" max="3852" width="5.109375" style="126" customWidth="1"/>
    <col min="3853" max="3853" width="5" style="126" customWidth="1"/>
    <col min="3854" max="3854" width="4.6640625" style="126" customWidth="1"/>
    <col min="3855" max="3855" width="4.109375" style="126" customWidth="1"/>
    <col min="3856" max="4096" width="9.109375" style="126"/>
    <col min="4097" max="4097" width="7.44140625" style="126" customWidth="1"/>
    <col min="4098" max="4098" width="21.109375" style="126" customWidth="1"/>
    <col min="4099" max="4099" width="9.6640625" style="126" customWidth="1"/>
    <col min="4100" max="4100" width="11.109375" style="126" customWidth="1"/>
    <col min="4101" max="4101" width="11" style="126" customWidth="1"/>
    <col min="4102" max="4102" width="24.5546875" style="126" customWidth="1"/>
    <col min="4103" max="4103" width="5" style="126" customWidth="1"/>
    <col min="4104" max="4104" width="7.44140625" style="126" customWidth="1"/>
    <col min="4105" max="4105" width="14.44140625" style="126" customWidth="1"/>
    <col min="4106" max="4106" width="8" style="126" customWidth="1"/>
    <col min="4107" max="4107" width="8.6640625" style="126" customWidth="1"/>
    <col min="4108" max="4108" width="5.109375" style="126" customWidth="1"/>
    <col min="4109" max="4109" width="5" style="126" customWidth="1"/>
    <col min="4110" max="4110" width="4.6640625" style="126" customWidth="1"/>
    <col min="4111" max="4111" width="4.109375" style="126" customWidth="1"/>
    <col min="4112" max="4352" width="9.109375" style="126"/>
    <col min="4353" max="4353" width="7.44140625" style="126" customWidth="1"/>
    <col min="4354" max="4354" width="21.109375" style="126" customWidth="1"/>
    <col min="4355" max="4355" width="9.6640625" style="126" customWidth="1"/>
    <col min="4356" max="4356" width="11.109375" style="126" customWidth="1"/>
    <col min="4357" max="4357" width="11" style="126" customWidth="1"/>
    <col min="4358" max="4358" width="24.5546875" style="126" customWidth="1"/>
    <col min="4359" max="4359" width="5" style="126" customWidth="1"/>
    <col min="4360" max="4360" width="7.44140625" style="126" customWidth="1"/>
    <col min="4361" max="4361" width="14.44140625" style="126" customWidth="1"/>
    <col min="4362" max="4362" width="8" style="126" customWidth="1"/>
    <col min="4363" max="4363" width="8.6640625" style="126" customWidth="1"/>
    <col min="4364" max="4364" width="5.109375" style="126" customWidth="1"/>
    <col min="4365" max="4365" width="5" style="126" customWidth="1"/>
    <col min="4366" max="4366" width="4.6640625" style="126" customWidth="1"/>
    <col min="4367" max="4367" width="4.109375" style="126" customWidth="1"/>
    <col min="4368" max="4608" width="9.109375" style="126"/>
    <col min="4609" max="4609" width="7.44140625" style="126" customWidth="1"/>
    <col min="4610" max="4610" width="21.109375" style="126" customWidth="1"/>
    <col min="4611" max="4611" width="9.6640625" style="126" customWidth="1"/>
    <col min="4612" max="4612" width="11.109375" style="126" customWidth="1"/>
    <col min="4613" max="4613" width="11" style="126" customWidth="1"/>
    <col min="4614" max="4614" width="24.5546875" style="126" customWidth="1"/>
    <col min="4615" max="4615" width="5" style="126" customWidth="1"/>
    <col min="4616" max="4616" width="7.44140625" style="126" customWidth="1"/>
    <col min="4617" max="4617" width="14.44140625" style="126" customWidth="1"/>
    <col min="4618" max="4618" width="8" style="126" customWidth="1"/>
    <col min="4619" max="4619" width="8.6640625" style="126" customWidth="1"/>
    <col min="4620" max="4620" width="5.109375" style="126" customWidth="1"/>
    <col min="4621" max="4621" width="5" style="126" customWidth="1"/>
    <col min="4622" max="4622" width="4.6640625" style="126" customWidth="1"/>
    <col min="4623" max="4623" width="4.109375" style="126" customWidth="1"/>
    <col min="4624" max="4864" width="9.109375" style="126"/>
    <col min="4865" max="4865" width="7.44140625" style="126" customWidth="1"/>
    <col min="4866" max="4866" width="21.109375" style="126" customWidth="1"/>
    <col min="4867" max="4867" width="9.6640625" style="126" customWidth="1"/>
    <col min="4868" max="4868" width="11.109375" style="126" customWidth="1"/>
    <col min="4869" max="4869" width="11" style="126" customWidth="1"/>
    <col min="4870" max="4870" width="24.5546875" style="126" customWidth="1"/>
    <col min="4871" max="4871" width="5" style="126" customWidth="1"/>
    <col min="4872" max="4872" width="7.44140625" style="126" customWidth="1"/>
    <col min="4873" max="4873" width="14.44140625" style="126" customWidth="1"/>
    <col min="4874" max="4874" width="8" style="126" customWidth="1"/>
    <col min="4875" max="4875" width="8.6640625" style="126" customWidth="1"/>
    <col min="4876" max="4876" width="5.109375" style="126" customWidth="1"/>
    <col min="4877" max="4877" width="5" style="126" customWidth="1"/>
    <col min="4878" max="4878" width="4.6640625" style="126" customWidth="1"/>
    <col min="4879" max="4879" width="4.109375" style="126" customWidth="1"/>
    <col min="4880" max="5120" width="9.109375" style="126"/>
    <col min="5121" max="5121" width="7.44140625" style="126" customWidth="1"/>
    <col min="5122" max="5122" width="21.109375" style="126" customWidth="1"/>
    <col min="5123" max="5123" width="9.6640625" style="126" customWidth="1"/>
    <col min="5124" max="5124" width="11.109375" style="126" customWidth="1"/>
    <col min="5125" max="5125" width="11" style="126" customWidth="1"/>
    <col min="5126" max="5126" width="24.5546875" style="126" customWidth="1"/>
    <col min="5127" max="5127" width="5" style="126" customWidth="1"/>
    <col min="5128" max="5128" width="7.44140625" style="126" customWidth="1"/>
    <col min="5129" max="5129" width="14.44140625" style="126" customWidth="1"/>
    <col min="5130" max="5130" width="8" style="126" customWidth="1"/>
    <col min="5131" max="5131" width="8.6640625" style="126" customWidth="1"/>
    <col min="5132" max="5132" width="5.109375" style="126" customWidth="1"/>
    <col min="5133" max="5133" width="5" style="126" customWidth="1"/>
    <col min="5134" max="5134" width="4.6640625" style="126" customWidth="1"/>
    <col min="5135" max="5135" width="4.109375" style="126" customWidth="1"/>
    <col min="5136" max="5376" width="9.109375" style="126"/>
    <col min="5377" max="5377" width="7.44140625" style="126" customWidth="1"/>
    <col min="5378" max="5378" width="21.109375" style="126" customWidth="1"/>
    <col min="5379" max="5379" width="9.6640625" style="126" customWidth="1"/>
    <col min="5380" max="5380" width="11.109375" style="126" customWidth="1"/>
    <col min="5381" max="5381" width="11" style="126" customWidth="1"/>
    <col min="5382" max="5382" width="24.5546875" style="126" customWidth="1"/>
    <col min="5383" max="5383" width="5" style="126" customWidth="1"/>
    <col min="5384" max="5384" width="7.44140625" style="126" customWidth="1"/>
    <col min="5385" max="5385" width="14.44140625" style="126" customWidth="1"/>
    <col min="5386" max="5386" width="8" style="126" customWidth="1"/>
    <col min="5387" max="5387" width="8.6640625" style="126" customWidth="1"/>
    <col min="5388" max="5388" width="5.109375" style="126" customWidth="1"/>
    <col min="5389" max="5389" width="5" style="126" customWidth="1"/>
    <col min="5390" max="5390" width="4.6640625" style="126" customWidth="1"/>
    <col min="5391" max="5391" width="4.109375" style="126" customWidth="1"/>
    <col min="5392" max="5632" width="9.109375" style="126"/>
    <col min="5633" max="5633" width="7.44140625" style="126" customWidth="1"/>
    <col min="5634" max="5634" width="21.109375" style="126" customWidth="1"/>
    <col min="5635" max="5635" width="9.6640625" style="126" customWidth="1"/>
    <col min="5636" max="5636" width="11.109375" style="126" customWidth="1"/>
    <col min="5637" max="5637" width="11" style="126" customWidth="1"/>
    <col min="5638" max="5638" width="24.5546875" style="126" customWidth="1"/>
    <col min="5639" max="5639" width="5" style="126" customWidth="1"/>
    <col min="5640" max="5640" width="7.44140625" style="126" customWidth="1"/>
    <col min="5641" max="5641" width="14.44140625" style="126" customWidth="1"/>
    <col min="5642" max="5642" width="8" style="126" customWidth="1"/>
    <col min="5643" max="5643" width="8.6640625" style="126" customWidth="1"/>
    <col min="5644" max="5644" width="5.109375" style="126" customWidth="1"/>
    <col min="5645" max="5645" width="5" style="126" customWidth="1"/>
    <col min="5646" max="5646" width="4.6640625" style="126" customWidth="1"/>
    <col min="5647" max="5647" width="4.109375" style="126" customWidth="1"/>
    <col min="5648" max="5888" width="9.109375" style="126"/>
    <col min="5889" max="5889" width="7.44140625" style="126" customWidth="1"/>
    <col min="5890" max="5890" width="21.109375" style="126" customWidth="1"/>
    <col min="5891" max="5891" width="9.6640625" style="126" customWidth="1"/>
    <col min="5892" max="5892" width="11.109375" style="126" customWidth="1"/>
    <col min="5893" max="5893" width="11" style="126" customWidth="1"/>
    <col min="5894" max="5894" width="24.5546875" style="126" customWidth="1"/>
    <col min="5895" max="5895" width="5" style="126" customWidth="1"/>
    <col min="5896" max="5896" width="7.44140625" style="126" customWidth="1"/>
    <col min="5897" max="5897" width="14.44140625" style="126" customWidth="1"/>
    <col min="5898" max="5898" width="8" style="126" customWidth="1"/>
    <col min="5899" max="5899" width="8.6640625" style="126" customWidth="1"/>
    <col min="5900" max="5900" width="5.109375" style="126" customWidth="1"/>
    <col min="5901" max="5901" width="5" style="126" customWidth="1"/>
    <col min="5902" max="5902" width="4.6640625" style="126" customWidth="1"/>
    <col min="5903" max="5903" width="4.109375" style="126" customWidth="1"/>
    <col min="5904" max="6144" width="9.109375" style="126"/>
    <col min="6145" max="6145" width="7.44140625" style="126" customWidth="1"/>
    <col min="6146" max="6146" width="21.109375" style="126" customWidth="1"/>
    <col min="6147" max="6147" width="9.6640625" style="126" customWidth="1"/>
    <col min="6148" max="6148" width="11.109375" style="126" customWidth="1"/>
    <col min="6149" max="6149" width="11" style="126" customWidth="1"/>
    <col min="6150" max="6150" width="24.5546875" style="126" customWidth="1"/>
    <col min="6151" max="6151" width="5" style="126" customWidth="1"/>
    <col min="6152" max="6152" width="7.44140625" style="126" customWidth="1"/>
    <col min="6153" max="6153" width="14.44140625" style="126" customWidth="1"/>
    <col min="6154" max="6154" width="8" style="126" customWidth="1"/>
    <col min="6155" max="6155" width="8.6640625" style="126" customWidth="1"/>
    <col min="6156" max="6156" width="5.109375" style="126" customWidth="1"/>
    <col min="6157" max="6157" width="5" style="126" customWidth="1"/>
    <col min="6158" max="6158" width="4.6640625" style="126" customWidth="1"/>
    <col min="6159" max="6159" width="4.109375" style="126" customWidth="1"/>
    <col min="6160" max="6400" width="9.109375" style="126"/>
    <col min="6401" max="6401" width="7.44140625" style="126" customWidth="1"/>
    <col min="6402" max="6402" width="21.109375" style="126" customWidth="1"/>
    <col min="6403" max="6403" width="9.6640625" style="126" customWidth="1"/>
    <col min="6404" max="6404" width="11.109375" style="126" customWidth="1"/>
    <col min="6405" max="6405" width="11" style="126" customWidth="1"/>
    <col min="6406" max="6406" width="24.5546875" style="126" customWidth="1"/>
    <col min="6407" max="6407" width="5" style="126" customWidth="1"/>
    <col min="6408" max="6408" width="7.44140625" style="126" customWidth="1"/>
    <col min="6409" max="6409" width="14.44140625" style="126" customWidth="1"/>
    <col min="6410" max="6410" width="8" style="126" customWidth="1"/>
    <col min="6411" max="6411" width="8.6640625" style="126" customWidth="1"/>
    <col min="6412" max="6412" width="5.109375" style="126" customWidth="1"/>
    <col min="6413" max="6413" width="5" style="126" customWidth="1"/>
    <col min="6414" max="6414" width="4.6640625" style="126" customWidth="1"/>
    <col min="6415" max="6415" width="4.109375" style="126" customWidth="1"/>
    <col min="6416" max="6656" width="9.109375" style="126"/>
    <col min="6657" max="6657" width="7.44140625" style="126" customWidth="1"/>
    <col min="6658" max="6658" width="21.109375" style="126" customWidth="1"/>
    <col min="6659" max="6659" width="9.6640625" style="126" customWidth="1"/>
    <col min="6660" max="6660" width="11.109375" style="126" customWidth="1"/>
    <col min="6661" max="6661" width="11" style="126" customWidth="1"/>
    <col min="6662" max="6662" width="24.5546875" style="126" customWidth="1"/>
    <col min="6663" max="6663" width="5" style="126" customWidth="1"/>
    <col min="6664" max="6664" width="7.44140625" style="126" customWidth="1"/>
    <col min="6665" max="6665" width="14.44140625" style="126" customWidth="1"/>
    <col min="6666" max="6666" width="8" style="126" customWidth="1"/>
    <col min="6667" max="6667" width="8.6640625" style="126" customWidth="1"/>
    <col min="6668" max="6668" width="5.109375" style="126" customWidth="1"/>
    <col min="6669" max="6669" width="5" style="126" customWidth="1"/>
    <col min="6670" max="6670" width="4.6640625" style="126" customWidth="1"/>
    <col min="6671" max="6671" width="4.109375" style="126" customWidth="1"/>
    <col min="6672" max="6912" width="9.109375" style="126"/>
    <col min="6913" max="6913" width="7.44140625" style="126" customWidth="1"/>
    <col min="6914" max="6914" width="21.109375" style="126" customWidth="1"/>
    <col min="6915" max="6915" width="9.6640625" style="126" customWidth="1"/>
    <col min="6916" max="6916" width="11.109375" style="126" customWidth="1"/>
    <col min="6917" max="6917" width="11" style="126" customWidth="1"/>
    <col min="6918" max="6918" width="24.5546875" style="126" customWidth="1"/>
    <col min="6919" max="6919" width="5" style="126" customWidth="1"/>
    <col min="6920" max="6920" width="7.44140625" style="126" customWidth="1"/>
    <col min="6921" max="6921" width="14.44140625" style="126" customWidth="1"/>
    <col min="6922" max="6922" width="8" style="126" customWidth="1"/>
    <col min="6923" max="6923" width="8.6640625" style="126" customWidth="1"/>
    <col min="6924" max="6924" width="5.109375" style="126" customWidth="1"/>
    <col min="6925" max="6925" width="5" style="126" customWidth="1"/>
    <col min="6926" max="6926" width="4.6640625" style="126" customWidth="1"/>
    <col min="6927" max="6927" width="4.109375" style="126" customWidth="1"/>
    <col min="6928" max="7168" width="9.109375" style="126"/>
    <col min="7169" max="7169" width="7.44140625" style="126" customWidth="1"/>
    <col min="7170" max="7170" width="21.109375" style="126" customWidth="1"/>
    <col min="7171" max="7171" width="9.6640625" style="126" customWidth="1"/>
    <col min="7172" max="7172" width="11.109375" style="126" customWidth="1"/>
    <col min="7173" max="7173" width="11" style="126" customWidth="1"/>
    <col min="7174" max="7174" width="24.5546875" style="126" customWidth="1"/>
    <col min="7175" max="7175" width="5" style="126" customWidth="1"/>
    <col min="7176" max="7176" width="7.44140625" style="126" customWidth="1"/>
    <col min="7177" max="7177" width="14.44140625" style="126" customWidth="1"/>
    <col min="7178" max="7178" width="8" style="126" customWidth="1"/>
    <col min="7179" max="7179" width="8.6640625" style="126" customWidth="1"/>
    <col min="7180" max="7180" width="5.109375" style="126" customWidth="1"/>
    <col min="7181" max="7181" width="5" style="126" customWidth="1"/>
    <col min="7182" max="7182" width="4.6640625" style="126" customWidth="1"/>
    <col min="7183" max="7183" width="4.109375" style="126" customWidth="1"/>
    <col min="7184" max="7424" width="9.109375" style="126"/>
    <col min="7425" max="7425" width="7.44140625" style="126" customWidth="1"/>
    <col min="7426" max="7426" width="21.109375" style="126" customWidth="1"/>
    <col min="7427" max="7427" width="9.6640625" style="126" customWidth="1"/>
    <col min="7428" max="7428" width="11.109375" style="126" customWidth="1"/>
    <col min="7429" max="7429" width="11" style="126" customWidth="1"/>
    <col min="7430" max="7430" width="24.5546875" style="126" customWidth="1"/>
    <col min="7431" max="7431" width="5" style="126" customWidth="1"/>
    <col min="7432" max="7432" width="7.44140625" style="126" customWidth="1"/>
    <col min="7433" max="7433" width="14.44140625" style="126" customWidth="1"/>
    <col min="7434" max="7434" width="8" style="126" customWidth="1"/>
    <col min="7435" max="7435" width="8.6640625" style="126" customWidth="1"/>
    <col min="7436" max="7436" width="5.109375" style="126" customWidth="1"/>
    <col min="7437" max="7437" width="5" style="126" customWidth="1"/>
    <col min="7438" max="7438" width="4.6640625" style="126" customWidth="1"/>
    <col min="7439" max="7439" width="4.109375" style="126" customWidth="1"/>
    <col min="7440" max="7680" width="9.109375" style="126"/>
    <col min="7681" max="7681" width="7.44140625" style="126" customWidth="1"/>
    <col min="7682" max="7682" width="21.109375" style="126" customWidth="1"/>
    <col min="7683" max="7683" width="9.6640625" style="126" customWidth="1"/>
    <col min="7684" max="7684" width="11.109375" style="126" customWidth="1"/>
    <col min="7685" max="7685" width="11" style="126" customWidth="1"/>
    <col min="7686" max="7686" width="24.5546875" style="126" customWidth="1"/>
    <col min="7687" max="7687" width="5" style="126" customWidth="1"/>
    <col min="7688" max="7688" width="7.44140625" style="126" customWidth="1"/>
    <col min="7689" max="7689" width="14.44140625" style="126" customWidth="1"/>
    <col min="7690" max="7690" width="8" style="126" customWidth="1"/>
    <col min="7691" max="7691" width="8.6640625" style="126" customWidth="1"/>
    <col min="7692" max="7692" width="5.109375" style="126" customWidth="1"/>
    <col min="7693" max="7693" width="5" style="126" customWidth="1"/>
    <col min="7694" max="7694" width="4.6640625" style="126" customWidth="1"/>
    <col min="7695" max="7695" width="4.109375" style="126" customWidth="1"/>
    <col min="7696" max="7936" width="9.109375" style="126"/>
    <col min="7937" max="7937" width="7.44140625" style="126" customWidth="1"/>
    <col min="7938" max="7938" width="21.109375" style="126" customWidth="1"/>
    <col min="7939" max="7939" width="9.6640625" style="126" customWidth="1"/>
    <col min="7940" max="7940" width="11.109375" style="126" customWidth="1"/>
    <col min="7941" max="7941" width="11" style="126" customWidth="1"/>
    <col min="7942" max="7942" width="24.5546875" style="126" customWidth="1"/>
    <col min="7943" max="7943" width="5" style="126" customWidth="1"/>
    <col min="7944" max="7944" width="7.44140625" style="126" customWidth="1"/>
    <col min="7945" max="7945" width="14.44140625" style="126" customWidth="1"/>
    <col min="7946" max="7946" width="8" style="126" customWidth="1"/>
    <col min="7947" max="7947" width="8.6640625" style="126" customWidth="1"/>
    <col min="7948" max="7948" width="5.109375" style="126" customWidth="1"/>
    <col min="7949" max="7949" width="5" style="126" customWidth="1"/>
    <col min="7950" max="7950" width="4.6640625" style="126" customWidth="1"/>
    <col min="7951" max="7951" width="4.109375" style="126" customWidth="1"/>
    <col min="7952" max="8192" width="9.109375" style="126"/>
    <col min="8193" max="8193" width="7.44140625" style="126" customWidth="1"/>
    <col min="8194" max="8194" width="21.109375" style="126" customWidth="1"/>
    <col min="8195" max="8195" width="9.6640625" style="126" customWidth="1"/>
    <col min="8196" max="8196" width="11.109375" style="126" customWidth="1"/>
    <col min="8197" max="8197" width="11" style="126" customWidth="1"/>
    <col min="8198" max="8198" width="24.5546875" style="126" customWidth="1"/>
    <col min="8199" max="8199" width="5" style="126" customWidth="1"/>
    <col min="8200" max="8200" width="7.44140625" style="126" customWidth="1"/>
    <col min="8201" max="8201" width="14.44140625" style="126" customWidth="1"/>
    <col min="8202" max="8202" width="8" style="126" customWidth="1"/>
    <col min="8203" max="8203" width="8.6640625" style="126" customWidth="1"/>
    <col min="8204" max="8204" width="5.109375" style="126" customWidth="1"/>
    <col min="8205" max="8205" width="5" style="126" customWidth="1"/>
    <col min="8206" max="8206" width="4.6640625" style="126" customWidth="1"/>
    <col min="8207" max="8207" width="4.109375" style="126" customWidth="1"/>
    <col min="8208" max="8448" width="9.109375" style="126"/>
    <col min="8449" max="8449" width="7.44140625" style="126" customWidth="1"/>
    <col min="8450" max="8450" width="21.109375" style="126" customWidth="1"/>
    <col min="8451" max="8451" width="9.6640625" style="126" customWidth="1"/>
    <col min="8452" max="8452" width="11.109375" style="126" customWidth="1"/>
    <col min="8453" max="8453" width="11" style="126" customWidth="1"/>
    <col min="8454" max="8454" width="24.5546875" style="126" customWidth="1"/>
    <col min="8455" max="8455" width="5" style="126" customWidth="1"/>
    <col min="8456" max="8456" width="7.44140625" style="126" customWidth="1"/>
    <col min="8457" max="8457" width="14.44140625" style="126" customWidth="1"/>
    <col min="8458" max="8458" width="8" style="126" customWidth="1"/>
    <col min="8459" max="8459" width="8.6640625" style="126" customWidth="1"/>
    <col min="8460" max="8460" width="5.109375" style="126" customWidth="1"/>
    <col min="8461" max="8461" width="5" style="126" customWidth="1"/>
    <col min="8462" max="8462" width="4.6640625" style="126" customWidth="1"/>
    <col min="8463" max="8463" width="4.109375" style="126" customWidth="1"/>
    <col min="8464" max="8704" width="9.109375" style="126"/>
    <col min="8705" max="8705" width="7.44140625" style="126" customWidth="1"/>
    <col min="8706" max="8706" width="21.109375" style="126" customWidth="1"/>
    <col min="8707" max="8707" width="9.6640625" style="126" customWidth="1"/>
    <col min="8708" max="8708" width="11.109375" style="126" customWidth="1"/>
    <col min="8709" max="8709" width="11" style="126" customWidth="1"/>
    <col min="8710" max="8710" width="24.5546875" style="126" customWidth="1"/>
    <col min="8711" max="8711" width="5" style="126" customWidth="1"/>
    <col min="8712" max="8712" width="7.44140625" style="126" customWidth="1"/>
    <col min="8713" max="8713" width="14.44140625" style="126" customWidth="1"/>
    <col min="8714" max="8714" width="8" style="126" customWidth="1"/>
    <col min="8715" max="8715" width="8.6640625" style="126" customWidth="1"/>
    <col min="8716" max="8716" width="5.109375" style="126" customWidth="1"/>
    <col min="8717" max="8717" width="5" style="126" customWidth="1"/>
    <col min="8718" max="8718" width="4.6640625" style="126" customWidth="1"/>
    <col min="8719" max="8719" width="4.109375" style="126" customWidth="1"/>
    <col min="8720" max="8960" width="9.109375" style="126"/>
    <col min="8961" max="8961" width="7.44140625" style="126" customWidth="1"/>
    <col min="8962" max="8962" width="21.109375" style="126" customWidth="1"/>
    <col min="8963" max="8963" width="9.6640625" style="126" customWidth="1"/>
    <col min="8964" max="8964" width="11.109375" style="126" customWidth="1"/>
    <col min="8965" max="8965" width="11" style="126" customWidth="1"/>
    <col min="8966" max="8966" width="24.5546875" style="126" customWidth="1"/>
    <col min="8967" max="8967" width="5" style="126" customWidth="1"/>
    <col min="8968" max="8968" width="7.44140625" style="126" customWidth="1"/>
    <col min="8969" max="8969" width="14.44140625" style="126" customWidth="1"/>
    <col min="8970" max="8970" width="8" style="126" customWidth="1"/>
    <col min="8971" max="8971" width="8.6640625" style="126" customWidth="1"/>
    <col min="8972" max="8972" width="5.109375" style="126" customWidth="1"/>
    <col min="8973" max="8973" width="5" style="126" customWidth="1"/>
    <col min="8974" max="8974" width="4.6640625" style="126" customWidth="1"/>
    <col min="8975" max="8975" width="4.109375" style="126" customWidth="1"/>
    <col min="8976" max="9216" width="9.109375" style="126"/>
    <col min="9217" max="9217" width="7.44140625" style="126" customWidth="1"/>
    <col min="9218" max="9218" width="21.109375" style="126" customWidth="1"/>
    <col min="9219" max="9219" width="9.6640625" style="126" customWidth="1"/>
    <col min="9220" max="9220" width="11.109375" style="126" customWidth="1"/>
    <col min="9221" max="9221" width="11" style="126" customWidth="1"/>
    <col min="9222" max="9222" width="24.5546875" style="126" customWidth="1"/>
    <col min="9223" max="9223" width="5" style="126" customWidth="1"/>
    <col min="9224" max="9224" width="7.44140625" style="126" customWidth="1"/>
    <col min="9225" max="9225" width="14.44140625" style="126" customWidth="1"/>
    <col min="9226" max="9226" width="8" style="126" customWidth="1"/>
    <col min="9227" max="9227" width="8.6640625" style="126" customWidth="1"/>
    <col min="9228" max="9228" width="5.109375" style="126" customWidth="1"/>
    <col min="9229" max="9229" width="5" style="126" customWidth="1"/>
    <col min="9230" max="9230" width="4.6640625" style="126" customWidth="1"/>
    <col min="9231" max="9231" width="4.109375" style="126" customWidth="1"/>
    <col min="9232" max="9472" width="9.109375" style="126"/>
    <col min="9473" max="9473" width="7.44140625" style="126" customWidth="1"/>
    <col min="9474" max="9474" width="21.109375" style="126" customWidth="1"/>
    <col min="9475" max="9475" width="9.6640625" style="126" customWidth="1"/>
    <col min="9476" max="9476" width="11.109375" style="126" customWidth="1"/>
    <col min="9477" max="9477" width="11" style="126" customWidth="1"/>
    <col min="9478" max="9478" width="24.5546875" style="126" customWidth="1"/>
    <col min="9479" max="9479" width="5" style="126" customWidth="1"/>
    <col min="9480" max="9480" width="7.44140625" style="126" customWidth="1"/>
    <col min="9481" max="9481" width="14.44140625" style="126" customWidth="1"/>
    <col min="9482" max="9482" width="8" style="126" customWidth="1"/>
    <col min="9483" max="9483" width="8.6640625" style="126" customWidth="1"/>
    <col min="9484" max="9484" width="5.109375" style="126" customWidth="1"/>
    <col min="9485" max="9485" width="5" style="126" customWidth="1"/>
    <col min="9486" max="9486" width="4.6640625" style="126" customWidth="1"/>
    <col min="9487" max="9487" width="4.109375" style="126" customWidth="1"/>
    <col min="9488" max="9728" width="9.109375" style="126"/>
    <col min="9729" max="9729" width="7.44140625" style="126" customWidth="1"/>
    <col min="9730" max="9730" width="21.109375" style="126" customWidth="1"/>
    <col min="9731" max="9731" width="9.6640625" style="126" customWidth="1"/>
    <col min="9732" max="9732" width="11.109375" style="126" customWidth="1"/>
    <col min="9733" max="9733" width="11" style="126" customWidth="1"/>
    <col min="9734" max="9734" width="24.5546875" style="126" customWidth="1"/>
    <col min="9735" max="9735" width="5" style="126" customWidth="1"/>
    <col min="9736" max="9736" width="7.44140625" style="126" customWidth="1"/>
    <col min="9737" max="9737" width="14.44140625" style="126" customWidth="1"/>
    <col min="9738" max="9738" width="8" style="126" customWidth="1"/>
    <col min="9739" max="9739" width="8.6640625" style="126" customWidth="1"/>
    <col min="9740" max="9740" width="5.109375" style="126" customWidth="1"/>
    <col min="9741" max="9741" width="5" style="126" customWidth="1"/>
    <col min="9742" max="9742" width="4.6640625" style="126" customWidth="1"/>
    <col min="9743" max="9743" width="4.109375" style="126" customWidth="1"/>
    <col min="9744" max="9984" width="9.109375" style="126"/>
    <col min="9985" max="9985" width="7.44140625" style="126" customWidth="1"/>
    <col min="9986" max="9986" width="21.109375" style="126" customWidth="1"/>
    <col min="9987" max="9987" width="9.6640625" style="126" customWidth="1"/>
    <col min="9988" max="9988" width="11.109375" style="126" customWidth="1"/>
    <col min="9989" max="9989" width="11" style="126" customWidth="1"/>
    <col min="9990" max="9990" width="24.5546875" style="126" customWidth="1"/>
    <col min="9991" max="9991" width="5" style="126" customWidth="1"/>
    <col min="9992" max="9992" width="7.44140625" style="126" customWidth="1"/>
    <col min="9993" max="9993" width="14.44140625" style="126" customWidth="1"/>
    <col min="9994" max="9994" width="8" style="126" customWidth="1"/>
    <col min="9995" max="9995" width="8.6640625" style="126" customWidth="1"/>
    <col min="9996" max="9996" width="5.109375" style="126" customWidth="1"/>
    <col min="9997" max="9997" width="5" style="126" customWidth="1"/>
    <col min="9998" max="9998" width="4.6640625" style="126" customWidth="1"/>
    <col min="9999" max="9999" width="4.109375" style="126" customWidth="1"/>
    <col min="10000" max="10240" width="9.109375" style="126"/>
    <col min="10241" max="10241" width="7.44140625" style="126" customWidth="1"/>
    <col min="10242" max="10242" width="21.109375" style="126" customWidth="1"/>
    <col min="10243" max="10243" width="9.6640625" style="126" customWidth="1"/>
    <col min="10244" max="10244" width="11.109375" style="126" customWidth="1"/>
    <col min="10245" max="10245" width="11" style="126" customWidth="1"/>
    <col min="10246" max="10246" width="24.5546875" style="126" customWidth="1"/>
    <col min="10247" max="10247" width="5" style="126" customWidth="1"/>
    <col min="10248" max="10248" width="7.44140625" style="126" customWidth="1"/>
    <col min="10249" max="10249" width="14.44140625" style="126" customWidth="1"/>
    <col min="10250" max="10250" width="8" style="126" customWidth="1"/>
    <col min="10251" max="10251" width="8.6640625" style="126" customWidth="1"/>
    <col min="10252" max="10252" width="5.109375" style="126" customWidth="1"/>
    <col min="10253" max="10253" width="5" style="126" customWidth="1"/>
    <col min="10254" max="10254" width="4.6640625" style="126" customWidth="1"/>
    <col min="10255" max="10255" width="4.109375" style="126" customWidth="1"/>
    <col min="10256" max="10496" width="9.109375" style="126"/>
    <col min="10497" max="10497" width="7.44140625" style="126" customWidth="1"/>
    <col min="10498" max="10498" width="21.109375" style="126" customWidth="1"/>
    <col min="10499" max="10499" width="9.6640625" style="126" customWidth="1"/>
    <col min="10500" max="10500" width="11.109375" style="126" customWidth="1"/>
    <col min="10501" max="10501" width="11" style="126" customWidth="1"/>
    <col min="10502" max="10502" width="24.5546875" style="126" customWidth="1"/>
    <col min="10503" max="10503" width="5" style="126" customWidth="1"/>
    <col min="10504" max="10504" width="7.44140625" style="126" customWidth="1"/>
    <col min="10505" max="10505" width="14.44140625" style="126" customWidth="1"/>
    <col min="10506" max="10506" width="8" style="126" customWidth="1"/>
    <col min="10507" max="10507" width="8.6640625" style="126" customWidth="1"/>
    <col min="10508" max="10508" width="5.109375" style="126" customWidth="1"/>
    <col min="10509" max="10509" width="5" style="126" customWidth="1"/>
    <col min="10510" max="10510" width="4.6640625" style="126" customWidth="1"/>
    <col min="10511" max="10511" width="4.109375" style="126" customWidth="1"/>
    <col min="10512" max="10752" width="9.109375" style="126"/>
    <col min="10753" max="10753" width="7.44140625" style="126" customWidth="1"/>
    <col min="10754" max="10754" width="21.109375" style="126" customWidth="1"/>
    <col min="10755" max="10755" width="9.6640625" style="126" customWidth="1"/>
    <col min="10756" max="10756" width="11.109375" style="126" customWidth="1"/>
    <col min="10757" max="10757" width="11" style="126" customWidth="1"/>
    <col min="10758" max="10758" width="24.5546875" style="126" customWidth="1"/>
    <col min="10759" max="10759" width="5" style="126" customWidth="1"/>
    <col min="10760" max="10760" width="7.44140625" style="126" customWidth="1"/>
    <col min="10761" max="10761" width="14.44140625" style="126" customWidth="1"/>
    <col min="10762" max="10762" width="8" style="126" customWidth="1"/>
    <col min="10763" max="10763" width="8.6640625" style="126" customWidth="1"/>
    <col min="10764" max="10764" width="5.109375" style="126" customWidth="1"/>
    <col min="10765" max="10765" width="5" style="126" customWidth="1"/>
    <col min="10766" max="10766" width="4.6640625" style="126" customWidth="1"/>
    <col min="10767" max="10767" width="4.109375" style="126" customWidth="1"/>
    <col min="10768" max="11008" width="9.109375" style="126"/>
    <col min="11009" max="11009" width="7.44140625" style="126" customWidth="1"/>
    <col min="11010" max="11010" width="21.109375" style="126" customWidth="1"/>
    <col min="11011" max="11011" width="9.6640625" style="126" customWidth="1"/>
    <col min="11012" max="11012" width="11.109375" style="126" customWidth="1"/>
    <col min="11013" max="11013" width="11" style="126" customWidth="1"/>
    <col min="11014" max="11014" width="24.5546875" style="126" customWidth="1"/>
    <col min="11015" max="11015" width="5" style="126" customWidth="1"/>
    <col min="11016" max="11016" width="7.44140625" style="126" customWidth="1"/>
    <col min="11017" max="11017" width="14.44140625" style="126" customWidth="1"/>
    <col min="11018" max="11018" width="8" style="126" customWidth="1"/>
    <col min="11019" max="11019" width="8.6640625" style="126" customWidth="1"/>
    <col min="11020" max="11020" width="5.109375" style="126" customWidth="1"/>
    <col min="11021" max="11021" width="5" style="126" customWidth="1"/>
    <col min="11022" max="11022" width="4.6640625" style="126" customWidth="1"/>
    <col min="11023" max="11023" width="4.109375" style="126" customWidth="1"/>
    <col min="11024" max="11264" width="9.109375" style="126"/>
    <col min="11265" max="11265" width="7.44140625" style="126" customWidth="1"/>
    <col min="11266" max="11266" width="21.109375" style="126" customWidth="1"/>
    <col min="11267" max="11267" width="9.6640625" style="126" customWidth="1"/>
    <col min="11268" max="11268" width="11.109375" style="126" customWidth="1"/>
    <col min="11269" max="11269" width="11" style="126" customWidth="1"/>
    <col min="11270" max="11270" width="24.5546875" style="126" customWidth="1"/>
    <col min="11271" max="11271" width="5" style="126" customWidth="1"/>
    <col min="11272" max="11272" width="7.44140625" style="126" customWidth="1"/>
    <col min="11273" max="11273" width="14.44140625" style="126" customWidth="1"/>
    <col min="11274" max="11274" width="8" style="126" customWidth="1"/>
    <col min="11275" max="11275" width="8.6640625" style="126" customWidth="1"/>
    <col min="11276" max="11276" width="5.109375" style="126" customWidth="1"/>
    <col min="11277" max="11277" width="5" style="126" customWidth="1"/>
    <col min="11278" max="11278" width="4.6640625" style="126" customWidth="1"/>
    <col min="11279" max="11279" width="4.109375" style="126" customWidth="1"/>
    <col min="11280" max="11520" width="9.109375" style="126"/>
    <col min="11521" max="11521" width="7.44140625" style="126" customWidth="1"/>
    <col min="11522" max="11522" width="21.109375" style="126" customWidth="1"/>
    <col min="11523" max="11523" width="9.6640625" style="126" customWidth="1"/>
    <col min="11524" max="11524" width="11.109375" style="126" customWidth="1"/>
    <col min="11525" max="11525" width="11" style="126" customWidth="1"/>
    <col min="11526" max="11526" width="24.5546875" style="126" customWidth="1"/>
    <col min="11527" max="11527" width="5" style="126" customWidth="1"/>
    <col min="11528" max="11528" width="7.44140625" style="126" customWidth="1"/>
    <col min="11529" max="11529" width="14.44140625" style="126" customWidth="1"/>
    <col min="11530" max="11530" width="8" style="126" customWidth="1"/>
    <col min="11531" max="11531" width="8.6640625" style="126" customWidth="1"/>
    <col min="11532" max="11532" width="5.109375" style="126" customWidth="1"/>
    <col min="11533" max="11533" width="5" style="126" customWidth="1"/>
    <col min="11534" max="11534" width="4.6640625" style="126" customWidth="1"/>
    <col min="11535" max="11535" width="4.109375" style="126" customWidth="1"/>
    <col min="11536" max="11776" width="9.109375" style="126"/>
    <col min="11777" max="11777" width="7.44140625" style="126" customWidth="1"/>
    <col min="11778" max="11778" width="21.109375" style="126" customWidth="1"/>
    <col min="11779" max="11779" width="9.6640625" style="126" customWidth="1"/>
    <col min="11780" max="11780" width="11.109375" style="126" customWidth="1"/>
    <col min="11781" max="11781" width="11" style="126" customWidth="1"/>
    <col min="11782" max="11782" width="24.5546875" style="126" customWidth="1"/>
    <col min="11783" max="11783" width="5" style="126" customWidth="1"/>
    <col min="11784" max="11784" width="7.44140625" style="126" customWidth="1"/>
    <col min="11785" max="11785" width="14.44140625" style="126" customWidth="1"/>
    <col min="11786" max="11786" width="8" style="126" customWidth="1"/>
    <col min="11787" max="11787" width="8.6640625" style="126" customWidth="1"/>
    <col min="11788" max="11788" width="5.109375" style="126" customWidth="1"/>
    <col min="11789" max="11789" width="5" style="126" customWidth="1"/>
    <col min="11790" max="11790" width="4.6640625" style="126" customWidth="1"/>
    <col min="11791" max="11791" width="4.109375" style="126" customWidth="1"/>
    <col min="11792" max="12032" width="9.109375" style="126"/>
    <col min="12033" max="12033" width="7.44140625" style="126" customWidth="1"/>
    <col min="12034" max="12034" width="21.109375" style="126" customWidth="1"/>
    <col min="12035" max="12035" width="9.6640625" style="126" customWidth="1"/>
    <col min="12036" max="12036" width="11.109375" style="126" customWidth="1"/>
    <col min="12037" max="12037" width="11" style="126" customWidth="1"/>
    <col min="12038" max="12038" width="24.5546875" style="126" customWidth="1"/>
    <col min="12039" max="12039" width="5" style="126" customWidth="1"/>
    <col min="12040" max="12040" width="7.44140625" style="126" customWidth="1"/>
    <col min="12041" max="12041" width="14.44140625" style="126" customWidth="1"/>
    <col min="12042" max="12042" width="8" style="126" customWidth="1"/>
    <col min="12043" max="12043" width="8.6640625" style="126" customWidth="1"/>
    <col min="12044" max="12044" width="5.109375" style="126" customWidth="1"/>
    <col min="12045" max="12045" width="5" style="126" customWidth="1"/>
    <col min="12046" max="12046" width="4.6640625" style="126" customWidth="1"/>
    <col min="12047" max="12047" width="4.109375" style="126" customWidth="1"/>
    <col min="12048" max="12288" width="9.109375" style="126"/>
    <col min="12289" max="12289" width="7.44140625" style="126" customWidth="1"/>
    <col min="12290" max="12290" width="21.109375" style="126" customWidth="1"/>
    <col min="12291" max="12291" width="9.6640625" style="126" customWidth="1"/>
    <col min="12292" max="12292" width="11.109375" style="126" customWidth="1"/>
    <col min="12293" max="12293" width="11" style="126" customWidth="1"/>
    <col min="12294" max="12294" width="24.5546875" style="126" customWidth="1"/>
    <col min="12295" max="12295" width="5" style="126" customWidth="1"/>
    <col min="12296" max="12296" width="7.44140625" style="126" customWidth="1"/>
    <col min="12297" max="12297" width="14.44140625" style="126" customWidth="1"/>
    <col min="12298" max="12298" width="8" style="126" customWidth="1"/>
    <col min="12299" max="12299" width="8.6640625" style="126" customWidth="1"/>
    <col min="12300" max="12300" width="5.109375" style="126" customWidth="1"/>
    <col min="12301" max="12301" width="5" style="126" customWidth="1"/>
    <col min="12302" max="12302" width="4.6640625" style="126" customWidth="1"/>
    <col min="12303" max="12303" width="4.109375" style="126" customWidth="1"/>
    <col min="12304" max="12544" width="9.109375" style="126"/>
    <col min="12545" max="12545" width="7.44140625" style="126" customWidth="1"/>
    <col min="12546" max="12546" width="21.109375" style="126" customWidth="1"/>
    <col min="12547" max="12547" width="9.6640625" style="126" customWidth="1"/>
    <col min="12548" max="12548" width="11.109375" style="126" customWidth="1"/>
    <col min="12549" max="12549" width="11" style="126" customWidth="1"/>
    <col min="12550" max="12550" width="24.5546875" style="126" customWidth="1"/>
    <col min="12551" max="12551" width="5" style="126" customWidth="1"/>
    <col min="12552" max="12552" width="7.44140625" style="126" customWidth="1"/>
    <col min="12553" max="12553" width="14.44140625" style="126" customWidth="1"/>
    <col min="12554" max="12554" width="8" style="126" customWidth="1"/>
    <col min="12555" max="12555" width="8.6640625" style="126" customWidth="1"/>
    <col min="12556" max="12556" width="5.109375" style="126" customWidth="1"/>
    <col min="12557" max="12557" width="5" style="126" customWidth="1"/>
    <col min="12558" max="12558" width="4.6640625" style="126" customWidth="1"/>
    <col min="12559" max="12559" width="4.109375" style="126" customWidth="1"/>
    <col min="12560" max="12800" width="9.109375" style="126"/>
    <col min="12801" max="12801" width="7.44140625" style="126" customWidth="1"/>
    <col min="12802" max="12802" width="21.109375" style="126" customWidth="1"/>
    <col min="12803" max="12803" width="9.6640625" style="126" customWidth="1"/>
    <col min="12804" max="12804" width="11.109375" style="126" customWidth="1"/>
    <col min="12805" max="12805" width="11" style="126" customWidth="1"/>
    <col min="12806" max="12806" width="24.5546875" style="126" customWidth="1"/>
    <col min="12807" max="12807" width="5" style="126" customWidth="1"/>
    <col min="12808" max="12808" width="7.44140625" style="126" customWidth="1"/>
    <col min="12809" max="12809" width="14.44140625" style="126" customWidth="1"/>
    <col min="12810" max="12810" width="8" style="126" customWidth="1"/>
    <col min="12811" max="12811" width="8.6640625" style="126" customWidth="1"/>
    <col min="12812" max="12812" width="5.109375" style="126" customWidth="1"/>
    <col min="12813" max="12813" width="5" style="126" customWidth="1"/>
    <col min="12814" max="12814" width="4.6640625" style="126" customWidth="1"/>
    <col min="12815" max="12815" width="4.109375" style="126" customWidth="1"/>
    <col min="12816" max="13056" width="9.109375" style="126"/>
    <col min="13057" max="13057" width="7.44140625" style="126" customWidth="1"/>
    <col min="13058" max="13058" width="21.109375" style="126" customWidth="1"/>
    <col min="13059" max="13059" width="9.6640625" style="126" customWidth="1"/>
    <col min="13060" max="13060" width="11.109375" style="126" customWidth="1"/>
    <col min="13061" max="13061" width="11" style="126" customWidth="1"/>
    <col min="13062" max="13062" width="24.5546875" style="126" customWidth="1"/>
    <col min="13063" max="13063" width="5" style="126" customWidth="1"/>
    <col min="13064" max="13064" width="7.44140625" style="126" customWidth="1"/>
    <col min="13065" max="13065" width="14.44140625" style="126" customWidth="1"/>
    <col min="13066" max="13066" width="8" style="126" customWidth="1"/>
    <col min="13067" max="13067" width="8.6640625" style="126" customWidth="1"/>
    <col min="13068" max="13068" width="5.109375" style="126" customWidth="1"/>
    <col min="13069" max="13069" width="5" style="126" customWidth="1"/>
    <col min="13070" max="13070" width="4.6640625" style="126" customWidth="1"/>
    <col min="13071" max="13071" width="4.109375" style="126" customWidth="1"/>
    <col min="13072" max="13312" width="9.109375" style="126"/>
    <col min="13313" max="13313" width="7.44140625" style="126" customWidth="1"/>
    <col min="13314" max="13314" width="21.109375" style="126" customWidth="1"/>
    <col min="13315" max="13315" width="9.6640625" style="126" customWidth="1"/>
    <col min="13316" max="13316" width="11.109375" style="126" customWidth="1"/>
    <col min="13317" max="13317" width="11" style="126" customWidth="1"/>
    <col min="13318" max="13318" width="24.5546875" style="126" customWidth="1"/>
    <col min="13319" max="13319" width="5" style="126" customWidth="1"/>
    <col min="13320" max="13320" width="7.44140625" style="126" customWidth="1"/>
    <col min="13321" max="13321" width="14.44140625" style="126" customWidth="1"/>
    <col min="13322" max="13322" width="8" style="126" customWidth="1"/>
    <col min="13323" max="13323" width="8.6640625" style="126" customWidth="1"/>
    <col min="13324" max="13324" width="5.109375" style="126" customWidth="1"/>
    <col min="13325" max="13325" width="5" style="126" customWidth="1"/>
    <col min="13326" max="13326" width="4.6640625" style="126" customWidth="1"/>
    <col min="13327" max="13327" width="4.109375" style="126" customWidth="1"/>
    <col min="13328" max="13568" width="9.109375" style="126"/>
    <col min="13569" max="13569" width="7.44140625" style="126" customWidth="1"/>
    <col min="13570" max="13570" width="21.109375" style="126" customWidth="1"/>
    <col min="13571" max="13571" width="9.6640625" style="126" customWidth="1"/>
    <col min="13572" max="13572" width="11.109375" style="126" customWidth="1"/>
    <col min="13573" max="13573" width="11" style="126" customWidth="1"/>
    <col min="13574" max="13574" width="24.5546875" style="126" customWidth="1"/>
    <col min="13575" max="13575" width="5" style="126" customWidth="1"/>
    <col min="13576" max="13576" width="7.44140625" style="126" customWidth="1"/>
    <col min="13577" max="13577" width="14.44140625" style="126" customWidth="1"/>
    <col min="13578" max="13578" width="8" style="126" customWidth="1"/>
    <col min="13579" max="13579" width="8.6640625" style="126" customWidth="1"/>
    <col min="13580" max="13580" width="5.109375" style="126" customWidth="1"/>
    <col min="13581" max="13581" width="5" style="126" customWidth="1"/>
    <col min="13582" max="13582" width="4.6640625" style="126" customWidth="1"/>
    <col min="13583" max="13583" width="4.109375" style="126" customWidth="1"/>
    <col min="13584" max="13824" width="9.109375" style="126"/>
    <col min="13825" max="13825" width="7.44140625" style="126" customWidth="1"/>
    <col min="13826" max="13826" width="21.109375" style="126" customWidth="1"/>
    <col min="13827" max="13827" width="9.6640625" style="126" customWidth="1"/>
    <col min="13828" max="13828" width="11.109375" style="126" customWidth="1"/>
    <col min="13829" max="13829" width="11" style="126" customWidth="1"/>
    <col min="13830" max="13830" width="24.5546875" style="126" customWidth="1"/>
    <col min="13831" max="13831" width="5" style="126" customWidth="1"/>
    <col min="13832" max="13832" width="7.44140625" style="126" customWidth="1"/>
    <col min="13833" max="13833" width="14.44140625" style="126" customWidth="1"/>
    <col min="13834" max="13834" width="8" style="126" customWidth="1"/>
    <col min="13835" max="13835" width="8.6640625" style="126" customWidth="1"/>
    <col min="13836" max="13836" width="5.109375" style="126" customWidth="1"/>
    <col min="13837" max="13837" width="5" style="126" customWidth="1"/>
    <col min="13838" max="13838" width="4.6640625" style="126" customWidth="1"/>
    <col min="13839" max="13839" width="4.109375" style="126" customWidth="1"/>
    <col min="13840" max="14080" width="9.109375" style="126"/>
    <col min="14081" max="14081" width="7.44140625" style="126" customWidth="1"/>
    <col min="14082" max="14082" width="21.109375" style="126" customWidth="1"/>
    <col min="14083" max="14083" width="9.6640625" style="126" customWidth="1"/>
    <col min="14084" max="14084" width="11.109375" style="126" customWidth="1"/>
    <col min="14085" max="14085" width="11" style="126" customWidth="1"/>
    <col min="14086" max="14086" width="24.5546875" style="126" customWidth="1"/>
    <col min="14087" max="14087" width="5" style="126" customWidth="1"/>
    <col min="14088" max="14088" width="7.44140625" style="126" customWidth="1"/>
    <col min="14089" max="14089" width="14.44140625" style="126" customWidth="1"/>
    <col min="14090" max="14090" width="8" style="126" customWidth="1"/>
    <col min="14091" max="14091" width="8.6640625" style="126" customWidth="1"/>
    <col min="14092" max="14092" width="5.109375" style="126" customWidth="1"/>
    <col min="14093" max="14093" width="5" style="126" customWidth="1"/>
    <col min="14094" max="14094" width="4.6640625" style="126" customWidth="1"/>
    <col min="14095" max="14095" width="4.109375" style="126" customWidth="1"/>
    <col min="14096" max="14336" width="9.109375" style="126"/>
    <col min="14337" max="14337" width="7.44140625" style="126" customWidth="1"/>
    <col min="14338" max="14338" width="21.109375" style="126" customWidth="1"/>
    <col min="14339" max="14339" width="9.6640625" style="126" customWidth="1"/>
    <col min="14340" max="14340" width="11.109375" style="126" customWidth="1"/>
    <col min="14341" max="14341" width="11" style="126" customWidth="1"/>
    <col min="14342" max="14342" width="24.5546875" style="126" customWidth="1"/>
    <col min="14343" max="14343" width="5" style="126" customWidth="1"/>
    <col min="14344" max="14344" width="7.44140625" style="126" customWidth="1"/>
    <col min="14345" max="14345" width="14.44140625" style="126" customWidth="1"/>
    <col min="14346" max="14346" width="8" style="126" customWidth="1"/>
    <col min="14347" max="14347" width="8.6640625" style="126" customWidth="1"/>
    <col min="14348" max="14348" width="5.109375" style="126" customWidth="1"/>
    <col min="14349" max="14349" width="5" style="126" customWidth="1"/>
    <col min="14350" max="14350" width="4.6640625" style="126" customWidth="1"/>
    <col min="14351" max="14351" width="4.109375" style="126" customWidth="1"/>
    <col min="14352" max="14592" width="9.109375" style="126"/>
    <col min="14593" max="14593" width="7.44140625" style="126" customWidth="1"/>
    <col min="14594" max="14594" width="21.109375" style="126" customWidth="1"/>
    <col min="14595" max="14595" width="9.6640625" style="126" customWidth="1"/>
    <col min="14596" max="14596" width="11.109375" style="126" customWidth="1"/>
    <col min="14597" max="14597" width="11" style="126" customWidth="1"/>
    <col min="14598" max="14598" width="24.5546875" style="126" customWidth="1"/>
    <col min="14599" max="14599" width="5" style="126" customWidth="1"/>
    <col min="14600" max="14600" width="7.44140625" style="126" customWidth="1"/>
    <col min="14601" max="14601" width="14.44140625" style="126" customWidth="1"/>
    <col min="14602" max="14602" width="8" style="126" customWidth="1"/>
    <col min="14603" max="14603" width="8.6640625" style="126" customWidth="1"/>
    <col min="14604" max="14604" width="5.109375" style="126" customWidth="1"/>
    <col min="14605" max="14605" width="5" style="126" customWidth="1"/>
    <col min="14606" max="14606" width="4.6640625" style="126" customWidth="1"/>
    <col min="14607" max="14607" width="4.109375" style="126" customWidth="1"/>
    <col min="14608" max="14848" width="9.109375" style="126"/>
    <col min="14849" max="14849" width="7.44140625" style="126" customWidth="1"/>
    <col min="14850" max="14850" width="21.109375" style="126" customWidth="1"/>
    <col min="14851" max="14851" width="9.6640625" style="126" customWidth="1"/>
    <col min="14852" max="14852" width="11.109375" style="126" customWidth="1"/>
    <col min="14853" max="14853" width="11" style="126" customWidth="1"/>
    <col min="14854" max="14854" width="24.5546875" style="126" customWidth="1"/>
    <col min="14855" max="14855" width="5" style="126" customWidth="1"/>
    <col min="14856" max="14856" width="7.44140625" style="126" customWidth="1"/>
    <col min="14857" max="14857" width="14.44140625" style="126" customWidth="1"/>
    <col min="14858" max="14858" width="8" style="126" customWidth="1"/>
    <col min="14859" max="14859" width="8.6640625" style="126" customWidth="1"/>
    <col min="14860" max="14860" width="5.109375" style="126" customWidth="1"/>
    <col min="14861" max="14861" width="5" style="126" customWidth="1"/>
    <col min="14862" max="14862" width="4.6640625" style="126" customWidth="1"/>
    <col min="14863" max="14863" width="4.109375" style="126" customWidth="1"/>
    <col min="14864" max="15104" width="9.109375" style="126"/>
    <col min="15105" max="15105" width="7.44140625" style="126" customWidth="1"/>
    <col min="15106" max="15106" width="21.109375" style="126" customWidth="1"/>
    <col min="15107" max="15107" width="9.6640625" style="126" customWidth="1"/>
    <col min="15108" max="15108" width="11.109375" style="126" customWidth="1"/>
    <col min="15109" max="15109" width="11" style="126" customWidth="1"/>
    <col min="15110" max="15110" width="24.5546875" style="126" customWidth="1"/>
    <col min="15111" max="15111" width="5" style="126" customWidth="1"/>
    <col min="15112" max="15112" width="7.44140625" style="126" customWidth="1"/>
    <col min="15113" max="15113" width="14.44140625" style="126" customWidth="1"/>
    <col min="15114" max="15114" width="8" style="126" customWidth="1"/>
    <col min="15115" max="15115" width="8.6640625" style="126" customWidth="1"/>
    <col min="15116" max="15116" width="5.109375" style="126" customWidth="1"/>
    <col min="15117" max="15117" width="5" style="126" customWidth="1"/>
    <col min="15118" max="15118" width="4.6640625" style="126" customWidth="1"/>
    <col min="15119" max="15119" width="4.109375" style="126" customWidth="1"/>
    <col min="15120" max="15360" width="9.109375" style="126"/>
    <col min="15361" max="15361" width="7.44140625" style="126" customWidth="1"/>
    <col min="15362" max="15362" width="21.109375" style="126" customWidth="1"/>
    <col min="15363" max="15363" width="9.6640625" style="126" customWidth="1"/>
    <col min="15364" max="15364" width="11.109375" style="126" customWidth="1"/>
    <col min="15365" max="15365" width="11" style="126" customWidth="1"/>
    <col min="15366" max="15366" width="24.5546875" style="126" customWidth="1"/>
    <col min="15367" max="15367" width="5" style="126" customWidth="1"/>
    <col min="15368" max="15368" width="7.44140625" style="126" customWidth="1"/>
    <col min="15369" max="15369" width="14.44140625" style="126" customWidth="1"/>
    <col min="15370" max="15370" width="8" style="126" customWidth="1"/>
    <col min="15371" max="15371" width="8.6640625" style="126" customWidth="1"/>
    <col min="15372" max="15372" width="5.109375" style="126" customWidth="1"/>
    <col min="15373" max="15373" width="5" style="126" customWidth="1"/>
    <col min="15374" max="15374" width="4.6640625" style="126" customWidth="1"/>
    <col min="15375" max="15375" width="4.109375" style="126" customWidth="1"/>
    <col min="15376" max="15616" width="9.109375" style="126"/>
    <col min="15617" max="15617" width="7.44140625" style="126" customWidth="1"/>
    <col min="15618" max="15618" width="21.109375" style="126" customWidth="1"/>
    <col min="15619" max="15619" width="9.6640625" style="126" customWidth="1"/>
    <col min="15620" max="15620" width="11.109375" style="126" customWidth="1"/>
    <col min="15621" max="15621" width="11" style="126" customWidth="1"/>
    <col min="15622" max="15622" width="24.5546875" style="126" customWidth="1"/>
    <col min="15623" max="15623" width="5" style="126" customWidth="1"/>
    <col min="15624" max="15624" width="7.44140625" style="126" customWidth="1"/>
    <col min="15625" max="15625" width="14.44140625" style="126" customWidth="1"/>
    <col min="15626" max="15626" width="8" style="126" customWidth="1"/>
    <col min="15627" max="15627" width="8.6640625" style="126" customWidth="1"/>
    <col min="15628" max="15628" width="5.109375" style="126" customWidth="1"/>
    <col min="15629" max="15629" width="5" style="126" customWidth="1"/>
    <col min="15630" max="15630" width="4.6640625" style="126" customWidth="1"/>
    <col min="15631" max="15631" width="4.109375" style="126" customWidth="1"/>
    <col min="15632" max="15872" width="9.109375" style="126"/>
    <col min="15873" max="15873" width="7.44140625" style="126" customWidth="1"/>
    <col min="15874" max="15874" width="21.109375" style="126" customWidth="1"/>
    <col min="15875" max="15875" width="9.6640625" style="126" customWidth="1"/>
    <col min="15876" max="15876" width="11.109375" style="126" customWidth="1"/>
    <col min="15877" max="15877" width="11" style="126" customWidth="1"/>
    <col min="15878" max="15878" width="24.5546875" style="126" customWidth="1"/>
    <col min="15879" max="15879" width="5" style="126" customWidth="1"/>
    <col min="15880" max="15880" width="7.44140625" style="126" customWidth="1"/>
    <col min="15881" max="15881" width="14.44140625" style="126" customWidth="1"/>
    <col min="15882" max="15882" width="8" style="126" customWidth="1"/>
    <col min="15883" max="15883" width="8.6640625" style="126" customWidth="1"/>
    <col min="15884" max="15884" width="5.109375" style="126" customWidth="1"/>
    <col min="15885" max="15885" width="5" style="126" customWidth="1"/>
    <col min="15886" max="15886" width="4.6640625" style="126" customWidth="1"/>
    <col min="15887" max="15887" width="4.109375" style="126" customWidth="1"/>
    <col min="15888" max="16128" width="9.109375" style="126"/>
    <col min="16129" max="16129" width="7.44140625" style="126" customWidth="1"/>
    <col min="16130" max="16130" width="21.109375" style="126" customWidth="1"/>
    <col min="16131" max="16131" width="9.6640625" style="126" customWidth="1"/>
    <col min="16132" max="16132" width="11.109375" style="126" customWidth="1"/>
    <col min="16133" max="16133" width="11" style="126" customWidth="1"/>
    <col min="16134" max="16134" width="24.5546875" style="126" customWidth="1"/>
    <col min="16135" max="16135" width="5" style="126" customWidth="1"/>
    <col min="16136" max="16136" width="7.44140625" style="126" customWidth="1"/>
    <col min="16137" max="16137" width="14.44140625" style="126" customWidth="1"/>
    <col min="16138" max="16138" width="8" style="126" customWidth="1"/>
    <col min="16139" max="16139" width="8.6640625" style="126" customWidth="1"/>
    <col min="16140" max="16140" width="5.109375" style="126" customWidth="1"/>
    <col min="16141" max="16141" width="5" style="126" customWidth="1"/>
    <col min="16142" max="16142" width="4.6640625" style="126" customWidth="1"/>
    <col min="16143" max="16143" width="4.109375" style="126" customWidth="1"/>
    <col min="16144" max="16384" width="9.109375" style="126"/>
  </cols>
  <sheetData>
    <row r="1" spans="1:16" ht="26.25" customHeight="1" x14ac:dyDescent="0.35">
      <c r="A1" s="335" t="str">
        <f>'[8]Brick rate'!A1:F1</f>
        <v>Shankharapur Municipality</v>
      </c>
      <c r="B1" s="336"/>
      <c r="C1" s="336"/>
      <c r="D1" s="336"/>
      <c r="E1" s="336"/>
      <c r="F1" s="336"/>
      <c r="G1" s="180"/>
      <c r="H1" s="180"/>
      <c r="I1" s="180"/>
      <c r="J1" s="180"/>
    </row>
    <row r="2" spans="1:16" ht="23.25" customHeight="1" x14ac:dyDescent="0.35">
      <c r="A2" s="335" t="str">
        <f>'[8]Brick rate'!A2:F2</f>
        <v>Office of The Municipal Executive</v>
      </c>
      <c r="B2" s="336"/>
      <c r="C2" s="336"/>
      <c r="D2" s="336"/>
      <c r="E2" s="336"/>
      <c r="F2" s="336"/>
      <c r="G2" s="181"/>
      <c r="H2" s="181"/>
      <c r="I2" s="181"/>
      <c r="J2" s="181"/>
    </row>
    <row r="3" spans="1:16" ht="23.25" customHeight="1" x14ac:dyDescent="0.35">
      <c r="A3" s="335" t="str">
        <f>'[8]Brick rate'!A3:F3</f>
        <v>Shankhu,Kathmandu</v>
      </c>
      <c r="B3" s="336"/>
      <c r="C3" s="336"/>
      <c r="D3" s="336"/>
      <c r="E3" s="336"/>
      <c r="F3" s="336"/>
      <c r="G3" s="181"/>
      <c r="H3" s="181"/>
      <c r="I3" s="181"/>
      <c r="J3" s="181"/>
    </row>
    <row r="4" spans="1:16" ht="15.6" x14ac:dyDescent="0.3">
      <c r="A4" s="337"/>
      <c r="B4" s="338"/>
      <c r="C4" s="338"/>
      <c r="D4" s="338"/>
      <c r="E4" s="338"/>
      <c r="F4" s="339"/>
      <c r="G4" s="316"/>
      <c r="H4" s="186"/>
      <c r="I4" s="186"/>
      <c r="J4" s="186"/>
    </row>
    <row r="5" spans="1:16" ht="13.8" x14ac:dyDescent="0.3">
      <c r="A5" s="337"/>
      <c r="B5" s="340"/>
      <c r="C5" s="340"/>
      <c r="D5" s="340"/>
      <c r="E5" s="340"/>
      <c r="F5" s="340"/>
      <c r="G5" s="189"/>
      <c r="H5" s="189"/>
      <c r="J5" s="189"/>
    </row>
    <row r="6" spans="1:16" x14ac:dyDescent="0.25">
      <c r="A6" s="341"/>
      <c r="B6" s="342"/>
      <c r="C6" s="343"/>
      <c r="D6" s="344"/>
      <c r="E6" s="344"/>
      <c r="F6" s="345"/>
      <c r="G6" s="194"/>
      <c r="H6" s="195"/>
      <c r="I6" s="196"/>
      <c r="J6" s="197"/>
      <c r="L6" s="134"/>
      <c r="M6" s="134"/>
      <c r="N6" s="134"/>
      <c r="O6" s="134"/>
      <c r="P6" s="134"/>
    </row>
    <row r="7" spans="1:16" x14ac:dyDescent="0.25">
      <c r="A7" s="190"/>
      <c r="B7" s="311" t="s">
        <v>152</v>
      </c>
      <c r="C7" s="312"/>
      <c r="D7" s="312"/>
      <c r="E7" s="312"/>
      <c r="F7" s="313"/>
      <c r="G7" s="198"/>
      <c r="H7" s="199"/>
      <c r="I7" s="200"/>
      <c r="J7" s="201"/>
      <c r="L7" s="134"/>
      <c r="M7" s="134"/>
      <c r="N7" s="134"/>
      <c r="O7" s="134"/>
      <c r="P7" s="134"/>
    </row>
    <row r="8" spans="1:16" ht="13.8" thickBot="1" x14ac:dyDescent="0.3">
      <c r="A8" s="317"/>
      <c r="B8" s="318"/>
      <c r="C8" s="319"/>
      <c r="D8" s="319"/>
      <c r="E8" s="319"/>
      <c r="F8" s="320"/>
      <c r="G8" s="198"/>
      <c r="H8" s="199"/>
      <c r="I8" s="200"/>
      <c r="J8" s="201"/>
      <c r="L8" s="134"/>
      <c r="M8" s="134"/>
      <c r="N8" s="134"/>
      <c r="O8" s="134"/>
      <c r="P8" s="134"/>
    </row>
    <row r="9" spans="1:16" ht="13.8" thickBot="1" x14ac:dyDescent="0.3">
      <c r="A9" s="321" t="s">
        <v>173</v>
      </c>
      <c r="B9" s="322" t="s">
        <v>174</v>
      </c>
      <c r="C9" s="323"/>
      <c r="D9" s="323"/>
      <c r="E9" s="323"/>
      <c r="F9" s="324"/>
      <c r="G9" s="134"/>
      <c r="H9" s="134"/>
      <c r="I9" s="173"/>
    </row>
    <row r="10" spans="1:16" ht="21.6" thickBot="1" x14ac:dyDescent="0.45">
      <c r="A10" s="210"/>
      <c r="B10" s="325" t="s">
        <v>155</v>
      </c>
      <c r="C10" s="326"/>
      <c r="D10" s="326"/>
      <c r="E10" s="326"/>
      <c r="F10" s="327"/>
      <c r="G10" s="134"/>
      <c r="H10" s="134"/>
      <c r="I10" s="134"/>
    </row>
    <row r="11" spans="1:16" ht="21" x14ac:dyDescent="0.4">
      <c r="A11" s="217"/>
      <c r="B11" s="328" t="s">
        <v>156</v>
      </c>
      <c r="C11" s="329"/>
      <c r="D11" s="329"/>
      <c r="E11" s="220"/>
      <c r="F11" s="221">
        <v>93</v>
      </c>
      <c r="G11" s="134"/>
      <c r="H11" s="134"/>
      <c r="I11" s="134"/>
    </row>
    <row r="12" spans="1:16" ht="21" x14ac:dyDescent="0.4">
      <c r="A12" s="224"/>
      <c r="B12" s="330" t="s">
        <v>157</v>
      </c>
      <c r="C12" s="331"/>
      <c r="D12" s="331"/>
      <c r="E12" s="235"/>
      <c r="F12" s="226">
        <f>F11*0.1</f>
        <v>9.3000000000000007</v>
      </c>
      <c r="G12" s="134"/>
      <c r="H12" s="134"/>
      <c r="I12" s="134"/>
    </row>
    <row r="13" spans="1:16" ht="21" x14ac:dyDescent="0.4">
      <c r="A13" s="224"/>
      <c r="B13" s="330" t="s">
        <v>158</v>
      </c>
      <c r="C13" s="331"/>
      <c r="D13" s="331"/>
      <c r="E13" s="235"/>
      <c r="F13" s="228">
        <v>75</v>
      </c>
    </row>
    <row r="14" spans="1:16" ht="21" x14ac:dyDescent="0.4">
      <c r="A14" s="224"/>
      <c r="B14" s="330" t="s">
        <v>159</v>
      </c>
      <c r="C14" s="331"/>
      <c r="D14" s="331"/>
      <c r="E14" s="235"/>
      <c r="F14" s="230">
        <f>81-57</f>
        <v>24</v>
      </c>
    </row>
    <row r="15" spans="1:16" ht="21" x14ac:dyDescent="0.4">
      <c r="A15" s="224"/>
      <c r="B15" s="332" t="s">
        <v>160</v>
      </c>
      <c r="C15" s="332"/>
      <c r="D15" s="332"/>
      <c r="E15" s="332"/>
      <c r="F15" s="333" t="s">
        <v>161</v>
      </c>
    </row>
    <row r="16" spans="1:16" ht="21" x14ac:dyDescent="0.4">
      <c r="A16" s="224"/>
      <c r="B16" s="297"/>
      <c r="C16" s="297"/>
      <c r="D16" s="297"/>
      <c r="E16" s="297"/>
      <c r="F16" s="334">
        <f>(F11-F12)/F13</f>
        <v>1.1160000000000001</v>
      </c>
    </row>
    <row r="17" spans="1:9" ht="21" x14ac:dyDescent="0.4">
      <c r="A17" s="224"/>
      <c r="B17" s="330" t="s">
        <v>162</v>
      </c>
      <c r="C17" s="330"/>
      <c r="D17" s="330"/>
      <c r="E17" s="330"/>
      <c r="F17" s="333" t="s">
        <v>163</v>
      </c>
    </row>
    <row r="18" spans="1:9" ht="21" x14ac:dyDescent="0.4">
      <c r="A18" s="224"/>
      <c r="B18" s="330" t="s">
        <v>164</v>
      </c>
      <c r="C18" s="330"/>
      <c r="D18" s="330"/>
      <c r="E18" s="330"/>
      <c r="F18" s="334">
        <f>F11-(F14*F16)</f>
        <v>66.215999999999994</v>
      </c>
    </row>
    <row r="19" spans="1:9" ht="21.6" thickBot="1" x14ac:dyDescent="0.45">
      <c r="A19" s="238"/>
      <c r="B19" s="239"/>
      <c r="C19" s="240"/>
      <c r="D19" s="240"/>
      <c r="E19" s="240"/>
      <c r="F19" s="241"/>
    </row>
    <row r="20" spans="1:9" ht="13.8" hidden="1" thickBot="1" x14ac:dyDescent="0.3">
      <c r="A20" s="205" t="s">
        <v>173</v>
      </c>
      <c r="B20" s="322" t="s">
        <v>174</v>
      </c>
      <c r="C20" s="323"/>
      <c r="D20" s="323"/>
      <c r="E20" s="323"/>
      <c r="F20" s="324"/>
      <c r="G20" s="134"/>
      <c r="H20" s="134"/>
      <c r="I20" s="173"/>
    </row>
    <row r="21" spans="1:9" ht="21.6" hidden="1" thickBot="1" x14ac:dyDescent="0.45">
      <c r="A21" s="210"/>
      <c r="B21" s="325" t="s">
        <v>155</v>
      </c>
      <c r="C21" s="326"/>
      <c r="D21" s="326"/>
      <c r="E21" s="326"/>
      <c r="F21" s="327"/>
      <c r="G21" s="134"/>
      <c r="H21" s="134"/>
      <c r="I21" s="134"/>
    </row>
    <row r="22" spans="1:9" ht="21" hidden="1" x14ac:dyDescent="0.4">
      <c r="A22" s="217"/>
      <c r="B22" s="328" t="s">
        <v>156</v>
      </c>
      <c r="C22" s="329"/>
      <c r="D22" s="329"/>
      <c r="E22" s="220"/>
      <c r="F22" s="221">
        <v>81</v>
      </c>
      <c r="G22" s="134"/>
      <c r="H22" s="134"/>
      <c r="I22" s="134"/>
    </row>
    <row r="23" spans="1:9" ht="21" hidden="1" x14ac:dyDescent="0.4">
      <c r="A23" s="224"/>
      <c r="B23" s="330" t="s">
        <v>157</v>
      </c>
      <c r="C23" s="331"/>
      <c r="D23" s="331"/>
      <c r="E23" s="235"/>
      <c r="F23" s="226">
        <f>F22*0.1</f>
        <v>8.1</v>
      </c>
      <c r="G23" s="134"/>
      <c r="H23" s="134"/>
      <c r="I23" s="134"/>
    </row>
    <row r="24" spans="1:9" ht="21" hidden="1" x14ac:dyDescent="0.4">
      <c r="A24" s="224"/>
      <c r="B24" s="330" t="s">
        <v>158</v>
      </c>
      <c r="C24" s="331"/>
      <c r="D24" s="331"/>
      <c r="E24" s="235"/>
      <c r="F24" s="228">
        <f>F13</f>
        <v>75</v>
      </c>
    </row>
    <row r="25" spans="1:9" ht="21" hidden="1" x14ac:dyDescent="0.4">
      <c r="A25" s="224"/>
      <c r="B25" s="330" t="s">
        <v>159</v>
      </c>
      <c r="C25" s="331"/>
      <c r="D25" s="331"/>
      <c r="E25" s="235"/>
      <c r="F25" s="230">
        <v>8</v>
      </c>
    </row>
    <row r="26" spans="1:9" ht="21" hidden="1" x14ac:dyDescent="0.4">
      <c r="A26" s="224"/>
      <c r="B26" s="332" t="s">
        <v>160</v>
      </c>
      <c r="C26" s="332"/>
      <c r="D26" s="332"/>
      <c r="E26" s="332"/>
      <c r="F26" s="333" t="s">
        <v>161</v>
      </c>
    </row>
    <row r="27" spans="1:9" ht="21" hidden="1" x14ac:dyDescent="0.4">
      <c r="A27" s="224"/>
      <c r="B27" s="297"/>
      <c r="C27" s="297"/>
      <c r="D27" s="297"/>
      <c r="E27" s="297"/>
      <c r="F27" s="334">
        <f>(F22-F23)/F24</f>
        <v>0.97200000000000009</v>
      </c>
    </row>
    <row r="28" spans="1:9" ht="21" hidden="1" x14ac:dyDescent="0.4">
      <c r="A28" s="224"/>
      <c r="B28" s="330" t="s">
        <v>162</v>
      </c>
      <c r="C28" s="330"/>
      <c r="D28" s="330"/>
      <c r="E28" s="330"/>
      <c r="F28" s="333" t="s">
        <v>163</v>
      </c>
    </row>
    <row r="29" spans="1:9" ht="21" hidden="1" x14ac:dyDescent="0.4">
      <c r="A29" s="224"/>
      <c r="B29" s="330" t="s">
        <v>164</v>
      </c>
      <c r="C29" s="330"/>
      <c r="D29" s="330"/>
      <c r="E29" s="330"/>
      <c r="F29" s="334">
        <f>F22-(F25*F27)</f>
        <v>73.224000000000004</v>
      </c>
    </row>
    <row r="30" spans="1:9" ht="21.6" hidden="1" thickBot="1" x14ac:dyDescent="0.45">
      <c r="A30" s="238"/>
      <c r="B30" s="239"/>
      <c r="C30" s="240"/>
      <c r="D30" s="240"/>
      <c r="E30" s="240"/>
      <c r="F30" s="241"/>
    </row>
  </sheetData>
  <mergeCells count="23">
    <mergeCell ref="B25:D25"/>
    <mergeCell ref="B26:E26"/>
    <mergeCell ref="B27:E27"/>
    <mergeCell ref="B28:E28"/>
    <mergeCell ref="B29:E29"/>
    <mergeCell ref="B17:E17"/>
    <mergeCell ref="B18:E18"/>
    <mergeCell ref="B20:F20"/>
    <mergeCell ref="B21:F21"/>
    <mergeCell ref="B23:D23"/>
    <mergeCell ref="B24:D24"/>
    <mergeCell ref="B10:F10"/>
    <mergeCell ref="B12:D12"/>
    <mergeCell ref="B13:D13"/>
    <mergeCell ref="B14:D14"/>
    <mergeCell ref="B15:E15"/>
    <mergeCell ref="B16:E16"/>
    <mergeCell ref="A1:F1"/>
    <mergeCell ref="A2:F2"/>
    <mergeCell ref="A3:F3"/>
    <mergeCell ref="D6:E6"/>
    <mergeCell ref="B7:F7"/>
    <mergeCell ref="B9:F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quqntity cqlculqtion</vt:lpstr>
      <vt:lpstr>demolition cost</vt:lpstr>
      <vt:lpstr>Compilation 1</vt:lpstr>
      <vt:lpstr>COD-1</vt:lpstr>
      <vt:lpstr>COD-sum</vt:lpstr>
      <vt:lpstr>Brick rate</vt:lpstr>
      <vt:lpstr>wood frame</vt:lpstr>
      <vt:lpstr>MS rate</vt:lpstr>
      <vt:lpstr>'Brick rate'!Print_Area</vt:lpstr>
      <vt:lpstr>'COD-1'!Print_Area</vt:lpstr>
      <vt:lpstr>'Compilation 1'!Print_Area</vt:lpstr>
      <vt:lpstr>'demolition cost'!Print_Area</vt:lpstr>
      <vt:lpstr>'MS rate'!Print_Area</vt:lpstr>
      <vt:lpstr>'quqntity cqlculqtion'!Print_Area</vt:lpstr>
      <vt:lpstr>'wood frame'!Print_Area</vt:lpstr>
      <vt:lpstr>'Compilation 1'!Print_Titles</vt:lpstr>
      <vt:lpstr>'demolition cost'!Print_Titles</vt:lpstr>
      <vt:lpstr>'quqntity cqlculqtion'!Print_Titles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2024-11-17T02:32:09Z</dcterms:modified>
</cp:coreProperties>
</file>