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081-082\ofc\school lilaami\"/>
    </mc:Choice>
  </mc:AlternateContent>
  <bookViews>
    <workbookView xWindow="-120" yWindow="-120" windowWidth="20730" windowHeight="11160"/>
  </bookViews>
  <sheets>
    <sheet name="new" sheetId="18" r:id="rId1"/>
    <sheet name="WCR" sheetId="6" r:id="rId2"/>
    <sheet name="Sheet1" sheetId="20" state="hidden" r:id="rId3"/>
  </sheets>
  <externalReferences>
    <externalReference r:id="rId4"/>
    <externalReference r:id="rId5"/>
    <externalReference r:id="rId6"/>
    <externalReference r:id="rId7"/>
    <externalReference r:id="rId8"/>
  </externalReferences>
  <definedNames>
    <definedName name="adopted_rate_aggregate_10_20_mm">[1]District_Rate!$L$6</definedName>
    <definedName name="adopted_rate_aggregate_10_mm">[1]District_Rate!$L$7</definedName>
    <definedName name="adopted_rate_aggregate_20_40_mm">[1]District_Rate!$L$9</definedName>
    <definedName name="adopted_rate_binding_wire">[1]District_Rate!$L$17</definedName>
    <definedName name="adopted_rate_cement">[1]District_Rate!$L$25</definedName>
    <definedName name="adopted_rate_HYSD_bar">[1]District_Rate!$L$73</definedName>
    <definedName name="adopted_rate_sand">[1]District_Rate!$L$111</definedName>
    <definedName name="adopted_rate_water">[1]District_Rate!$L$129</definedName>
    <definedName name="concrete_mixer">[1]Equipment_Rate!$J$10</definedName>
    <definedName name="description_1">[2]Abstract!$B$167</definedName>
    <definedName name="description_124">[3]Abstract!$B$18</definedName>
    <definedName name="description_2">[2]Abstract!$B$168</definedName>
    <definedName name="description_261">[4]Abstract!$B$33</definedName>
    <definedName name="description_262">[5]Abstract!$B$34</definedName>
    <definedName name="description_6">[2]Abstract!$B$172</definedName>
    <definedName name="description_784">[2]Abstract!$B$300</definedName>
    <definedName name="excavator">[1]Equipment_Rate!$J$19</definedName>
    <definedName name="generator">[1]Equipment_Rate!$J$20</definedName>
    <definedName name="_xlnm.Print_Area" localSheetId="0">new!$A$1:$K$63</definedName>
    <definedName name="_xlnm.Print_Area" localSheetId="1">WCR!$A$1:$K$30</definedName>
    <definedName name="_xlnm.Print_Titles" localSheetId="0">new!$1:$8</definedName>
    <definedName name="_xlnm.Print_Titles" localSheetId="1">WCR!$1:$12</definedName>
    <definedName name="skilled">[1]District_Rate!$D$148</definedName>
    <definedName name="skilled_blacksmith">[1]District_Rate!$D$149</definedName>
    <definedName name="unskilled">[1]District_Rate!$D$156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1" i="18" l="1"/>
  <c r="C40" i="18"/>
  <c r="N45" i="18"/>
  <c r="F45" i="18"/>
  <c r="F43" i="18"/>
  <c r="F42" i="18"/>
  <c r="F39" i="18"/>
  <c r="F38" i="18"/>
  <c r="F37" i="18"/>
  <c r="F36" i="18"/>
  <c r="F35" i="18"/>
  <c r="D24" i="18"/>
  <c r="D25" i="18"/>
  <c r="D12" i="18"/>
  <c r="D13" i="18"/>
  <c r="F46" i="18"/>
  <c r="G46" i="18" s="1"/>
  <c r="D46" i="18"/>
  <c r="D45" i="18"/>
  <c r="D44" i="18"/>
  <c r="G44" i="18" s="1"/>
  <c r="E43" i="18"/>
  <c r="D43" i="18"/>
  <c r="E42" i="18"/>
  <c r="D42" i="18"/>
  <c r="G39" i="18"/>
  <c r="G38" i="18"/>
  <c r="G36" i="18"/>
  <c r="G35" i="18"/>
  <c r="G43" i="18" l="1"/>
  <c r="G37" i="18"/>
  <c r="G45" i="18"/>
  <c r="G42" i="18"/>
  <c r="F28" i="18" l="1"/>
  <c r="F27" i="18"/>
  <c r="F24" i="18"/>
  <c r="F25" i="18"/>
  <c r="F26" i="18" s="1"/>
  <c r="F29" i="18" s="1"/>
  <c r="D30" i="18"/>
  <c r="D28" i="18" l="1"/>
  <c r="G28" i="18" s="1"/>
  <c r="D27" i="18"/>
  <c r="G27" i="18" s="1"/>
  <c r="D26" i="18"/>
  <c r="G25" i="18"/>
  <c r="G24" i="18"/>
  <c r="D33" i="18"/>
  <c r="D32" i="18"/>
  <c r="F31" i="18"/>
  <c r="D31" i="18"/>
  <c r="E30" i="18"/>
  <c r="E29" i="18"/>
  <c r="D29" i="18"/>
  <c r="D22" i="18"/>
  <c r="D21" i="18"/>
  <c r="F19" i="18"/>
  <c r="D19" i="18"/>
  <c r="G19" i="18" s="1"/>
  <c r="E18" i="18"/>
  <c r="D18" i="18"/>
  <c r="E17" i="18"/>
  <c r="D17" i="18"/>
  <c r="D14" i="18"/>
  <c r="F16" i="18"/>
  <c r="F13" i="18"/>
  <c r="F22" i="18" s="1"/>
  <c r="D16" i="18"/>
  <c r="G16" i="18" s="1"/>
  <c r="F15" i="18"/>
  <c r="F12" i="18"/>
  <c r="D15" i="18"/>
  <c r="G15" i="18" s="1"/>
  <c r="F14" i="18" l="1"/>
  <c r="F18" i="18" s="1"/>
  <c r="G12" i="18"/>
  <c r="G13" i="18"/>
  <c r="G14" i="18"/>
  <c r="G18" i="18"/>
  <c r="G31" i="18"/>
  <c r="F33" i="18"/>
  <c r="F32" i="18" s="1"/>
  <c r="G32" i="18" s="1"/>
  <c r="G22" i="18"/>
  <c r="F21" i="18"/>
  <c r="G21" i="18" s="1"/>
  <c r="G29" i="18"/>
  <c r="G26" i="18"/>
  <c r="F30" i="18"/>
  <c r="G30" i="18" s="1"/>
  <c r="A9" i="6"/>
  <c r="A8" i="6"/>
  <c r="F17" i="18" l="1"/>
  <c r="G17" i="18" s="1"/>
  <c r="G33" i="18"/>
  <c r="G47" i="18" s="1"/>
  <c r="J47" i="18" s="1"/>
  <c r="U61" i="20"/>
  <c r="P61" i="20"/>
  <c r="K60" i="20"/>
  <c r="F60" i="20"/>
  <c r="K59" i="20"/>
  <c r="F59" i="20"/>
  <c r="K49" i="20"/>
  <c r="K48" i="20"/>
  <c r="K47" i="20"/>
  <c r="P46" i="20"/>
  <c r="K46" i="20"/>
  <c r="F46" i="20"/>
  <c r="P45" i="20"/>
  <c r="K45" i="20"/>
  <c r="F45" i="20"/>
  <c r="K34" i="20"/>
  <c r="K33" i="20"/>
  <c r="K32" i="20"/>
  <c r="K31" i="20"/>
  <c r="P30" i="20"/>
  <c r="K30" i="20"/>
  <c r="F30" i="20"/>
  <c r="P29" i="20"/>
  <c r="K29" i="20"/>
  <c r="F29" i="20"/>
  <c r="U19" i="20"/>
  <c r="P19" i="20"/>
  <c r="F18" i="20"/>
  <c r="K17" i="20"/>
  <c r="K19" i="20" s="1"/>
  <c r="F17" i="20"/>
  <c r="U8" i="20"/>
  <c r="K8" i="20"/>
  <c r="F7" i="20"/>
  <c r="P6" i="20"/>
  <c r="P8" i="20" s="1"/>
  <c r="F6" i="20"/>
  <c r="F35" i="20" l="1"/>
  <c r="F19" i="20"/>
  <c r="F20" i="20" s="1"/>
  <c r="P35" i="20"/>
  <c r="F61" i="20"/>
  <c r="F50" i="20"/>
  <c r="K35" i="20"/>
  <c r="F36" i="20" s="1"/>
  <c r="U29" i="20" s="1"/>
  <c r="U35" i="20" s="1"/>
  <c r="K36" i="20" s="1"/>
  <c r="P50" i="20"/>
  <c r="K61" i="20"/>
  <c r="K50" i="20"/>
  <c r="F8" i="20"/>
  <c r="K20" i="20" l="1"/>
  <c r="F51" i="20"/>
  <c r="U45" i="20" s="1"/>
  <c r="U50" i="20" s="1"/>
  <c r="K51" i="20" s="1"/>
  <c r="P51" i="20" s="1"/>
  <c r="U51" i="20" s="1"/>
  <c r="U52" i="20" s="1"/>
  <c r="F62" i="20"/>
  <c r="K62" i="20"/>
  <c r="P36" i="20"/>
  <c r="U36" i="20" s="1"/>
  <c r="U37" i="20" s="1"/>
  <c r="P20" i="20"/>
  <c r="U20" i="20" s="1"/>
  <c r="U21" i="20" s="1"/>
  <c r="F9" i="20"/>
  <c r="K9" i="20"/>
  <c r="P62" i="20" l="1"/>
  <c r="U62" i="20" s="1"/>
  <c r="U63" i="20" s="1"/>
  <c r="P9" i="20"/>
  <c r="U9" i="20" s="1"/>
  <c r="U10" i="20" s="1"/>
  <c r="H28" i="6" l="1"/>
  <c r="E28" i="6"/>
  <c r="C28" i="6"/>
  <c r="B28" i="6"/>
  <c r="A28" i="6"/>
  <c r="H25" i="6"/>
  <c r="E25" i="6"/>
  <c r="C25" i="6"/>
  <c r="B26" i="6"/>
  <c r="B25" i="6"/>
  <c r="A25" i="6"/>
  <c r="M27" i="6"/>
  <c r="H22" i="6"/>
  <c r="E22" i="6"/>
  <c r="C22" i="6"/>
  <c r="B23" i="6"/>
  <c r="B22" i="6"/>
  <c r="A22" i="6"/>
  <c r="H19" i="6"/>
  <c r="E19" i="6"/>
  <c r="C19" i="6"/>
  <c r="B20" i="6"/>
  <c r="B19" i="6"/>
  <c r="A19" i="6"/>
  <c r="M24" i="6"/>
  <c r="M21" i="6"/>
  <c r="H16" i="6"/>
  <c r="E16" i="6"/>
  <c r="C16" i="6"/>
  <c r="B17" i="6"/>
  <c r="B16" i="6"/>
  <c r="A16" i="6"/>
  <c r="H13" i="6"/>
  <c r="E13" i="6"/>
  <c r="C13" i="6"/>
  <c r="B14" i="6"/>
  <c r="B13" i="6"/>
  <c r="A13" i="6"/>
  <c r="G13" i="6"/>
  <c r="I14" i="6" l="1"/>
  <c r="G16" i="6"/>
  <c r="G19" i="6" l="1"/>
  <c r="I19" i="6" s="1"/>
  <c r="I17" i="6"/>
  <c r="C63" i="18"/>
  <c r="C62" i="18"/>
  <c r="D28" i="6" l="1"/>
  <c r="G28" i="6"/>
  <c r="I20" i="6"/>
  <c r="F14" i="6"/>
  <c r="D13" i="6"/>
  <c r="C60" i="18"/>
  <c r="G22" i="6" l="1"/>
  <c r="I22" i="6" s="1"/>
  <c r="D16" i="6"/>
  <c r="D19" i="6"/>
  <c r="F19" i="6" s="1"/>
  <c r="J19" i="6" s="1"/>
  <c r="G25" i="6"/>
  <c r="I25" i="6" s="1"/>
  <c r="F17" i="6"/>
  <c r="F20" i="6"/>
  <c r="J20" i="6" s="1"/>
  <c r="I26" i="6" l="1"/>
  <c r="I23" i="6"/>
  <c r="D22" i="6" l="1"/>
  <c r="F22" i="6" s="1"/>
  <c r="J22" i="6" s="1"/>
  <c r="F23" i="6"/>
  <c r="J23" i="6" s="1"/>
  <c r="F26" i="6" l="1"/>
  <c r="J26" i="6" s="1"/>
  <c r="D25" i="6"/>
  <c r="F25" i="6" s="1"/>
  <c r="J25" i="6" s="1"/>
  <c r="J56" i="18"/>
  <c r="C58" i="18" l="1"/>
  <c r="C61" i="18" l="1"/>
  <c r="E60" i="18"/>
  <c r="E61" i="18" s="1"/>
  <c r="F16" i="6" l="1"/>
  <c r="J17" i="6"/>
  <c r="I16" i="6"/>
  <c r="J16" i="6" l="1"/>
  <c r="M18" i="6" l="1"/>
  <c r="I28" i="6" l="1"/>
  <c r="I13" i="6"/>
  <c r="F28" i="6" l="1"/>
  <c r="J28" i="6" s="1"/>
  <c r="F13" i="6" l="1"/>
  <c r="M14" i="6" l="1"/>
  <c r="J14" i="6"/>
  <c r="M13" i="6"/>
  <c r="J13" i="6"/>
  <c r="I30" i="6" l="1"/>
  <c r="J6" i="6" l="1"/>
  <c r="F30" i="6" l="1"/>
  <c r="J30" i="6" l="1"/>
  <c r="C6" i="6" l="1"/>
</calcChain>
</file>

<file path=xl/sharedStrings.xml><?xml version="1.0" encoding="utf-8"?>
<sst xmlns="http://schemas.openxmlformats.org/spreadsheetml/2006/main" count="331" uniqueCount="111">
  <si>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</si>
  <si>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</si>
  <si>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</si>
  <si>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</si>
  <si>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</si>
  <si>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</si>
  <si>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</si>
  <si>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</si>
  <si>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</si>
  <si>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</si>
  <si>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</si>
  <si>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</si>
  <si>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</si>
  <si>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</si>
  <si>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</si>
  <si>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</si>
  <si>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</si>
  <si>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</si>
  <si>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</si>
  <si>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</si>
  <si>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</si>
  <si>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</si>
  <si>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</si>
  <si>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</si>
  <si>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</si>
  <si>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</si>
  <si>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</si>
  <si>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Budget allocated</t>
  </si>
  <si>
    <t>Municipal payment</t>
  </si>
  <si>
    <t>User Contribution</t>
  </si>
  <si>
    <t xml:space="preserve">Contingencies </t>
  </si>
  <si>
    <t xml:space="preserve">Maintanince </t>
  </si>
  <si>
    <t>Total Estimated</t>
  </si>
  <si>
    <t>Location:- Shankharapur Municipality 9</t>
  </si>
  <si>
    <t>cum</t>
  </si>
  <si>
    <t>F.Y:2080/2081</t>
  </si>
  <si>
    <t>Providing and laying of hand pack locally available Stone soling with 150 to 200 mm thick stones and packing with smaller stone on prepared surface as per Drawing and Technical Specifications.</t>
  </si>
  <si>
    <t>Providing and laying of Plain/Reinforced Cement Concrete in Foundation complete as per Drawing and Technical Specifications, PCC Grade M 15</t>
  </si>
  <si>
    <t>Providing and laying of Plain/Reinforced Cement Concrete in Foundation complete as per Drawing and Technical Specifications., RCC Grade M 20</t>
  </si>
  <si>
    <t>Providing and laying , fitting and placing HYSD bar reinforcement in sub-structure complete as per Drawing and Technical Specifications</t>
  </si>
  <si>
    <t>tonne</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</si>
  <si>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</si>
  <si>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Cement</t>
  </si>
  <si>
    <t>Description of Work:</t>
  </si>
  <si>
    <t>360 cum</t>
  </si>
  <si>
    <t>Spec. cl. No: 905</t>
  </si>
  <si>
    <t>Norms No.</t>
  </si>
  <si>
    <t>Labour (A)</t>
  </si>
  <si>
    <t>Material (B)</t>
  </si>
  <si>
    <t>Equipment (C)</t>
  </si>
  <si>
    <t>Formworks (D)</t>
  </si>
  <si>
    <t>Type</t>
  </si>
  <si>
    <t>9.1.I.B</t>
  </si>
  <si>
    <t>Skilled</t>
  </si>
  <si>
    <t>day</t>
  </si>
  <si>
    <t>Hydraulic Excavator</t>
  </si>
  <si>
    <t>hour</t>
  </si>
  <si>
    <t>Unskilled</t>
  </si>
  <si>
    <t>Sub total of A =</t>
  </si>
  <si>
    <t>Sub total of B =</t>
  </si>
  <si>
    <t>Sub total of C =</t>
  </si>
  <si>
    <t>Sub total of D =</t>
  </si>
  <si>
    <t>Sub total of A +B + C =</t>
  </si>
  <si>
    <t>Sub total of A + B + C + D=</t>
  </si>
  <si>
    <t>Contractor's overhead expenses 15% =</t>
  </si>
  <si>
    <t>Norms Rate =</t>
  </si>
  <si>
    <t>Unit Rate =</t>
  </si>
  <si>
    <t>5 Cum</t>
  </si>
  <si>
    <t>Spec. cl. No: N/A</t>
  </si>
  <si>
    <t>10.8.</t>
  </si>
  <si>
    <t>Stone</t>
  </si>
  <si>
    <t>15 cum</t>
  </si>
  <si>
    <t>Spec. cl. No: 2000</t>
  </si>
  <si>
    <t>20.2.A</t>
  </si>
  <si>
    <t>Concrete Mixer</t>
  </si>
  <si>
    <t>@ 4 per cent on cost of concrete i.e. cost of Material, Labour and Equipment</t>
  </si>
  <si>
    <t>Coarse Sand</t>
  </si>
  <si>
    <t>Generator</t>
  </si>
  <si>
    <t>Aggregate 40 mm</t>
  </si>
  <si>
    <t>Aggregate 20 mm</t>
  </si>
  <si>
    <t>Aggregate 10 mm</t>
  </si>
  <si>
    <t>Water</t>
  </si>
  <si>
    <t>KL</t>
  </si>
  <si>
    <t>20.2.C</t>
  </si>
  <si>
    <t>@ 4 per cent on (a+b+c)</t>
  </si>
  <si>
    <t>1 tonne</t>
  </si>
  <si>
    <t>Spec. cl. No: 2014</t>
  </si>
  <si>
    <t>20.5</t>
  </si>
  <si>
    <t>Skilled (Blacksmith)</t>
  </si>
  <si>
    <t>HYSD Bar</t>
  </si>
  <si>
    <t>Binding Wire</t>
  </si>
  <si>
    <t>kg</t>
  </si>
  <si>
    <t>Date:2081/03/16</t>
  </si>
  <si>
    <t xml:space="preserve">Work Started : </t>
  </si>
  <si>
    <t xml:space="preserve">Work Finished:       </t>
  </si>
  <si>
    <t xml:space="preserve">F.Y.: 2081/082     </t>
  </si>
  <si>
    <t xml:space="preserve">Date:                     </t>
  </si>
  <si>
    <t xml:space="preserve">Project:- </t>
  </si>
  <si>
    <t>Block 1</t>
  </si>
  <si>
    <t>l;d]G6 jf jh|df hf]8]sf] uf/f] eTsfO{ To;af6 cfPsf] ;fdfu+|L !) dL</t>
  </si>
  <si>
    <t>-Block 1</t>
  </si>
  <si>
    <t>-short wall</t>
  </si>
  <si>
    <t>-long wall</t>
  </si>
  <si>
    <t>-masonary column</t>
  </si>
  <si>
    <t>-deduction for window opening</t>
  </si>
  <si>
    <t>-deduction for door opening</t>
  </si>
  <si>
    <t>-Block 2</t>
  </si>
  <si>
    <t>sub-total</t>
  </si>
  <si>
    <t>h:tfkftfsf] 5fgf eTsfO{ To;af6 lg:s]sf sf7 tyf kmnfd] lgdf{0f ;fdu|Lx? !) dL= eGbf k/ nlu ldnfO{ yfs nufpg] sfo{ .</t>
  </si>
  <si>
    <t>-Block 3</t>
  </si>
  <si>
    <t>-deduction for ventilation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</si>
</sst>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23"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1"/>
      <color theme="1"/>
      <name val="Times New Roman"/>
      <family val="1"/>
    </font>
    <font>
      <sz val="10"/>
      <name val="Arial"/>
      <family val="2"/>
    </font>
    <font>
      <sz val="14"/>
      <color theme="1"/>
      <name val="Times New Roman"/>
      <family val="1"/>
    </font>
    <font>
      <b/>
      <sz val="12"/>
      <color rgb="FF000000"/>
      <name val="Times New Roman"/>
      <family val="1"/>
    </font>
    <font>
      <sz val="12"/>
      <color rgb="FF000000"/>
      <name val="Times New Roman"/>
      <family val="1"/>
    </font>
    <font>
      <sz val="12"/>
      <name val="Times New Roman"/>
      <family val="1"/>
    </font>
    <font>
      <b/>
      <sz val="12"/>
      <color theme="1"/>
      <name val="Preeti"/>
    </font>
    <font>
      <sz val="11"/>
      <color rgb="FFFF0000"/>
      <name val="Calibri"/>
      <family val="2"/>
      <scheme val="minor"/>
    </font>
    <font>
      <sz val="11"/>
      <color rgb="FFFF0000"/>
      <name val="Times New Roman"/>
      <family val="1"/>
    </font>
  </fonts>
  <fills count="13">
    <fill>
      <patternFill patternType="none"/>
    </fill>
    <fill>
      <patternFill patternType="gray125"/>
    </fill>
    <fill>
      <patternFill patternType="solid">
        <fgColor theme="0" tint="-0.14999847407452621"/>
        <bgColor indexed="64"/>
      </patternFill>
    </fill>
    <fill>
      <patternFill patternType="solid">
        <fgColor rgb="FFFDFCD9"/>
        <bgColor indexed="64"/>
      </patternFill>
    </fill>
    <fill>
      <patternFill patternType="solid">
        <fgColor rgb="FFB9FFCB"/>
        <bgColor indexed="64"/>
      </patternFill>
    </fill>
    <fill>
      <patternFill patternType="solid">
        <fgColor rgb="FF86D7F6"/>
        <bgColor indexed="64"/>
      </patternFill>
    </fill>
    <fill>
      <patternFill patternType="solid">
        <fgColor rgb="FFD2FFFE"/>
        <bgColor indexed="64"/>
      </patternFill>
    </fill>
    <fill>
      <patternFill patternType="solid">
        <fgColor rgb="FFFDFCD9"/>
        <bgColor rgb="FF000000"/>
      </patternFill>
    </fill>
    <fill>
      <patternFill patternType="solid">
        <fgColor rgb="FFB9FFCB"/>
        <bgColor rgb="FF000000"/>
      </patternFill>
    </fill>
    <fill>
      <patternFill patternType="solid">
        <fgColor rgb="FF86D7F6"/>
        <bgColor rgb="FF000000"/>
      </patternFill>
    </fill>
    <fill>
      <patternFill patternType="solid">
        <fgColor rgb="FFD2FFFE"/>
        <bgColor rgb="FF000000"/>
      </patternFill>
    </fill>
    <fill>
      <patternFill patternType="solid">
        <fgColor rgb="FFFFFF00"/>
        <bgColor rgb="FF000000"/>
      </patternFill>
    </fill>
    <fill>
      <patternFill patternType="solid">
        <fgColor rgb="FF00B050"/>
        <bgColor rgb="FF000000"/>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indexed="64"/>
      </left>
      <right/>
      <top/>
      <bottom/>
      <diagonal/>
    </border>
    <border>
      <left/>
      <right style="thin">
        <color auto="1"/>
      </right>
      <top/>
      <bottom/>
      <diagonal/>
    </border>
    <border>
      <left/>
      <right/>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s>
  <cellStyleXfs count="8">
    <xf numFmtId="0" fontId="0" fillId="0" borderId="0"/>
    <xf numFmtId="43" fontId="1" fillId="0" borderId="0" applyFont="0" applyFill="0" applyBorder="0" applyAlignment="0" applyProtection="0"/>
    <xf numFmtId="0" fontId="15" fillId="0" borderId="0"/>
    <xf numFmtId="43" fontId="15" fillId="0" borderId="0" applyFont="0" applyFill="0" applyBorder="0" applyAlignment="0" applyProtection="0"/>
    <xf numFmtId="0" fontId="15" fillId="0" borderId="0"/>
    <xf numFmtId="0" fontId="15" fillId="0" borderId="0"/>
    <xf numFmtId="0" fontId="15" fillId="0" borderId="0"/>
    <xf numFmtId="0" fontId="15" fillId="0" borderId="0"/>
  </cellStyleXfs>
  <cellXfs count="158">
    <xf numFmtId="0" fontId="0" fillId="0" borderId="0" xfId="0"/>
    <xf numFmtId="0" fontId="0" fillId="0" borderId="0" xfId="0" applyAlignment="1">
      <alignment vertic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0" fontId="2" fillId="0" borderId="0" xfId="0" applyFont="1"/>
    <xf numFmtId="2" fontId="0" fillId="0" borderId="1" xfId="0" applyNumberFormat="1" applyBorder="1"/>
    <xf numFmtId="2" fontId="2" fillId="0" borderId="1" xfId="0" applyNumberFormat="1" applyFont="1" applyBorder="1"/>
    <xf numFmtId="164" fontId="0" fillId="0" borderId="1" xfId="0" applyNumberFormat="1" applyBorder="1"/>
    <xf numFmtId="0" fontId="2" fillId="0" borderId="1" xfId="0"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43"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0" fontId="0" fillId="0" borderId="0" xfId="0" applyAlignment="1">
      <alignment horizontal="left"/>
    </xf>
    <xf numFmtId="1" fontId="14" fillId="0" borderId="1" xfId="0" applyNumberFormat="1" applyFont="1" applyBorder="1" applyAlignment="1">
      <alignment vertical="center"/>
    </xf>
    <xf numFmtId="43" fontId="2" fillId="0" borderId="1" xfId="1" applyFont="1" applyBorder="1" applyAlignment="1">
      <alignment vertical="center"/>
    </xf>
    <xf numFmtId="0" fontId="14" fillId="0" borderId="1" xfId="0" applyFont="1" applyBorder="1" applyAlignment="1">
      <alignment vertical="center"/>
    </xf>
    <xf numFmtId="2" fontId="2" fillId="0" borderId="1" xfId="0" applyNumberFormat="1" applyFont="1" applyBorder="1" applyAlignment="1">
      <alignment vertical="center"/>
    </xf>
    <xf numFmtId="2" fontId="0" fillId="0" borderId="1" xfId="0" applyNumberFormat="1" applyFont="1" applyBorder="1" applyAlignment="1">
      <alignment vertical="center"/>
    </xf>
    <xf numFmtId="1" fontId="14" fillId="0" borderId="1" xfId="0" applyNumberFormat="1" applyFont="1" applyBorder="1" applyAlignment="1">
      <alignment vertical="center" wrapText="1"/>
    </xf>
    <xf numFmtId="0" fontId="0" fillId="0" borderId="0" xfId="0" applyBorder="1"/>
    <xf numFmtId="0" fontId="0" fillId="0" borderId="0" xfId="0" applyBorder="1" applyAlignment="1"/>
    <xf numFmtId="1" fontId="14" fillId="0" borderId="1" xfId="0" applyNumberFormat="1" applyFont="1" applyBorder="1" applyAlignment="1">
      <alignment horizontal="right" vertical="center" wrapText="1"/>
    </xf>
    <xf numFmtId="0" fontId="6" fillId="0" borderId="0" xfId="0" applyFont="1" applyAlignment="1">
      <alignment horizontal="right"/>
    </xf>
    <xf numFmtId="0" fontId="6" fillId="0" borderId="0" xfId="0" applyFont="1"/>
    <xf numFmtId="0" fontId="6" fillId="0" borderId="0" xfId="0" applyFont="1" applyAlignment="1">
      <alignment horizontal="left"/>
    </xf>
    <xf numFmtId="2" fontId="0" fillId="0" borderId="0" xfId="0" applyNumberFormat="1"/>
    <xf numFmtId="2" fontId="0" fillId="0" borderId="0" xfId="0" applyNumberFormat="1" applyFill="1" applyBorder="1"/>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6" fillId="0" borderId="1" xfId="0" applyFont="1" applyBorder="1" applyAlignment="1">
      <alignment horizontal="right" vertical="center" wrapText="1"/>
    </xf>
    <xf numFmtId="0" fontId="7" fillId="0" borderId="1" xfId="0" applyFont="1" applyBorder="1" applyAlignment="1">
      <alignment vertical="center" wrapText="1"/>
    </xf>
    <xf numFmtId="164" fontId="6" fillId="0" borderId="1" xfId="0" applyNumberFormat="1" applyFont="1" applyBorder="1" applyAlignment="1">
      <alignment vertical="center" wrapText="1"/>
    </xf>
    <xf numFmtId="164" fontId="6" fillId="0" borderId="1" xfId="0" applyNumberFormat="1" applyFont="1" applyBorder="1" applyAlignment="1">
      <alignment horizontal="right" vertical="center" wrapText="1"/>
    </xf>
    <xf numFmtId="0" fontId="7" fillId="5" borderId="1" xfId="0" applyFont="1" applyFill="1" applyBorder="1" applyAlignment="1">
      <alignment horizontal="right" vertical="center" wrapText="1"/>
    </xf>
    <xf numFmtId="0" fontId="18" fillId="0" borderId="1" xfId="0" applyFont="1" applyFill="1" applyBorder="1" applyAlignment="1">
      <alignment vertical="center" wrapText="1"/>
    </xf>
    <xf numFmtId="0" fontId="18" fillId="0" borderId="1" xfId="0" applyFont="1" applyFill="1" applyBorder="1" applyAlignment="1">
      <alignment horizontal="left" vertical="center" wrapText="1"/>
    </xf>
    <xf numFmtId="0" fontId="18" fillId="0" borderId="1" xfId="0" applyFont="1" applyFill="1" applyBorder="1" applyAlignment="1">
      <alignment horizontal="right" vertical="center" wrapText="1"/>
    </xf>
    <xf numFmtId="0" fontId="17" fillId="0" borderId="1" xfId="0" applyFont="1" applyFill="1" applyBorder="1" applyAlignment="1">
      <alignment vertical="center" wrapText="1"/>
    </xf>
    <xf numFmtId="164" fontId="18" fillId="0" borderId="1" xfId="0" applyNumberFormat="1" applyFont="1" applyFill="1" applyBorder="1" applyAlignment="1">
      <alignment vertical="center" wrapText="1"/>
    </xf>
    <xf numFmtId="0" fontId="18" fillId="0" borderId="0" xfId="0" applyFont="1" applyFill="1" applyBorder="1"/>
    <xf numFmtId="0" fontId="18" fillId="0" borderId="0" xfId="0" applyFont="1" applyFill="1" applyBorder="1" applyAlignment="1">
      <alignment horizontal="left"/>
    </xf>
    <xf numFmtId="0" fontId="18" fillId="0" borderId="0" xfId="0" applyFont="1" applyFill="1" applyBorder="1" applyAlignment="1">
      <alignment horizontal="right"/>
    </xf>
    <xf numFmtId="164" fontId="18" fillId="0" borderId="1" xfId="0" applyNumberFormat="1" applyFont="1" applyFill="1" applyBorder="1" applyAlignment="1">
      <alignment horizontal="right" vertical="center" wrapText="1"/>
    </xf>
    <xf numFmtId="0" fontId="17" fillId="9" borderId="1" xfId="0" applyFont="1" applyFill="1" applyBorder="1" applyAlignment="1">
      <alignment horizontal="right" vertical="center" wrapText="1"/>
    </xf>
    <xf numFmtId="0" fontId="18" fillId="11" borderId="1" xfId="0" applyFont="1" applyFill="1" applyBorder="1" applyAlignment="1">
      <alignment vertical="center" wrapText="1"/>
    </xf>
    <xf numFmtId="0" fontId="18" fillId="11" borderId="1" xfId="0" applyFont="1" applyFill="1" applyBorder="1" applyAlignment="1">
      <alignment horizontal="left" vertical="center" wrapText="1"/>
    </xf>
    <xf numFmtId="0" fontId="18" fillId="11" borderId="1" xfId="0" applyFont="1" applyFill="1" applyBorder="1" applyAlignment="1">
      <alignment horizontal="right" vertical="center" wrapText="1"/>
    </xf>
    <xf numFmtId="0" fontId="17" fillId="11" borderId="1" xfId="0" applyFont="1" applyFill="1" applyBorder="1" applyAlignment="1">
      <alignment vertical="center" wrapText="1"/>
    </xf>
    <xf numFmtId="164" fontId="18" fillId="11" borderId="1" xfId="0" applyNumberFormat="1" applyFont="1" applyFill="1" applyBorder="1" applyAlignment="1">
      <alignment vertical="center" wrapText="1"/>
    </xf>
    <xf numFmtId="0" fontId="19" fillId="12" borderId="1" xfId="0" applyFont="1" applyFill="1" applyBorder="1" applyAlignment="1">
      <alignment vertical="center" wrapText="1"/>
    </xf>
    <xf numFmtId="0" fontId="18" fillId="11" borderId="0" xfId="0" applyFont="1" applyFill="1" applyBorder="1"/>
    <xf numFmtId="0" fontId="18" fillId="11" borderId="0" xfId="0" applyFont="1" applyFill="1" applyBorder="1" applyAlignment="1">
      <alignment horizontal="right"/>
    </xf>
    <xf numFmtId="164" fontId="18" fillId="11" borderId="1" xfId="0" applyNumberFormat="1" applyFont="1" applyFill="1" applyBorder="1" applyAlignment="1">
      <alignment horizontal="right" vertical="center" wrapText="1"/>
    </xf>
    <xf numFmtId="0" fontId="18" fillId="11" borderId="0" xfId="0" applyFont="1" applyFill="1" applyBorder="1" applyAlignment="1">
      <alignment horizontal="left"/>
    </xf>
    <xf numFmtId="0" fontId="17" fillId="11" borderId="1" xfId="0" applyFont="1" applyFill="1" applyBorder="1" applyAlignment="1">
      <alignment horizontal="right" vertical="center" wrapText="1"/>
    </xf>
    <xf numFmtId="0" fontId="17" fillId="11" borderId="2" xfId="0" applyFont="1" applyFill="1" applyBorder="1" applyAlignment="1">
      <alignment horizontal="right" vertical="center" wrapText="1"/>
    </xf>
    <xf numFmtId="0" fontId="17" fillId="11" borderId="15" xfId="0" applyFont="1" applyFill="1" applyBorder="1" applyAlignment="1">
      <alignment horizontal="right" vertical="center" wrapText="1"/>
    </xf>
    <xf numFmtId="0" fontId="17" fillId="11" borderId="3" xfId="0" applyFont="1" applyFill="1" applyBorder="1" applyAlignment="1">
      <alignment horizontal="right" vertical="center" wrapText="1"/>
    </xf>
    <xf numFmtId="0" fontId="2" fillId="0" borderId="0" xfId="0" applyFont="1" applyFill="1" applyBorder="1"/>
    <xf numFmtId="2" fontId="0" fillId="0" borderId="0" xfId="0" applyNumberFormat="1" applyBorder="1"/>
    <xf numFmtId="0" fontId="2" fillId="0" borderId="1" xfId="0" applyFont="1" applyFill="1" applyBorder="1" applyAlignment="1">
      <alignment vertical="center"/>
    </xf>
    <xf numFmtId="0" fontId="3" fillId="0" borderId="1" xfId="0" quotePrefix="1" applyFont="1" applyBorder="1" applyAlignment="1">
      <alignment horizontal="right" wrapText="1"/>
    </xf>
    <xf numFmtId="0" fontId="20" fillId="0" borderId="1" xfId="0" applyFont="1" applyBorder="1" applyAlignment="1">
      <alignment vertical="center" wrapText="1"/>
    </xf>
    <xf numFmtId="2" fontId="0" fillId="0" borderId="1" xfId="0" applyNumberFormat="1" applyFont="1" applyBorder="1"/>
    <xf numFmtId="0" fontId="16" fillId="0" borderId="0" xfId="0" applyFont="1" applyAlignment="1"/>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2" borderId="1" xfId="0" applyFill="1" applyBorder="1" applyAlignment="1">
      <alignment horizontal="center"/>
    </xf>
    <xf numFmtId="0" fontId="17" fillId="7" borderId="1" xfId="0" applyFont="1" applyFill="1" applyBorder="1" applyAlignment="1" applyProtection="1">
      <alignment horizontal="center" vertical="center" wrapText="1"/>
      <protection locked="0"/>
    </xf>
    <xf numFmtId="0" fontId="17" fillId="8" borderId="1" xfId="0" applyFont="1" applyFill="1" applyBorder="1" applyAlignment="1">
      <alignment horizontal="left" vertical="center" wrapText="1"/>
    </xf>
    <xf numFmtId="0" fontId="17" fillId="9" borderId="1" xfId="0" applyFont="1" applyFill="1" applyBorder="1" applyAlignment="1">
      <alignment horizontal="right" vertical="center" wrapText="1"/>
    </xf>
    <xf numFmtId="0" fontId="17" fillId="10" borderId="1" xfId="0" applyFont="1" applyFill="1" applyBorder="1" applyAlignment="1">
      <alignment horizontal="center" vertical="center" wrapText="1"/>
    </xf>
    <xf numFmtId="0" fontId="17" fillId="0" borderId="1" xfId="0" applyFont="1" applyFill="1" applyBorder="1" applyAlignment="1">
      <alignment vertical="center" wrapText="1"/>
    </xf>
    <xf numFmtId="0" fontId="17" fillId="0" borderId="1" xfId="0" applyFont="1" applyFill="1" applyBorder="1" applyAlignment="1">
      <alignment horizontal="center" vertical="center"/>
    </xf>
    <xf numFmtId="0" fontId="17" fillId="0" borderId="1" xfId="0" applyFont="1" applyFill="1" applyBorder="1" applyAlignment="1">
      <alignment horizontal="right" vertical="center" wrapText="1"/>
    </xf>
    <xf numFmtId="0" fontId="17" fillId="11" borderId="2" xfId="0" applyFont="1" applyFill="1" applyBorder="1" applyAlignment="1">
      <alignment horizontal="right" vertical="center" wrapText="1"/>
    </xf>
    <xf numFmtId="0" fontId="17" fillId="11" borderId="15" xfId="0" applyFont="1" applyFill="1" applyBorder="1" applyAlignment="1">
      <alignment horizontal="right" vertical="center" wrapText="1"/>
    </xf>
    <xf numFmtId="0" fontId="17" fillId="11" borderId="3" xfId="0" applyFont="1" applyFill="1" applyBorder="1" applyAlignment="1">
      <alignment horizontal="right" vertical="center" wrapText="1"/>
    </xf>
    <xf numFmtId="0" fontId="18" fillId="0" borderId="0" xfId="0" applyFont="1" applyFill="1" applyBorder="1" applyAlignment="1">
      <alignment vertical="center" wrapText="1"/>
    </xf>
    <xf numFmtId="0" fontId="17" fillId="11" borderId="5" xfId="0" applyFont="1" applyFill="1" applyBorder="1" applyAlignment="1" applyProtection="1">
      <alignment horizontal="center" vertical="center" wrapText="1"/>
      <protection locked="0"/>
    </xf>
    <xf numFmtId="0" fontId="17" fillId="11" borderId="6" xfId="0" applyFont="1" applyFill="1" applyBorder="1" applyAlignment="1" applyProtection="1">
      <alignment horizontal="center" vertical="center" wrapText="1"/>
      <protection locked="0"/>
    </xf>
    <xf numFmtId="0" fontId="17" fillId="11" borderId="9" xfId="0" applyFont="1" applyFill="1" applyBorder="1" applyAlignment="1" applyProtection="1">
      <alignment horizontal="center" vertical="center" wrapText="1"/>
      <protection locked="0"/>
    </xf>
    <xf numFmtId="0" fontId="17" fillId="11" borderId="10" xfId="0" applyFont="1" applyFill="1" applyBorder="1" applyAlignment="1" applyProtection="1">
      <alignment horizontal="center" vertical="center" wrapText="1"/>
      <protection locked="0"/>
    </xf>
    <xf numFmtId="0" fontId="17" fillId="11" borderId="5" xfId="0" applyFont="1" applyFill="1" applyBorder="1" applyAlignment="1">
      <alignment horizontal="left" vertical="center" wrapText="1"/>
    </xf>
    <xf numFmtId="0" fontId="17" fillId="11" borderId="7" xfId="0" applyFont="1" applyFill="1" applyBorder="1" applyAlignment="1">
      <alignment horizontal="left" vertical="center" wrapText="1"/>
    </xf>
    <xf numFmtId="0" fontId="17" fillId="11" borderId="6" xfId="0" applyFont="1" applyFill="1" applyBorder="1" applyAlignment="1">
      <alignment horizontal="left" vertical="center" wrapText="1"/>
    </xf>
    <xf numFmtId="0" fontId="17" fillId="11" borderId="11" xfId="0" applyFont="1" applyFill="1" applyBorder="1" applyAlignment="1">
      <alignment horizontal="left" vertical="center" wrapText="1"/>
    </xf>
    <xf numFmtId="0" fontId="17" fillId="11" borderId="0" xfId="0" applyFont="1" applyFill="1" applyBorder="1" applyAlignment="1">
      <alignment horizontal="left" vertical="center" wrapText="1"/>
    </xf>
    <xf numFmtId="0" fontId="17" fillId="11" borderId="12" xfId="0" applyFont="1" applyFill="1" applyBorder="1" applyAlignment="1">
      <alignment horizontal="left" vertical="center" wrapText="1"/>
    </xf>
    <xf numFmtId="0" fontId="17" fillId="11" borderId="9" xfId="0" applyFont="1" applyFill="1" applyBorder="1" applyAlignment="1">
      <alignment horizontal="left" vertical="center" wrapText="1"/>
    </xf>
    <xf numFmtId="0" fontId="17" fillId="11" borderId="13" xfId="0" applyFont="1" applyFill="1" applyBorder="1" applyAlignment="1">
      <alignment horizontal="left" vertical="center" wrapText="1"/>
    </xf>
    <xf numFmtId="0" fontId="17" fillId="11" borderId="10" xfId="0" applyFont="1" applyFill="1" applyBorder="1" applyAlignment="1">
      <alignment horizontal="left" vertical="center" wrapText="1"/>
    </xf>
    <xf numFmtId="0" fontId="17" fillId="11" borderId="8" xfId="0" applyFont="1" applyFill="1" applyBorder="1" applyAlignment="1">
      <alignment horizontal="right" vertical="center" wrapText="1"/>
    </xf>
    <xf numFmtId="0" fontId="17" fillId="11" borderId="4" xfId="0" applyFont="1" applyFill="1" applyBorder="1" applyAlignment="1">
      <alignment horizontal="right" vertical="center" wrapText="1"/>
    </xf>
    <xf numFmtId="0" fontId="17" fillId="11" borderId="14" xfId="0" applyFont="1" applyFill="1" applyBorder="1" applyAlignment="1">
      <alignment horizontal="right" vertical="center" wrapText="1"/>
    </xf>
    <xf numFmtId="0" fontId="17" fillId="11" borderId="2" xfId="0" applyFont="1" applyFill="1" applyBorder="1" applyAlignment="1">
      <alignment horizontal="center" vertical="center" wrapText="1"/>
    </xf>
    <xf numFmtId="0" fontId="17" fillId="11" borderId="3" xfId="0" applyFont="1" applyFill="1" applyBorder="1" applyAlignment="1">
      <alignment horizontal="center" vertical="center" wrapText="1"/>
    </xf>
    <xf numFmtId="0" fontId="17" fillId="11" borderId="8" xfId="0" applyFont="1" applyFill="1" applyBorder="1" applyAlignment="1">
      <alignment vertical="center" wrapText="1"/>
    </xf>
    <xf numFmtId="0" fontId="17" fillId="11" borderId="14" xfId="0" applyFont="1" applyFill="1" applyBorder="1" applyAlignment="1">
      <alignment vertical="center" wrapText="1"/>
    </xf>
    <xf numFmtId="0" fontId="17" fillId="11" borderId="2" xfId="0" applyFont="1" applyFill="1" applyBorder="1" applyAlignment="1">
      <alignment horizontal="center" vertical="center"/>
    </xf>
    <xf numFmtId="0" fontId="17" fillId="11" borderId="15" xfId="0" applyFont="1" applyFill="1" applyBorder="1" applyAlignment="1">
      <alignment horizontal="center" vertical="center"/>
    </xf>
    <xf numFmtId="0" fontId="17" fillId="11" borderId="3" xfId="0" applyFont="1" applyFill="1" applyBorder="1" applyAlignment="1">
      <alignment horizontal="center" vertical="center"/>
    </xf>
    <xf numFmtId="0" fontId="7" fillId="5" borderId="1" xfId="0" applyFont="1" applyFill="1" applyBorder="1" applyAlignment="1">
      <alignment horizontal="right" vertical="center" wrapText="1"/>
    </xf>
    <xf numFmtId="0" fontId="7" fillId="6" borderId="1" xfId="0" applyFont="1" applyFill="1" applyBorder="1" applyAlignment="1">
      <alignment horizontal="center" vertical="center" wrapText="1"/>
    </xf>
    <xf numFmtId="0" fontId="7" fillId="0" borderId="1" xfId="0" applyFont="1" applyBorder="1" applyAlignment="1">
      <alignment vertical="center" wrapText="1"/>
    </xf>
    <xf numFmtId="0" fontId="7" fillId="0" borderId="1" xfId="0" applyFont="1" applyBorder="1" applyAlignment="1">
      <alignment horizontal="center" vertical="center"/>
    </xf>
    <xf numFmtId="0" fontId="7" fillId="3" borderId="1" xfId="0" applyFont="1" applyFill="1" applyBorder="1" applyAlignment="1" applyProtection="1">
      <alignment horizontal="center" vertical="center" wrapText="1"/>
      <protection locked="0"/>
    </xf>
    <xf numFmtId="0" fontId="7" fillId="4" borderId="1" xfId="0" applyFont="1" applyFill="1" applyBorder="1" applyAlignment="1">
      <alignment horizontal="left" vertical="center" wrapText="1"/>
    </xf>
    <xf numFmtId="0" fontId="7" fillId="0" borderId="1" xfId="0" applyFont="1" applyBorder="1" applyAlignment="1">
      <alignment horizontal="right" vertical="center" wrapText="1"/>
    </xf>
    <xf numFmtId="0" fontId="6" fillId="0" borderId="0" xfId="0" applyFont="1" applyAlignment="1">
      <alignment vertical="center" wrapText="1"/>
    </xf>
    <xf numFmtId="0" fontId="14" fillId="0" borderId="1" xfId="0" quotePrefix="1" applyFont="1" applyBorder="1" applyAlignment="1">
      <alignment horizontal="center" wrapText="1"/>
    </xf>
    <xf numFmtId="0" fontId="14" fillId="0" borderId="1" xfId="0" quotePrefix="1" applyFont="1" applyBorder="1" applyAlignment="1">
      <alignment horizontal="right" wrapText="1"/>
    </xf>
    <xf numFmtId="164" fontId="22" fillId="0" borderId="1" xfId="0" applyNumberFormat="1" applyFont="1" applyFill="1" applyBorder="1" applyAlignment="1">
      <alignment vertical="center"/>
    </xf>
    <xf numFmtId="2" fontId="22" fillId="0" borderId="1" xfId="1" applyNumberFormat="1" applyFont="1" applyFill="1" applyBorder="1" applyAlignment="1">
      <alignment vertical="center"/>
    </xf>
    <xf numFmtId="2" fontId="22" fillId="0" borderId="1" xfId="0" applyNumberFormat="1" applyFont="1" applyFill="1" applyBorder="1" applyAlignment="1">
      <alignment vertical="center"/>
    </xf>
    <xf numFmtId="2" fontId="21" fillId="0" borderId="1" xfId="0" applyNumberFormat="1" applyFont="1" applyBorder="1" applyAlignment="1">
      <alignment vertical="center"/>
    </xf>
  </cellXfs>
  <cellStyles count="8">
    <cellStyle name="Comma" xfId="1" builtinId="3"/>
    <cellStyle name="Comma 2 4" xfId="3"/>
    <cellStyle name="Normal" xfId="0" builtinId="0"/>
    <cellStyle name="Normal 2" xfId="4"/>
    <cellStyle name="Normal 2 2" xfId="6"/>
    <cellStyle name="Normal 2 2 2" xfId="2"/>
    <cellStyle name="Normal 2 3" xfId="5"/>
    <cellStyle name="Normal 2 4" xfId="7"/>
  </cellStyles>
  <dxfs count="5">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ard%20office%20aayojana%202/For-all-Road-rate-analysis-80-81-shankharap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080-081\ward%20office%20aayojana\For-all-Road-rate-analysis-80-81-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079-080\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082/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sheetData sheetId="2"/>
      <sheetData sheetId="3">
        <row r="6">
          <cell r="L6">
            <v>3598.56</v>
          </cell>
        </row>
        <row r="7">
          <cell r="L7">
            <v>3104.6400000000003</v>
          </cell>
        </row>
        <row r="9">
          <cell r="L9">
            <v>3457.44</v>
          </cell>
        </row>
        <row r="17">
          <cell r="L17">
            <v>106</v>
          </cell>
        </row>
        <row r="25">
          <cell r="L25">
            <v>14231</v>
          </cell>
        </row>
        <row r="73">
          <cell r="L73">
            <v>99000</v>
          </cell>
        </row>
        <row r="111">
          <cell r="L111">
            <v>2504.88</v>
          </cell>
        </row>
        <row r="129">
          <cell r="L129">
            <v>310</v>
          </cell>
        </row>
        <row r="148">
          <cell r="D148">
            <v>1200</v>
          </cell>
        </row>
        <row r="149">
          <cell r="D149">
            <v>1200</v>
          </cell>
        </row>
        <row r="156">
          <cell r="D156">
            <v>900</v>
          </cell>
        </row>
      </sheetData>
      <sheetData sheetId="4">
        <row r="10">
          <cell r="J10">
            <v>293</v>
          </cell>
        </row>
        <row r="19">
          <cell r="J19">
            <v>3071</v>
          </cell>
        </row>
        <row r="20">
          <cell r="J20">
            <v>841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7">
          <cell r="B167" t="str">
            <v>Providing and laying of Plain Cement Concrete M 10 ( or 1:3:6 for nominal mix) in Foundation complete as per Drawing and Technical Specifications.</v>
          </cell>
        </row>
        <row r="168">
          <cell r="B168" t="str">
            <v>Providing and laying of Plain Cement Concrete M 10 ( or 1:3:6 for nominal mix) in Foundation complete as per Drawing and Technical Specifications., Manual Mixing</v>
          </cell>
        </row>
        <row r="172">
          <cell r="B172" t="str">
            <v>Providing and laying of Plain/Reinforced Cement Concrete in Foundation complete as per Drawing and Technical Specifications., RCC Grade M 20</v>
          </cell>
        </row>
        <row r="300">
          <cell r="B300" t="str">
            <v>Random Rubble Masonry, Providing and laying of Stone Masonry Work in Cement Mortar 1:6 in Foundation complete as per Drawing and Technical Specifications., Using Concrete Mixer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8">
          <cell r="B18" t="str">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3"/>
  <sheetViews>
    <sheetView tabSelected="1" topLeftCell="A31" zoomScaleNormal="100" zoomScaleSheetLayoutView="80" workbookViewId="0">
      <selection activeCell="D40" sqref="D40"/>
    </sheetView>
  </sheetViews>
  <sheetFormatPr defaultRowHeight="15" x14ac:dyDescent="0.25"/>
  <cols>
    <col min="1" max="1" width="5.140625" style="6" bestFit="1" customWidth="1"/>
    <col min="2" max="2" width="30.140625" customWidth="1"/>
    <col min="3" max="3" width="5.5703125" bestFit="1" customWidth="1"/>
    <col min="4" max="4" width="6.7109375" customWidth="1"/>
    <col min="5" max="5" width="7.85546875" customWidth="1"/>
    <col min="6" max="6" width="7.140625" customWidth="1"/>
    <col min="7" max="7" width="9.28515625" style="6" customWidth="1"/>
    <col min="8" max="8" width="6.28515625" style="6" bestFit="1" customWidth="1"/>
    <col min="9" max="9" width="10.7109375" style="6" bestFit="1" customWidth="1"/>
    <col min="10" max="10" width="10.5703125" style="6" bestFit="1" customWidth="1"/>
    <col min="11" max="11" width="9.85546875" bestFit="1" customWidth="1"/>
    <col min="14" max="14" width="10.5703125" bestFit="1" customWidth="1"/>
    <col min="15" max="15" width="16.42578125" bestFit="1" customWidth="1"/>
    <col min="16" max="16" width="12.140625" customWidth="1"/>
    <col min="17" max="17" width="14.42578125" customWidth="1"/>
  </cols>
  <sheetData>
    <row r="1" spans="1:17" s="1" customFormat="1" x14ac:dyDescent="0.25">
      <c r="A1" s="88" t="s">
        <v>0</v>
      </c>
      <c r="B1" s="88"/>
      <c r="C1" s="88"/>
      <c r="D1" s="88"/>
      <c r="E1" s="88"/>
      <c r="F1" s="88"/>
      <c r="G1" s="88"/>
      <c r="H1" s="88"/>
      <c r="I1" s="88"/>
      <c r="J1" s="88"/>
      <c r="K1" s="88"/>
    </row>
    <row r="2" spans="1:17" s="1" customFormat="1" ht="22.5" x14ac:dyDescent="0.25">
      <c r="A2" s="89" t="s">
        <v>1</v>
      </c>
      <c r="B2" s="89"/>
      <c r="C2" s="89"/>
      <c r="D2" s="89"/>
      <c r="E2" s="89"/>
      <c r="F2" s="89"/>
      <c r="G2" s="89"/>
      <c r="H2" s="89"/>
      <c r="I2" s="89"/>
      <c r="J2" s="89"/>
      <c r="K2" s="89"/>
    </row>
    <row r="3" spans="1:17" s="1" customFormat="1" x14ac:dyDescent="0.25">
      <c r="A3" s="90" t="s">
        <v>2</v>
      </c>
      <c r="B3" s="90"/>
      <c r="C3" s="90"/>
      <c r="D3" s="90"/>
      <c r="E3" s="90"/>
      <c r="F3" s="90"/>
      <c r="G3" s="90"/>
      <c r="H3" s="90"/>
      <c r="I3" s="90"/>
      <c r="J3" s="90"/>
      <c r="K3" s="90"/>
    </row>
    <row r="4" spans="1:17" s="1" customFormat="1" x14ac:dyDescent="0.25">
      <c r="A4" s="90" t="s">
        <v>3</v>
      </c>
      <c r="B4" s="90"/>
      <c r="C4" s="90"/>
      <c r="D4" s="90"/>
      <c r="E4" s="90"/>
      <c r="F4" s="90"/>
      <c r="G4" s="90"/>
      <c r="H4" s="90"/>
      <c r="I4" s="90"/>
      <c r="J4" s="90"/>
      <c r="K4" s="90"/>
    </row>
    <row r="5" spans="1:17" ht="18.75" x14ac:dyDescent="0.3">
      <c r="A5" s="91" t="s">
        <v>4</v>
      </c>
      <c r="B5" s="91"/>
      <c r="C5" s="91"/>
      <c r="D5" s="91"/>
      <c r="E5" s="91"/>
      <c r="F5" s="91"/>
      <c r="G5" s="91"/>
      <c r="H5" s="91"/>
      <c r="I5" s="91"/>
      <c r="J5" s="91"/>
      <c r="K5" s="91"/>
    </row>
    <row r="6" spans="1:17" ht="18.75" x14ac:dyDescent="0.3">
      <c r="A6" s="86" t="s">
        <v>97</v>
      </c>
      <c r="B6" s="86"/>
      <c r="C6" s="86"/>
      <c r="D6" s="86"/>
      <c r="E6" s="86"/>
      <c r="F6" s="86"/>
      <c r="G6" s="86"/>
      <c r="H6" s="87" t="s">
        <v>95</v>
      </c>
      <c r="I6" s="87"/>
      <c r="J6" s="87"/>
      <c r="K6" s="87"/>
    </row>
    <row r="7" spans="1:17" ht="15.75" x14ac:dyDescent="0.25">
      <c r="A7" s="94" t="s">
        <v>33</v>
      </c>
      <c r="B7" s="94"/>
      <c r="C7" s="94"/>
      <c r="D7" s="94"/>
      <c r="E7" s="94"/>
      <c r="F7" s="94"/>
      <c r="G7" s="2"/>
      <c r="H7" s="87" t="s">
        <v>96</v>
      </c>
      <c r="I7" s="87"/>
      <c r="J7" s="87"/>
      <c r="K7" s="87"/>
    </row>
    <row r="8" spans="1:17" ht="15" customHeight="1" x14ac:dyDescent="0.25">
      <c r="A8" s="3" t="s">
        <v>5</v>
      </c>
      <c r="B8" s="24" t="s">
        <v>6</v>
      </c>
      <c r="C8" s="3" t="s">
        <v>7</v>
      </c>
      <c r="D8" s="25" t="s">
        <v>8</v>
      </c>
      <c r="E8" s="25" t="s">
        <v>9</v>
      </c>
      <c r="F8" s="25" t="s">
        <v>10</v>
      </c>
      <c r="G8" s="25" t="s">
        <v>11</v>
      </c>
      <c r="H8" s="3" t="s">
        <v>12</v>
      </c>
      <c r="I8" s="25" t="s">
        <v>13</v>
      </c>
      <c r="J8" s="25" t="s">
        <v>14</v>
      </c>
      <c r="K8" s="26" t="s">
        <v>15</v>
      </c>
    </row>
    <row r="9" spans="1:17" ht="15" customHeight="1" x14ac:dyDescent="0.25">
      <c r="A9" s="3"/>
      <c r="B9" s="24" t="s">
        <v>98</v>
      </c>
      <c r="C9" s="3"/>
      <c r="D9" s="25"/>
      <c r="E9" s="25"/>
      <c r="F9" s="25"/>
      <c r="G9" s="25"/>
      <c r="H9" s="3"/>
      <c r="I9" s="25"/>
      <c r="J9" s="25"/>
      <c r="K9" s="26"/>
    </row>
    <row r="10" spans="1:17" s="1" customFormat="1" ht="45" x14ac:dyDescent="0.25">
      <c r="A10" s="28">
        <v>1</v>
      </c>
      <c r="B10" s="84" t="s">
        <v>99</v>
      </c>
      <c r="C10" s="29"/>
      <c r="D10" s="30"/>
      <c r="E10" s="31"/>
      <c r="F10" s="31"/>
      <c r="G10" s="38"/>
      <c r="H10" s="32"/>
      <c r="I10" s="33"/>
      <c r="J10" s="38"/>
      <c r="K10" s="31"/>
      <c r="N10" s="82"/>
      <c r="O10" s="17"/>
      <c r="P10" s="15"/>
      <c r="Q10" s="15"/>
    </row>
    <row r="11" spans="1:17" x14ac:dyDescent="0.25">
      <c r="A11" s="28"/>
      <c r="B11" s="152" t="s">
        <v>100</v>
      </c>
      <c r="C11" s="29"/>
      <c r="D11" s="30"/>
      <c r="E11" s="31"/>
      <c r="F11" s="31"/>
      <c r="G11" s="39"/>
      <c r="H11" s="32"/>
      <c r="I11" s="33"/>
      <c r="J11" s="8"/>
      <c r="K11" s="31"/>
      <c r="N11" s="80"/>
      <c r="O11" s="41"/>
      <c r="P11" s="81"/>
      <c r="Q11" s="81"/>
    </row>
    <row r="12" spans="1:17" x14ac:dyDescent="0.25">
      <c r="A12" s="28"/>
      <c r="B12" s="153" t="s">
        <v>101</v>
      </c>
      <c r="C12" s="29">
        <v>2</v>
      </c>
      <c r="D12" s="30">
        <f t="shared" ref="D12:D13" si="0">14.083/3.281</f>
        <v>4.2922889362999088</v>
      </c>
      <c r="E12" s="31">
        <v>0.23</v>
      </c>
      <c r="F12" s="31">
        <f>2.5/3.281</f>
        <v>0.76196281621456874</v>
      </c>
      <c r="G12" s="39">
        <f>PRODUCT(C12:F12)</f>
        <v>1.5044597003184688</v>
      </c>
      <c r="H12" s="32"/>
      <c r="I12" s="33"/>
      <c r="J12" s="8"/>
      <c r="K12" s="31"/>
      <c r="N12" s="80"/>
      <c r="O12" s="41"/>
      <c r="P12" s="81"/>
      <c r="Q12" s="81"/>
    </row>
    <row r="13" spans="1:17" x14ac:dyDescent="0.25">
      <c r="A13" s="28"/>
      <c r="B13" s="153"/>
      <c r="C13" s="29">
        <v>2</v>
      </c>
      <c r="D13" s="30">
        <f t="shared" si="0"/>
        <v>4.2922889362999088</v>
      </c>
      <c r="E13" s="31">
        <v>0.1</v>
      </c>
      <c r="F13" s="31">
        <f>3.917/3.281</f>
        <v>1.1938433404449862</v>
      </c>
      <c r="G13" s="39">
        <f t="shared" ref="G13:G19" si="1">PRODUCT(C13:F13)</f>
        <v>1.0248641123734679</v>
      </c>
      <c r="H13" s="32"/>
      <c r="I13" s="33"/>
      <c r="J13" s="8"/>
      <c r="K13" s="31"/>
      <c r="N13" s="80"/>
      <c r="O13" s="41"/>
      <c r="P13" s="81"/>
      <c r="Q13" s="81"/>
    </row>
    <row r="14" spans="1:17" x14ac:dyDescent="0.25">
      <c r="A14" s="28"/>
      <c r="B14" s="153"/>
      <c r="C14" s="29">
        <v>1</v>
      </c>
      <c r="D14" s="30">
        <f>14.083/3.281</f>
        <v>4.2922889362999088</v>
      </c>
      <c r="E14" s="31">
        <v>0.1</v>
      </c>
      <c r="F14" s="31">
        <f>F13+F12</f>
        <v>1.955806156659555</v>
      </c>
      <c r="G14" s="39">
        <f t="shared" si="1"/>
        <v>0.83948851277770542</v>
      </c>
      <c r="H14" s="32"/>
      <c r="I14" s="33"/>
      <c r="J14" s="8"/>
      <c r="K14" s="31"/>
      <c r="N14" s="80"/>
      <c r="O14" s="41"/>
      <c r="P14" s="81"/>
      <c r="Q14" s="81"/>
    </row>
    <row r="15" spans="1:17" x14ac:dyDescent="0.25">
      <c r="A15" s="28"/>
      <c r="B15" s="153" t="s">
        <v>102</v>
      </c>
      <c r="C15" s="29">
        <v>2</v>
      </c>
      <c r="D15" s="30">
        <f>45.42/3.281</f>
        <v>13.843340444986284</v>
      </c>
      <c r="E15" s="31">
        <v>0.23</v>
      </c>
      <c r="F15" s="31">
        <f>2.5/3.281</f>
        <v>0.76196281621456874</v>
      </c>
      <c r="G15" s="39">
        <f t="shared" si="1"/>
        <v>4.8521309087882436</v>
      </c>
      <c r="H15" s="32"/>
      <c r="I15" s="33"/>
      <c r="J15" s="8"/>
      <c r="K15" s="31"/>
      <c r="N15" s="80"/>
      <c r="O15" s="41"/>
      <c r="P15" s="81"/>
      <c r="Q15" s="81"/>
    </row>
    <row r="16" spans="1:17" x14ac:dyDescent="0.25">
      <c r="A16" s="28"/>
      <c r="B16" s="153"/>
      <c r="C16" s="29">
        <v>2</v>
      </c>
      <c r="D16" s="30">
        <f>45.42/3.281</f>
        <v>13.843340444986284</v>
      </c>
      <c r="E16" s="31">
        <v>0.1</v>
      </c>
      <c r="F16" s="31">
        <f>3.917/3.281</f>
        <v>1.1938433404449862</v>
      </c>
      <c r="G16" s="39">
        <f t="shared" si="1"/>
        <v>3.3053559599519216</v>
      </c>
      <c r="H16" s="32"/>
      <c r="I16" s="33"/>
      <c r="J16" s="8"/>
      <c r="K16" s="31"/>
      <c r="N16" s="80"/>
      <c r="O16" s="41"/>
      <c r="P16" s="81"/>
      <c r="Q16" s="81"/>
    </row>
    <row r="17" spans="1:17" x14ac:dyDescent="0.25">
      <c r="A17" s="28"/>
      <c r="B17" s="153" t="s">
        <v>103</v>
      </c>
      <c r="C17" s="29">
        <v>6</v>
      </c>
      <c r="D17" s="30">
        <f>1.17/3.281</f>
        <v>0.35659859798841814</v>
      </c>
      <c r="E17" s="31">
        <f>0.42/3.281</f>
        <v>0.12800975312404753</v>
      </c>
      <c r="F17" s="31">
        <f>F14</f>
        <v>1.955806156659555</v>
      </c>
      <c r="G17" s="39">
        <f t="shared" si="1"/>
        <v>0.53567299243304567</v>
      </c>
      <c r="H17" s="32"/>
      <c r="I17" s="33"/>
      <c r="J17" s="8"/>
      <c r="K17" s="31"/>
      <c r="N17" s="80"/>
      <c r="O17" s="41"/>
      <c r="P17" s="81"/>
      <c r="Q17" s="81"/>
    </row>
    <row r="18" spans="1:17" x14ac:dyDescent="0.25">
      <c r="A18" s="28"/>
      <c r="B18" s="153"/>
      <c r="C18" s="29">
        <v>4</v>
      </c>
      <c r="D18" s="30">
        <f>1.917/3.281</f>
        <v>0.58427308747333129</v>
      </c>
      <c r="E18" s="31">
        <f>0.42/3.281</f>
        <v>0.12800975312404753</v>
      </c>
      <c r="F18" s="31">
        <f>F14</f>
        <v>1.955806156659555</v>
      </c>
      <c r="G18" s="39">
        <f t="shared" si="1"/>
        <v>0.58511973019609598</v>
      </c>
      <c r="H18" s="32"/>
      <c r="I18" s="33"/>
      <c r="J18" s="8"/>
      <c r="K18" s="31"/>
      <c r="N18" s="80"/>
      <c r="O18" s="41"/>
      <c r="P18" s="81"/>
      <c r="Q18" s="81"/>
    </row>
    <row r="19" spans="1:17" x14ac:dyDescent="0.25">
      <c r="A19" s="28"/>
      <c r="B19" s="153" t="s">
        <v>104</v>
      </c>
      <c r="C19" s="29">
        <v>-14</v>
      </c>
      <c r="D19" s="30">
        <f>2.75/3.281</f>
        <v>0.8381590978360256</v>
      </c>
      <c r="E19" s="31">
        <v>0.1</v>
      </c>
      <c r="F19" s="31">
        <f>3.917/3.281</f>
        <v>1.1938433404449862</v>
      </c>
      <c r="G19" s="39">
        <f t="shared" si="1"/>
        <v>-1.4008829200588837</v>
      </c>
      <c r="H19" s="32"/>
      <c r="I19" s="33"/>
      <c r="J19" s="8"/>
      <c r="K19" s="31"/>
      <c r="N19" s="41"/>
      <c r="O19" s="81"/>
      <c r="P19" s="81"/>
    </row>
    <row r="20" spans="1:17" x14ac:dyDescent="0.25">
      <c r="A20" s="28"/>
      <c r="B20" s="153"/>
      <c r="C20" s="29"/>
      <c r="D20" s="30"/>
      <c r="E20" s="31"/>
      <c r="F20" s="31"/>
      <c r="G20" s="39"/>
      <c r="H20" s="32"/>
      <c r="I20" s="33"/>
      <c r="J20" s="8"/>
      <c r="K20" s="31"/>
      <c r="N20" s="41"/>
      <c r="O20" s="81"/>
      <c r="P20" s="81"/>
    </row>
    <row r="21" spans="1:17" x14ac:dyDescent="0.25">
      <c r="A21" s="28"/>
      <c r="B21" s="153" t="s">
        <v>105</v>
      </c>
      <c r="C21" s="29">
        <v>-2</v>
      </c>
      <c r="D21" s="30">
        <f>2.75/3.281</f>
        <v>0.8381590978360256</v>
      </c>
      <c r="E21" s="31">
        <v>0.23</v>
      </c>
      <c r="F21" s="31">
        <f>(6.5/3.281)-F22</f>
        <v>0.78725998171289246</v>
      </c>
      <c r="G21" s="39">
        <f t="shared" ref="G21" si="2">PRODUCT(C21:F21)</f>
        <v>-0.30353059337604665</v>
      </c>
      <c r="H21" s="32"/>
      <c r="I21" s="33"/>
      <c r="J21" s="8"/>
      <c r="K21" s="31"/>
      <c r="N21" s="80"/>
      <c r="O21" s="41"/>
      <c r="P21" s="81"/>
      <c r="Q21" s="81"/>
    </row>
    <row r="22" spans="1:17" x14ac:dyDescent="0.25">
      <c r="A22" s="28"/>
      <c r="B22" s="153"/>
      <c r="C22" s="29">
        <v>-2</v>
      </c>
      <c r="D22" s="30">
        <f>2.75/3.281</f>
        <v>0.8381590978360256</v>
      </c>
      <c r="E22" s="31">
        <v>0.1</v>
      </c>
      <c r="F22" s="31">
        <f>F13</f>
        <v>1.1938433404449862</v>
      </c>
      <c r="G22" s="39">
        <f t="shared" ref="G22" si="3">PRODUCT(C22:F22)</f>
        <v>-0.20012613143698338</v>
      </c>
      <c r="H22" s="32"/>
      <c r="I22" s="33"/>
      <c r="J22" s="8"/>
      <c r="K22" s="31"/>
      <c r="N22" s="80"/>
      <c r="O22" s="41"/>
      <c r="P22" s="81"/>
      <c r="Q22" s="81"/>
    </row>
    <row r="23" spans="1:17" x14ac:dyDescent="0.25">
      <c r="A23" s="28"/>
      <c r="B23" s="152" t="s">
        <v>106</v>
      </c>
      <c r="C23" s="29"/>
      <c r="D23" s="30"/>
      <c r="E23" s="31"/>
      <c r="F23" s="31"/>
      <c r="G23" s="39"/>
      <c r="H23" s="32"/>
      <c r="I23" s="33"/>
      <c r="J23" s="8"/>
      <c r="K23" s="31"/>
      <c r="N23" s="80"/>
      <c r="O23" s="41"/>
      <c r="P23" s="81"/>
      <c r="Q23" s="81"/>
    </row>
    <row r="24" spans="1:17" x14ac:dyDescent="0.25">
      <c r="A24" s="28"/>
      <c r="B24" s="153" t="s">
        <v>101</v>
      </c>
      <c r="C24" s="29">
        <v>2</v>
      </c>
      <c r="D24" s="30">
        <f t="shared" ref="D24:D25" si="4">13.667/3.281</f>
        <v>4.1654983236818044</v>
      </c>
      <c r="E24" s="31">
        <v>0.23</v>
      </c>
      <c r="F24" s="31">
        <f>3.75/3.281</f>
        <v>1.1429442243218531</v>
      </c>
      <c r="G24" s="39">
        <f>PRODUCT(C24:F24)</f>
        <v>2.1900288352182602</v>
      </c>
      <c r="H24" s="32"/>
      <c r="I24" s="33"/>
      <c r="J24" s="8"/>
      <c r="K24" s="31"/>
      <c r="N24" s="80"/>
      <c r="O24" s="41"/>
      <c r="P24" s="81"/>
      <c r="Q24" s="81"/>
    </row>
    <row r="25" spans="1:17" x14ac:dyDescent="0.25">
      <c r="A25" s="28"/>
      <c r="B25" s="153"/>
      <c r="C25" s="29">
        <v>2</v>
      </c>
      <c r="D25" s="30">
        <f t="shared" si="4"/>
        <v>4.1654983236818044</v>
      </c>
      <c r="E25" s="31">
        <v>0.1</v>
      </c>
      <c r="F25" s="31">
        <f>2.75/3.281</f>
        <v>0.8381590978360256</v>
      </c>
      <c r="G25" s="39">
        <f t="shared" ref="G25:G33" si="5">PRODUCT(C25:F25)</f>
        <v>0.69827006340292364</v>
      </c>
      <c r="H25" s="32"/>
      <c r="I25" s="33"/>
      <c r="J25" s="8"/>
      <c r="K25" s="31"/>
      <c r="N25" s="80"/>
      <c r="O25" s="41"/>
      <c r="P25" s="81"/>
      <c r="Q25" s="81"/>
    </row>
    <row r="26" spans="1:17" x14ac:dyDescent="0.25">
      <c r="A26" s="28"/>
      <c r="B26" s="153"/>
      <c r="C26" s="29">
        <v>1</v>
      </c>
      <c r="D26" s="30">
        <f>13.667/3.281</f>
        <v>4.1654983236818044</v>
      </c>
      <c r="E26" s="31">
        <v>0.1</v>
      </c>
      <c r="F26" s="31">
        <f>F25+F24</f>
        <v>1.9811033221578787</v>
      </c>
      <c r="G26" s="39">
        <f t="shared" si="5"/>
        <v>0.82522825674890976</v>
      </c>
      <c r="H26" s="32"/>
      <c r="I26" s="33"/>
      <c r="J26" s="8"/>
      <c r="K26" s="31"/>
      <c r="N26" s="41"/>
      <c r="O26" s="81"/>
      <c r="P26" s="81"/>
    </row>
    <row r="27" spans="1:17" x14ac:dyDescent="0.25">
      <c r="A27" s="28"/>
      <c r="B27" s="153" t="s">
        <v>102</v>
      </c>
      <c r="C27" s="29">
        <v>2</v>
      </c>
      <c r="D27" s="30">
        <f>44.917/3.281</f>
        <v>13.690033526363914</v>
      </c>
      <c r="E27" s="31">
        <v>0.23</v>
      </c>
      <c r="F27" s="31">
        <f>4/3.281</f>
        <v>1.2191405059433098</v>
      </c>
      <c r="G27" s="39">
        <f t="shared" si="5"/>
        <v>7.6774342238676008</v>
      </c>
      <c r="H27" s="32"/>
      <c r="I27" s="33"/>
      <c r="J27" s="8"/>
      <c r="K27" s="31"/>
      <c r="N27" s="41"/>
      <c r="O27" s="81"/>
      <c r="P27" s="81"/>
    </row>
    <row r="28" spans="1:17" x14ac:dyDescent="0.25">
      <c r="A28" s="28"/>
      <c r="B28" s="153"/>
      <c r="C28" s="29">
        <v>2</v>
      </c>
      <c r="D28" s="30">
        <f>44.917/3.281</f>
        <v>13.690033526363914</v>
      </c>
      <c r="E28" s="31">
        <v>0.1</v>
      </c>
      <c r="F28" s="31">
        <f>2.75/3.281</f>
        <v>0.8381590978360256</v>
      </c>
      <c r="G28" s="39">
        <f t="shared" si="5"/>
        <v>2.2948852299604243</v>
      </c>
      <c r="H28" s="32"/>
      <c r="I28" s="33"/>
      <c r="J28" s="8"/>
      <c r="K28" s="31"/>
      <c r="N28" s="41"/>
      <c r="O28" s="81"/>
      <c r="P28" s="81"/>
    </row>
    <row r="29" spans="1:17" x14ac:dyDescent="0.25">
      <c r="A29" s="28"/>
      <c r="B29" s="153" t="s">
        <v>103</v>
      </c>
      <c r="C29" s="29">
        <v>6</v>
      </c>
      <c r="D29" s="30">
        <f>1.17/3.281</f>
        <v>0.35659859798841814</v>
      </c>
      <c r="E29" s="31">
        <f>0.42/3.281</f>
        <v>0.12800975312404753</v>
      </c>
      <c r="F29" s="31">
        <f>F26</f>
        <v>1.9811033221578787</v>
      </c>
      <c r="G29" s="39">
        <f t="shared" si="5"/>
        <v>0.54260159744659442</v>
      </c>
      <c r="H29" s="32"/>
      <c r="I29" s="33"/>
      <c r="J29" s="8"/>
      <c r="K29" s="31"/>
      <c r="N29" s="41"/>
      <c r="O29" s="81"/>
      <c r="P29" s="81"/>
    </row>
    <row r="30" spans="1:17" x14ac:dyDescent="0.25">
      <c r="A30" s="28"/>
      <c r="B30" s="153"/>
      <c r="C30" s="29">
        <v>4</v>
      </c>
      <c r="D30" s="30">
        <f>1.917/3.281</f>
        <v>0.58427308747333129</v>
      </c>
      <c r="E30" s="31">
        <f>0.42/3.281</f>
        <v>0.12800975312404753</v>
      </c>
      <c r="F30" s="31">
        <f>F26</f>
        <v>1.9811033221578787</v>
      </c>
      <c r="G30" s="39">
        <f t="shared" si="5"/>
        <v>0.59268789874935701</v>
      </c>
      <c r="H30" s="32"/>
      <c r="I30" s="33"/>
      <c r="J30" s="8"/>
      <c r="K30" s="31"/>
      <c r="N30" s="41"/>
      <c r="O30" s="81"/>
      <c r="P30" s="81"/>
    </row>
    <row r="31" spans="1:17" x14ac:dyDescent="0.25">
      <c r="A31" s="28"/>
      <c r="B31" s="153" t="s">
        <v>104</v>
      </c>
      <c r="C31" s="29">
        <v>-14</v>
      </c>
      <c r="D31" s="30">
        <f>2.75/3.281</f>
        <v>0.8381590978360256</v>
      </c>
      <c r="E31" s="31">
        <v>0.1</v>
      </c>
      <c r="F31" s="31">
        <f>3.917/3.281</f>
        <v>1.1938433404449862</v>
      </c>
      <c r="G31" s="39">
        <f t="shared" si="5"/>
        <v>-1.4008829200588837</v>
      </c>
      <c r="H31" s="32"/>
      <c r="I31" s="33"/>
      <c r="J31" s="8"/>
      <c r="K31" s="31"/>
      <c r="N31" s="41"/>
      <c r="O31" s="81"/>
      <c r="P31" s="81"/>
    </row>
    <row r="32" spans="1:17" x14ac:dyDescent="0.25">
      <c r="A32" s="28"/>
      <c r="B32" s="153" t="s">
        <v>105</v>
      </c>
      <c r="C32" s="29">
        <v>-2</v>
      </c>
      <c r="D32" s="30">
        <f>2.75/3.281</f>
        <v>0.8381590978360256</v>
      </c>
      <c r="E32" s="31">
        <v>0.23</v>
      </c>
      <c r="F32" s="31">
        <f>(6.25/3.281)-F33</f>
        <v>0.71106370009143549</v>
      </c>
      <c r="G32" s="39">
        <f t="shared" si="5"/>
        <v>-0.27415287431138857</v>
      </c>
      <c r="H32" s="32"/>
      <c r="I32" s="33"/>
      <c r="J32" s="8"/>
      <c r="K32" s="31"/>
      <c r="N32" s="41"/>
      <c r="O32" s="81"/>
      <c r="P32" s="81"/>
    </row>
    <row r="33" spans="1:17" x14ac:dyDescent="0.25">
      <c r="A33" s="28"/>
      <c r="B33" s="83"/>
      <c r="C33" s="29">
        <v>-2</v>
      </c>
      <c r="D33" s="30">
        <f>2.75/3.281</f>
        <v>0.8381590978360256</v>
      </c>
      <c r="E33" s="31">
        <v>0.1</v>
      </c>
      <c r="F33" s="31">
        <f>F31</f>
        <v>1.1938433404449862</v>
      </c>
      <c r="G33" s="39">
        <f t="shared" si="5"/>
        <v>-0.20012613143698338</v>
      </c>
      <c r="H33" s="32"/>
      <c r="I33" s="33"/>
      <c r="J33" s="8"/>
      <c r="K33" s="31"/>
    </row>
    <row r="34" spans="1:17" x14ac:dyDescent="0.25">
      <c r="A34" s="28"/>
      <c r="B34" s="152" t="s">
        <v>109</v>
      </c>
      <c r="C34" s="29"/>
      <c r="D34" s="30"/>
      <c r="E34" s="31"/>
      <c r="F34" s="31"/>
      <c r="G34" s="39"/>
      <c r="H34" s="32"/>
      <c r="I34" s="33"/>
      <c r="J34" s="8"/>
      <c r="K34" s="31"/>
      <c r="N34" s="80"/>
      <c r="O34" s="41"/>
      <c r="P34" s="81"/>
      <c r="Q34" s="81"/>
    </row>
    <row r="35" spans="1:17" x14ac:dyDescent="0.25">
      <c r="A35" s="28"/>
      <c r="B35" s="153" t="s">
        <v>101</v>
      </c>
      <c r="C35" s="154">
        <v>2</v>
      </c>
      <c r="D35" s="155">
        <v>4.0129999999999999</v>
      </c>
      <c r="E35" s="156">
        <v>0.23</v>
      </c>
      <c r="F35" s="156">
        <f>3.5/3.281</f>
        <v>1.0667479427003961</v>
      </c>
      <c r="G35" s="157">
        <f>PRODUCT(C35:F35)</f>
        <v>1.9691953672660771</v>
      </c>
      <c r="H35" s="32"/>
      <c r="I35" s="33"/>
      <c r="J35" s="8"/>
      <c r="K35" s="31"/>
      <c r="N35" s="80"/>
      <c r="O35" s="41"/>
      <c r="P35" s="81"/>
      <c r="Q35" s="81"/>
    </row>
    <row r="36" spans="1:17" x14ac:dyDescent="0.25">
      <c r="A36" s="28"/>
      <c r="B36" s="153"/>
      <c r="C36" s="154">
        <v>2</v>
      </c>
      <c r="D36" s="155">
        <v>4.0129999999999999</v>
      </c>
      <c r="E36" s="156">
        <v>0.1</v>
      </c>
      <c r="F36" s="156">
        <f>4.75/3.281</f>
        <v>1.4477293508076805</v>
      </c>
      <c r="G36" s="157">
        <f t="shared" ref="G36:G46" si="6">PRODUCT(C36:F36)</f>
        <v>1.1619475769582444</v>
      </c>
      <c r="H36" s="32"/>
      <c r="I36" s="33"/>
      <c r="J36" s="8"/>
      <c r="K36" s="31"/>
      <c r="N36" s="80"/>
      <c r="O36" s="41"/>
      <c r="P36" s="81"/>
      <c r="Q36" s="81"/>
    </row>
    <row r="37" spans="1:17" x14ac:dyDescent="0.25">
      <c r="A37" s="28"/>
      <c r="B37" s="153"/>
      <c r="C37" s="154">
        <v>1</v>
      </c>
      <c r="D37" s="155">
        <v>4.0129999999999999</v>
      </c>
      <c r="E37" s="156">
        <v>0.1</v>
      </c>
      <c r="F37" s="156">
        <f>F36+F35</f>
        <v>2.5144772935080768</v>
      </c>
      <c r="G37" s="157">
        <f t="shared" si="6"/>
        <v>1.0090597378847912</v>
      </c>
      <c r="H37" s="32"/>
      <c r="I37" s="33"/>
      <c r="J37" s="8"/>
      <c r="K37" s="31"/>
      <c r="N37" s="41"/>
      <c r="O37" s="81"/>
      <c r="P37" s="81"/>
    </row>
    <row r="38" spans="1:17" x14ac:dyDescent="0.25">
      <c r="A38" s="28"/>
      <c r="B38" s="153" t="s">
        <v>102</v>
      </c>
      <c r="C38" s="154">
        <v>2</v>
      </c>
      <c r="D38" s="155">
        <v>14.15</v>
      </c>
      <c r="E38" s="156">
        <v>0.23</v>
      </c>
      <c r="F38" s="156">
        <f>3.5/3.281</f>
        <v>1.0667479427003961</v>
      </c>
      <c r="G38" s="157">
        <f t="shared" si="6"/>
        <v>6.9434623590368787</v>
      </c>
      <c r="H38" s="32"/>
      <c r="I38" s="33"/>
      <c r="J38" s="8"/>
      <c r="K38" s="31"/>
      <c r="N38" s="41"/>
      <c r="O38" s="81"/>
      <c r="P38" s="81"/>
    </row>
    <row r="39" spans="1:17" x14ac:dyDescent="0.25">
      <c r="A39" s="28"/>
      <c r="B39" s="153"/>
      <c r="C39" s="154">
        <v>2</v>
      </c>
      <c r="D39" s="155">
        <v>14.15</v>
      </c>
      <c r="E39" s="156">
        <v>0.1</v>
      </c>
      <c r="F39" s="156">
        <f>5.75/3.281</f>
        <v>1.752514477293508</v>
      </c>
      <c r="G39" s="157">
        <f t="shared" si="6"/>
        <v>4.9596159707406278</v>
      </c>
      <c r="H39" s="32"/>
      <c r="I39" s="33"/>
      <c r="J39" s="8"/>
      <c r="K39" s="31"/>
      <c r="N39" s="41"/>
      <c r="O39" s="81"/>
      <c r="P39" s="81"/>
    </row>
    <row r="40" spans="1:17" x14ac:dyDescent="0.25">
      <c r="A40" s="28"/>
      <c r="B40" s="153" t="s">
        <v>110</v>
      </c>
      <c r="C40" s="154">
        <f>-3*2</f>
        <v>-6</v>
      </c>
      <c r="D40" s="155"/>
      <c r="E40" s="156"/>
      <c r="F40" s="156"/>
      <c r="G40" s="157"/>
      <c r="H40" s="32"/>
      <c r="I40" s="33"/>
      <c r="J40" s="8"/>
      <c r="K40" s="31"/>
      <c r="N40" s="41"/>
      <c r="O40" s="81"/>
      <c r="P40" s="81"/>
    </row>
    <row r="41" spans="1:17" x14ac:dyDescent="0.25">
      <c r="A41" s="28"/>
      <c r="B41" s="153"/>
      <c r="C41" s="154">
        <f>-1*2</f>
        <v>-2</v>
      </c>
      <c r="D41" s="155"/>
      <c r="E41" s="156"/>
      <c r="F41" s="156"/>
      <c r="G41" s="157"/>
      <c r="H41" s="32"/>
      <c r="I41" s="33"/>
      <c r="J41" s="8"/>
      <c r="K41" s="31"/>
      <c r="N41" s="41"/>
      <c r="O41" s="81"/>
      <c r="P41" s="81"/>
    </row>
    <row r="42" spans="1:17" x14ac:dyDescent="0.25">
      <c r="A42" s="28"/>
      <c r="B42" s="153" t="s">
        <v>103</v>
      </c>
      <c r="C42" s="154">
        <v>6</v>
      </c>
      <c r="D42" s="155">
        <f>1.17/3.281</f>
        <v>0.35659859798841814</v>
      </c>
      <c r="E42" s="156">
        <f>0.42/3.281</f>
        <v>0.12800975312404753</v>
      </c>
      <c r="F42" s="156">
        <f>F39+F38</f>
        <v>2.8192624199939038</v>
      </c>
      <c r="G42" s="157">
        <f t="shared" si="6"/>
        <v>0.77216381175092275</v>
      </c>
      <c r="H42" s="32"/>
      <c r="I42" s="33"/>
      <c r="J42" s="8"/>
      <c r="K42" s="31"/>
      <c r="N42" s="41"/>
      <c r="O42" s="81"/>
      <c r="P42" s="81"/>
    </row>
    <row r="43" spans="1:17" x14ac:dyDescent="0.25">
      <c r="A43" s="28"/>
      <c r="B43" s="153"/>
      <c r="C43" s="154">
        <v>4</v>
      </c>
      <c r="D43" s="155">
        <f>1.917/3.281</f>
        <v>0.58427308747333129</v>
      </c>
      <c r="E43" s="156">
        <f>0.42/3.281</f>
        <v>0.12800975312404753</v>
      </c>
      <c r="F43" s="156">
        <f>F42+F39</f>
        <v>4.5717768972874122</v>
      </c>
      <c r="G43" s="157">
        <f t="shared" si="6"/>
        <v>1.3677413048062084</v>
      </c>
      <c r="H43" s="32"/>
      <c r="I43" s="33"/>
      <c r="J43" s="8"/>
      <c r="K43" s="31"/>
      <c r="N43" s="41"/>
      <c r="O43" s="81"/>
      <c r="P43" s="81"/>
    </row>
    <row r="44" spans="1:17" x14ac:dyDescent="0.25">
      <c r="A44" s="28"/>
      <c r="B44" s="153" t="s">
        <v>104</v>
      </c>
      <c r="C44" s="154">
        <v>-14</v>
      </c>
      <c r="D44" s="155">
        <f>2.75/3.281</f>
        <v>0.8381590978360256</v>
      </c>
      <c r="E44" s="156">
        <v>0.1</v>
      </c>
      <c r="F44" s="156">
        <v>1.2</v>
      </c>
      <c r="G44" s="157">
        <f t="shared" si="6"/>
        <v>-1.408107284364523</v>
      </c>
      <c r="H44" s="32"/>
      <c r="I44" s="33"/>
      <c r="J44" s="8"/>
      <c r="K44" s="31"/>
      <c r="N44" s="41"/>
      <c r="O44" s="81"/>
      <c r="P44" s="81"/>
    </row>
    <row r="45" spans="1:17" x14ac:dyDescent="0.25">
      <c r="A45" s="28"/>
      <c r="B45" s="153" t="s">
        <v>105</v>
      </c>
      <c r="C45" s="154">
        <v>-2</v>
      </c>
      <c r="D45" s="155">
        <f>2.75/3.281</f>
        <v>0.8381590978360256</v>
      </c>
      <c r="E45" s="156">
        <v>0.23</v>
      </c>
      <c r="F45" s="156">
        <f>3.5/3.281</f>
        <v>1.0667479427003961</v>
      </c>
      <c r="G45" s="157">
        <f t="shared" si="6"/>
        <v>-0.41128806690521219</v>
      </c>
      <c r="H45" s="32"/>
      <c r="I45" s="33"/>
      <c r="J45" s="8"/>
      <c r="K45" s="31"/>
      <c r="N45" s="41">
        <f>6.5/3.281</f>
        <v>1.9811033221578787</v>
      </c>
      <c r="O45" s="81"/>
      <c r="P45" s="81"/>
    </row>
    <row r="46" spans="1:17" x14ac:dyDescent="0.25">
      <c r="A46" s="28"/>
      <c r="B46" s="83"/>
      <c r="C46" s="154">
        <v>-2</v>
      </c>
      <c r="D46" s="155">
        <f>2.75/3.281</f>
        <v>0.8381590978360256</v>
      </c>
      <c r="E46" s="156">
        <v>0.1</v>
      </c>
      <c r="F46" s="156">
        <f>F44</f>
        <v>1.2</v>
      </c>
      <c r="G46" s="157">
        <f t="shared" si="6"/>
        <v>-0.20115818348064615</v>
      </c>
      <c r="H46" s="32"/>
      <c r="I46" s="33"/>
      <c r="J46" s="8"/>
      <c r="K46" s="31"/>
    </row>
    <row r="47" spans="1:17" x14ac:dyDescent="0.25">
      <c r="A47" s="28"/>
      <c r="B47" s="153" t="s">
        <v>107</v>
      </c>
      <c r="C47" s="29"/>
      <c r="D47" s="30"/>
      <c r="E47" s="31"/>
      <c r="F47" s="31"/>
      <c r="G47" s="39">
        <f>SUM(G12:G33)</f>
        <v>23.688526451553852</v>
      </c>
      <c r="H47" s="32" t="s">
        <v>34</v>
      </c>
      <c r="I47" s="33">
        <v>1950.4</v>
      </c>
      <c r="J47" s="8">
        <f>G47*I47</f>
        <v>46202.101991110634</v>
      </c>
      <c r="K47" s="31"/>
    </row>
    <row r="48" spans="1:17" x14ac:dyDescent="0.25">
      <c r="A48" s="28"/>
      <c r="B48" s="153"/>
      <c r="C48" s="29"/>
      <c r="D48" s="30"/>
      <c r="E48" s="31"/>
      <c r="F48" s="31"/>
      <c r="G48" s="39"/>
      <c r="H48" s="32"/>
      <c r="I48" s="33"/>
      <c r="J48" s="8"/>
      <c r="K48" s="31"/>
    </row>
    <row r="49" spans="1:31" ht="60" x14ac:dyDescent="0.25">
      <c r="A49" s="28"/>
      <c r="B49" s="84" t="s">
        <v>108</v>
      </c>
      <c r="C49" s="29"/>
      <c r="D49" s="30"/>
      <c r="E49" s="31"/>
      <c r="F49" s="31"/>
      <c r="G49" s="39"/>
      <c r="H49" s="32"/>
      <c r="I49" s="33"/>
      <c r="J49" s="8"/>
      <c r="K49" s="31"/>
    </row>
    <row r="50" spans="1:31" x14ac:dyDescent="0.25">
      <c r="A50" s="28"/>
      <c r="B50" s="84"/>
      <c r="C50" s="29"/>
      <c r="D50" s="30"/>
      <c r="E50" s="31"/>
      <c r="F50" s="31"/>
      <c r="G50" s="39"/>
      <c r="H50" s="32"/>
      <c r="I50" s="33"/>
      <c r="J50" s="8"/>
      <c r="K50" s="31"/>
      <c r="N50" s="80"/>
      <c r="O50" s="41"/>
      <c r="P50" s="81"/>
      <c r="Q50" s="81"/>
    </row>
    <row r="51" spans="1:31" x14ac:dyDescent="0.25">
      <c r="A51" s="28"/>
      <c r="B51" s="84"/>
      <c r="C51" s="29"/>
      <c r="D51" s="30"/>
      <c r="E51" s="31"/>
      <c r="F51" s="31"/>
      <c r="G51" s="39"/>
      <c r="H51" s="32"/>
      <c r="I51" s="33"/>
      <c r="J51" s="8"/>
      <c r="K51" s="31"/>
      <c r="N51" s="80"/>
      <c r="O51" s="41"/>
      <c r="P51" s="81"/>
      <c r="Q51" s="81"/>
    </row>
    <row r="52" spans="1:31" x14ac:dyDescent="0.25">
      <c r="A52" s="28"/>
      <c r="B52" s="84"/>
      <c r="C52" s="29"/>
      <c r="D52" s="30"/>
      <c r="E52" s="31"/>
      <c r="F52" s="31"/>
      <c r="G52" s="39"/>
      <c r="H52" s="32"/>
      <c r="I52" s="33"/>
      <c r="J52" s="8"/>
      <c r="K52" s="31"/>
      <c r="N52" s="80"/>
      <c r="O52" s="41"/>
      <c r="P52" s="81"/>
      <c r="Q52" s="81"/>
    </row>
    <row r="53" spans="1:31" x14ac:dyDescent="0.25">
      <c r="A53" s="28"/>
      <c r="B53" s="84"/>
      <c r="C53" s="29"/>
      <c r="D53" s="30"/>
      <c r="E53" s="31"/>
      <c r="F53" s="31"/>
      <c r="G53" s="39"/>
      <c r="H53" s="32"/>
      <c r="I53" s="33"/>
      <c r="J53" s="8"/>
      <c r="K53" s="31"/>
      <c r="N53" s="80"/>
      <c r="O53" s="41"/>
      <c r="P53" s="81"/>
      <c r="Q53" s="81"/>
    </row>
    <row r="54" spans="1:31" x14ac:dyDescent="0.25">
      <c r="A54" s="28"/>
      <c r="B54" s="84"/>
      <c r="C54" s="29"/>
      <c r="D54" s="30"/>
      <c r="E54" s="31"/>
      <c r="F54" s="31"/>
      <c r="G54" s="39"/>
      <c r="H54" s="32"/>
      <c r="I54" s="33"/>
      <c r="J54" s="8"/>
      <c r="K54" s="31"/>
      <c r="N54" s="80"/>
      <c r="O54" s="41"/>
      <c r="P54" s="81"/>
      <c r="Q54" s="81"/>
    </row>
    <row r="55" spans="1:31" x14ac:dyDescent="0.25">
      <c r="A55" s="10"/>
      <c r="B55" s="153"/>
      <c r="C55" s="9"/>
      <c r="D55" s="7"/>
      <c r="E55" s="7"/>
      <c r="F55" s="7"/>
      <c r="G55" s="85"/>
      <c r="H55" s="8"/>
      <c r="I55" s="8"/>
      <c r="J55" s="8"/>
      <c r="K55" s="4"/>
      <c r="M55" s="41"/>
    </row>
    <row r="56" spans="1:31" x14ac:dyDescent="0.25">
      <c r="A56" s="10"/>
      <c r="B56" s="27" t="s">
        <v>17</v>
      </c>
      <c r="C56" s="9"/>
      <c r="D56" s="7"/>
      <c r="E56" s="7"/>
      <c r="F56" s="7"/>
      <c r="G56" s="85"/>
      <c r="H56" s="8"/>
      <c r="I56" s="8"/>
      <c r="J56" s="8">
        <f>SUM(J10:J55)</f>
        <v>46202.101991110634</v>
      </c>
      <c r="K56" s="4"/>
      <c r="M56" s="41"/>
      <c r="P56" s="48"/>
      <c r="Q56" s="48"/>
    </row>
    <row r="57" spans="1:31" x14ac:dyDescent="0.25">
      <c r="M57" s="41"/>
      <c r="N57" s="42"/>
      <c r="O57" s="42"/>
      <c r="P57" s="47"/>
      <c r="R57" s="42"/>
      <c r="S57" s="42"/>
      <c r="T57" s="42"/>
      <c r="U57" s="41"/>
      <c r="V57" s="41"/>
      <c r="W57" s="41"/>
      <c r="X57" s="41"/>
      <c r="Y57" s="41"/>
      <c r="Z57" s="41"/>
      <c r="AA57" s="41"/>
      <c r="AB57" s="41"/>
      <c r="AC57" s="41"/>
      <c r="AD57" s="41"/>
      <c r="AE57" s="41"/>
    </row>
    <row r="58" spans="1:31" s="1" customFormat="1" x14ac:dyDescent="0.25">
      <c r="B58" s="17" t="s">
        <v>32</v>
      </c>
      <c r="C58" s="92">
        <f>J56</f>
        <v>46202.101991110634</v>
      </c>
      <c r="D58" s="93"/>
      <c r="E58" s="15">
        <v>100</v>
      </c>
      <c r="F58" s="19"/>
      <c r="G58" s="20"/>
      <c r="H58" s="19"/>
      <c r="I58" s="21"/>
      <c r="J58" s="22"/>
      <c r="K58" s="23"/>
      <c r="M58" s="19"/>
      <c r="N58" s="42"/>
      <c r="O58" s="42"/>
      <c r="P58" s="42"/>
      <c r="Q58" s="42"/>
      <c r="R58" s="42"/>
      <c r="S58" s="42"/>
      <c r="T58" s="42"/>
      <c r="U58" s="19"/>
      <c r="V58" s="19"/>
      <c r="W58" s="19"/>
      <c r="X58" s="19"/>
      <c r="Y58" s="19"/>
      <c r="Z58" s="19"/>
      <c r="AA58" s="19"/>
      <c r="AB58" s="19"/>
      <c r="AC58" s="19"/>
      <c r="AD58" s="19"/>
      <c r="AE58" s="19"/>
    </row>
    <row r="59" spans="1:31" x14ac:dyDescent="0.25">
      <c r="B59" s="17" t="s">
        <v>27</v>
      </c>
      <c r="C59" s="95">
        <v>150000</v>
      </c>
      <c r="D59" s="96"/>
      <c r="E59" s="15"/>
      <c r="M59" s="41"/>
      <c r="N59" s="42"/>
      <c r="O59" s="42"/>
      <c r="P59" s="42"/>
      <c r="Q59" s="42"/>
      <c r="R59" s="42"/>
      <c r="S59" s="42"/>
      <c r="T59" s="42"/>
      <c r="U59" s="41"/>
      <c r="V59" s="41"/>
      <c r="W59" s="41"/>
      <c r="X59" s="41"/>
      <c r="Y59" s="41"/>
      <c r="Z59" s="41"/>
      <c r="AA59" s="41"/>
      <c r="AB59" s="41"/>
      <c r="AC59" s="41"/>
      <c r="AD59" s="41"/>
      <c r="AE59" s="41"/>
    </row>
    <row r="60" spans="1:31" x14ac:dyDescent="0.25">
      <c r="B60" s="17" t="s">
        <v>28</v>
      </c>
      <c r="C60" s="95">
        <f>C59-C62-C63</f>
        <v>142500</v>
      </c>
      <c r="D60" s="96"/>
      <c r="E60" s="15">
        <f>C60/C58*100</f>
        <v>308.42752571607514</v>
      </c>
      <c r="M60" s="41"/>
      <c r="N60" s="41"/>
      <c r="O60" s="41"/>
      <c r="P60" s="41"/>
      <c r="Q60" s="41"/>
      <c r="R60" s="41"/>
      <c r="S60" s="41"/>
      <c r="T60" s="41"/>
      <c r="U60" s="41"/>
      <c r="V60" s="41"/>
      <c r="W60" s="41"/>
      <c r="X60" s="41"/>
      <c r="Y60" s="41"/>
      <c r="Z60" s="41"/>
      <c r="AA60" s="41"/>
      <c r="AB60" s="41"/>
      <c r="AC60" s="41"/>
      <c r="AD60" s="41"/>
      <c r="AE60" s="41"/>
    </row>
    <row r="61" spans="1:31" x14ac:dyDescent="0.25">
      <c r="B61" s="17" t="s">
        <v>29</v>
      </c>
      <c r="C61" s="97">
        <f>C58-C60</f>
        <v>-96297.898008889373</v>
      </c>
      <c r="D61" s="97"/>
      <c r="E61" s="15">
        <f>100-E60</f>
        <v>-208.42752571607514</v>
      </c>
      <c r="M61" s="41"/>
      <c r="N61" s="41"/>
      <c r="O61" s="41"/>
      <c r="P61" s="41"/>
      <c r="Q61" s="41"/>
      <c r="R61" s="41"/>
      <c r="S61" s="41"/>
      <c r="T61" s="41"/>
      <c r="U61" s="41"/>
      <c r="V61" s="41"/>
      <c r="W61" s="41"/>
      <c r="X61" s="41"/>
      <c r="Y61" s="41"/>
      <c r="Z61" s="41"/>
      <c r="AA61" s="41"/>
      <c r="AB61" s="41"/>
      <c r="AC61" s="41"/>
      <c r="AD61" s="41"/>
      <c r="AE61" s="41"/>
    </row>
    <row r="62" spans="1:31" x14ac:dyDescent="0.25">
      <c r="B62" s="17" t="s">
        <v>30</v>
      </c>
      <c r="C62" s="92">
        <f>C59*0.03</f>
        <v>4500</v>
      </c>
      <c r="D62" s="93"/>
      <c r="E62" s="15">
        <v>3</v>
      </c>
      <c r="M62" s="41"/>
      <c r="N62" s="41"/>
      <c r="O62" s="41"/>
      <c r="P62" s="41"/>
      <c r="Q62" s="41"/>
      <c r="R62" s="41"/>
      <c r="S62" s="41"/>
      <c r="T62" s="41"/>
      <c r="U62" s="41"/>
      <c r="V62" s="41"/>
      <c r="W62" s="41"/>
      <c r="X62" s="41"/>
      <c r="Y62" s="41"/>
      <c r="Z62" s="41"/>
      <c r="AA62" s="41"/>
      <c r="AB62" s="41"/>
      <c r="AC62" s="41"/>
      <c r="AD62" s="41"/>
      <c r="AE62" s="41"/>
    </row>
    <row r="63" spans="1:31" x14ac:dyDescent="0.25">
      <c r="B63" s="17" t="s">
        <v>31</v>
      </c>
      <c r="C63" s="92">
        <f>C59*0.02</f>
        <v>3000</v>
      </c>
      <c r="D63" s="93"/>
      <c r="E63" s="15">
        <v>2</v>
      </c>
      <c r="M63" s="41"/>
      <c r="N63" s="41"/>
      <c r="O63" s="41"/>
      <c r="P63" s="41"/>
      <c r="Q63" s="41"/>
      <c r="R63" s="41"/>
      <c r="S63" s="41"/>
      <c r="T63" s="41"/>
      <c r="U63" s="41"/>
      <c r="V63" s="41"/>
      <c r="W63" s="41"/>
      <c r="X63" s="41"/>
      <c r="Y63" s="41"/>
      <c r="Z63" s="41"/>
      <c r="AA63" s="41"/>
      <c r="AB63" s="41"/>
      <c r="AC63" s="41"/>
      <c r="AD63" s="41"/>
      <c r="AE63" s="41"/>
    </row>
  </sheetData>
  <mergeCells count="15">
    <mergeCell ref="C62:D62"/>
    <mergeCell ref="C63:D63"/>
    <mergeCell ref="A7:F7"/>
    <mergeCell ref="H7:K7"/>
    <mergeCell ref="C58:D58"/>
    <mergeCell ref="C59:D59"/>
    <mergeCell ref="C60:D60"/>
    <mergeCell ref="C61:D61"/>
    <mergeCell ref="A6:G6"/>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view="pageBreakPreview" zoomScale="60" zoomScaleNormal="100" workbookViewId="0">
      <selection activeCell="I8" sqref="I8:K8"/>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3" x14ac:dyDescent="0.25">
      <c r="A1" s="100" t="s">
        <v>0</v>
      </c>
      <c r="B1" s="100"/>
      <c r="C1" s="100"/>
      <c r="D1" s="100"/>
      <c r="E1" s="100"/>
      <c r="F1" s="100"/>
      <c r="G1" s="100"/>
      <c r="H1" s="100"/>
      <c r="I1" s="100"/>
      <c r="J1" s="100"/>
      <c r="K1" s="100"/>
    </row>
    <row r="2" spans="1:13" ht="25.5" x14ac:dyDescent="0.35">
      <c r="A2" s="101" t="s">
        <v>1</v>
      </c>
      <c r="B2" s="101"/>
      <c r="C2" s="101"/>
      <c r="D2" s="101"/>
      <c r="E2" s="101"/>
      <c r="F2" s="101"/>
      <c r="G2" s="101"/>
      <c r="H2" s="101"/>
      <c r="I2" s="101"/>
      <c r="J2" s="101"/>
      <c r="K2" s="101"/>
    </row>
    <row r="3" spans="1:13" s="1" customFormat="1" x14ac:dyDescent="0.25">
      <c r="A3" s="90" t="s">
        <v>2</v>
      </c>
      <c r="B3" s="90"/>
      <c r="C3" s="90"/>
      <c r="D3" s="90"/>
      <c r="E3" s="90"/>
      <c r="F3" s="90"/>
      <c r="G3" s="90"/>
      <c r="H3" s="90"/>
      <c r="I3" s="90"/>
      <c r="J3" s="90"/>
      <c r="K3" s="90"/>
    </row>
    <row r="4" spans="1:13" s="1" customFormat="1" x14ac:dyDescent="0.25">
      <c r="A4" s="90" t="s">
        <v>3</v>
      </c>
      <c r="B4" s="90"/>
      <c r="C4" s="90"/>
      <c r="D4" s="90"/>
      <c r="E4" s="90"/>
      <c r="F4" s="90"/>
      <c r="G4" s="90"/>
      <c r="H4" s="90"/>
      <c r="I4" s="90"/>
      <c r="J4" s="90"/>
      <c r="K4" s="90"/>
    </row>
    <row r="5" spans="1:13" ht="18.75" x14ac:dyDescent="0.3">
      <c r="A5" s="102" t="s">
        <v>18</v>
      </c>
      <c r="B5" s="102"/>
      <c r="C5" s="102"/>
      <c r="D5" s="102"/>
      <c r="E5" s="102"/>
      <c r="F5" s="102"/>
      <c r="G5" s="102"/>
      <c r="H5" s="102"/>
      <c r="I5" s="102"/>
      <c r="J5" s="102"/>
      <c r="K5" s="102"/>
    </row>
    <row r="6" spans="1:13" ht="18.75" x14ac:dyDescent="0.3">
      <c r="A6" s="11" t="s">
        <v>19</v>
      </c>
      <c r="B6" s="11"/>
      <c r="C6" s="98" t="e">
        <f>F30</f>
        <v>#REF!</v>
      </c>
      <c r="D6" s="99"/>
      <c r="E6" s="12"/>
      <c r="F6" s="11"/>
      <c r="G6" s="11"/>
      <c r="H6" s="11" t="s">
        <v>20</v>
      </c>
      <c r="I6" s="11"/>
      <c r="J6" s="98" t="e">
        <f>I30</f>
        <v>#REF!</v>
      </c>
      <c r="K6" s="99"/>
    </row>
    <row r="7" spans="1:13" x14ac:dyDescent="0.25">
      <c r="A7" s="34" t="s">
        <v>93</v>
      </c>
      <c r="B7" s="13"/>
      <c r="C7" s="13"/>
      <c r="D7" s="13"/>
      <c r="F7" s="106"/>
      <c r="G7" s="106"/>
      <c r="I7" s="107" t="s">
        <v>94</v>
      </c>
      <c r="J7" s="107"/>
      <c r="K7" s="107"/>
    </row>
    <row r="8" spans="1:13" ht="15.75" x14ac:dyDescent="0.25">
      <c r="A8" s="105" t="e">
        <f>#REF!</f>
        <v>#REF!</v>
      </c>
      <c r="B8" s="105"/>
      <c r="C8" s="105"/>
      <c r="D8" s="105"/>
      <c r="E8" s="105"/>
      <c r="F8" s="105"/>
      <c r="I8" s="108" t="s">
        <v>35</v>
      </c>
      <c r="J8" s="108"/>
      <c r="K8" s="108"/>
    </row>
    <row r="9" spans="1:13" ht="15.75" x14ac:dyDescent="0.25">
      <c r="A9" s="105" t="e">
        <f>#REF!</f>
        <v>#REF!</v>
      </c>
      <c r="B9" s="105"/>
      <c r="C9" s="105"/>
      <c r="D9" s="105"/>
      <c r="E9" s="105"/>
      <c r="F9" s="105"/>
      <c r="I9" s="108" t="s">
        <v>92</v>
      </c>
      <c r="J9" s="108"/>
      <c r="K9" s="108"/>
    </row>
    <row r="11" spans="1:13" x14ac:dyDescent="0.25">
      <c r="A11" s="103" t="s">
        <v>21</v>
      </c>
      <c r="B11" s="103" t="s">
        <v>22</v>
      </c>
      <c r="C11" s="103" t="s">
        <v>12</v>
      </c>
      <c r="D11" s="109" t="s">
        <v>23</v>
      </c>
      <c r="E11" s="109"/>
      <c r="F11" s="109"/>
      <c r="G11" s="109" t="s">
        <v>24</v>
      </c>
      <c r="H11" s="109"/>
      <c r="I11" s="109"/>
      <c r="J11" s="103" t="s">
        <v>25</v>
      </c>
      <c r="K11" s="104" t="s">
        <v>15</v>
      </c>
    </row>
    <row r="12" spans="1:13" x14ac:dyDescent="0.25">
      <c r="A12" s="103"/>
      <c r="B12" s="103"/>
      <c r="C12" s="103"/>
      <c r="D12" s="14" t="s">
        <v>26</v>
      </c>
      <c r="E12" s="14" t="s">
        <v>13</v>
      </c>
      <c r="F12" s="14" t="s">
        <v>14</v>
      </c>
      <c r="G12" s="14" t="s">
        <v>26</v>
      </c>
      <c r="H12" s="14" t="s">
        <v>13</v>
      </c>
      <c r="I12" s="14" t="s">
        <v>14</v>
      </c>
      <c r="J12" s="103"/>
      <c r="K12" s="104"/>
    </row>
    <row r="13" spans="1:13" s="1" customFormat="1" x14ac:dyDescent="0.25">
      <c r="A13" s="35" t="e">
        <f>new!#REF!</f>
        <v>#REF!</v>
      </c>
      <c r="B13" s="40" t="e">
        <f>new!#REF!</f>
        <v>#REF!</v>
      </c>
      <c r="C13" s="15" t="e">
        <f>new!#REF!</f>
        <v>#REF!</v>
      </c>
      <c r="D13" s="15" t="e">
        <f>new!#REF!</f>
        <v>#REF!</v>
      </c>
      <c r="E13" s="15" t="e">
        <f>new!#REF!</f>
        <v>#REF!</v>
      </c>
      <c r="F13" s="15" t="e">
        <f>D13*E13</f>
        <v>#REF!</v>
      </c>
      <c r="G13" s="15" t="e">
        <f>#REF!</f>
        <v>#REF!</v>
      </c>
      <c r="H13" s="15" t="e">
        <f>#REF!</f>
        <v>#REF!</v>
      </c>
      <c r="I13" s="15" t="e">
        <f>G13*H13</f>
        <v>#REF!</v>
      </c>
      <c r="J13" s="36" t="e">
        <f>I13-F13</f>
        <v>#REF!</v>
      </c>
      <c r="K13" s="18"/>
      <c r="M13" s="1" t="e">
        <f t="shared" ref="M13:M18" si="0">1.25*F13</f>
        <v>#REF!</v>
      </c>
    </row>
    <row r="14" spans="1:13" s="1" customFormat="1" x14ac:dyDescent="0.25">
      <c r="A14" s="35"/>
      <c r="B14" s="43" t="e">
        <f>new!#REF!</f>
        <v>#REF!</v>
      </c>
      <c r="C14" s="15"/>
      <c r="D14" s="15"/>
      <c r="E14" s="15"/>
      <c r="F14" s="15" t="e">
        <f>new!#REF!</f>
        <v>#REF!</v>
      </c>
      <c r="G14" s="15"/>
      <c r="H14" s="15"/>
      <c r="I14" s="15" t="e">
        <f>#REF!</f>
        <v>#REF!</v>
      </c>
      <c r="J14" s="36" t="e">
        <f>I14-F14</f>
        <v>#REF!</v>
      </c>
      <c r="K14" s="18"/>
      <c r="M14" s="1" t="e">
        <f t="shared" si="0"/>
        <v>#REF!</v>
      </c>
    </row>
    <row r="15" spans="1:13" s="1" customFormat="1" x14ac:dyDescent="0.25">
      <c r="A15" s="35"/>
      <c r="B15" s="40"/>
      <c r="C15" s="15"/>
      <c r="D15" s="15"/>
      <c r="E15" s="15"/>
      <c r="F15" s="15"/>
      <c r="G15" s="15"/>
      <c r="H15" s="15"/>
      <c r="I15" s="15"/>
      <c r="J15" s="36"/>
      <c r="K15" s="18"/>
    </row>
    <row r="16" spans="1:13" s="1" customFormat="1" x14ac:dyDescent="0.25">
      <c r="A16" s="35" t="e">
        <f>new!#REF!</f>
        <v>#REF!</v>
      </c>
      <c r="B16" s="40" t="e">
        <f>new!#REF!</f>
        <v>#REF!</v>
      </c>
      <c r="C16" s="15" t="e">
        <f>new!#REF!</f>
        <v>#REF!</v>
      </c>
      <c r="D16" s="15" t="e">
        <f>new!#REF!</f>
        <v>#REF!</v>
      </c>
      <c r="E16" s="15" t="e">
        <f>new!#REF!</f>
        <v>#REF!</v>
      </c>
      <c r="F16" s="15" t="e">
        <f>D16*E16</f>
        <v>#REF!</v>
      </c>
      <c r="G16" s="15" t="e">
        <f>#REF!</f>
        <v>#REF!</v>
      </c>
      <c r="H16" s="15" t="e">
        <f>#REF!</f>
        <v>#REF!</v>
      </c>
      <c r="I16" s="15" t="e">
        <f>G16*H16</f>
        <v>#REF!</v>
      </c>
      <c r="J16" s="36" t="e">
        <f>I16-F16</f>
        <v>#REF!</v>
      </c>
      <c r="K16" s="18"/>
    </row>
    <row r="17" spans="1:13" s="1" customFormat="1" x14ac:dyDescent="0.25">
      <c r="A17" s="35"/>
      <c r="B17" s="43" t="e">
        <f>new!#REF!</f>
        <v>#REF!</v>
      </c>
      <c r="C17" s="15"/>
      <c r="D17" s="15"/>
      <c r="E17" s="15"/>
      <c r="F17" s="15" t="e">
        <f>new!#REF!</f>
        <v>#REF!</v>
      </c>
      <c r="G17" s="15"/>
      <c r="H17" s="15"/>
      <c r="I17" s="15" t="e">
        <f>#REF!</f>
        <v>#REF!</v>
      </c>
      <c r="J17" s="36" t="e">
        <f>I17-F17</f>
        <v>#REF!</v>
      </c>
      <c r="K17" s="18"/>
    </row>
    <row r="18" spans="1:13" s="1" customFormat="1" x14ac:dyDescent="0.25">
      <c r="A18" s="35"/>
      <c r="B18" s="40"/>
      <c r="C18" s="15"/>
      <c r="D18" s="15"/>
      <c r="E18" s="15"/>
      <c r="F18" s="15"/>
      <c r="G18" s="15"/>
      <c r="H18" s="15"/>
      <c r="I18" s="15"/>
      <c r="J18" s="36"/>
      <c r="K18" s="18"/>
      <c r="M18" s="1">
        <f t="shared" si="0"/>
        <v>0</v>
      </c>
    </row>
    <row r="19" spans="1:13" s="1" customFormat="1" x14ac:dyDescent="0.25">
      <c r="A19" s="35" t="e">
        <f>new!#REF!</f>
        <v>#REF!</v>
      </c>
      <c r="B19" s="40" t="e">
        <f>new!#REF!</f>
        <v>#REF!</v>
      </c>
      <c r="C19" s="15" t="e">
        <f>new!#REF!</f>
        <v>#REF!</v>
      </c>
      <c r="D19" s="15" t="e">
        <f>new!#REF!</f>
        <v>#REF!</v>
      </c>
      <c r="E19" s="15" t="e">
        <f>new!#REF!</f>
        <v>#REF!</v>
      </c>
      <c r="F19" s="15" t="e">
        <f>D19*E19</f>
        <v>#REF!</v>
      </c>
      <c r="G19" s="15" t="e">
        <f>#REF!</f>
        <v>#REF!</v>
      </c>
      <c r="H19" s="15" t="e">
        <f>#REF!</f>
        <v>#REF!</v>
      </c>
      <c r="I19" s="15" t="e">
        <f>G19*H19</f>
        <v>#REF!</v>
      </c>
      <c r="J19" s="36" t="e">
        <f>I19-F19</f>
        <v>#REF!</v>
      </c>
      <c r="K19" s="18"/>
    </row>
    <row r="20" spans="1:13" s="1" customFormat="1" x14ac:dyDescent="0.25">
      <c r="A20" s="35"/>
      <c r="B20" s="43" t="e">
        <f>new!#REF!</f>
        <v>#REF!</v>
      </c>
      <c r="C20" s="15"/>
      <c r="D20" s="15"/>
      <c r="E20" s="15"/>
      <c r="F20" s="15" t="e">
        <f>new!#REF!</f>
        <v>#REF!</v>
      </c>
      <c r="G20" s="15"/>
      <c r="H20" s="15"/>
      <c r="I20" s="15" t="e">
        <f>#REF!</f>
        <v>#REF!</v>
      </c>
      <c r="J20" s="36" t="e">
        <f>I20-F20</f>
        <v>#REF!</v>
      </c>
      <c r="K20" s="18"/>
    </row>
    <row r="21" spans="1:13" s="1" customFormat="1" x14ac:dyDescent="0.25">
      <c r="A21" s="35"/>
      <c r="B21" s="40"/>
      <c r="C21" s="15"/>
      <c r="D21" s="15"/>
      <c r="E21" s="15"/>
      <c r="F21" s="15"/>
      <c r="G21" s="15"/>
      <c r="H21" s="15"/>
      <c r="I21" s="15"/>
      <c r="J21" s="36"/>
      <c r="K21" s="18"/>
      <c r="M21" s="1">
        <f t="shared" ref="M21" si="1">1.25*F21</f>
        <v>0</v>
      </c>
    </row>
    <row r="22" spans="1:13" s="1" customFormat="1" x14ac:dyDescent="0.25">
      <c r="A22" s="35" t="e">
        <f>new!#REF!</f>
        <v>#REF!</v>
      </c>
      <c r="B22" s="40" t="e">
        <f>new!#REF!</f>
        <v>#REF!</v>
      </c>
      <c r="C22" s="15" t="e">
        <f>new!#REF!</f>
        <v>#REF!</v>
      </c>
      <c r="D22" s="15" t="e">
        <f>new!#REF!</f>
        <v>#REF!</v>
      </c>
      <c r="E22" s="15" t="e">
        <f>new!#REF!</f>
        <v>#REF!</v>
      </c>
      <c r="F22" s="15" t="e">
        <f>D22*E22</f>
        <v>#REF!</v>
      </c>
      <c r="G22" s="15" t="e">
        <f>#REF!</f>
        <v>#REF!</v>
      </c>
      <c r="H22" s="15" t="e">
        <f>#REF!</f>
        <v>#REF!</v>
      </c>
      <c r="I22" s="15" t="e">
        <f>G22*H22</f>
        <v>#REF!</v>
      </c>
      <c r="J22" s="36" t="e">
        <f>I22-F22</f>
        <v>#REF!</v>
      </c>
      <c r="K22" s="18"/>
    </row>
    <row r="23" spans="1:13" s="1" customFormat="1" x14ac:dyDescent="0.25">
      <c r="A23" s="35"/>
      <c r="B23" s="43" t="e">
        <f>new!#REF!</f>
        <v>#REF!</v>
      </c>
      <c r="C23" s="15"/>
      <c r="D23" s="15"/>
      <c r="E23" s="15"/>
      <c r="F23" s="15" t="e">
        <f>new!#REF!</f>
        <v>#REF!</v>
      </c>
      <c r="G23" s="15"/>
      <c r="H23" s="15"/>
      <c r="I23" s="15" t="e">
        <f>#REF!</f>
        <v>#REF!</v>
      </c>
      <c r="J23" s="36" t="e">
        <f>I23-F23</f>
        <v>#REF!</v>
      </c>
      <c r="K23" s="18"/>
    </row>
    <row r="24" spans="1:13" s="1" customFormat="1" x14ac:dyDescent="0.25">
      <c r="A24" s="35"/>
      <c r="B24" s="40"/>
      <c r="C24" s="15"/>
      <c r="D24" s="15"/>
      <c r="E24" s="15"/>
      <c r="F24" s="15"/>
      <c r="G24" s="15"/>
      <c r="H24" s="15"/>
      <c r="I24" s="15"/>
      <c r="J24" s="36"/>
      <c r="K24" s="18"/>
      <c r="M24" s="1">
        <f t="shared" ref="M24" si="2">1.25*F24</f>
        <v>0</v>
      </c>
    </row>
    <row r="25" spans="1:13" s="1" customFormat="1" x14ac:dyDescent="0.25">
      <c r="A25" s="35" t="e">
        <f>new!#REF!</f>
        <v>#REF!</v>
      </c>
      <c r="B25" s="40" t="e">
        <f>new!#REF!</f>
        <v>#REF!</v>
      </c>
      <c r="C25" s="15" t="e">
        <f>new!#REF!</f>
        <v>#REF!</v>
      </c>
      <c r="D25" s="15" t="e">
        <f>new!#REF!</f>
        <v>#REF!</v>
      </c>
      <c r="E25" s="15" t="e">
        <f>new!#REF!</f>
        <v>#REF!</v>
      </c>
      <c r="F25" s="15" t="e">
        <f>D25*E25</f>
        <v>#REF!</v>
      </c>
      <c r="G25" s="15" t="e">
        <f>#REF!</f>
        <v>#REF!</v>
      </c>
      <c r="H25" s="15" t="e">
        <f>#REF!</f>
        <v>#REF!</v>
      </c>
      <c r="I25" s="15" t="e">
        <f>G25*H25</f>
        <v>#REF!</v>
      </c>
      <c r="J25" s="36" t="e">
        <f>I25-F25</f>
        <v>#REF!</v>
      </c>
      <c r="K25" s="18"/>
    </row>
    <row r="26" spans="1:13" s="1" customFormat="1" x14ac:dyDescent="0.25">
      <c r="A26" s="35"/>
      <c r="B26" s="40" t="e">
        <f>new!#REF!</f>
        <v>#REF!</v>
      </c>
      <c r="C26" s="15"/>
      <c r="D26" s="15"/>
      <c r="E26" s="15"/>
      <c r="F26" s="15" t="e">
        <f>new!#REF!</f>
        <v>#REF!</v>
      </c>
      <c r="G26" s="15"/>
      <c r="H26" s="15"/>
      <c r="I26" s="15" t="e">
        <f>#REF!</f>
        <v>#REF!</v>
      </c>
      <c r="J26" s="36" t="e">
        <f>I26-F26</f>
        <v>#REF!</v>
      </c>
      <c r="K26" s="18"/>
    </row>
    <row r="27" spans="1:13" s="1" customFormat="1" x14ac:dyDescent="0.25">
      <c r="A27" s="35"/>
      <c r="B27" s="40"/>
      <c r="C27" s="15"/>
      <c r="D27" s="15"/>
      <c r="E27" s="15"/>
      <c r="F27" s="15"/>
      <c r="G27" s="15"/>
      <c r="H27" s="15"/>
      <c r="I27" s="15"/>
      <c r="J27" s="36"/>
      <c r="K27" s="18"/>
      <c r="M27" s="1">
        <f t="shared" ref="M27" si="3">1.25*F27</f>
        <v>0</v>
      </c>
    </row>
    <row r="28" spans="1:13" s="1" customFormat="1" ht="30" x14ac:dyDescent="0.25">
      <c r="A28" s="40">
        <f>new!A10</f>
        <v>1</v>
      </c>
      <c r="B28" s="40" t="str">
        <f>new!B10</f>
        <v>l;d]G6 jf jh|df hf]8]sf] uf/f] eTsfO{ To;af6 cfPsf] ;fdfu+|L !) dL</v>
      </c>
      <c r="C28" s="15">
        <f>new!H10</f>
        <v>0</v>
      </c>
      <c r="D28" s="15">
        <f>new!G10</f>
        <v>0</v>
      </c>
      <c r="E28" s="15" t="e">
        <f>#REF!</f>
        <v>#REF!</v>
      </c>
      <c r="F28" s="15" t="e">
        <f>D28*E28</f>
        <v>#REF!</v>
      </c>
      <c r="G28" s="15">
        <f>new!G10</f>
        <v>0</v>
      </c>
      <c r="H28" s="15" t="e">
        <f>#REF!</f>
        <v>#REF!</v>
      </c>
      <c r="I28" s="15" t="e">
        <f>G28*H28</f>
        <v>#REF!</v>
      </c>
      <c r="J28" s="36" t="e">
        <f>I28-F28</f>
        <v>#REF!</v>
      </c>
      <c r="K28" s="18"/>
    </row>
    <row r="29" spans="1:13" s="1" customFormat="1" x14ac:dyDescent="0.25">
      <c r="A29" s="37"/>
      <c r="B29" s="37"/>
      <c r="C29" s="15"/>
      <c r="D29" s="15"/>
      <c r="E29" s="15"/>
      <c r="F29" s="15"/>
      <c r="G29" s="15"/>
      <c r="H29" s="15"/>
      <c r="I29" s="15"/>
      <c r="J29" s="36"/>
      <c r="K29" s="18"/>
    </row>
    <row r="30" spans="1:13" x14ac:dyDescent="0.25">
      <c r="A30" s="4"/>
      <c r="B30" s="5" t="s">
        <v>16</v>
      </c>
      <c r="C30" s="5"/>
      <c r="D30" s="8"/>
      <c r="E30" s="8"/>
      <c r="F30" s="8" t="e">
        <f>SUM(F13:F29)</f>
        <v>#REF!</v>
      </c>
      <c r="G30" s="8"/>
      <c r="H30" s="8"/>
      <c r="I30" s="8" t="e">
        <f>SUM(I13:I29)</f>
        <v>#REF!</v>
      </c>
      <c r="J30" s="16" t="e">
        <f>I30-F30</f>
        <v>#REF!</v>
      </c>
      <c r="K30" s="4"/>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&amp;LPrepared By:
Kristal Suwal&amp;CChecked By:
Er. Milan Phuyal&amp;RApproved By:
Er. Prakash Singh Saud</oddFooter>
  </headerFooter>
  <rowBreaks count="1" manualBreakCount="1">
    <brk id="21" max="1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3"/>
  <sheetViews>
    <sheetView topLeftCell="A37" zoomScale="90" zoomScaleNormal="90" workbookViewId="0">
      <selection activeCell="A54" sqref="A54:U63"/>
    </sheetView>
  </sheetViews>
  <sheetFormatPr defaultRowHeight="15" x14ac:dyDescent="0.25"/>
  <sheetData>
    <row r="1" spans="1:21" x14ac:dyDescent="0.25">
      <c r="A1" s="110" t="s">
        <v>43</v>
      </c>
      <c r="B1" s="110"/>
      <c r="C1" s="111" t="s">
        <v>41</v>
      </c>
      <c r="D1" s="111"/>
      <c r="E1" s="111"/>
      <c r="F1" s="111"/>
      <c r="G1" s="111"/>
      <c r="H1" s="111"/>
      <c r="I1" s="111"/>
      <c r="J1" s="111"/>
      <c r="K1" s="111"/>
      <c r="L1" s="111"/>
      <c r="M1" s="111"/>
      <c r="N1" s="111"/>
      <c r="O1" s="111"/>
      <c r="P1" s="111"/>
      <c r="Q1" s="111"/>
      <c r="R1" s="111"/>
      <c r="S1" s="111"/>
      <c r="T1" s="111"/>
      <c r="U1" s="112" t="s">
        <v>44</v>
      </c>
    </row>
    <row r="2" spans="1:21" x14ac:dyDescent="0.25">
      <c r="A2" s="110"/>
      <c r="B2" s="110"/>
      <c r="C2" s="111"/>
      <c r="D2" s="111"/>
      <c r="E2" s="111"/>
      <c r="F2" s="111"/>
      <c r="G2" s="111"/>
      <c r="H2" s="111"/>
      <c r="I2" s="111"/>
      <c r="J2" s="111"/>
      <c r="K2" s="111"/>
      <c r="L2" s="111"/>
      <c r="M2" s="111"/>
      <c r="N2" s="111"/>
      <c r="O2" s="111"/>
      <c r="P2" s="111"/>
      <c r="Q2" s="111"/>
      <c r="R2" s="111"/>
      <c r="S2" s="111"/>
      <c r="T2" s="111"/>
      <c r="U2" s="112"/>
    </row>
    <row r="3" spans="1:21" ht="15.75" x14ac:dyDescent="0.25">
      <c r="A3" s="113" t="s">
        <v>45</v>
      </c>
      <c r="B3" s="113"/>
      <c r="C3" s="111"/>
      <c r="D3" s="111"/>
      <c r="E3" s="111"/>
      <c r="F3" s="111"/>
      <c r="G3" s="111"/>
      <c r="H3" s="111"/>
      <c r="I3" s="111"/>
      <c r="J3" s="111"/>
      <c r="K3" s="111"/>
      <c r="L3" s="111"/>
      <c r="M3" s="111"/>
      <c r="N3" s="111"/>
      <c r="O3" s="111"/>
      <c r="P3" s="111"/>
      <c r="Q3" s="111"/>
      <c r="R3" s="111"/>
      <c r="S3" s="111"/>
      <c r="T3" s="111"/>
      <c r="U3" s="112"/>
    </row>
    <row r="4" spans="1:21" ht="15.75" x14ac:dyDescent="0.25">
      <c r="A4" s="114" t="s">
        <v>46</v>
      </c>
      <c r="B4" s="115" t="s">
        <v>47</v>
      </c>
      <c r="C4" s="115"/>
      <c r="D4" s="115"/>
      <c r="E4" s="115"/>
      <c r="F4" s="115"/>
      <c r="G4" s="115" t="s">
        <v>48</v>
      </c>
      <c r="H4" s="115"/>
      <c r="I4" s="115"/>
      <c r="J4" s="115"/>
      <c r="K4" s="115"/>
      <c r="L4" s="115" t="s">
        <v>49</v>
      </c>
      <c r="M4" s="115"/>
      <c r="N4" s="115"/>
      <c r="O4" s="115"/>
      <c r="P4" s="115"/>
      <c r="Q4" s="115" t="s">
        <v>50</v>
      </c>
      <c r="R4" s="115"/>
      <c r="S4" s="115"/>
      <c r="T4" s="115"/>
      <c r="U4" s="115"/>
    </row>
    <row r="5" spans="1:21" ht="15.75" x14ac:dyDescent="0.25">
      <c r="A5" s="114"/>
      <c r="B5" s="56" t="s">
        <v>51</v>
      </c>
      <c r="C5" s="56" t="s">
        <v>12</v>
      </c>
      <c r="D5" s="56" t="s">
        <v>11</v>
      </c>
      <c r="E5" s="56" t="s">
        <v>13</v>
      </c>
      <c r="F5" s="56" t="s">
        <v>14</v>
      </c>
      <c r="G5" s="56" t="s">
        <v>51</v>
      </c>
      <c r="H5" s="57" t="s">
        <v>12</v>
      </c>
      <c r="I5" s="56" t="s">
        <v>11</v>
      </c>
      <c r="J5" s="56" t="s">
        <v>13</v>
      </c>
      <c r="K5" s="56" t="s">
        <v>14</v>
      </c>
      <c r="L5" s="56" t="s">
        <v>51</v>
      </c>
      <c r="M5" s="56" t="s">
        <v>12</v>
      </c>
      <c r="N5" s="56" t="s">
        <v>11</v>
      </c>
      <c r="O5" s="56" t="s">
        <v>13</v>
      </c>
      <c r="P5" s="56" t="s">
        <v>14</v>
      </c>
      <c r="Q5" s="56" t="s">
        <v>51</v>
      </c>
      <c r="R5" s="56" t="s">
        <v>12</v>
      </c>
      <c r="S5" s="56" t="s">
        <v>11</v>
      </c>
      <c r="T5" s="56" t="s">
        <v>13</v>
      </c>
      <c r="U5" s="58" t="s">
        <v>14</v>
      </c>
    </row>
    <row r="6" spans="1:21" ht="63" x14ac:dyDescent="0.25">
      <c r="A6" s="59" t="s">
        <v>52</v>
      </c>
      <c r="B6" s="56" t="s">
        <v>53</v>
      </c>
      <c r="C6" s="56" t="s">
        <v>54</v>
      </c>
      <c r="D6" s="56">
        <v>1</v>
      </c>
      <c r="E6" s="56">
        <v>1200</v>
      </c>
      <c r="F6" s="60">
        <f>(D6*E6)</f>
        <v>1200</v>
      </c>
      <c r="G6" s="61"/>
      <c r="H6" s="62"/>
      <c r="I6" s="61"/>
      <c r="J6" s="61"/>
      <c r="K6" s="61"/>
      <c r="L6" s="56" t="s">
        <v>55</v>
      </c>
      <c r="M6" s="56" t="s">
        <v>56</v>
      </c>
      <c r="N6" s="56">
        <v>6</v>
      </c>
      <c r="O6" s="56">
        <v>3071</v>
      </c>
      <c r="P6" s="60">
        <f>(N6*O6)</f>
        <v>18426</v>
      </c>
      <c r="Q6" s="61"/>
      <c r="R6" s="61"/>
      <c r="S6" s="61"/>
      <c r="T6" s="61"/>
      <c r="U6" s="63"/>
    </row>
    <row r="7" spans="1:21" ht="15.75" x14ac:dyDescent="0.25">
      <c r="A7" s="61"/>
      <c r="B7" s="56" t="s">
        <v>57</v>
      </c>
      <c r="C7" s="56" t="s">
        <v>54</v>
      </c>
      <c r="D7" s="56">
        <v>3</v>
      </c>
      <c r="E7" s="56">
        <v>900</v>
      </c>
      <c r="F7" s="60">
        <f>(D7*E7)</f>
        <v>2700</v>
      </c>
      <c r="G7" s="61"/>
      <c r="H7" s="62"/>
      <c r="I7" s="61"/>
      <c r="J7" s="61"/>
      <c r="K7" s="61"/>
      <c r="L7" s="61"/>
      <c r="M7" s="61"/>
      <c r="N7" s="61"/>
      <c r="O7" s="61"/>
      <c r="P7" s="61"/>
      <c r="Q7" s="61"/>
      <c r="R7" s="61"/>
      <c r="S7" s="61"/>
      <c r="T7" s="61"/>
      <c r="U7" s="63"/>
    </row>
    <row r="8" spans="1:21" ht="15.75" x14ac:dyDescent="0.25">
      <c r="A8" s="116" t="s">
        <v>58</v>
      </c>
      <c r="B8" s="116"/>
      <c r="C8" s="116"/>
      <c r="D8" s="116"/>
      <c r="E8" s="116"/>
      <c r="F8" s="60">
        <f>SUM(F5:F7)</f>
        <v>3900</v>
      </c>
      <c r="G8" s="116" t="s">
        <v>59</v>
      </c>
      <c r="H8" s="116"/>
      <c r="I8" s="116"/>
      <c r="J8" s="116"/>
      <c r="K8" s="60">
        <f>SUM(K5:K7)</f>
        <v>0</v>
      </c>
      <c r="L8" s="116" t="s">
        <v>60</v>
      </c>
      <c r="M8" s="116"/>
      <c r="N8" s="116"/>
      <c r="O8" s="116"/>
      <c r="P8" s="60">
        <f>SUM(P5:P7)</f>
        <v>18426</v>
      </c>
      <c r="Q8" s="116" t="s">
        <v>61</v>
      </c>
      <c r="R8" s="116"/>
      <c r="S8" s="116"/>
      <c r="T8" s="116"/>
      <c r="U8" s="64">
        <f>SUM(U5:U7)</f>
        <v>0</v>
      </c>
    </row>
    <row r="9" spans="1:21" ht="15.75" x14ac:dyDescent="0.25">
      <c r="A9" s="116" t="s">
        <v>62</v>
      </c>
      <c r="B9" s="116"/>
      <c r="C9" s="116"/>
      <c r="D9" s="116"/>
      <c r="E9" s="116"/>
      <c r="F9" s="60">
        <f>SUM(F8+K8+P8)</f>
        <v>22326</v>
      </c>
      <c r="G9" s="116" t="s">
        <v>63</v>
      </c>
      <c r="H9" s="116"/>
      <c r="I9" s="116"/>
      <c r="J9" s="116"/>
      <c r="K9" s="60">
        <f>SUM(F8+K8+P8+U8)</f>
        <v>22326</v>
      </c>
      <c r="L9" s="116" t="s">
        <v>64</v>
      </c>
      <c r="M9" s="116"/>
      <c r="N9" s="116"/>
      <c r="O9" s="116"/>
      <c r="P9" s="60">
        <f>SUM(K9*0.15)</f>
        <v>3348.9</v>
      </c>
      <c r="Q9" s="116" t="s">
        <v>65</v>
      </c>
      <c r="R9" s="116"/>
      <c r="S9" s="116"/>
      <c r="T9" s="116"/>
      <c r="U9" s="64">
        <f>SUM(K9+P9)</f>
        <v>25674.9</v>
      </c>
    </row>
    <row r="10" spans="1:21" ht="15.75" x14ac:dyDescent="0.25">
      <c r="A10" s="61"/>
      <c r="B10" s="61"/>
      <c r="C10" s="61"/>
      <c r="D10" s="61"/>
      <c r="E10" s="61"/>
      <c r="F10" s="61"/>
      <c r="G10" s="61"/>
      <c r="H10" s="62"/>
      <c r="I10" s="61"/>
      <c r="J10" s="61"/>
      <c r="K10" s="61"/>
      <c r="L10" s="61"/>
      <c r="M10" s="61"/>
      <c r="N10" s="61"/>
      <c r="O10" s="61"/>
      <c r="P10" s="61"/>
      <c r="Q10" s="116" t="s">
        <v>66</v>
      </c>
      <c r="R10" s="116"/>
      <c r="S10" s="116"/>
      <c r="T10" s="116"/>
      <c r="U10" s="65">
        <f>ROUND((U9/360),2)</f>
        <v>71.319999999999993</v>
      </c>
    </row>
    <row r="11" spans="1:21" ht="15.75" x14ac:dyDescent="0.25">
      <c r="A11" s="120"/>
      <c r="B11" s="120"/>
      <c r="C11" s="120"/>
      <c r="D11" s="120"/>
      <c r="E11" s="120"/>
      <c r="F11" s="120"/>
      <c r="G11" s="120"/>
      <c r="H11" s="120"/>
      <c r="I11" s="120"/>
      <c r="J11" s="120"/>
      <c r="K11" s="120"/>
      <c r="L11" s="120"/>
      <c r="M11" s="120"/>
      <c r="N11" s="120"/>
      <c r="O11" s="120"/>
      <c r="P11" s="120"/>
      <c r="Q11" s="120"/>
      <c r="R11" s="120"/>
      <c r="S11" s="120"/>
      <c r="T11" s="120"/>
      <c r="U11" s="120"/>
    </row>
    <row r="12" spans="1:21" x14ac:dyDescent="0.25">
      <c r="A12" s="121" t="s">
        <v>43</v>
      </c>
      <c r="B12" s="122"/>
      <c r="C12" s="125" t="s">
        <v>36</v>
      </c>
      <c r="D12" s="126"/>
      <c r="E12" s="126"/>
      <c r="F12" s="126"/>
      <c r="G12" s="126"/>
      <c r="H12" s="126"/>
      <c r="I12" s="126"/>
      <c r="J12" s="126"/>
      <c r="K12" s="126"/>
      <c r="L12" s="126"/>
      <c r="M12" s="126"/>
      <c r="N12" s="126"/>
      <c r="O12" s="126"/>
      <c r="P12" s="126"/>
      <c r="Q12" s="126"/>
      <c r="R12" s="126"/>
      <c r="S12" s="126"/>
      <c r="T12" s="127"/>
      <c r="U12" s="134" t="s">
        <v>67</v>
      </c>
    </row>
    <row r="13" spans="1:21" x14ac:dyDescent="0.25">
      <c r="A13" s="123"/>
      <c r="B13" s="124"/>
      <c r="C13" s="128"/>
      <c r="D13" s="129"/>
      <c r="E13" s="129"/>
      <c r="F13" s="129"/>
      <c r="G13" s="129"/>
      <c r="H13" s="129"/>
      <c r="I13" s="129"/>
      <c r="J13" s="129"/>
      <c r="K13" s="129"/>
      <c r="L13" s="129"/>
      <c r="M13" s="129"/>
      <c r="N13" s="129"/>
      <c r="O13" s="129"/>
      <c r="P13" s="129"/>
      <c r="Q13" s="129"/>
      <c r="R13" s="129"/>
      <c r="S13" s="129"/>
      <c r="T13" s="130"/>
      <c r="U13" s="135"/>
    </row>
    <row r="14" spans="1:21" ht="15.75" x14ac:dyDescent="0.25">
      <c r="A14" s="137" t="s">
        <v>68</v>
      </c>
      <c r="B14" s="138"/>
      <c r="C14" s="131"/>
      <c r="D14" s="132"/>
      <c r="E14" s="132"/>
      <c r="F14" s="132"/>
      <c r="G14" s="132"/>
      <c r="H14" s="132"/>
      <c r="I14" s="132"/>
      <c r="J14" s="132"/>
      <c r="K14" s="132"/>
      <c r="L14" s="132"/>
      <c r="M14" s="132"/>
      <c r="N14" s="132"/>
      <c r="O14" s="132"/>
      <c r="P14" s="132"/>
      <c r="Q14" s="132"/>
      <c r="R14" s="132"/>
      <c r="S14" s="132"/>
      <c r="T14" s="133"/>
      <c r="U14" s="136"/>
    </row>
    <row r="15" spans="1:21" ht="15.75" x14ac:dyDescent="0.25">
      <c r="A15" s="139" t="s">
        <v>46</v>
      </c>
      <c r="B15" s="141" t="s">
        <v>47</v>
      </c>
      <c r="C15" s="142"/>
      <c r="D15" s="142"/>
      <c r="E15" s="142"/>
      <c r="F15" s="143"/>
      <c r="G15" s="141" t="s">
        <v>48</v>
      </c>
      <c r="H15" s="142"/>
      <c r="I15" s="142"/>
      <c r="J15" s="142"/>
      <c r="K15" s="143"/>
      <c r="L15" s="141" t="s">
        <v>49</v>
      </c>
      <c r="M15" s="142"/>
      <c r="N15" s="142"/>
      <c r="O15" s="142"/>
      <c r="P15" s="143"/>
      <c r="Q15" s="141" t="s">
        <v>50</v>
      </c>
      <c r="R15" s="142"/>
      <c r="S15" s="142"/>
      <c r="T15" s="142"/>
      <c r="U15" s="143"/>
    </row>
    <row r="16" spans="1:21" ht="15.75" x14ac:dyDescent="0.25">
      <c r="A16" s="140"/>
      <c r="B16" s="66" t="s">
        <v>51</v>
      </c>
      <c r="C16" s="66" t="s">
        <v>12</v>
      </c>
      <c r="D16" s="66" t="s">
        <v>11</v>
      </c>
      <c r="E16" s="66" t="s">
        <v>13</v>
      </c>
      <c r="F16" s="66" t="s">
        <v>14</v>
      </c>
      <c r="G16" s="66" t="s">
        <v>51</v>
      </c>
      <c r="H16" s="67" t="s">
        <v>12</v>
      </c>
      <c r="I16" s="66" t="s">
        <v>11</v>
      </c>
      <c r="J16" s="66" t="s">
        <v>13</v>
      </c>
      <c r="K16" s="66" t="s">
        <v>14</v>
      </c>
      <c r="L16" s="66" t="s">
        <v>51</v>
      </c>
      <c r="M16" s="66" t="s">
        <v>12</v>
      </c>
      <c r="N16" s="66" t="s">
        <v>11</v>
      </c>
      <c r="O16" s="66" t="s">
        <v>13</v>
      </c>
      <c r="P16" s="66" t="s">
        <v>14</v>
      </c>
      <c r="Q16" s="66" t="s">
        <v>51</v>
      </c>
      <c r="R16" s="66" t="s">
        <v>12</v>
      </c>
      <c r="S16" s="66" t="s">
        <v>11</v>
      </c>
      <c r="T16" s="66" t="s">
        <v>13</v>
      </c>
      <c r="U16" s="68" t="s">
        <v>14</v>
      </c>
    </row>
    <row r="17" spans="1:21" ht="15.75" x14ac:dyDescent="0.25">
      <c r="A17" s="69" t="s">
        <v>69</v>
      </c>
      <c r="B17" s="66" t="s">
        <v>53</v>
      </c>
      <c r="C17" s="66" t="s">
        <v>54</v>
      </c>
      <c r="D17" s="66">
        <v>3</v>
      </c>
      <c r="E17" s="66">
        <v>1200</v>
      </c>
      <c r="F17" s="70">
        <f>(D17*E17)</f>
        <v>3600</v>
      </c>
      <c r="G17" s="66" t="s">
        <v>70</v>
      </c>
      <c r="H17" s="67" t="s">
        <v>34</v>
      </c>
      <c r="I17" s="66">
        <v>6</v>
      </c>
      <c r="J17" s="71">
        <v>2469.6</v>
      </c>
      <c r="K17" s="66">
        <f>(I17*J17)</f>
        <v>14817.599999999999</v>
      </c>
      <c r="L17" s="72"/>
      <c r="M17" s="72"/>
      <c r="N17" s="72"/>
      <c r="O17" s="72"/>
      <c r="P17" s="72"/>
      <c r="Q17" s="72"/>
      <c r="R17" s="72"/>
      <c r="S17" s="72"/>
      <c r="T17" s="72"/>
      <c r="U17" s="73"/>
    </row>
    <row r="18" spans="1:21" ht="15.75" x14ac:dyDescent="0.25">
      <c r="A18" s="72"/>
      <c r="B18" s="66" t="s">
        <v>57</v>
      </c>
      <c r="C18" s="66" t="s">
        <v>54</v>
      </c>
      <c r="D18" s="66">
        <v>4</v>
      </c>
      <c r="E18" s="66">
        <v>900</v>
      </c>
      <c r="F18" s="70">
        <f>(D18*E18)</f>
        <v>3600</v>
      </c>
      <c r="G18" s="66"/>
      <c r="H18" s="67"/>
      <c r="I18" s="66">
        <v>0</v>
      </c>
      <c r="J18" s="72"/>
      <c r="K18" s="72"/>
      <c r="L18" s="72"/>
      <c r="M18" s="72"/>
      <c r="N18" s="72"/>
      <c r="O18" s="72"/>
      <c r="P18" s="72"/>
      <c r="Q18" s="72"/>
      <c r="R18" s="72"/>
      <c r="S18" s="72"/>
      <c r="T18" s="72"/>
      <c r="U18" s="73"/>
    </row>
    <row r="19" spans="1:21" ht="15.75" x14ac:dyDescent="0.25">
      <c r="A19" s="117" t="s">
        <v>58</v>
      </c>
      <c r="B19" s="118"/>
      <c r="C19" s="118"/>
      <c r="D19" s="118"/>
      <c r="E19" s="119"/>
      <c r="F19" s="70">
        <f>SUM(F16:F18)</f>
        <v>7200</v>
      </c>
      <c r="G19" s="117" t="s">
        <v>59</v>
      </c>
      <c r="H19" s="118"/>
      <c r="I19" s="118"/>
      <c r="J19" s="119"/>
      <c r="K19" s="70">
        <f>SUM(K16:K18)</f>
        <v>14817.599999999999</v>
      </c>
      <c r="L19" s="117" t="s">
        <v>60</v>
      </c>
      <c r="M19" s="118"/>
      <c r="N19" s="118"/>
      <c r="O19" s="119"/>
      <c r="P19" s="70">
        <f>SUM(P16:P18)</f>
        <v>0</v>
      </c>
      <c r="Q19" s="117" t="s">
        <v>61</v>
      </c>
      <c r="R19" s="118"/>
      <c r="S19" s="118"/>
      <c r="T19" s="119"/>
      <c r="U19" s="74">
        <f>SUM(U16:U18)</f>
        <v>0</v>
      </c>
    </row>
    <row r="20" spans="1:21" ht="15.75" x14ac:dyDescent="0.25">
      <c r="A20" s="117" t="s">
        <v>62</v>
      </c>
      <c r="B20" s="118"/>
      <c r="C20" s="118"/>
      <c r="D20" s="118"/>
      <c r="E20" s="119"/>
      <c r="F20" s="70">
        <f>SUM(F19+K19+P19)</f>
        <v>22017.599999999999</v>
      </c>
      <c r="G20" s="117" t="s">
        <v>63</v>
      </c>
      <c r="H20" s="118"/>
      <c r="I20" s="118"/>
      <c r="J20" s="119"/>
      <c r="K20" s="70">
        <f>SUM(F19+K19+P19+U19)</f>
        <v>22017.599999999999</v>
      </c>
      <c r="L20" s="117" t="s">
        <v>64</v>
      </c>
      <c r="M20" s="118"/>
      <c r="N20" s="118"/>
      <c r="O20" s="119"/>
      <c r="P20" s="70">
        <f>SUM(K20*0.15)</f>
        <v>3302.64</v>
      </c>
      <c r="Q20" s="117" t="s">
        <v>65</v>
      </c>
      <c r="R20" s="118"/>
      <c r="S20" s="118"/>
      <c r="T20" s="119"/>
      <c r="U20" s="74">
        <f>SUM(K20+P20)</f>
        <v>25320.239999999998</v>
      </c>
    </row>
    <row r="21" spans="1:21" ht="15.75" x14ac:dyDescent="0.25">
      <c r="A21" s="72"/>
      <c r="B21" s="72"/>
      <c r="C21" s="72"/>
      <c r="D21" s="72"/>
      <c r="E21" s="72"/>
      <c r="F21" s="72"/>
      <c r="G21" s="72"/>
      <c r="H21" s="75"/>
      <c r="I21" s="72"/>
      <c r="J21" s="72"/>
      <c r="K21" s="72"/>
      <c r="L21" s="72"/>
      <c r="M21" s="72"/>
      <c r="N21" s="72"/>
      <c r="O21" s="72"/>
      <c r="P21" s="72"/>
      <c r="Q21" s="117" t="s">
        <v>66</v>
      </c>
      <c r="R21" s="118"/>
      <c r="S21" s="118"/>
      <c r="T21" s="119"/>
      <c r="U21" s="76">
        <f>ROUND((U20/5),2)</f>
        <v>5064.05</v>
      </c>
    </row>
    <row r="22" spans="1:21" ht="15.75" x14ac:dyDescent="0.25">
      <c r="A22" s="72"/>
      <c r="B22" s="72"/>
      <c r="C22" s="72"/>
      <c r="D22" s="72"/>
      <c r="E22" s="72"/>
      <c r="F22" s="72"/>
      <c r="G22" s="72"/>
      <c r="H22" s="75"/>
      <c r="I22" s="72"/>
      <c r="J22" s="72"/>
      <c r="K22" s="72"/>
      <c r="L22" s="72"/>
      <c r="M22" s="72"/>
      <c r="N22" s="72"/>
      <c r="O22" s="72"/>
      <c r="P22" s="72"/>
      <c r="Q22" s="77"/>
      <c r="R22" s="78"/>
      <c r="S22" s="78"/>
      <c r="T22" s="79"/>
      <c r="U22" s="76"/>
    </row>
    <row r="24" spans="1:21" x14ac:dyDescent="0.25">
      <c r="A24" s="148" t="s">
        <v>43</v>
      </c>
      <c r="B24" s="148"/>
      <c r="C24" s="149" t="s">
        <v>37</v>
      </c>
      <c r="D24" s="149"/>
      <c r="E24" s="149"/>
      <c r="F24" s="149"/>
      <c r="G24" s="149"/>
      <c r="H24" s="149"/>
      <c r="I24" s="149"/>
      <c r="J24" s="149"/>
      <c r="K24" s="149"/>
      <c r="L24" s="149"/>
      <c r="M24" s="149"/>
      <c r="N24" s="149"/>
      <c r="O24" s="149"/>
      <c r="P24" s="149"/>
      <c r="Q24" s="149"/>
      <c r="R24" s="149"/>
      <c r="S24" s="149"/>
      <c r="T24" s="149"/>
      <c r="U24" s="144" t="s">
        <v>71</v>
      </c>
    </row>
    <row r="25" spans="1:21" x14ac:dyDescent="0.25">
      <c r="A25" s="148"/>
      <c r="B25" s="148"/>
      <c r="C25" s="149"/>
      <c r="D25" s="149"/>
      <c r="E25" s="149"/>
      <c r="F25" s="149"/>
      <c r="G25" s="149"/>
      <c r="H25" s="149"/>
      <c r="I25" s="149"/>
      <c r="J25" s="149"/>
      <c r="K25" s="149"/>
      <c r="L25" s="149"/>
      <c r="M25" s="149"/>
      <c r="N25" s="149"/>
      <c r="O25" s="149"/>
      <c r="P25" s="149"/>
      <c r="Q25" s="149"/>
      <c r="R25" s="149"/>
      <c r="S25" s="149"/>
      <c r="T25" s="149"/>
      <c r="U25" s="144"/>
    </row>
    <row r="26" spans="1:21" ht="15.75" x14ac:dyDescent="0.25">
      <c r="A26" s="145" t="s">
        <v>72</v>
      </c>
      <c r="B26" s="145"/>
      <c r="C26" s="149"/>
      <c r="D26" s="149"/>
      <c r="E26" s="149"/>
      <c r="F26" s="149"/>
      <c r="G26" s="149"/>
      <c r="H26" s="149"/>
      <c r="I26" s="149"/>
      <c r="J26" s="149"/>
      <c r="K26" s="149"/>
      <c r="L26" s="149"/>
      <c r="M26" s="149"/>
      <c r="N26" s="149"/>
      <c r="O26" s="149"/>
      <c r="P26" s="149"/>
      <c r="Q26" s="149"/>
      <c r="R26" s="149"/>
      <c r="S26" s="149"/>
      <c r="T26" s="149"/>
      <c r="U26" s="144"/>
    </row>
    <row r="27" spans="1:21" ht="15.75" x14ac:dyDescent="0.25">
      <c r="A27" s="146" t="s">
        <v>46</v>
      </c>
      <c r="B27" s="147" t="s">
        <v>47</v>
      </c>
      <c r="C27" s="147"/>
      <c r="D27" s="147"/>
      <c r="E27" s="147"/>
      <c r="F27" s="147"/>
      <c r="G27" s="147" t="s">
        <v>48</v>
      </c>
      <c r="H27" s="147"/>
      <c r="I27" s="147"/>
      <c r="J27" s="147"/>
      <c r="K27" s="147"/>
      <c r="L27" s="147" t="s">
        <v>49</v>
      </c>
      <c r="M27" s="147"/>
      <c r="N27" s="147"/>
      <c r="O27" s="147"/>
      <c r="P27" s="147"/>
      <c r="Q27" s="147" t="s">
        <v>50</v>
      </c>
      <c r="R27" s="147"/>
      <c r="S27" s="147"/>
      <c r="T27" s="147"/>
      <c r="U27" s="147"/>
    </row>
    <row r="28" spans="1:21" ht="15.75" x14ac:dyDescent="0.25">
      <c r="A28" s="146"/>
      <c r="B28" s="49" t="s">
        <v>51</v>
      </c>
      <c r="C28" s="49" t="s">
        <v>12</v>
      </c>
      <c r="D28" s="49" t="s">
        <v>11</v>
      </c>
      <c r="E28" s="49" t="s">
        <v>13</v>
      </c>
      <c r="F28" s="49" t="s">
        <v>14</v>
      </c>
      <c r="G28" s="49" t="s">
        <v>51</v>
      </c>
      <c r="H28" s="50" t="s">
        <v>12</v>
      </c>
      <c r="I28" s="49" t="s">
        <v>11</v>
      </c>
      <c r="J28" s="49" t="s">
        <v>13</v>
      </c>
      <c r="K28" s="49" t="s">
        <v>14</v>
      </c>
      <c r="L28" s="49" t="s">
        <v>51</v>
      </c>
      <c r="M28" s="49" t="s">
        <v>12</v>
      </c>
      <c r="N28" s="49" t="s">
        <v>11</v>
      </c>
      <c r="O28" s="49" t="s">
        <v>13</v>
      </c>
      <c r="P28" s="49" t="s">
        <v>14</v>
      </c>
      <c r="Q28" s="49" t="s">
        <v>51</v>
      </c>
      <c r="R28" s="49" t="s">
        <v>12</v>
      </c>
      <c r="S28" s="49" t="s">
        <v>11</v>
      </c>
      <c r="T28" s="49" t="s">
        <v>13</v>
      </c>
      <c r="U28" s="51" t="s">
        <v>14</v>
      </c>
    </row>
    <row r="29" spans="1:21" ht="173.25" x14ac:dyDescent="0.25">
      <c r="A29" s="52" t="s">
        <v>73</v>
      </c>
      <c r="B29" s="49" t="s">
        <v>53</v>
      </c>
      <c r="C29" s="49" t="s">
        <v>54</v>
      </c>
      <c r="D29" s="49">
        <v>3</v>
      </c>
      <c r="E29" s="49">
        <v>1200</v>
      </c>
      <c r="F29" s="53">
        <f>(D29*E29)</f>
        <v>3600</v>
      </c>
      <c r="G29" s="49" t="s">
        <v>42</v>
      </c>
      <c r="H29" s="50" t="s">
        <v>40</v>
      </c>
      <c r="I29" s="49">
        <v>4.13</v>
      </c>
      <c r="J29" s="49">
        <v>14231</v>
      </c>
      <c r="K29" s="49">
        <f t="shared" ref="K29:K34" si="0">(I29*J29)</f>
        <v>58774.03</v>
      </c>
      <c r="L29" s="49" t="s">
        <v>74</v>
      </c>
      <c r="M29" s="49" t="s">
        <v>56</v>
      </c>
      <c r="N29" s="49">
        <v>6</v>
      </c>
      <c r="O29" s="49">
        <v>293</v>
      </c>
      <c r="P29" s="53">
        <f>(N29*O29)</f>
        <v>1758</v>
      </c>
      <c r="Q29" s="49" t="s">
        <v>75</v>
      </c>
      <c r="R29" s="49"/>
      <c r="S29" s="45"/>
      <c r="T29" s="45"/>
      <c r="U29" s="54">
        <f>F36*4/100</f>
        <v>6419.06664</v>
      </c>
    </row>
    <row r="30" spans="1:21" ht="31.5" x14ac:dyDescent="0.25">
      <c r="A30" s="45"/>
      <c r="B30" s="49" t="s">
        <v>57</v>
      </c>
      <c r="C30" s="49" t="s">
        <v>54</v>
      </c>
      <c r="D30" s="49">
        <v>30</v>
      </c>
      <c r="E30" s="49">
        <v>900</v>
      </c>
      <c r="F30" s="53">
        <f>(D30*E30)</f>
        <v>27000</v>
      </c>
      <c r="G30" s="49" t="s">
        <v>76</v>
      </c>
      <c r="H30" s="50" t="s">
        <v>34</v>
      </c>
      <c r="I30" s="49">
        <v>6.75</v>
      </c>
      <c r="J30" s="49">
        <v>2504.88</v>
      </c>
      <c r="K30" s="49">
        <f t="shared" si="0"/>
        <v>16907.940000000002</v>
      </c>
      <c r="L30" s="49" t="s">
        <v>77</v>
      </c>
      <c r="M30" s="49" t="s">
        <v>56</v>
      </c>
      <c r="N30" s="49">
        <v>6</v>
      </c>
      <c r="O30" s="49">
        <v>841</v>
      </c>
      <c r="P30" s="53">
        <f>(N30*O30)</f>
        <v>5046</v>
      </c>
      <c r="Q30" s="45"/>
      <c r="R30" s="45"/>
      <c r="S30" s="45"/>
      <c r="T30" s="45"/>
      <c r="U30" s="44"/>
    </row>
    <row r="31" spans="1:21" ht="31.5" x14ac:dyDescent="0.25">
      <c r="A31" s="45"/>
      <c r="B31" s="45"/>
      <c r="C31" s="45"/>
      <c r="D31" s="45"/>
      <c r="E31" s="45"/>
      <c r="F31" s="45"/>
      <c r="G31" s="49" t="s">
        <v>78</v>
      </c>
      <c r="H31" s="50" t="s">
        <v>34</v>
      </c>
      <c r="I31" s="49">
        <v>8.1</v>
      </c>
      <c r="J31" s="49">
        <v>3457.44</v>
      </c>
      <c r="K31" s="49">
        <f t="shared" si="0"/>
        <v>28005.263999999999</v>
      </c>
      <c r="L31" s="45"/>
      <c r="M31" s="45"/>
      <c r="N31" s="45"/>
      <c r="O31" s="45"/>
      <c r="P31" s="45"/>
      <c r="Q31" s="45"/>
      <c r="R31" s="45"/>
      <c r="S31" s="45"/>
      <c r="T31" s="45"/>
      <c r="U31" s="44"/>
    </row>
    <row r="32" spans="1:21" ht="31.5" x14ac:dyDescent="0.25">
      <c r="A32" s="45"/>
      <c r="B32" s="45"/>
      <c r="C32" s="45"/>
      <c r="D32" s="45"/>
      <c r="E32" s="45"/>
      <c r="F32" s="45"/>
      <c r="G32" s="49" t="s">
        <v>79</v>
      </c>
      <c r="H32" s="50" t="s">
        <v>34</v>
      </c>
      <c r="I32" s="49">
        <v>4.05</v>
      </c>
      <c r="J32" s="49">
        <v>3598.56</v>
      </c>
      <c r="K32" s="49">
        <f t="shared" si="0"/>
        <v>14574.168</v>
      </c>
      <c r="L32" s="45"/>
      <c r="M32" s="45"/>
      <c r="N32" s="45"/>
      <c r="O32" s="45"/>
      <c r="P32" s="45"/>
      <c r="Q32" s="45"/>
      <c r="R32" s="45"/>
      <c r="S32" s="45"/>
      <c r="T32" s="45"/>
      <c r="U32" s="44"/>
    </row>
    <row r="33" spans="1:21" ht="31.5" x14ac:dyDescent="0.25">
      <c r="A33" s="45"/>
      <c r="B33" s="45"/>
      <c r="C33" s="45"/>
      <c r="D33" s="45"/>
      <c r="E33" s="45"/>
      <c r="F33" s="45"/>
      <c r="G33" s="49" t="s">
        <v>80</v>
      </c>
      <c r="H33" s="50" t="s">
        <v>34</v>
      </c>
      <c r="I33" s="49">
        <v>1.35</v>
      </c>
      <c r="J33" s="49">
        <v>3104.6400000000003</v>
      </c>
      <c r="K33" s="49">
        <f t="shared" si="0"/>
        <v>4191.264000000001</v>
      </c>
      <c r="L33" s="45"/>
      <c r="M33" s="45"/>
      <c r="N33" s="45"/>
      <c r="O33" s="45"/>
      <c r="P33" s="45"/>
      <c r="Q33" s="45"/>
      <c r="R33" s="45"/>
      <c r="S33" s="45"/>
      <c r="T33" s="45"/>
      <c r="U33" s="44"/>
    </row>
    <row r="34" spans="1:21" ht="15.75" x14ac:dyDescent="0.25">
      <c r="A34" s="45"/>
      <c r="B34" s="45"/>
      <c r="C34" s="45"/>
      <c r="D34" s="45"/>
      <c r="E34" s="45"/>
      <c r="F34" s="45"/>
      <c r="G34" s="49" t="s">
        <v>81</v>
      </c>
      <c r="H34" s="50" t="s">
        <v>82</v>
      </c>
      <c r="I34" s="49">
        <v>2</v>
      </c>
      <c r="J34" s="49">
        <v>310</v>
      </c>
      <c r="K34" s="49">
        <f t="shared" si="0"/>
        <v>620</v>
      </c>
      <c r="L34" s="45"/>
      <c r="M34" s="45"/>
      <c r="N34" s="45"/>
      <c r="O34" s="45"/>
      <c r="P34" s="45"/>
      <c r="Q34" s="45"/>
      <c r="R34" s="45"/>
      <c r="S34" s="45"/>
      <c r="T34" s="45"/>
      <c r="U34" s="44"/>
    </row>
    <row r="35" spans="1:21" ht="15.75" x14ac:dyDescent="0.25">
      <c r="A35" s="150" t="s">
        <v>58</v>
      </c>
      <c r="B35" s="150"/>
      <c r="C35" s="150"/>
      <c r="D35" s="150"/>
      <c r="E35" s="150"/>
      <c r="F35" s="53">
        <f>SUM(F28:F34)</f>
        <v>30600</v>
      </c>
      <c r="G35" s="150" t="s">
        <v>59</v>
      </c>
      <c r="H35" s="150"/>
      <c r="I35" s="150"/>
      <c r="J35" s="150"/>
      <c r="K35" s="53">
        <f>SUM(K28:K34)</f>
        <v>123072.666</v>
      </c>
      <c r="L35" s="150" t="s">
        <v>60</v>
      </c>
      <c r="M35" s="150"/>
      <c r="N35" s="150"/>
      <c r="O35" s="150"/>
      <c r="P35" s="53">
        <f>SUM(P28:P34)</f>
        <v>6804</v>
      </c>
      <c r="Q35" s="150" t="s">
        <v>61</v>
      </c>
      <c r="R35" s="150"/>
      <c r="S35" s="150"/>
      <c r="T35" s="150"/>
      <c r="U35" s="54">
        <f>SUM(U28:U34)</f>
        <v>6419.06664</v>
      </c>
    </row>
    <row r="36" spans="1:21" ht="15.75" x14ac:dyDescent="0.25">
      <c r="A36" s="150" t="s">
        <v>62</v>
      </c>
      <c r="B36" s="150"/>
      <c r="C36" s="150"/>
      <c r="D36" s="150"/>
      <c r="E36" s="150"/>
      <c r="F36" s="53">
        <f>SUM(F35+K35+P35)</f>
        <v>160476.666</v>
      </c>
      <c r="G36" s="150" t="s">
        <v>63</v>
      </c>
      <c r="H36" s="150"/>
      <c r="I36" s="150"/>
      <c r="J36" s="150"/>
      <c r="K36" s="53">
        <f>SUM(F35+K35+P35+U35)</f>
        <v>166895.73264</v>
      </c>
      <c r="L36" s="150" t="s">
        <v>64</v>
      </c>
      <c r="M36" s="150"/>
      <c r="N36" s="150"/>
      <c r="O36" s="150"/>
      <c r="P36" s="53">
        <f>SUM(K36*0.15)</f>
        <v>25034.359895999998</v>
      </c>
      <c r="Q36" s="150" t="s">
        <v>65</v>
      </c>
      <c r="R36" s="150"/>
      <c r="S36" s="150"/>
      <c r="T36" s="150"/>
      <c r="U36" s="54">
        <f>SUM(K36+P36)</f>
        <v>191930.09253600001</v>
      </c>
    </row>
    <row r="37" spans="1:21" ht="15.75" x14ac:dyDescent="0.25">
      <c r="A37" s="45"/>
      <c r="B37" s="45"/>
      <c r="C37" s="45"/>
      <c r="D37" s="45"/>
      <c r="E37" s="45"/>
      <c r="F37" s="45"/>
      <c r="G37" s="45"/>
      <c r="H37" s="46"/>
      <c r="I37" s="45"/>
      <c r="J37" s="45"/>
      <c r="K37" s="45"/>
      <c r="L37" s="45"/>
      <c r="M37" s="45"/>
      <c r="N37" s="45"/>
      <c r="O37" s="45"/>
      <c r="P37" s="45"/>
      <c r="Q37" s="150" t="s">
        <v>66</v>
      </c>
      <c r="R37" s="150"/>
      <c r="S37" s="150"/>
      <c r="T37" s="150"/>
      <c r="U37" s="55">
        <f>ROUND((U36/15),2)</f>
        <v>12795.34</v>
      </c>
    </row>
    <row r="38" spans="1:21" ht="15.75" x14ac:dyDescent="0.25">
      <c r="A38" s="151"/>
      <c r="B38" s="151"/>
      <c r="C38" s="151"/>
      <c r="D38" s="151"/>
      <c r="E38" s="151"/>
      <c r="F38" s="151"/>
      <c r="G38" s="151"/>
      <c r="H38" s="151"/>
      <c r="I38" s="151"/>
      <c r="J38" s="151"/>
      <c r="K38" s="151"/>
      <c r="L38" s="151"/>
      <c r="M38" s="151"/>
      <c r="N38" s="151"/>
      <c r="O38" s="151"/>
      <c r="P38" s="151"/>
      <c r="Q38" s="151"/>
      <c r="R38" s="151"/>
      <c r="S38" s="151"/>
      <c r="T38" s="151"/>
      <c r="U38" s="151"/>
    </row>
    <row r="40" spans="1:21" x14ac:dyDescent="0.25">
      <c r="A40" s="148" t="s">
        <v>43</v>
      </c>
      <c r="B40" s="148"/>
      <c r="C40" s="149" t="s">
        <v>38</v>
      </c>
      <c r="D40" s="149"/>
      <c r="E40" s="149"/>
      <c r="F40" s="149"/>
      <c r="G40" s="149"/>
      <c r="H40" s="149"/>
      <c r="I40" s="149"/>
      <c r="J40" s="149"/>
      <c r="K40" s="149"/>
      <c r="L40" s="149"/>
      <c r="M40" s="149"/>
      <c r="N40" s="149"/>
      <c r="O40" s="149"/>
      <c r="P40" s="149"/>
      <c r="Q40" s="149"/>
      <c r="R40" s="149"/>
      <c r="S40" s="149"/>
      <c r="T40" s="149"/>
      <c r="U40" s="144" t="s">
        <v>71</v>
      </c>
    </row>
    <row r="41" spans="1:21" x14ac:dyDescent="0.25">
      <c r="A41" s="148"/>
      <c r="B41" s="148"/>
      <c r="C41" s="149"/>
      <c r="D41" s="149"/>
      <c r="E41" s="149"/>
      <c r="F41" s="149"/>
      <c r="G41" s="149"/>
      <c r="H41" s="149"/>
      <c r="I41" s="149"/>
      <c r="J41" s="149"/>
      <c r="K41" s="149"/>
      <c r="L41" s="149"/>
      <c r="M41" s="149"/>
      <c r="N41" s="149"/>
      <c r="O41" s="149"/>
      <c r="P41" s="149"/>
      <c r="Q41" s="149"/>
      <c r="R41" s="149"/>
      <c r="S41" s="149"/>
      <c r="T41" s="149"/>
      <c r="U41" s="144"/>
    </row>
    <row r="42" spans="1:21" ht="15.75" x14ac:dyDescent="0.25">
      <c r="A42" s="145" t="s">
        <v>72</v>
      </c>
      <c r="B42" s="145"/>
      <c r="C42" s="149"/>
      <c r="D42" s="149"/>
      <c r="E42" s="149"/>
      <c r="F42" s="149"/>
      <c r="G42" s="149"/>
      <c r="H42" s="149"/>
      <c r="I42" s="149"/>
      <c r="J42" s="149"/>
      <c r="K42" s="149"/>
      <c r="L42" s="149"/>
      <c r="M42" s="149"/>
      <c r="N42" s="149"/>
      <c r="O42" s="149"/>
      <c r="P42" s="149"/>
      <c r="Q42" s="149"/>
      <c r="R42" s="149"/>
      <c r="S42" s="149"/>
      <c r="T42" s="149"/>
      <c r="U42" s="144"/>
    </row>
    <row r="43" spans="1:21" ht="15.75" x14ac:dyDescent="0.25">
      <c r="A43" s="146" t="s">
        <v>46</v>
      </c>
      <c r="B43" s="147" t="s">
        <v>47</v>
      </c>
      <c r="C43" s="147"/>
      <c r="D43" s="147"/>
      <c r="E43" s="147"/>
      <c r="F43" s="147"/>
      <c r="G43" s="147" t="s">
        <v>48</v>
      </c>
      <c r="H43" s="147"/>
      <c r="I43" s="147"/>
      <c r="J43" s="147"/>
      <c r="K43" s="147"/>
      <c r="L43" s="147" t="s">
        <v>49</v>
      </c>
      <c r="M43" s="147"/>
      <c r="N43" s="147"/>
      <c r="O43" s="147"/>
      <c r="P43" s="147"/>
      <c r="Q43" s="147" t="s">
        <v>50</v>
      </c>
      <c r="R43" s="147"/>
      <c r="S43" s="147"/>
      <c r="T43" s="147"/>
      <c r="U43" s="147"/>
    </row>
    <row r="44" spans="1:21" ht="15.75" x14ac:dyDescent="0.25">
      <c r="A44" s="146"/>
      <c r="B44" s="49" t="s">
        <v>51</v>
      </c>
      <c r="C44" s="49" t="s">
        <v>12</v>
      </c>
      <c r="D44" s="49" t="s">
        <v>11</v>
      </c>
      <c r="E44" s="49" t="s">
        <v>13</v>
      </c>
      <c r="F44" s="49" t="s">
        <v>14</v>
      </c>
      <c r="G44" s="49" t="s">
        <v>51</v>
      </c>
      <c r="H44" s="50" t="s">
        <v>12</v>
      </c>
      <c r="I44" s="49" t="s">
        <v>11</v>
      </c>
      <c r="J44" s="49" t="s">
        <v>13</v>
      </c>
      <c r="K44" s="49" t="s">
        <v>14</v>
      </c>
      <c r="L44" s="49" t="s">
        <v>51</v>
      </c>
      <c r="M44" s="49" t="s">
        <v>12</v>
      </c>
      <c r="N44" s="49" t="s">
        <v>11</v>
      </c>
      <c r="O44" s="49" t="s">
        <v>13</v>
      </c>
      <c r="P44" s="49" t="s">
        <v>14</v>
      </c>
      <c r="Q44" s="49" t="s">
        <v>51</v>
      </c>
      <c r="R44" s="49" t="s">
        <v>12</v>
      </c>
      <c r="S44" s="49" t="s">
        <v>11</v>
      </c>
      <c r="T44" s="49" t="s">
        <v>13</v>
      </c>
      <c r="U44" s="51" t="s">
        <v>14</v>
      </c>
    </row>
    <row r="45" spans="1:21" ht="47.25" x14ac:dyDescent="0.25">
      <c r="A45" s="52" t="s">
        <v>83</v>
      </c>
      <c r="B45" s="49" t="s">
        <v>53</v>
      </c>
      <c r="C45" s="49" t="s">
        <v>54</v>
      </c>
      <c r="D45" s="49">
        <v>3</v>
      </c>
      <c r="E45" s="49">
        <v>1200</v>
      </c>
      <c r="F45" s="53">
        <f>(D45*E45)</f>
        <v>3600</v>
      </c>
      <c r="G45" s="49" t="s">
        <v>42</v>
      </c>
      <c r="H45" s="50" t="s">
        <v>40</v>
      </c>
      <c r="I45" s="49">
        <v>5.21</v>
      </c>
      <c r="J45" s="49">
        <v>14231</v>
      </c>
      <c r="K45" s="49">
        <f>(I45*J45)</f>
        <v>74143.509999999995</v>
      </c>
      <c r="L45" s="49" t="s">
        <v>74</v>
      </c>
      <c r="M45" s="49" t="s">
        <v>56</v>
      </c>
      <c r="N45" s="49">
        <v>6</v>
      </c>
      <c r="O45" s="49">
        <v>293</v>
      </c>
      <c r="P45" s="53">
        <f>(N45*O45)</f>
        <v>1758</v>
      </c>
      <c r="Q45" s="49" t="s">
        <v>84</v>
      </c>
      <c r="R45" s="49"/>
      <c r="S45" s="45"/>
      <c r="T45" s="45"/>
      <c r="U45" s="54">
        <f>F51*4/100</f>
        <v>7005.7536799999998</v>
      </c>
    </row>
    <row r="46" spans="1:21" ht="31.5" x14ac:dyDescent="0.25">
      <c r="A46" s="45"/>
      <c r="B46" s="49" t="s">
        <v>57</v>
      </c>
      <c r="C46" s="49" t="s">
        <v>54</v>
      </c>
      <c r="D46" s="49">
        <v>30</v>
      </c>
      <c r="E46" s="49">
        <v>900</v>
      </c>
      <c r="F46" s="53">
        <f>(D46*E46)</f>
        <v>27000</v>
      </c>
      <c r="G46" s="49" t="s">
        <v>76</v>
      </c>
      <c r="H46" s="50" t="s">
        <v>34</v>
      </c>
      <c r="I46" s="49">
        <v>6.75</v>
      </c>
      <c r="J46" s="49">
        <v>2504.88</v>
      </c>
      <c r="K46" s="49">
        <f>(I46*J46)</f>
        <v>16907.940000000002</v>
      </c>
      <c r="L46" s="49" t="s">
        <v>77</v>
      </c>
      <c r="M46" s="49" t="s">
        <v>56</v>
      </c>
      <c r="N46" s="49">
        <v>6</v>
      </c>
      <c r="O46" s="49">
        <v>841</v>
      </c>
      <c r="P46" s="53">
        <f>(N46*O46)</f>
        <v>5046</v>
      </c>
      <c r="Q46" s="45"/>
      <c r="R46" s="45"/>
      <c r="S46" s="45"/>
      <c r="T46" s="45"/>
      <c r="U46" s="44"/>
    </row>
    <row r="47" spans="1:21" ht="31.5" x14ac:dyDescent="0.25">
      <c r="A47" s="45"/>
      <c r="B47" s="45"/>
      <c r="C47" s="45"/>
      <c r="D47" s="45"/>
      <c r="E47" s="45"/>
      <c r="F47" s="45"/>
      <c r="G47" s="49" t="s">
        <v>79</v>
      </c>
      <c r="H47" s="50" t="s">
        <v>34</v>
      </c>
      <c r="I47" s="49">
        <v>8.1</v>
      </c>
      <c r="J47" s="49">
        <v>3598.56</v>
      </c>
      <c r="K47" s="49">
        <f>(I47*J47)</f>
        <v>29148.335999999999</v>
      </c>
      <c r="L47" s="45"/>
      <c r="M47" s="45"/>
      <c r="N47" s="45"/>
      <c r="O47" s="45"/>
      <c r="P47" s="45"/>
      <c r="Q47" s="45"/>
      <c r="R47" s="45"/>
      <c r="S47" s="45"/>
      <c r="T47" s="45"/>
      <c r="U47" s="44"/>
    </row>
    <row r="48" spans="1:21" ht="31.5" x14ac:dyDescent="0.25">
      <c r="A48" s="45"/>
      <c r="B48" s="45"/>
      <c r="C48" s="45"/>
      <c r="D48" s="45"/>
      <c r="E48" s="45"/>
      <c r="F48" s="45"/>
      <c r="G48" s="49" t="s">
        <v>80</v>
      </c>
      <c r="H48" s="50" t="s">
        <v>34</v>
      </c>
      <c r="I48" s="49">
        <v>5.4</v>
      </c>
      <c r="J48" s="49">
        <v>3104.6400000000003</v>
      </c>
      <c r="K48" s="49">
        <f>(I48*J48)</f>
        <v>16765.056000000004</v>
      </c>
      <c r="L48" s="45"/>
      <c r="M48" s="45"/>
      <c r="N48" s="45"/>
      <c r="O48" s="45"/>
      <c r="P48" s="45"/>
      <c r="Q48" s="45"/>
      <c r="R48" s="45"/>
      <c r="S48" s="45"/>
      <c r="T48" s="45"/>
      <c r="U48" s="44"/>
    </row>
    <row r="49" spans="1:21" ht="15.75" x14ac:dyDescent="0.25">
      <c r="A49" s="45"/>
      <c r="B49" s="45"/>
      <c r="C49" s="45"/>
      <c r="D49" s="45"/>
      <c r="E49" s="45"/>
      <c r="F49" s="45"/>
      <c r="G49" s="49" t="s">
        <v>81</v>
      </c>
      <c r="H49" s="50" t="s">
        <v>82</v>
      </c>
      <c r="I49" s="49">
        <v>2.5</v>
      </c>
      <c r="J49" s="49">
        <v>310</v>
      </c>
      <c r="K49" s="49">
        <f>(I49*J49)</f>
        <v>775</v>
      </c>
      <c r="L49" s="45"/>
      <c r="M49" s="45"/>
      <c r="N49" s="45"/>
      <c r="O49" s="45"/>
      <c r="P49" s="45"/>
      <c r="Q49" s="45"/>
      <c r="R49" s="45"/>
      <c r="S49" s="45"/>
      <c r="T49" s="45"/>
      <c r="U49" s="44"/>
    </row>
    <row r="50" spans="1:21" ht="15.75" x14ac:dyDescent="0.25">
      <c r="A50" s="150" t="s">
        <v>58</v>
      </c>
      <c r="B50" s="150"/>
      <c r="C50" s="150"/>
      <c r="D50" s="150"/>
      <c r="E50" s="150"/>
      <c r="F50" s="53">
        <f>SUM(F44:F49)</f>
        <v>30600</v>
      </c>
      <c r="G50" s="150" t="s">
        <v>59</v>
      </c>
      <c r="H50" s="150"/>
      <c r="I50" s="150"/>
      <c r="J50" s="150"/>
      <c r="K50" s="53">
        <f>SUM(K44:K49)</f>
        <v>137739.842</v>
      </c>
      <c r="L50" s="150" t="s">
        <v>60</v>
      </c>
      <c r="M50" s="150"/>
      <c r="N50" s="150"/>
      <c r="O50" s="150"/>
      <c r="P50" s="53">
        <f>SUM(P44:P49)</f>
        <v>6804</v>
      </c>
      <c r="Q50" s="150" t="s">
        <v>61</v>
      </c>
      <c r="R50" s="150"/>
      <c r="S50" s="150"/>
      <c r="T50" s="150"/>
      <c r="U50" s="54">
        <f>SUM(U44:U49)</f>
        <v>7005.7536799999998</v>
      </c>
    </row>
    <row r="51" spans="1:21" ht="15.75" x14ac:dyDescent="0.25">
      <c r="A51" s="150" t="s">
        <v>62</v>
      </c>
      <c r="B51" s="150"/>
      <c r="C51" s="150"/>
      <c r="D51" s="150"/>
      <c r="E51" s="150"/>
      <c r="F51" s="53">
        <f>SUM(F50+K50+P50)</f>
        <v>175143.842</v>
      </c>
      <c r="G51" s="150" t="s">
        <v>63</v>
      </c>
      <c r="H51" s="150"/>
      <c r="I51" s="150"/>
      <c r="J51" s="150"/>
      <c r="K51" s="53">
        <f>SUM(F50+K50+P50+U50)</f>
        <v>182149.59568</v>
      </c>
      <c r="L51" s="150" t="s">
        <v>64</v>
      </c>
      <c r="M51" s="150"/>
      <c r="N51" s="150"/>
      <c r="O51" s="150"/>
      <c r="P51" s="53">
        <f>SUM(K51*0.15)</f>
        <v>27322.439351999998</v>
      </c>
      <c r="Q51" s="150" t="s">
        <v>65</v>
      </c>
      <c r="R51" s="150"/>
      <c r="S51" s="150"/>
      <c r="T51" s="150"/>
      <c r="U51" s="54">
        <f>SUM(K51+P51)</f>
        <v>209472.03503199999</v>
      </c>
    </row>
    <row r="52" spans="1:21" ht="15.75" x14ac:dyDescent="0.25">
      <c r="A52" s="45"/>
      <c r="B52" s="45"/>
      <c r="C52" s="45"/>
      <c r="D52" s="45"/>
      <c r="E52" s="45"/>
      <c r="F52" s="45"/>
      <c r="G52" s="45"/>
      <c r="H52" s="46"/>
      <c r="I52" s="45"/>
      <c r="J52" s="45"/>
      <c r="K52" s="45"/>
      <c r="L52" s="45"/>
      <c r="M52" s="45"/>
      <c r="N52" s="45"/>
      <c r="O52" s="45"/>
      <c r="P52" s="45"/>
      <c r="Q52" s="150" t="s">
        <v>66</v>
      </c>
      <c r="R52" s="150"/>
      <c r="S52" s="150"/>
      <c r="T52" s="150"/>
      <c r="U52" s="55">
        <f>ROUND((U51/15),2)</f>
        <v>13964.8</v>
      </c>
    </row>
    <row r="54" spans="1:21" x14ac:dyDescent="0.25">
      <c r="A54" s="148" t="s">
        <v>43</v>
      </c>
      <c r="B54" s="148"/>
      <c r="C54" s="149" t="s">
        <v>39</v>
      </c>
      <c r="D54" s="149"/>
      <c r="E54" s="149"/>
      <c r="F54" s="149"/>
      <c r="G54" s="149"/>
      <c r="H54" s="149"/>
      <c r="I54" s="149"/>
      <c r="J54" s="149"/>
      <c r="K54" s="149"/>
      <c r="L54" s="149"/>
      <c r="M54" s="149"/>
      <c r="N54" s="149"/>
      <c r="O54" s="149"/>
      <c r="P54" s="149"/>
      <c r="Q54" s="149"/>
      <c r="R54" s="149"/>
      <c r="S54" s="149"/>
      <c r="T54" s="149"/>
      <c r="U54" s="144" t="s">
        <v>85</v>
      </c>
    </row>
    <row r="55" spans="1:21" x14ac:dyDescent="0.25">
      <c r="A55" s="148"/>
      <c r="B55" s="148"/>
      <c r="C55" s="149"/>
      <c r="D55" s="149"/>
      <c r="E55" s="149"/>
      <c r="F55" s="149"/>
      <c r="G55" s="149"/>
      <c r="H55" s="149"/>
      <c r="I55" s="149"/>
      <c r="J55" s="149"/>
      <c r="K55" s="149"/>
      <c r="L55" s="149"/>
      <c r="M55" s="149"/>
      <c r="N55" s="149"/>
      <c r="O55" s="149"/>
      <c r="P55" s="149"/>
      <c r="Q55" s="149"/>
      <c r="R55" s="149"/>
      <c r="S55" s="149"/>
      <c r="T55" s="149"/>
      <c r="U55" s="144"/>
    </row>
    <row r="56" spans="1:21" ht="15.75" x14ac:dyDescent="0.25">
      <c r="A56" s="145" t="s">
        <v>86</v>
      </c>
      <c r="B56" s="145"/>
      <c r="C56" s="149"/>
      <c r="D56" s="149"/>
      <c r="E56" s="149"/>
      <c r="F56" s="149"/>
      <c r="G56" s="149"/>
      <c r="H56" s="149"/>
      <c r="I56" s="149"/>
      <c r="J56" s="149"/>
      <c r="K56" s="149"/>
      <c r="L56" s="149"/>
      <c r="M56" s="149"/>
      <c r="N56" s="149"/>
      <c r="O56" s="149"/>
      <c r="P56" s="149"/>
      <c r="Q56" s="149"/>
      <c r="R56" s="149"/>
      <c r="S56" s="149"/>
      <c r="T56" s="149"/>
      <c r="U56" s="144"/>
    </row>
    <row r="57" spans="1:21" ht="15.75" x14ac:dyDescent="0.25">
      <c r="A57" s="146" t="s">
        <v>46</v>
      </c>
      <c r="B57" s="147" t="s">
        <v>47</v>
      </c>
      <c r="C57" s="147"/>
      <c r="D57" s="147"/>
      <c r="E57" s="147"/>
      <c r="F57" s="147"/>
      <c r="G57" s="147" t="s">
        <v>48</v>
      </c>
      <c r="H57" s="147"/>
      <c r="I57" s="147"/>
      <c r="J57" s="147"/>
      <c r="K57" s="147"/>
      <c r="L57" s="147" t="s">
        <v>49</v>
      </c>
      <c r="M57" s="147"/>
      <c r="N57" s="147"/>
      <c r="O57" s="147"/>
      <c r="P57" s="147"/>
      <c r="Q57" s="147" t="s">
        <v>50</v>
      </c>
      <c r="R57" s="147"/>
      <c r="S57" s="147"/>
      <c r="T57" s="147"/>
      <c r="U57" s="147"/>
    </row>
    <row r="58" spans="1:21" ht="15.75" x14ac:dyDescent="0.25">
      <c r="A58" s="146"/>
      <c r="B58" s="49" t="s">
        <v>51</v>
      </c>
      <c r="C58" s="49" t="s">
        <v>12</v>
      </c>
      <c r="D58" s="49" t="s">
        <v>11</v>
      </c>
      <c r="E58" s="49" t="s">
        <v>13</v>
      </c>
      <c r="F58" s="49" t="s">
        <v>14</v>
      </c>
      <c r="G58" s="49" t="s">
        <v>51</v>
      </c>
      <c r="H58" s="50" t="s">
        <v>12</v>
      </c>
      <c r="I58" s="49" t="s">
        <v>11</v>
      </c>
      <c r="J58" s="49" t="s">
        <v>13</v>
      </c>
      <c r="K58" s="49" t="s">
        <v>14</v>
      </c>
      <c r="L58" s="49" t="s">
        <v>51</v>
      </c>
      <c r="M58" s="49" t="s">
        <v>12</v>
      </c>
      <c r="N58" s="49" t="s">
        <v>11</v>
      </c>
      <c r="O58" s="49" t="s">
        <v>13</v>
      </c>
      <c r="P58" s="49" t="s">
        <v>14</v>
      </c>
      <c r="Q58" s="49" t="s">
        <v>51</v>
      </c>
      <c r="R58" s="49" t="s">
        <v>12</v>
      </c>
      <c r="S58" s="49" t="s">
        <v>11</v>
      </c>
      <c r="T58" s="49" t="s">
        <v>13</v>
      </c>
      <c r="U58" s="51" t="s">
        <v>14</v>
      </c>
    </row>
    <row r="59" spans="1:21" ht="47.25" x14ac:dyDescent="0.25">
      <c r="A59" s="52" t="s">
        <v>87</v>
      </c>
      <c r="B59" s="49" t="s">
        <v>88</v>
      </c>
      <c r="C59" s="49" t="s">
        <v>54</v>
      </c>
      <c r="D59" s="49">
        <v>4</v>
      </c>
      <c r="E59" s="49">
        <v>1200</v>
      </c>
      <c r="F59" s="53">
        <f>(D59*E59)</f>
        <v>4800</v>
      </c>
      <c r="G59" s="49" t="s">
        <v>89</v>
      </c>
      <c r="H59" s="50" t="s">
        <v>40</v>
      </c>
      <c r="I59" s="49">
        <v>1.1000000000000001</v>
      </c>
      <c r="J59" s="49">
        <v>99000</v>
      </c>
      <c r="K59" s="49">
        <f>(I59*J59)</f>
        <v>108900.00000000001</v>
      </c>
      <c r="L59" s="45"/>
      <c r="M59" s="45"/>
      <c r="N59" s="45"/>
      <c r="O59" s="45"/>
      <c r="P59" s="45"/>
      <c r="Q59" s="45"/>
      <c r="R59" s="45"/>
      <c r="S59" s="45"/>
      <c r="T59" s="45"/>
      <c r="U59" s="44"/>
    </row>
    <row r="60" spans="1:21" ht="31.5" x14ac:dyDescent="0.25">
      <c r="A60" s="45"/>
      <c r="B60" s="49" t="s">
        <v>57</v>
      </c>
      <c r="C60" s="49" t="s">
        <v>54</v>
      </c>
      <c r="D60" s="49">
        <v>9</v>
      </c>
      <c r="E60" s="49">
        <v>900</v>
      </c>
      <c r="F60" s="53">
        <f>(D60*E60)</f>
        <v>8100</v>
      </c>
      <c r="G60" s="49" t="s">
        <v>90</v>
      </c>
      <c r="H60" s="50" t="s">
        <v>91</v>
      </c>
      <c r="I60" s="49">
        <v>8</v>
      </c>
      <c r="J60" s="49">
        <v>106</v>
      </c>
      <c r="K60" s="49">
        <f>(I60*J60)</f>
        <v>848</v>
      </c>
      <c r="L60" s="45"/>
      <c r="M60" s="45"/>
      <c r="N60" s="45"/>
      <c r="O60" s="45"/>
      <c r="P60" s="45"/>
      <c r="Q60" s="45"/>
      <c r="R60" s="45"/>
      <c r="S60" s="45"/>
      <c r="T60" s="45"/>
      <c r="U60" s="44"/>
    </row>
    <row r="61" spans="1:21" ht="15.75" x14ac:dyDescent="0.25">
      <c r="A61" s="150" t="s">
        <v>58</v>
      </c>
      <c r="B61" s="150"/>
      <c r="C61" s="150"/>
      <c r="D61" s="150"/>
      <c r="E61" s="150"/>
      <c r="F61" s="53">
        <f>SUM(F58:F60)</f>
        <v>12900</v>
      </c>
      <c r="G61" s="150" t="s">
        <v>59</v>
      </c>
      <c r="H61" s="150"/>
      <c r="I61" s="150"/>
      <c r="J61" s="150"/>
      <c r="K61" s="53">
        <f>SUM(K58:K60)</f>
        <v>109748.00000000001</v>
      </c>
      <c r="L61" s="150" t="s">
        <v>60</v>
      </c>
      <c r="M61" s="150"/>
      <c r="N61" s="150"/>
      <c r="O61" s="150"/>
      <c r="P61" s="53">
        <f>SUM(P58:P60)</f>
        <v>0</v>
      </c>
      <c r="Q61" s="150" t="s">
        <v>61</v>
      </c>
      <c r="R61" s="150"/>
      <c r="S61" s="150"/>
      <c r="T61" s="150"/>
      <c r="U61" s="54">
        <f>SUM(U58:U60)</f>
        <v>0</v>
      </c>
    </row>
    <row r="62" spans="1:21" ht="15.75" x14ac:dyDescent="0.25">
      <c r="A62" s="150" t="s">
        <v>62</v>
      </c>
      <c r="B62" s="150"/>
      <c r="C62" s="150"/>
      <c r="D62" s="150"/>
      <c r="E62" s="150"/>
      <c r="F62" s="53">
        <f>SUM(F61+K61+P61)</f>
        <v>122648.00000000001</v>
      </c>
      <c r="G62" s="150" t="s">
        <v>63</v>
      </c>
      <c r="H62" s="150"/>
      <c r="I62" s="150"/>
      <c r="J62" s="150"/>
      <c r="K62" s="53">
        <f>SUM(F61+K61+P61+U61)</f>
        <v>122648.00000000001</v>
      </c>
      <c r="L62" s="150" t="s">
        <v>64</v>
      </c>
      <c r="M62" s="150"/>
      <c r="N62" s="150"/>
      <c r="O62" s="150"/>
      <c r="P62" s="53">
        <f>SUM(K62*0.15)</f>
        <v>18397.2</v>
      </c>
      <c r="Q62" s="150" t="s">
        <v>65</v>
      </c>
      <c r="R62" s="150"/>
      <c r="S62" s="150"/>
      <c r="T62" s="150"/>
      <c r="U62" s="54">
        <f>SUM(K62+P62)</f>
        <v>141045.20000000001</v>
      </c>
    </row>
    <row r="63" spans="1:21" ht="15.75" x14ac:dyDescent="0.25">
      <c r="A63" s="45"/>
      <c r="B63" s="45"/>
      <c r="C63" s="45"/>
      <c r="D63" s="45"/>
      <c r="E63" s="45"/>
      <c r="F63" s="45"/>
      <c r="G63" s="45"/>
      <c r="H63" s="46"/>
      <c r="I63" s="45"/>
      <c r="J63" s="45"/>
      <c r="K63" s="45"/>
      <c r="L63" s="45"/>
      <c r="M63" s="45"/>
      <c r="N63" s="45"/>
      <c r="O63" s="45"/>
      <c r="P63" s="45"/>
      <c r="Q63" s="150" t="s">
        <v>66</v>
      </c>
      <c r="R63" s="150"/>
      <c r="S63" s="150"/>
      <c r="T63" s="150"/>
      <c r="U63" s="55">
        <f>ROUND((U62/1),2)</f>
        <v>141045.20000000001</v>
      </c>
    </row>
  </sheetData>
  <mergeCells count="92">
    <mergeCell ref="Q63:T63"/>
    <mergeCell ref="A61:E61"/>
    <mergeCell ref="G61:J61"/>
    <mergeCell ref="L61:O61"/>
    <mergeCell ref="Q61:T61"/>
    <mergeCell ref="A62:E62"/>
    <mergeCell ref="G62:J62"/>
    <mergeCell ref="L62:O62"/>
    <mergeCell ref="Q62:T62"/>
    <mergeCell ref="U54:U56"/>
    <mergeCell ref="A56:B56"/>
    <mergeCell ref="A57:A58"/>
    <mergeCell ref="B57:F57"/>
    <mergeCell ref="G57:K57"/>
    <mergeCell ref="L57:P57"/>
    <mergeCell ref="Q57:U57"/>
    <mergeCell ref="A54:B55"/>
    <mergeCell ref="C54:T56"/>
    <mergeCell ref="A51:E51"/>
    <mergeCell ref="G51:J51"/>
    <mergeCell ref="L51:O51"/>
    <mergeCell ref="Q51:T51"/>
    <mergeCell ref="Q52:T52"/>
    <mergeCell ref="A50:E50"/>
    <mergeCell ref="G50:J50"/>
    <mergeCell ref="L50:O50"/>
    <mergeCell ref="Q50:T50"/>
    <mergeCell ref="Q37:T37"/>
    <mergeCell ref="A38:U38"/>
    <mergeCell ref="A40:B41"/>
    <mergeCell ref="C40:T42"/>
    <mergeCell ref="U40:U42"/>
    <mergeCell ref="A42:B42"/>
    <mergeCell ref="A43:A44"/>
    <mergeCell ref="B43:F43"/>
    <mergeCell ref="G43:K43"/>
    <mergeCell ref="L43:P43"/>
    <mergeCell ref="Q43:U43"/>
    <mergeCell ref="A35:E35"/>
    <mergeCell ref="G35:J35"/>
    <mergeCell ref="L35:O35"/>
    <mergeCell ref="Q35:T35"/>
    <mergeCell ref="A36:E36"/>
    <mergeCell ref="G36:J36"/>
    <mergeCell ref="L36:O36"/>
    <mergeCell ref="Q36:T36"/>
    <mergeCell ref="U24:U26"/>
    <mergeCell ref="A26:B26"/>
    <mergeCell ref="A27:A28"/>
    <mergeCell ref="B27:F27"/>
    <mergeCell ref="G27:K27"/>
    <mergeCell ref="L27:P27"/>
    <mergeCell ref="Q27:U27"/>
    <mergeCell ref="A24:B25"/>
    <mergeCell ref="C24:T26"/>
    <mergeCell ref="A20:E20"/>
    <mergeCell ref="G20:J20"/>
    <mergeCell ref="L20:O20"/>
    <mergeCell ref="Q20:T20"/>
    <mergeCell ref="Q21:T21"/>
    <mergeCell ref="A19:E19"/>
    <mergeCell ref="G19:J19"/>
    <mergeCell ref="L19:O19"/>
    <mergeCell ref="Q19:T19"/>
    <mergeCell ref="Q10:T10"/>
    <mergeCell ref="A11:U11"/>
    <mergeCell ref="A12:B13"/>
    <mergeCell ref="C12:T14"/>
    <mergeCell ref="U12:U14"/>
    <mergeCell ref="A14:B14"/>
    <mergeCell ref="A15:A16"/>
    <mergeCell ref="B15:F15"/>
    <mergeCell ref="G15:K15"/>
    <mergeCell ref="L15:P15"/>
    <mergeCell ref="Q15:U15"/>
    <mergeCell ref="A8:E8"/>
    <mergeCell ref="G8:J8"/>
    <mergeCell ref="L8:O8"/>
    <mergeCell ref="Q8:T8"/>
    <mergeCell ref="A9:E9"/>
    <mergeCell ref="G9:J9"/>
    <mergeCell ref="L9:O9"/>
    <mergeCell ref="Q9:T9"/>
    <mergeCell ref="A1:B2"/>
    <mergeCell ref="C1:T3"/>
    <mergeCell ref="U1:U3"/>
    <mergeCell ref="A3:B3"/>
    <mergeCell ref="A4:A5"/>
    <mergeCell ref="B4:F4"/>
    <mergeCell ref="G4:K4"/>
    <mergeCell ref="L4:P4"/>
    <mergeCell ref="Q4:U4"/>
  </mergeCells>
  <conditionalFormatting sqref="A54:U63">
    <cfRule type="containsBlanks" dxfId="4" priority="1">
      <formula>LEN(TRIM(A54))=0</formula>
    </cfRule>
  </conditionalFormatting>
  <conditionalFormatting sqref="A1:U10">
    <cfRule type="containsBlanks" dxfId="3" priority="5">
      <formula>LEN(TRIM(A1))=0</formula>
    </cfRule>
  </conditionalFormatting>
  <conditionalFormatting sqref="A12:U22">
    <cfRule type="containsBlanks" dxfId="2" priority="4">
      <formula>LEN(TRIM(A12))=0</formula>
    </cfRule>
  </conditionalFormatting>
  <conditionalFormatting sqref="A24:U37">
    <cfRule type="containsBlanks" dxfId="1" priority="3">
      <formula>LEN(TRIM(A24))=0</formula>
    </cfRule>
  </conditionalFormatting>
  <conditionalFormatting sqref="A40:U52">
    <cfRule type="containsBlanks" dxfId="0" priority="2">
      <formula>LEN(TRIM(A40))=0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new</vt:lpstr>
      <vt:lpstr>WCR</vt:lpstr>
      <vt:lpstr>Sheet1</vt:lpstr>
      <vt:lpstr>new!Print_Area</vt:lpstr>
      <vt:lpstr>WCR!Print_Area</vt:lpstr>
      <vt:lpstr>new!Print_Titles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2024-06-30T09:07:17Z</cp:lastPrinted>
  <dcterms:created xsi:type="dcterms:W3CDTF">2015-06-05T18:17:20Z</dcterms:created>
  <dcterms:modified xsi:type="dcterms:W3CDTF">2024-09-11T10:59:06Z</dcterms:modified>
</cp:coreProperties>
</file>