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truss\"/>
    </mc:Choice>
  </mc:AlternateContent>
  <bookViews>
    <workbookView xWindow="0" yWindow="0" windowWidth="23040" windowHeight="8424" firstSheet="3" activeTab="3"/>
  </bookViews>
  <sheets>
    <sheet name="new" sheetId="18" state="hidden" r:id="rId1"/>
    <sheet name="as per mistry" sheetId="19" state="hidden" r:id="rId2"/>
    <sheet name="final" sheetId="20" state="hidden" r:id="rId3"/>
    <sheet name="400000 final" sheetId="21" r:id="rId4"/>
    <sheet name="WCR" sheetId="22" r:id="rId5"/>
    <sheet name="V" sheetId="23"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[3]Abstract!$B$16</definedName>
    <definedName name="description_124" localSheetId="4">#REF!</definedName>
    <definedName name="description_124">[4]Abstract!$B$18</definedName>
    <definedName name="description_2">[2]Abstract!$B$168</definedName>
    <definedName name="description_247">[3]Abstract!$B$22</definedName>
    <definedName name="description_248">[3]Abstract!$B$23</definedName>
    <definedName name="description_261">[5]Abstract!$B$33</definedName>
    <definedName name="description_262" localSheetId="4">[3]Abstract!$B$34</definedName>
    <definedName name="description_262">[6]Abstract!$B$34</definedName>
    <definedName name="description_3">[3]Abstract!$B$169</definedName>
    <definedName name="description_310">[7]Abstract!$B$60</definedName>
    <definedName name="description_312">[8]Abstract!$B$61</definedName>
    <definedName name="description_5">[3]Abstract!$B$171</definedName>
    <definedName name="description_6" localSheetId="4">[7]Abstract!$B$172</definedName>
    <definedName name="description_6">[2]Abstract!$B$172</definedName>
    <definedName name="description_759">[3]Abstract!$B$278</definedName>
    <definedName name="description_781">[9]Abstract!$B$299</definedName>
    <definedName name="description_783">[3]Abstract!$B$301</definedName>
    <definedName name="description_784">[2]Abstract!$B$300</definedName>
    <definedName name="excavator">[1]Equipment_Rate!$J$19</definedName>
    <definedName name="generator">[1]Equipment_Rate!$J$20</definedName>
    <definedName name="_xlnm.Print_Area" localSheetId="3">'400000 final'!$A$1:$K$93</definedName>
    <definedName name="_xlnm.Print_Area" localSheetId="1">'as per mistry'!$A$5:$K$72</definedName>
    <definedName name="_xlnm.Print_Area" localSheetId="2">final!$A$5:$K$87</definedName>
    <definedName name="_xlnm.Print_Area" localSheetId="0">new!$A$1:$K$76</definedName>
    <definedName name="_xlnm.Print_Area" localSheetId="5">V!$A$1:$K$94</definedName>
    <definedName name="_xlnm.Print_Titles" localSheetId="3">'400000 final'!$1:$8</definedName>
    <definedName name="_xlnm.Print_Titles" localSheetId="1">'as per mistry'!$1:$8</definedName>
    <definedName name="_xlnm.Print_Titles" localSheetId="2">final!$1:$8</definedName>
    <definedName name="_xlnm.Print_Titles" localSheetId="0">new!$1:$8</definedName>
    <definedName name="_xlnm.Print_Titles" localSheetId="5">V!$1:$8</definedName>
    <definedName name="_xlnm.Print_Titles" localSheetId="4">WCR!$1:$12</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0" i="21" l="1"/>
  <c r="E36" i="21"/>
  <c r="D36" i="21"/>
  <c r="D14" i="23" l="1"/>
  <c r="D28" i="23"/>
  <c r="F61" i="23"/>
  <c r="F68" i="23"/>
  <c r="F77" i="23"/>
  <c r="F79" i="23" l="1"/>
  <c r="G79" i="23" s="1"/>
  <c r="F78" i="23"/>
  <c r="D78" i="23"/>
  <c r="D77" i="23"/>
  <c r="E71" i="23"/>
  <c r="D71" i="23"/>
  <c r="D70" i="23"/>
  <c r="D69" i="23"/>
  <c r="C62" i="23"/>
  <c r="C63" i="23"/>
  <c r="F63" i="23"/>
  <c r="D63" i="23"/>
  <c r="F62" i="23"/>
  <c r="D62" i="23"/>
  <c r="D61" i="23"/>
  <c r="F33" i="23"/>
  <c r="D56" i="23"/>
  <c r="D54" i="23"/>
  <c r="E54" i="23"/>
  <c r="E55" i="23"/>
  <c r="D55" i="23"/>
  <c r="C56" i="23" s="1"/>
  <c r="D53" i="23"/>
  <c r="C54" i="23" s="1"/>
  <c r="E53" i="23"/>
  <c r="D42" i="23"/>
  <c r="D41" i="23"/>
  <c r="D35" i="23"/>
  <c r="G43" i="23"/>
  <c r="G36" i="23"/>
  <c r="C35" i="23"/>
  <c r="D34" i="23"/>
  <c r="C34" i="23"/>
  <c r="G28" i="21"/>
  <c r="G23" i="21"/>
  <c r="E28" i="23"/>
  <c r="O26" i="23"/>
  <c r="D18" i="23"/>
  <c r="D17" i="23"/>
  <c r="D16" i="23"/>
  <c r="D23" i="23"/>
  <c r="O23" i="23"/>
  <c r="M23" i="23"/>
  <c r="D19" i="23"/>
  <c r="D13" i="23"/>
  <c r="D12" i="23"/>
  <c r="F12" i="23" s="1"/>
  <c r="G12" i="23" s="1"/>
  <c r="D10" i="23"/>
  <c r="F55" i="23" l="1"/>
  <c r="G55" i="23" s="1"/>
  <c r="G34" i="23"/>
  <c r="F54" i="23"/>
  <c r="G54" i="23" s="1"/>
  <c r="G35" i="23"/>
  <c r="D11" i="23"/>
  <c r="F11" i="23" s="1"/>
  <c r="G11" i="23" s="1"/>
  <c r="C33" i="23"/>
  <c r="C14" i="23"/>
  <c r="C17" i="23"/>
  <c r="C18" i="23"/>
  <c r="C16" i="23"/>
  <c r="H38" i="22"/>
  <c r="E38" i="22"/>
  <c r="D38" i="22"/>
  <c r="C38" i="22"/>
  <c r="B38" i="22"/>
  <c r="A38" i="22"/>
  <c r="H36" i="22"/>
  <c r="E36" i="22"/>
  <c r="D36" i="22"/>
  <c r="C36" i="22"/>
  <c r="B36" i="22"/>
  <c r="A36" i="22"/>
  <c r="H33" i="22"/>
  <c r="F34" i="22"/>
  <c r="E33" i="22"/>
  <c r="D33" i="22"/>
  <c r="C33" i="22"/>
  <c r="B34" i="22"/>
  <c r="B33" i="22"/>
  <c r="A33" i="22"/>
  <c r="H30" i="22"/>
  <c r="E30" i="22"/>
  <c r="C30" i="22"/>
  <c r="B31" i="22"/>
  <c r="B30" i="22"/>
  <c r="A30" i="22"/>
  <c r="H27" i="22"/>
  <c r="F28" i="22"/>
  <c r="E27" i="22"/>
  <c r="D27" i="22"/>
  <c r="C27" i="22"/>
  <c r="B28" i="22"/>
  <c r="B27" i="22"/>
  <c r="A27" i="22"/>
  <c r="H24" i="22"/>
  <c r="E24" i="22"/>
  <c r="C24" i="22"/>
  <c r="B25" i="22"/>
  <c r="B24" i="22"/>
  <c r="A24" i="22"/>
  <c r="H21" i="22"/>
  <c r="E21" i="22"/>
  <c r="C21" i="22"/>
  <c r="B22" i="22"/>
  <c r="B21" i="22"/>
  <c r="A21" i="22"/>
  <c r="H19" i="22"/>
  <c r="E19" i="22"/>
  <c r="D19" i="22"/>
  <c r="C19" i="22"/>
  <c r="B19" i="22"/>
  <c r="A19" i="22"/>
  <c r="H16" i="22"/>
  <c r="E16" i="22"/>
  <c r="D16" i="22"/>
  <c r="C16" i="22"/>
  <c r="B17" i="22"/>
  <c r="B16" i="22"/>
  <c r="A16" i="22"/>
  <c r="H13" i="22"/>
  <c r="E13" i="22"/>
  <c r="D13" i="22"/>
  <c r="C13" i="22"/>
  <c r="D22" i="23"/>
  <c r="C20" i="23"/>
  <c r="C21" i="23"/>
  <c r="C22" i="23"/>
  <c r="C19" i="23"/>
  <c r="F19" i="23" s="1"/>
  <c r="G19" i="23" s="1"/>
  <c r="C94" i="23"/>
  <c r="C93" i="23"/>
  <c r="G85" i="23"/>
  <c r="J85" i="23" s="1"/>
  <c r="G83" i="23"/>
  <c r="J83" i="23" s="1"/>
  <c r="B68" i="23"/>
  <c r="G61" i="23"/>
  <c r="E56" i="23"/>
  <c r="F56" i="23" s="1"/>
  <c r="G56" i="23" s="1"/>
  <c r="B48" i="23"/>
  <c r="G42" i="23"/>
  <c r="G41" i="23"/>
  <c r="B40" i="23"/>
  <c r="G28" i="23"/>
  <c r="G29" i="23" s="1"/>
  <c r="F23" i="23"/>
  <c r="G23" i="23" s="1"/>
  <c r="D21" i="23"/>
  <c r="D20" i="23"/>
  <c r="D15" i="23"/>
  <c r="F13" i="23"/>
  <c r="G13" i="23" s="1"/>
  <c r="F10" i="23"/>
  <c r="G10" i="23" s="1"/>
  <c r="B13" i="22"/>
  <c r="A13" i="22"/>
  <c r="B14" i="22"/>
  <c r="A9" i="22"/>
  <c r="A8" i="22"/>
  <c r="F21" i="23" l="1"/>
  <c r="G21" i="23" s="1"/>
  <c r="G76" i="23"/>
  <c r="C91" i="23"/>
  <c r="G33" i="23"/>
  <c r="G37" i="23" s="1"/>
  <c r="G77" i="23"/>
  <c r="G78" i="23"/>
  <c r="F20" i="23"/>
  <c r="G20" i="23" s="1"/>
  <c r="G70" i="23"/>
  <c r="F22" i="23"/>
  <c r="G22" i="23" s="1"/>
  <c r="G16" i="22"/>
  <c r="I16" i="22" s="1"/>
  <c r="F15" i="23"/>
  <c r="G15" i="23" s="1"/>
  <c r="F17" i="23"/>
  <c r="G17" i="23" s="1"/>
  <c r="G38" i="22"/>
  <c r="I38" i="22" s="1"/>
  <c r="F53" i="23"/>
  <c r="G53" i="23" s="1"/>
  <c r="G57" i="23" s="1"/>
  <c r="G63" i="23"/>
  <c r="G36" i="22"/>
  <c r="I36" i="22" s="1"/>
  <c r="F14" i="23"/>
  <c r="G14" i="23" s="1"/>
  <c r="F16" i="23"/>
  <c r="G16" i="23" s="1"/>
  <c r="F18" i="23"/>
  <c r="G18" i="23" s="1"/>
  <c r="G62" i="23"/>
  <c r="G69" i="23"/>
  <c r="J30" i="23"/>
  <c r="I17" i="22" s="1"/>
  <c r="J29" i="23"/>
  <c r="G40" i="23"/>
  <c r="C48" i="23"/>
  <c r="F33" i="22"/>
  <c r="F27" i="22"/>
  <c r="F38" i="22"/>
  <c r="F19" i="22"/>
  <c r="F16" i="22"/>
  <c r="F36" i="22"/>
  <c r="F13" i="22"/>
  <c r="G80" i="23" l="1"/>
  <c r="N80" i="23" s="1"/>
  <c r="G24" i="23"/>
  <c r="G13" i="22" s="1"/>
  <c r="I13" i="22" s="1"/>
  <c r="J13" i="22" s="1"/>
  <c r="G64" i="23"/>
  <c r="J64" i="23" s="1"/>
  <c r="G44" i="23"/>
  <c r="G21" i="22" s="1"/>
  <c r="I21" i="22" s="1"/>
  <c r="J37" i="23"/>
  <c r="G19" i="22"/>
  <c r="I19" i="22" s="1"/>
  <c r="J19" i="22" s="1"/>
  <c r="J38" i="22"/>
  <c r="G48" i="23"/>
  <c r="G49" i="23" s="1"/>
  <c r="G24" i="22" s="1"/>
  <c r="I24" i="22" s="1"/>
  <c r="J58" i="23"/>
  <c r="J57" i="23"/>
  <c r="J36" i="22"/>
  <c r="J16" i="22"/>
  <c r="G33" i="22" l="1"/>
  <c r="I33" i="22" s="1"/>
  <c r="J33" i="22" s="1"/>
  <c r="J81" i="23"/>
  <c r="I34" i="22" s="1"/>
  <c r="J34" i="22" s="1"/>
  <c r="J80" i="23"/>
  <c r="J65" i="23"/>
  <c r="I28" i="22" s="1"/>
  <c r="J28" i="22" s="1"/>
  <c r="G27" i="22"/>
  <c r="I27" i="22" s="1"/>
  <c r="J27" i="22" s="1"/>
  <c r="J45" i="23"/>
  <c r="I22" i="22" s="1"/>
  <c r="J44" i="23"/>
  <c r="J24" i="23"/>
  <c r="J25" i="23"/>
  <c r="I14" i="22" s="1"/>
  <c r="G71" i="23"/>
  <c r="G68" i="23"/>
  <c r="G72" i="23" s="1"/>
  <c r="J49" i="23"/>
  <c r="J50" i="23"/>
  <c r="I25" i="22" s="1"/>
  <c r="C93" i="21"/>
  <c r="C92" i="21"/>
  <c r="C90" i="21"/>
  <c r="G84" i="21"/>
  <c r="J84" i="21" s="1"/>
  <c r="G82" i="21"/>
  <c r="J82" i="21" s="1"/>
  <c r="D78" i="21"/>
  <c r="C78" i="21"/>
  <c r="G78" i="21" s="1"/>
  <c r="D77" i="21"/>
  <c r="G77" i="21" s="1"/>
  <c r="C77" i="21"/>
  <c r="D76" i="21"/>
  <c r="C76" i="21"/>
  <c r="D71" i="21"/>
  <c r="D70" i="21"/>
  <c r="C70" i="21"/>
  <c r="D69" i="21"/>
  <c r="C69" i="21"/>
  <c r="G69" i="21" s="1"/>
  <c r="F68" i="21"/>
  <c r="B68" i="21"/>
  <c r="B67" i="21"/>
  <c r="F62" i="21"/>
  <c r="D62" i="21"/>
  <c r="C62" i="21"/>
  <c r="G62" i="21" s="1"/>
  <c r="F61" i="21"/>
  <c r="D61" i="21"/>
  <c r="C61" i="21"/>
  <c r="F60" i="21"/>
  <c r="D60" i="21"/>
  <c r="C60" i="21"/>
  <c r="D59" i="21"/>
  <c r="G59" i="21" s="1"/>
  <c r="D58" i="21"/>
  <c r="G58" i="21" s="1"/>
  <c r="B58" i="21"/>
  <c r="E53" i="21"/>
  <c r="D53" i="21"/>
  <c r="C53" i="21"/>
  <c r="F53" i="21" s="1"/>
  <c r="G53" i="21" s="1"/>
  <c r="E52" i="21"/>
  <c r="F52" i="21" s="1"/>
  <c r="G52" i="21" s="1"/>
  <c r="D52" i="21"/>
  <c r="E51" i="21"/>
  <c r="D51" i="21"/>
  <c r="C51" i="21"/>
  <c r="E50" i="21"/>
  <c r="D50" i="21"/>
  <c r="F50" i="21" s="1"/>
  <c r="G50" i="21" s="1"/>
  <c r="B50" i="21"/>
  <c r="D45" i="21"/>
  <c r="C45" i="21"/>
  <c r="D44" i="21"/>
  <c r="C44" i="21"/>
  <c r="G44" i="21" s="1"/>
  <c r="B43" i="21"/>
  <c r="D38" i="21"/>
  <c r="C38" i="21"/>
  <c r="G38" i="21" s="1"/>
  <c r="D37" i="21"/>
  <c r="C37" i="21"/>
  <c r="G37" i="21" s="1"/>
  <c r="E43" i="21"/>
  <c r="E67" i="21" s="1"/>
  <c r="D43" i="21"/>
  <c r="D67" i="21" s="1"/>
  <c r="F32" i="21"/>
  <c r="C32" i="21"/>
  <c r="E27" i="21"/>
  <c r="D27" i="21"/>
  <c r="G27" i="21" s="1"/>
  <c r="D22" i="21"/>
  <c r="F22" i="21" s="1"/>
  <c r="G22" i="21" s="1"/>
  <c r="C22" i="21"/>
  <c r="D21" i="21"/>
  <c r="C21" i="21"/>
  <c r="D20" i="21"/>
  <c r="F20" i="21" s="1"/>
  <c r="G20" i="21" s="1"/>
  <c r="C20" i="21"/>
  <c r="D19" i="21"/>
  <c r="C19" i="21"/>
  <c r="D18" i="21"/>
  <c r="F18" i="21" s="1"/>
  <c r="G18" i="21" s="1"/>
  <c r="C18" i="21"/>
  <c r="D17" i="21"/>
  <c r="C17" i="21"/>
  <c r="D16" i="21"/>
  <c r="F16" i="21" s="1"/>
  <c r="G16" i="21" s="1"/>
  <c r="C16" i="21"/>
  <c r="D15" i="21"/>
  <c r="C15" i="21"/>
  <c r="D14" i="21"/>
  <c r="F14" i="21" s="1"/>
  <c r="G14" i="21" s="1"/>
  <c r="C14" i="21"/>
  <c r="D13" i="21"/>
  <c r="C13" i="21"/>
  <c r="D12" i="21"/>
  <c r="F12" i="21" s="1"/>
  <c r="G12" i="21" s="1"/>
  <c r="C12" i="21"/>
  <c r="D11" i="21"/>
  <c r="F11" i="21" s="1"/>
  <c r="G11" i="21" s="1"/>
  <c r="D10" i="21"/>
  <c r="C10" i="21"/>
  <c r="F10" i="21" s="1"/>
  <c r="G10" i="21" s="1"/>
  <c r="C70" i="20"/>
  <c r="C69" i="20"/>
  <c r="C62" i="20"/>
  <c r="C61" i="20"/>
  <c r="C60" i="20"/>
  <c r="C45" i="20"/>
  <c r="C44" i="20"/>
  <c r="C38" i="20"/>
  <c r="C37" i="20"/>
  <c r="C51" i="20"/>
  <c r="C53" i="20"/>
  <c r="G30" i="22" l="1"/>
  <c r="I30" i="22" s="1"/>
  <c r="F13" i="21"/>
  <c r="G13" i="21" s="1"/>
  <c r="F15" i="21"/>
  <c r="G15" i="21" s="1"/>
  <c r="F17" i="21"/>
  <c r="G17" i="21" s="1"/>
  <c r="F19" i="21"/>
  <c r="G19" i="21" s="1"/>
  <c r="F21" i="21"/>
  <c r="G21" i="21" s="1"/>
  <c r="F51" i="21"/>
  <c r="G51" i="21" s="1"/>
  <c r="G45" i="21"/>
  <c r="G61" i="21"/>
  <c r="G70" i="21"/>
  <c r="G60" i="21"/>
  <c r="G63" i="21" s="1"/>
  <c r="G76" i="21"/>
  <c r="G79" i="21" s="1"/>
  <c r="J80" i="21" s="1"/>
  <c r="J79" i="21"/>
  <c r="J29" i="21"/>
  <c r="F17" i="22" s="1"/>
  <c r="J17" i="22" s="1"/>
  <c r="J28" i="21"/>
  <c r="G54" i="21"/>
  <c r="G36" i="21"/>
  <c r="G39" i="21" s="1"/>
  <c r="D21" i="22" s="1"/>
  <c r="F21" i="22" s="1"/>
  <c r="J21" i="22" s="1"/>
  <c r="C43" i="21"/>
  <c r="G32" i="21"/>
  <c r="G33" i="21" s="1"/>
  <c r="J33" i="21" s="1"/>
  <c r="F68" i="20"/>
  <c r="B67" i="20"/>
  <c r="B68" i="20"/>
  <c r="B58" i="20"/>
  <c r="B43" i="20"/>
  <c r="B36" i="20"/>
  <c r="C78" i="20"/>
  <c r="C77" i="20"/>
  <c r="C76" i="20"/>
  <c r="E53" i="20"/>
  <c r="D53" i="20"/>
  <c r="F53" i="20" s="1"/>
  <c r="G53" i="20" s="1"/>
  <c r="E51" i="20"/>
  <c r="D51" i="20"/>
  <c r="F51" i="20" s="1"/>
  <c r="G51" i="20" s="1"/>
  <c r="D52" i="20"/>
  <c r="E52" i="20"/>
  <c r="E50" i="20"/>
  <c r="F50" i="20" s="1"/>
  <c r="G50" i="20" s="1"/>
  <c r="D50" i="20"/>
  <c r="B50" i="20"/>
  <c r="D59" i="20"/>
  <c r="G59" i="20" s="1"/>
  <c r="D58" i="20"/>
  <c r="G58" i="20" s="1"/>
  <c r="F61" i="20"/>
  <c r="F62" i="20"/>
  <c r="G62" i="20" s="1"/>
  <c r="F60" i="20"/>
  <c r="D62" i="20"/>
  <c r="D61" i="20"/>
  <c r="G61" i="20" s="1"/>
  <c r="D60" i="20"/>
  <c r="G60" i="20" s="1"/>
  <c r="J73" i="23" l="1"/>
  <c r="I31" i="22" s="1"/>
  <c r="J72" i="23"/>
  <c r="J64" i="21"/>
  <c r="J63" i="21"/>
  <c r="J55" i="21"/>
  <c r="J54" i="21"/>
  <c r="G43" i="21"/>
  <c r="G46" i="21" s="1"/>
  <c r="D24" i="22" s="1"/>
  <c r="F24" i="22" s="1"/>
  <c r="J24" i="22" s="1"/>
  <c r="C67" i="21"/>
  <c r="F22" i="22"/>
  <c r="J22" i="22" s="1"/>
  <c r="J39" i="21"/>
  <c r="J24" i="21"/>
  <c r="F14" i="22" s="1"/>
  <c r="J23" i="21"/>
  <c r="G63" i="20"/>
  <c r="J63" i="20" s="1"/>
  <c r="F52" i="20"/>
  <c r="G52" i="20" s="1"/>
  <c r="G54" i="20" s="1"/>
  <c r="J87" i="23" l="1"/>
  <c r="C89" i="23" s="1"/>
  <c r="C92" i="23" s="1"/>
  <c r="J14" i="22"/>
  <c r="I40" i="22"/>
  <c r="G67" i="21"/>
  <c r="C68" i="21"/>
  <c r="G68" i="21" s="1"/>
  <c r="C71" i="21"/>
  <c r="G71" i="21" s="1"/>
  <c r="J46" i="21"/>
  <c r="J47" i="21"/>
  <c r="F25" i="22" s="1"/>
  <c r="J25" i="22" s="1"/>
  <c r="J54" i="20"/>
  <c r="J64" i="20"/>
  <c r="E91" i="23" l="1"/>
  <c r="E92" i="23" s="1"/>
  <c r="J6" i="22"/>
  <c r="G72" i="21"/>
  <c r="D30" i="22" s="1"/>
  <c r="F30" i="22" s="1"/>
  <c r="J30" i="22" s="1"/>
  <c r="J55" i="20"/>
  <c r="J73" i="21" l="1"/>
  <c r="F31" i="22" s="1"/>
  <c r="J72" i="21"/>
  <c r="J86" i="21" s="1"/>
  <c r="C88" i="21" s="1"/>
  <c r="D38" i="20"/>
  <c r="D37" i="20"/>
  <c r="G37" i="20"/>
  <c r="D44" i="20"/>
  <c r="G44" i="20" s="1"/>
  <c r="D45" i="20"/>
  <c r="D71" i="20"/>
  <c r="D70" i="20"/>
  <c r="G70" i="20" s="1"/>
  <c r="D69" i="20"/>
  <c r="G69" i="20" s="1"/>
  <c r="D78" i="20"/>
  <c r="D77" i="20"/>
  <c r="D76" i="20"/>
  <c r="G76" i="20" s="1"/>
  <c r="C32" i="20"/>
  <c r="C36" i="20" s="1"/>
  <c r="D27" i="20"/>
  <c r="E27" i="20"/>
  <c r="C15" i="20"/>
  <c r="C16" i="20"/>
  <c r="C17" i="20"/>
  <c r="C18" i="20"/>
  <c r="C19" i="20"/>
  <c r="C20" i="20"/>
  <c r="C21" i="20"/>
  <c r="C14" i="20"/>
  <c r="C13" i="20"/>
  <c r="C12" i="20"/>
  <c r="C10" i="20"/>
  <c r="C93" i="20"/>
  <c r="C92" i="20"/>
  <c r="G84" i="20"/>
  <c r="J84" i="20" s="1"/>
  <c r="G82" i="20"/>
  <c r="E36" i="20"/>
  <c r="E43" i="20" s="1"/>
  <c r="D36" i="20"/>
  <c r="D43" i="20" s="1"/>
  <c r="F32" i="20"/>
  <c r="D22" i="20"/>
  <c r="C22" i="20"/>
  <c r="D21" i="20"/>
  <c r="D20" i="20"/>
  <c r="D19" i="20"/>
  <c r="D18" i="20"/>
  <c r="D17" i="20"/>
  <c r="D16" i="20"/>
  <c r="D15" i="20"/>
  <c r="D14" i="20"/>
  <c r="F14" i="20"/>
  <c r="G14" i="20" s="1"/>
  <c r="D13" i="20"/>
  <c r="D12" i="20"/>
  <c r="D11" i="20"/>
  <c r="F11" i="20" s="1"/>
  <c r="G11" i="20" s="1"/>
  <c r="D10" i="20"/>
  <c r="D23" i="18"/>
  <c r="E28" i="18"/>
  <c r="D22" i="18"/>
  <c r="D21" i="18"/>
  <c r="D20" i="18"/>
  <c r="D19" i="18"/>
  <c r="D18" i="18"/>
  <c r="D15" i="18"/>
  <c r="D17" i="18"/>
  <c r="D16" i="18"/>
  <c r="D14" i="18"/>
  <c r="C12" i="18"/>
  <c r="D11" i="18"/>
  <c r="J31" i="22" l="1"/>
  <c r="F40" i="22"/>
  <c r="C91" i="21"/>
  <c r="E90" i="21"/>
  <c r="E91" i="21" s="1"/>
  <c r="F21" i="20"/>
  <c r="G21" i="20" s="1"/>
  <c r="F15" i="20"/>
  <c r="G15" i="20" s="1"/>
  <c r="F13" i="20"/>
  <c r="G13" i="20" s="1"/>
  <c r="G45" i="20"/>
  <c r="F18" i="20"/>
  <c r="G18" i="20" s="1"/>
  <c r="G27" i="20"/>
  <c r="G28" i="20" s="1"/>
  <c r="J29" i="20" s="1"/>
  <c r="G38" i="20"/>
  <c r="E67" i="20"/>
  <c r="J82" i="20"/>
  <c r="F20" i="20"/>
  <c r="G20" i="20" s="1"/>
  <c r="G36" i="20"/>
  <c r="F19" i="20"/>
  <c r="G19" i="20" s="1"/>
  <c r="C90" i="20"/>
  <c r="F10" i="20"/>
  <c r="G10" i="20" s="1"/>
  <c r="F17" i="20"/>
  <c r="G17" i="20" s="1"/>
  <c r="F12" i="20"/>
  <c r="G12" i="20" s="1"/>
  <c r="F16" i="20"/>
  <c r="G16" i="20" s="1"/>
  <c r="F22" i="20"/>
  <c r="G22" i="20" s="1"/>
  <c r="G78" i="20"/>
  <c r="G77" i="20"/>
  <c r="C43" i="20"/>
  <c r="C67" i="20" s="1"/>
  <c r="C71" i="20" s="1"/>
  <c r="G32" i="20"/>
  <c r="G33" i="20" s="1"/>
  <c r="J33" i="20" s="1"/>
  <c r="D67" i="20"/>
  <c r="C63" i="19"/>
  <c r="C62" i="19"/>
  <c r="D63" i="19"/>
  <c r="D62" i="19"/>
  <c r="C6" i="22" l="1"/>
  <c r="J40" i="22"/>
  <c r="G63" i="19"/>
  <c r="J28" i="20"/>
  <c r="G23" i="20"/>
  <c r="J23" i="20" s="1"/>
  <c r="G39" i="20"/>
  <c r="J40" i="20" s="1"/>
  <c r="G67" i="20"/>
  <c r="C68" i="20"/>
  <c r="G68" i="20" s="1"/>
  <c r="G71" i="20"/>
  <c r="G43" i="20"/>
  <c r="G79" i="20"/>
  <c r="J79" i="20" s="1"/>
  <c r="G62" i="19"/>
  <c r="G64" i="19"/>
  <c r="J65" i="19" s="1"/>
  <c r="J39" i="20" l="1"/>
  <c r="G72" i="20"/>
  <c r="J72" i="20" s="1"/>
  <c r="G46" i="20"/>
  <c r="J47" i="20" s="1"/>
  <c r="J24" i="20"/>
  <c r="J80" i="20"/>
  <c r="J64" i="19"/>
  <c r="G56" i="19"/>
  <c r="D57" i="19"/>
  <c r="G57" i="19" s="1"/>
  <c r="D56" i="19"/>
  <c r="D49" i="19"/>
  <c r="E37" i="19"/>
  <c r="G37" i="19" s="1"/>
  <c r="D37" i="19"/>
  <c r="E49" i="19" l="1"/>
  <c r="G49" i="19" s="1"/>
  <c r="J46" i="20"/>
  <c r="J73" i="20"/>
  <c r="J86" i="20" s="1"/>
  <c r="C54" i="19"/>
  <c r="G54" i="19" s="1"/>
  <c r="C55" i="19"/>
  <c r="G55" i="19" s="1"/>
  <c r="D55" i="19"/>
  <c r="D54" i="19"/>
  <c r="E27" i="19"/>
  <c r="D27" i="19"/>
  <c r="E42" i="19"/>
  <c r="E47" i="19" s="1"/>
  <c r="E36" i="19"/>
  <c r="D36" i="19"/>
  <c r="D42" i="19" s="1"/>
  <c r="D47" i="19" s="1"/>
  <c r="F32" i="19"/>
  <c r="C32" i="19"/>
  <c r="C36" i="19" s="1"/>
  <c r="C42" i="19" s="1"/>
  <c r="C47" i="19" s="1"/>
  <c r="C48" i="19" s="1"/>
  <c r="G48" i="19" s="1"/>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G58" i="19" l="1"/>
  <c r="J59" i="19" s="1"/>
  <c r="C88" i="20"/>
  <c r="C91" i="20" s="1"/>
  <c r="J58" i="19"/>
  <c r="E90" i="20" l="1"/>
  <c r="E91" i="20" s="1"/>
  <c r="C10" i="19"/>
  <c r="C78" i="19"/>
  <c r="C77" i="19"/>
  <c r="C75" i="19" s="1"/>
  <c r="G69" i="19"/>
  <c r="J69" i="19" s="1"/>
  <c r="G67" i="19"/>
  <c r="J67" i="19" s="1"/>
  <c r="G47" i="19"/>
  <c r="G50" i="19" s="1"/>
  <c r="G42" i="19"/>
  <c r="G43" i="19" s="1"/>
  <c r="G36" i="19"/>
  <c r="G38" i="19" s="1"/>
  <c r="J39" i="19" s="1"/>
  <c r="G32" i="19"/>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s="1"/>
  <c r="G33" i="19"/>
  <c r="J33" i="19" s="1"/>
  <c r="J44" i="19"/>
  <c r="J43" i="19"/>
  <c r="J38" i="19"/>
  <c r="J28" i="19"/>
  <c r="J29" i="19"/>
  <c r="J50" i="19"/>
  <c r="J51" i="19"/>
  <c r="C61" i="18"/>
  <c r="G61" i="18" s="1"/>
  <c r="G62" i="18" s="1"/>
  <c r="J63" i="18" s="1"/>
  <c r="C42" i="18"/>
  <c r="C37" i="18"/>
  <c r="G37" i="18" s="1"/>
  <c r="G38" i="18" s="1"/>
  <c r="J38" i="18" s="1"/>
  <c r="F33" i="18"/>
  <c r="C33" i="18"/>
  <c r="C23" i="18"/>
  <c r="F23" i="18" s="1"/>
  <c r="G23" i="18" s="1"/>
  <c r="F22" i="18"/>
  <c r="G22" i="18" s="1"/>
  <c r="F21" i="18"/>
  <c r="G21" i="18" s="1"/>
  <c r="F20" i="18"/>
  <c r="G20" i="18" s="1"/>
  <c r="F19" i="18"/>
  <c r="G19" i="18" s="1"/>
  <c r="F18" i="18"/>
  <c r="G18" i="18" s="1"/>
  <c r="F17" i="18"/>
  <c r="G17" i="18" s="1"/>
  <c r="F16" i="18"/>
  <c r="G16" i="18" s="1"/>
  <c r="F15" i="18"/>
  <c r="G15" i="18" s="1"/>
  <c r="F14" i="18"/>
  <c r="G14" i="18" s="1"/>
  <c r="D13" i="18"/>
  <c r="C13" i="18"/>
  <c r="G67" i="18"/>
  <c r="J67" i="18" s="1"/>
  <c r="G65" i="18"/>
  <c r="J65" i="18" s="1"/>
  <c r="D28" i="18"/>
  <c r="G42" i="18" l="1"/>
  <c r="G43" i="18" s="1"/>
  <c r="J44" i="18" s="1"/>
  <c r="G33" i="18"/>
  <c r="G34" i="18" s="1"/>
  <c r="J34" i="18" s="1"/>
  <c r="J23" i="19"/>
  <c r="J71" i="19" s="1"/>
  <c r="F13" i="18"/>
  <c r="G13" i="18" s="1"/>
  <c r="G28" i="18"/>
  <c r="G29" i="18" s="1"/>
  <c r="J30" i="18" s="1"/>
  <c r="J62" i="18"/>
  <c r="J39" i="18"/>
  <c r="J43" i="18" l="1"/>
  <c r="C73" i="19"/>
  <c r="C76" i="19" s="1"/>
  <c r="D12" i="18"/>
  <c r="F12" i="18" s="1"/>
  <c r="G12" i="18" s="1"/>
  <c r="F11" i="18"/>
  <c r="G11" i="18" s="1"/>
  <c r="E75" i="19" l="1"/>
  <c r="E76" i="19" s="1"/>
  <c r="D10" i="18"/>
  <c r="F10" i="18" s="1"/>
  <c r="G10" i="18" s="1"/>
  <c r="G24" i="18" l="1"/>
  <c r="J25" i="18" s="1"/>
  <c r="J24" i="18"/>
  <c r="J29" i="18"/>
  <c r="J69" i="18" l="1"/>
  <c r="C76" i="18"/>
  <c r="C75" i="18"/>
  <c r="C73" i="18" l="1"/>
  <c r="C71" i="18" l="1"/>
  <c r="C74" i="18" l="1"/>
  <c r="E73" i="18"/>
  <c r="E74" i="18" s="1"/>
</calcChain>
</file>

<file path=xl/sharedStrings.xml><?xml version="1.0" encoding="utf-8"?>
<sst xmlns="http://schemas.openxmlformats.org/spreadsheetml/2006/main" count="459" uniqueCount="94">
  <si>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</si>
  <si>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</si>
  <si>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</si>
  <si>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</si>
  <si>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</si>
  <si>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</si>
  <si>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</si>
  <si>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</si>
  <si>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</si>
  <si>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</si>
  <si>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</si>
  <si>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</si>
  <si>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</si>
  <si>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</si>
  <si>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</si>
  <si>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</si>
  <si>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</si>
  <si>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</si>
  <si>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</si>
  <si>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</si>
  <si>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</si>
  <si>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</si>
  <si>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</si>
  <si>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</si>
  <si>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</si>
  <si>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</si>
  <si>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</si>
  <si>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</si>
  <si>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</si>
  <si>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</si>
  <si>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</si>
  <si>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</si>
  <si>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</si>
  <si>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</si>
  <si>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</si>
  <si>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</si>
  <si>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</si>
  <si>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</si>
  <si>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50mm * 50mm of 2.6mm thickness for vertical member</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</si>
  <si>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</si>
  <si>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</si>
  <si>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</si>
  <si>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</si>
  <si>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</si>
  <si>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</si>
  <si>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</si>
  <si>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</si>
  <si>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</si>
  <si>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</si>
  <si>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</si>
  <si>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</si>
  <si>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</si>
  <si>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</si>
  <si>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</si>
  <si>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</si>
  <si>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</si>
  <si>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</si>
  <si>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</si>
  <si>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</si>
  <si>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</si>
  <si>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-MS square pipe of 2"*2" of 1.6mm thickness for purlins</t>
  </si>
  <si>
    <t>-tie beam</t>
  </si>
  <si>
    <t>-deduction for overlap part</t>
  </si>
  <si>
    <t>-for tie beam</t>
  </si>
  <si>
    <t>cf/=;L=;L= nflu kmnfd] 808L sf6\g], df]8\g] #) dL6/ ;Dd</t>
  </si>
  <si>
    <t>Nos.</t>
  </si>
  <si>
    <t>Total Weight (Kg)</t>
  </si>
  <si>
    <t>Total Weight (MT)</t>
  </si>
  <si>
    <t>-for column</t>
  </si>
  <si>
    <t>-stirrups</t>
  </si>
  <si>
    <t>MT</t>
  </si>
  <si>
    <t>kmnfd]sf] kfOk / KnfOaf]8{af6 kmdf{ agfpg] sfd</t>
  </si>
  <si>
    <t>Work Completion Report</t>
  </si>
  <si>
    <t>Total Estimated Amount:</t>
  </si>
  <si>
    <t>Total Valuated Amount :</t>
  </si>
  <si>
    <t xml:space="preserve">Work Started : </t>
  </si>
  <si>
    <t xml:space="preserve">Work Finished:           </t>
  </si>
  <si>
    <t xml:space="preserve">F.Y:2081/2082            </t>
  </si>
  <si>
    <t xml:space="preserve">Date:2082/02/03       </t>
  </si>
  <si>
    <t>S.No.</t>
  </si>
  <si>
    <t>Description</t>
  </si>
  <si>
    <t>Estimated</t>
  </si>
  <si>
    <t>Valuated</t>
  </si>
  <si>
    <t>Difference</t>
  </si>
  <si>
    <t xml:space="preserve">Quantity </t>
  </si>
  <si>
    <t>Total</t>
  </si>
  <si>
    <t>Detail Valuated Sheet</t>
  </si>
  <si>
    <t>Total Valuated</t>
  </si>
  <si>
    <t>0deduction for footing</t>
  </si>
  <si>
    <t>-flooring</t>
  </si>
  <si>
    <t>-upto tie beam</t>
  </si>
  <si>
    <t>deduction for post</t>
  </si>
  <si>
    <t>-deduction for footing</t>
  </si>
  <si>
    <t>Providing and laying of hand pack locally available Stone soling with 150 to 200 mm thick stones and packing with smaller stone on prepared surface as per Drawing and Technical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</si>
</sst>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84">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5" fontId="0" fillId="0" borderId="1" xfId="0" applyNumberFormat="1" applyBorder="1" applyAlignment="1">
      <alignment vertical="center"/>
    </xf>
    <xf numFmtId="0" fontId="3" fillId="0" borderId="1" xfId="0" quotePrefix="1" applyFont="1" applyBorder="1" applyAlignment="1">
      <alignment vertical="center" wrapText="1"/>
    </xf>
    <xf numFmtId="2" fontId="2" fillId="0" borderId="1" xfId="0" applyNumberFormat="1" applyFont="1" applyBorder="1" applyAlignment="1">
      <alignment vertical="center" wrapText="1"/>
    </xf>
    <xf numFmtId="2" fontId="0" fillId="0" borderId="1" xfId="0" applyNumberFormat="1" applyFont="1" applyBorder="1" applyAlignment="1">
      <alignment vertical="center" wrapText="1"/>
    </xf>
    <xf numFmtId="0" fontId="17" fillId="0" borderId="0" xfId="0" applyFont="1"/>
    <xf numFmtId="0" fontId="18"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1" fontId="13" fillId="0" borderId="1" xfId="0" applyNumberFormat="1" applyFont="1" applyFill="1" applyBorder="1" applyAlignment="1">
      <alignment vertical="center" wrapText="1"/>
    </xf>
    <xf numFmtId="164"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horizontal="right" vertical="center" wrapText="1"/>
    </xf>
    <xf numFmtId="0" fontId="10" fillId="0" borderId="1" xfId="0" applyFont="1" applyBorder="1" applyAlignment="1">
      <alignment vertical="center"/>
    </xf>
    <xf numFmtId="1" fontId="10" fillId="0" borderId="1" xfId="0" applyNumberFormat="1" applyFont="1" applyBorder="1" applyAlignment="1">
      <alignment vertical="center" wrapText="1"/>
    </xf>
    <xf numFmtId="0" fontId="2" fillId="0" borderId="1" xfId="0" applyFont="1" applyBorder="1" applyAlignment="1">
      <alignment horizontal="right"/>
    </xf>
    <xf numFmtId="164" fontId="2" fillId="0" borderId="1" xfId="1" applyFont="1" applyBorder="1"/>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164" fontId="17" fillId="0" borderId="0" xfId="0" applyNumberFormat="1" applyFont="1" applyAlignment="1">
      <alignment horizontal="center"/>
    </xf>
    <xf numFmtId="0" fontId="17" fillId="0" borderId="0" xfId="0" applyFont="1" applyAlignment="1">
      <alignment horizontal="center"/>
    </xf>
    <xf numFmtId="0" fontId="3"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9" fillId="2" borderId="1" xfId="0" applyFont="1" applyFill="1" applyBorder="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User\Downloads\V%20&#2352;&#2366;&#2359;&#2381;&#2335;&#2381;&#2352;&#2367;&#2351;%20&#2350;&#2366;.%20&#2348;&#2367;.%20&#2357;&#2366;&#2354;%20&#2344;&#2367;&#2352;&#2381;&#2350;&#2366;&#233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stimate"/>
      <sheetName val="grill item changed"/>
      <sheetName val="callapsible gate added"/>
      <sheetName val="WCR"/>
      <sheetName val="V"/>
      <sheetName val="Sheet1"/>
    </sheetNames>
    <sheetDataSet>
      <sheetData sheetId="0"/>
      <sheetData sheetId="1"/>
      <sheetData sheetId="2">
        <row r="6">
          <cell r="A6" t="str">
            <v>Project:- राष्ट्रिय मा. बि. वाल निर्माण</v>
          </cell>
        </row>
        <row r="7">
          <cell r="A7" t="str">
            <v>Location:- Shankharapur Municipality 9</v>
          </cell>
        </row>
        <row r="106">
          <cell r="B106" t="str">
            <v>VAT calculation</v>
          </cell>
        </row>
      </sheetData>
      <sheetData sheetId="3"/>
      <sheetData sheetId="4">
        <row r="13">
          <cell r="G13">
            <v>2.1729629996843562</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A41" zoomScaleNormal="100" zoomScaleSheetLayoutView="80" workbookViewId="0">
      <selection activeCell="A46" sqref="A46:XFD59"/>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0" t="s">
        <v>0</v>
      </c>
      <c r="B1" s="60"/>
      <c r="C1" s="60"/>
      <c r="D1" s="60"/>
      <c r="E1" s="60"/>
      <c r="F1" s="60"/>
      <c r="G1" s="60"/>
      <c r="H1" s="60"/>
      <c r="I1" s="60"/>
      <c r="J1" s="60"/>
      <c r="K1" s="60"/>
    </row>
    <row r="2" spans="1:13" s="1" customFormat="1" ht="22.8" x14ac:dyDescent="0.3">
      <c r="A2" s="61" t="s">
        <v>1</v>
      </c>
      <c r="B2" s="61"/>
      <c r="C2" s="61"/>
      <c r="D2" s="61"/>
      <c r="E2" s="61"/>
      <c r="F2" s="61"/>
      <c r="G2" s="61"/>
      <c r="H2" s="61"/>
      <c r="I2" s="61"/>
      <c r="J2" s="61"/>
      <c r="K2" s="61"/>
    </row>
    <row r="3" spans="1:13" s="1" customFormat="1" x14ac:dyDescent="0.3">
      <c r="A3" s="62" t="s">
        <v>2</v>
      </c>
      <c r="B3" s="62"/>
      <c r="C3" s="62"/>
      <c r="D3" s="62"/>
      <c r="E3" s="62"/>
      <c r="F3" s="62"/>
      <c r="G3" s="62"/>
      <c r="H3" s="62"/>
      <c r="I3" s="62"/>
      <c r="J3" s="62"/>
      <c r="K3" s="62"/>
    </row>
    <row r="4" spans="1:13" s="1" customFormat="1" x14ac:dyDescent="0.3">
      <c r="A4" s="62" t="s">
        <v>3</v>
      </c>
      <c r="B4" s="62"/>
      <c r="C4" s="62"/>
      <c r="D4" s="62"/>
      <c r="E4" s="62"/>
      <c r="F4" s="62"/>
      <c r="G4" s="62"/>
      <c r="H4" s="62"/>
      <c r="I4" s="62"/>
      <c r="J4" s="62"/>
      <c r="K4" s="62"/>
    </row>
    <row r="5" spans="1:13" ht="17.399999999999999" x14ac:dyDescent="0.3">
      <c r="A5" s="63" t="s">
        <v>4</v>
      </c>
      <c r="B5" s="63"/>
      <c r="C5" s="63"/>
      <c r="D5" s="63"/>
      <c r="E5" s="63"/>
      <c r="F5" s="63"/>
      <c r="G5" s="63"/>
      <c r="H5" s="63"/>
      <c r="I5" s="63"/>
      <c r="J5" s="63"/>
      <c r="K5" s="63"/>
    </row>
    <row r="6" spans="1:13" ht="18" x14ac:dyDescent="0.35">
      <c r="A6" s="58" t="s">
        <v>34</v>
      </c>
      <c r="B6" s="58"/>
      <c r="C6" s="58"/>
      <c r="D6" s="58"/>
      <c r="E6" s="58"/>
      <c r="F6" s="58"/>
      <c r="G6" s="58"/>
      <c r="H6" s="59" t="s">
        <v>24</v>
      </c>
      <c r="I6" s="59"/>
      <c r="J6" s="59"/>
      <c r="K6" s="59"/>
    </row>
    <row r="7" spans="1:13" ht="15.6" x14ac:dyDescent="0.3">
      <c r="A7" s="66" t="s">
        <v>23</v>
      </c>
      <c r="B7" s="66"/>
      <c r="C7" s="66"/>
      <c r="D7" s="66"/>
      <c r="E7" s="66"/>
      <c r="F7" s="66"/>
      <c r="G7" s="2"/>
      <c r="H7" s="59" t="s">
        <v>25</v>
      </c>
      <c r="I7" s="59"/>
      <c r="J7" s="59"/>
      <c r="K7" s="59"/>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v>12</v>
      </c>
      <c r="D10" s="10">
        <f>15/3.281</f>
        <v>4.5717768972874122</v>
      </c>
      <c r="E10" s="10">
        <v>3.97</v>
      </c>
      <c r="F10" s="10">
        <f t="shared" ref="F10:F23" si="0">PRODUCT(C10:E10)</f>
        <v>217.79945138677232</v>
      </c>
      <c r="G10" s="36">
        <f t="shared" ref="G10:G23" si="1">F10</f>
        <v>217.79945138677232</v>
      </c>
      <c r="H10" s="27"/>
      <c r="I10" s="27"/>
      <c r="J10" s="27"/>
      <c r="K10" s="11"/>
      <c r="M10" s="12"/>
    </row>
    <row r="11" spans="1:13" s="1" customFormat="1" ht="41.4" x14ac:dyDescent="0.3">
      <c r="A11" s="38"/>
      <c r="B11" s="39" t="s">
        <v>47</v>
      </c>
      <c r="C11" s="40">
        <v>4</v>
      </c>
      <c r="D11" s="10">
        <f>33/3.281</f>
        <v>10.057909174032307</v>
      </c>
      <c r="E11" s="10">
        <v>2.72</v>
      </c>
      <c r="F11" s="10">
        <f t="shared" si="0"/>
        <v>109.43005181347151</v>
      </c>
      <c r="G11" s="36">
        <f t="shared" si="1"/>
        <v>109.43005181347151</v>
      </c>
      <c r="H11" s="27"/>
      <c r="I11" s="27"/>
      <c r="J11" s="27"/>
      <c r="K11" s="11"/>
      <c r="M11" s="12"/>
    </row>
    <row r="12" spans="1:13" s="1" customFormat="1" x14ac:dyDescent="0.3">
      <c r="A12" s="38"/>
      <c r="B12" s="39"/>
      <c r="C12" s="40">
        <f>3-1</f>
        <v>2</v>
      </c>
      <c r="D12" s="10">
        <f>40/3.281</f>
        <v>12.1914050594331</v>
      </c>
      <c r="E12" s="10">
        <v>2.72</v>
      </c>
      <c r="F12" s="10">
        <f t="shared" si="0"/>
        <v>66.32124352331607</v>
      </c>
      <c r="G12" s="36">
        <f t="shared" si="1"/>
        <v>66.32124352331607</v>
      </c>
      <c r="H12" s="27"/>
      <c r="I12" s="27"/>
      <c r="J12" s="27"/>
      <c r="K12" s="11"/>
      <c r="M12" s="12"/>
    </row>
    <row r="13" spans="1:13" s="1" customFormat="1" ht="41.4" x14ac:dyDescent="0.3">
      <c r="A13" s="38"/>
      <c r="B13" s="39" t="s">
        <v>51</v>
      </c>
      <c r="C13" s="40">
        <f>2*4</f>
        <v>8</v>
      </c>
      <c r="D13" s="10">
        <f>16/3.281</f>
        <v>4.8765620237732392</v>
      </c>
      <c r="E13" s="10">
        <v>2.72</v>
      </c>
      <c r="F13" s="10">
        <f t="shared" si="0"/>
        <v>106.11398963730569</v>
      </c>
      <c r="G13" s="36">
        <f t="shared" si="1"/>
        <v>106.11398963730569</v>
      </c>
      <c r="H13" s="27"/>
      <c r="I13" s="27"/>
      <c r="J13" s="27"/>
      <c r="K13" s="11"/>
      <c r="M13" s="12"/>
    </row>
    <row r="14" spans="1:13" s="1" customFormat="1" ht="41.4" x14ac:dyDescent="0.3">
      <c r="A14" s="38"/>
      <c r="B14" s="39" t="s">
        <v>48</v>
      </c>
      <c r="C14" s="40">
        <v>4</v>
      </c>
      <c r="D14" s="10">
        <f>3.5/3.281</f>
        <v>1.0667479427003961</v>
      </c>
      <c r="E14" s="10">
        <v>2.4300000000000002</v>
      </c>
      <c r="F14" s="10">
        <f t="shared" si="0"/>
        <v>10.368790003047851</v>
      </c>
      <c r="G14" s="36">
        <f t="shared" si="1"/>
        <v>10.368790003047851</v>
      </c>
      <c r="H14" s="27"/>
      <c r="I14" s="27"/>
      <c r="J14" s="27"/>
      <c r="K14" s="11"/>
      <c r="M14" s="12"/>
    </row>
    <row r="15" spans="1:13" s="1" customFormat="1" ht="41.4" x14ac:dyDescent="0.3">
      <c r="A15" s="38"/>
      <c r="B15" s="39" t="s">
        <v>50</v>
      </c>
      <c r="C15" s="40">
        <v>2</v>
      </c>
      <c r="D15" s="10">
        <f>3.917/3.281</f>
        <v>1.1938433404449862</v>
      </c>
      <c r="E15" s="10">
        <v>1.83</v>
      </c>
      <c r="F15" s="10">
        <f t="shared" si="0"/>
        <v>4.3694666260286494</v>
      </c>
      <c r="G15" s="36">
        <f t="shared" si="1"/>
        <v>4.3694666260286494</v>
      </c>
      <c r="H15" s="27"/>
      <c r="I15" s="27"/>
      <c r="J15" s="27"/>
      <c r="K15" s="11"/>
      <c r="M15" s="12"/>
    </row>
    <row r="16" spans="1:13" s="1" customFormat="1" x14ac:dyDescent="0.3">
      <c r="A16" s="38"/>
      <c r="B16" s="39"/>
      <c r="C16" s="40">
        <v>2</v>
      </c>
      <c r="D16" s="10">
        <f>3.5/3.281</f>
        <v>1.0667479427003961</v>
      </c>
      <c r="E16" s="10">
        <v>1.83</v>
      </c>
      <c r="F16" s="10">
        <f t="shared" si="0"/>
        <v>3.9042974702834496</v>
      </c>
      <c r="G16" s="36">
        <f t="shared" si="1"/>
        <v>3.9042974702834496</v>
      </c>
      <c r="H16" s="27"/>
      <c r="I16" s="27"/>
      <c r="J16" s="27"/>
      <c r="K16" s="11"/>
      <c r="M16" s="12"/>
    </row>
    <row r="17" spans="1:13" s="1" customFormat="1" x14ac:dyDescent="0.3">
      <c r="A17" s="38"/>
      <c r="B17" s="39"/>
      <c r="C17" s="40">
        <v>2</v>
      </c>
      <c r="D17" s="10">
        <f>3.17/3.281</f>
        <v>0.9661688509600731</v>
      </c>
      <c r="E17" s="10">
        <v>1.83</v>
      </c>
      <c r="F17" s="10">
        <f t="shared" si="0"/>
        <v>3.5361779945138676</v>
      </c>
      <c r="G17" s="36">
        <f t="shared" si="1"/>
        <v>3.5361779945138676</v>
      </c>
      <c r="H17" s="27"/>
      <c r="I17" s="27"/>
      <c r="J17" s="27"/>
      <c r="K17" s="11"/>
      <c r="M17" s="12"/>
    </row>
    <row r="18" spans="1:13" s="1" customFormat="1" x14ac:dyDescent="0.3">
      <c r="A18" s="38"/>
      <c r="B18" s="39"/>
      <c r="C18" s="40">
        <v>2</v>
      </c>
      <c r="D18" s="10">
        <f>3/3.281</f>
        <v>0.91435537945748246</v>
      </c>
      <c r="E18" s="10">
        <v>1.83</v>
      </c>
      <c r="F18" s="10">
        <f t="shared" si="0"/>
        <v>3.346540688814386</v>
      </c>
      <c r="G18" s="36">
        <f t="shared" si="1"/>
        <v>3.346540688814386</v>
      </c>
      <c r="H18" s="27"/>
      <c r="I18" s="27"/>
      <c r="J18" s="27"/>
      <c r="K18" s="11"/>
      <c r="M18" s="12"/>
    </row>
    <row r="19" spans="1:13" s="1" customFormat="1" ht="41.4" x14ac:dyDescent="0.3">
      <c r="A19" s="38"/>
      <c r="B19" s="39" t="s">
        <v>38</v>
      </c>
      <c r="C19" s="40">
        <v>2</v>
      </c>
      <c r="D19" s="10">
        <f>2.667/3.281</f>
        <v>0.81286193233770188</v>
      </c>
      <c r="E19" s="10">
        <v>1.83</v>
      </c>
      <c r="F19" s="10">
        <f t="shared" si="0"/>
        <v>2.9750746723559889</v>
      </c>
      <c r="G19" s="36">
        <f t="shared" si="1"/>
        <v>2.9750746723559889</v>
      </c>
      <c r="H19" s="27"/>
      <c r="I19" s="27"/>
      <c r="J19" s="27"/>
      <c r="K19" s="11"/>
      <c r="M19" s="12"/>
    </row>
    <row r="20" spans="1:13" s="1" customFormat="1" x14ac:dyDescent="0.3">
      <c r="A20" s="38"/>
      <c r="B20" s="39"/>
      <c r="C20" s="40">
        <v>2</v>
      </c>
      <c r="D20" s="10">
        <f>2/3.281</f>
        <v>0.6095702529716549</v>
      </c>
      <c r="E20" s="10">
        <v>1.83</v>
      </c>
      <c r="F20" s="10">
        <f t="shared" si="0"/>
        <v>2.2310271258762571</v>
      </c>
      <c r="G20" s="36">
        <f t="shared" si="1"/>
        <v>2.2310271258762571</v>
      </c>
      <c r="H20" s="27"/>
      <c r="I20" s="27"/>
      <c r="J20" s="27"/>
      <c r="K20" s="11"/>
      <c r="M20" s="12"/>
    </row>
    <row r="21" spans="1:13" s="1" customFormat="1" x14ac:dyDescent="0.3">
      <c r="A21" s="38"/>
      <c r="B21" s="39"/>
      <c r="C21" s="40">
        <v>2</v>
      </c>
      <c r="D21" s="10">
        <f>1.333/3.281</f>
        <v>0.40627857360560804</v>
      </c>
      <c r="E21" s="10">
        <v>1.83</v>
      </c>
      <c r="F21" s="10">
        <f t="shared" si="0"/>
        <v>1.4869795793965255</v>
      </c>
      <c r="G21" s="36">
        <f t="shared" si="1"/>
        <v>1.4869795793965255</v>
      </c>
      <c r="H21" s="27"/>
      <c r="I21" s="27"/>
      <c r="J21" s="27"/>
      <c r="K21" s="11"/>
      <c r="M21" s="12"/>
    </row>
    <row r="22" spans="1:13" s="1" customFormat="1" x14ac:dyDescent="0.3">
      <c r="A22" s="38"/>
      <c r="B22" s="39"/>
      <c r="C22" s="40">
        <v>2</v>
      </c>
      <c r="D22" s="10">
        <f>8/12/3.281</f>
        <v>0.20319008432388497</v>
      </c>
      <c r="E22" s="10">
        <v>1.83</v>
      </c>
      <c r="F22" s="10">
        <f t="shared" si="0"/>
        <v>0.74367570862541899</v>
      </c>
      <c r="G22" s="36">
        <f t="shared" si="1"/>
        <v>0.74367570862541899</v>
      </c>
      <c r="H22" s="27"/>
      <c r="I22" s="27"/>
      <c r="J22" s="27"/>
      <c r="K22" s="11"/>
      <c r="M22" s="12"/>
    </row>
    <row r="23" spans="1:13" s="1" customFormat="1" ht="27.6" x14ac:dyDescent="0.3">
      <c r="A23" s="38"/>
      <c r="B23" s="39" t="s">
        <v>52</v>
      </c>
      <c r="C23" s="40">
        <f>2*5</f>
        <v>10</v>
      </c>
      <c r="D23" s="10">
        <f>(0.75+30+0.75)/3.281</f>
        <v>9.6007314843035658</v>
      </c>
      <c r="E23" s="10">
        <v>2.72</v>
      </c>
      <c r="F23" s="10">
        <f t="shared" si="0"/>
        <v>261.13989637305701</v>
      </c>
      <c r="G23" s="36">
        <f t="shared" si="1"/>
        <v>261.13989637305701</v>
      </c>
      <c r="H23" s="27"/>
      <c r="I23" s="27"/>
      <c r="J23" s="27"/>
      <c r="K23" s="11"/>
      <c r="M23" s="12"/>
    </row>
    <row r="24" spans="1:13" s="1" customFormat="1" x14ac:dyDescent="0.3">
      <c r="A24" s="21"/>
      <c r="B24" s="39" t="s">
        <v>26</v>
      </c>
      <c r="C24" s="22"/>
      <c r="D24" s="23"/>
      <c r="E24" s="24"/>
      <c r="F24" s="24"/>
      <c r="G24" s="27">
        <f>SUM(G10:G23)</f>
        <v>793.76666260286504</v>
      </c>
      <c r="H24" s="25" t="s">
        <v>31</v>
      </c>
      <c r="I24" s="26">
        <v>181.17</v>
      </c>
      <c r="J24" s="27">
        <f>G24*I24</f>
        <v>143806.70626376104</v>
      </c>
      <c r="K24" s="24"/>
    </row>
    <row r="25" spans="1:13" s="1" customFormat="1" x14ac:dyDescent="0.3">
      <c r="A25" s="21"/>
      <c r="B25" s="39" t="s">
        <v>39</v>
      </c>
      <c r="C25" s="22"/>
      <c r="D25" s="23"/>
      <c r="E25" s="24"/>
      <c r="F25" s="24"/>
      <c r="G25" s="27"/>
      <c r="H25" s="25"/>
      <c r="I25" s="26"/>
      <c r="J25" s="27">
        <f>0.13*G24*(1871.42/18.94)</f>
        <v>10195.945353995407</v>
      </c>
      <c r="K25" s="24"/>
    </row>
    <row r="26" spans="1:13" s="1" customFormat="1" ht="15" x14ac:dyDescent="0.3">
      <c r="A26" s="21"/>
      <c r="B26" s="37"/>
      <c r="C26" s="22"/>
      <c r="D26" s="23"/>
      <c r="E26" s="24"/>
      <c r="F26" s="24"/>
      <c r="G26" s="28"/>
      <c r="H26" s="25"/>
      <c r="I26" s="26"/>
      <c r="J26" s="27"/>
      <c r="K26" s="24"/>
    </row>
    <row r="27" spans="1:13" s="1" customFormat="1" ht="45" x14ac:dyDescent="0.3">
      <c r="A27" s="38">
        <v>2</v>
      </c>
      <c r="B27" s="37" t="s">
        <v>32</v>
      </c>
      <c r="C27" s="40"/>
      <c r="D27" s="10"/>
      <c r="E27" s="10"/>
      <c r="F27" s="10"/>
      <c r="G27" s="36"/>
      <c r="H27" s="27"/>
      <c r="I27" s="27"/>
      <c r="J27" s="27"/>
      <c r="K27" s="11"/>
      <c r="M27" s="12"/>
    </row>
    <row r="28" spans="1:13" s="1" customFormat="1" x14ac:dyDescent="0.3">
      <c r="A28" s="38"/>
      <c r="B28" s="39"/>
      <c r="C28" s="40">
        <v>2</v>
      </c>
      <c r="D28" s="10">
        <f>16/3.281</f>
        <v>4.8765620237732392</v>
      </c>
      <c r="E28" s="10">
        <f>31.5/3.281</f>
        <v>9.6007314843035658</v>
      </c>
      <c r="F28" s="10"/>
      <c r="G28" s="36">
        <f>PRODUCT(C28:F28)</f>
        <v>93.637125113597705</v>
      </c>
      <c r="H28" s="27"/>
      <c r="I28" s="27"/>
      <c r="J28" s="27"/>
      <c r="K28" s="11"/>
      <c r="M28" s="12"/>
    </row>
    <row r="29" spans="1:13" s="1" customFormat="1" x14ac:dyDescent="0.3">
      <c r="A29" s="21"/>
      <c r="B29" s="39" t="s">
        <v>26</v>
      </c>
      <c r="C29" s="22"/>
      <c r="D29" s="23"/>
      <c r="E29" s="24"/>
      <c r="F29" s="24"/>
      <c r="G29" s="27">
        <f>SUM(G28:G28)</f>
        <v>93.637125113597705</v>
      </c>
      <c r="H29" s="25" t="s">
        <v>33</v>
      </c>
      <c r="I29" s="26">
        <v>1070.9000000000001</v>
      </c>
      <c r="J29" s="27">
        <f>G29*I29</f>
        <v>100275.99728415179</v>
      </c>
      <c r="K29" s="24"/>
    </row>
    <row r="30" spans="1:13" s="1" customFormat="1" x14ac:dyDescent="0.3">
      <c r="A30" s="21"/>
      <c r="B30" s="39" t="s">
        <v>39</v>
      </c>
      <c r="C30" s="22"/>
      <c r="D30" s="23"/>
      <c r="E30" s="24"/>
      <c r="F30" s="24"/>
      <c r="G30" s="27"/>
      <c r="H30" s="25"/>
      <c r="I30" s="26"/>
      <c r="J30" s="27">
        <f>0.13*G29*8587.63/10</f>
        <v>10453.572801610706</v>
      </c>
      <c r="K30" s="24"/>
    </row>
    <row r="31" spans="1:13" s="1" customFormat="1" x14ac:dyDescent="0.3">
      <c r="A31" s="21"/>
      <c r="B31" s="39"/>
      <c r="C31" s="22"/>
      <c r="D31" s="23"/>
      <c r="E31" s="24"/>
      <c r="F31" s="24"/>
      <c r="G31" s="27"/>
      <c r="H31" s="25"/>
      <c r="I31" s="26"/>
      <c r="J31" s="27"/>
      <c r="K31" s="24"/>
    </row>
    <row r="32" spans="1:13" s="1" customFormat="1" ht="30" x14ac:dyDescent="0.3">
      <c r="A32" s="21">
        <v>3</v>
      </c>
      <c r="B32" s="37" t="s">
        <v>40</v>
      </c>
      <c r="C32" s="22"/>
      <c r="D32" s="23"/>
      <c r="E32" s="24"/>
      <c r="F32" s="24"/>
      <c r="G32" s="27"/>
      <c r="H32" s="25"/>
      <c r="I32" s="26"/>
      <c r="J32" s="27"/>
      <c r="K32" s="24"/>
    </row>
    <row r="33" spans="1:11" s="1" customFormat="1" x14ac:dyDescent="0.3">
      <c r="A33" s="21"/>
      <c r="B33" s="39" t="s">
        <v>41</v>
      </c>
      <c r="C33" s="22">
        <f>3*4</f>
        <v>12</v>
      </c>
      <c r="D33" s="23">
        <v>0.9</v>
      </c>
      <c r="E33" s="24">
        <v>0.9</v>
      </c>
      <c r="F33" s="24">
        <f>3/3.281</f>
        <v>0.91435537945748246</v>
      </c>
      <c r="G33" s="36">
        <f>PRODUCT(C33:F33)</f>
        <v>8.8875342883267301</v>
      </c>
      <c r="H33" s="25"/>
      <c r="I33" s="26"/>
      <c r="J33" s="27"/>
      <c r="K33" s="24"/>
    </row>
    <row r="34" spans="1:11" s="1" customFormat="1" x14ac:dyDescent="0.3">
      <c r="A34" s="21"/>
      <c r="B34" s="39" t="s">
        <v>26</v>
      </c>
      <c r="C34" s="22"/>
      <c r="D34" s="23"/>
      <c r="E34" s="24"/>
      <c r="F34" s="24"/>
      <c r="G34" s="27">
        <f>SUM(G33:G33)</f>
        <v>8.8875342883267301</v>
      </c>
      <c r="H34" s="25" t="s">
        <v>42</v>
      </c>
      <c r="I34" s="26">
        <v>663.31</v>
      </c>
      <c r="J34" s="27">
        <f>G34*I34</f>
        <v>5895.190368790003</v>
      </c>
      <c r="K34" s="24"/>
    </row>
    <row r="35" spans="1:11" s="1" customFormat="1" x14ac:dyDescent="0.3">
      <c r="A35" s="21"/>
      <c r="B35" s="39"/>
      <c r="C35" s="22"/>
      <c r="D35" s="23"/>
      <c r="E35" s="24"/>
      <c r="F35" s="24"/>
      <c r="G35" s="27"/>
      <c r="H35" s="25"/>
      <c r="I35" s="26"/>
      <c r="J35" s="27"/>
      <c r="K35" s="24"/>
    </row>
    <row r="36" spans="1:11" s="1" customFormat="1" ht="30" x14ac:dyDescent="0.3">
      <c r="A36" s="21">
        <v>3</v>
      </c>
      <c r="B36" s="37" t="s">
        <v>43</v>
      </c>
      <c r="C36" s="22"/>
      <c r="D36" s="23"/>
      <c r="E36" s="24"/>
      <c r="F36" s="24"/>
      <c r="G36" s="27"/>
      <c r="H36" s="25"/>
      <c r="I36" s="26"/>
      <c r="J36" s="27"/>
      <c r="K36" s="24"/>
    </row>
    <row r="37" spans="1:11" s="1" customFormat="1" x14ac:dyDescent="0.3">
      <c r="A37" s="21"/>
      <c r="B37" s="39" t="s">
        <v>41</v>
      </c>
      <c r="C37" s="22">
        <f>3*4</f>
        <v>12</v>
      </c>
      <c r="D37" s="23">
        <v>0.75</v>
      </c>
      <c r="E37" s="24">
        <v>0.75</v>
      </c>
      <c r="F37" s="24">
        <v>0.15</v>
      </c>
      <c r="G37" s="36">
        <f>PRODUCT(C37:F37)</f>
        <v>1.0125</v>
      </c>
      <c r="H37" s="25"/>
      <c r="I37" s="26"/>
      <c r="J37" s="27"/>
      <c r="K37" s="24"/>
    </row>
    <row r="38" spans="1:11" s="1" customFormat="1" x14ac:dyDescent="0.3">
      <c r="A38" s="21"/>
      <c r="B38" s="39" t="s">
        <v>26</v>
      </c>
      <c r="C38" s="22"/>
      <c r="D38" s="23"/>
      <c r="E38" s="24"/>
      <c r="F38" s="24"/>
      <c r="G38" s="27">
        <f>SUM(G37:G37)</f>
        <v>1.0125</v>
      </c>
      <c r="H38" s="25" t="s">
        <v>42</v>
      </c>
      <c r="I38" s="26">
        <v>4473.1499999999996</v>
      </c>
      <c r="J38" s="27">
        <f>G38*I38</f>
        <v>4529.064374999999</v>
      </c>
      <c r="K38" s="24"/>
    </row>
    <row r="39" spans="1:11" s="1" customFormat="1" x14ac:dyDescent="0.3">
      <c r="A39" s="21"/>
      <c r="B39" s="39" t="s">
        <v>39</v>
      </c>
      <c r="C39" s="22"/>
      <c r="D39" s="23"/>
      <c r="E39" s="24"/>
      <c r="F39" s="24"/>
      <c r="G39" s="27"/>
      <c r="H39" s="25"/>
      <c r="I39" s="26"/>
      <c r="J39" s="27">
        <f>0.13*G38*3093.15</f>
        <v>407.13586874999999</v>
      </c>
      <c r="K39" s="24"/>
    </row>
    <row r="40" spans="1:11" s="1" customFormat="1" x14ac:dyDescent="0.3">
      <c r="A40" s="21"/>
      <c r="B40" s="39"/>
      <c r="C40" s="22"/>
      <c r="D40" s="23"/>
      <c r="E40" s="24"/>
      <c r="F40" s="24"/>
      <c r="G40" s="27"/>
      <c r="H40" s="25"/>
      <c r="I40" s="26"/>
      <c r="J40" s="27"/>
      <c r="K40" s="24"/>
    </row>
    <row r="41" spans="1:11" s="1" customFormat="1" ht="30" x14ac:dyDescent="0.3">
      <c r="A41" s="21">
        <v>3</v>
      </c>
      <c r="B41" s="37" t="s">
        <v>44</v>
      </c>
      <c r="C41" s="22"/>
      <c r="D41" s="23"/>
      <c r="E41" s="24"/>
      <c r="F41" s="24"/>
      <c r="G41" s="27"/>
      <c r="H41" s="25"/>
      <c r="I41" s="26"/>
      <c r="J41" s="27"/>
      <c r="K41" s="24"/>
    </row>
    <row r="42" spans="1:11" s="1" customFormat="1" x14ac:dyDescent="0.3">
      <c r="A42" s="21"/>
      <c r="B42" s="39" t="s">
        <v>41</v>
      </c>
      <c r="C42" s="22">
        <f>3*4</f>
        <v>12</v>
      </c>
      <c r="D42" s="23">
        <v>0.75</v>
      </c>
      <c r="E42" s="24">
        <v>0.75</v>
      </c>
      <c r="F42" s="24">
        <v>0.05</v>
      </c>
      <c r="G42" s="36">
        <f>PRODUCT(C42:F42)</f>
        <v>0.33750000000000002</v>
      </c>
      <c r="H42" s="25"/>
      <c r="I42" s="26"/>
      <c r="J42" s="27"/>
      <c r="K42" s="24"/>
    </row>
    <row r="43" spans="1:11" s="1" customFormat="1" x14ac:dyDescent="0.3">
      <c r="A43" s="21"/>
      <c r="B43" s="39" t="s">
        <v>26</v>
      </c>
      <c r="C43" s="22"/>
      <c r="D43" s="23"/>
      <c r="E43" s="24"/>
      <c r="F43" s="24"/>
      <c r="G43" s="27">
        <f>SUM(G42:G42)</f>
        <v>0.33750000000000002</v>
      </c>
      <c r="H43" s="25" t="s">
        <v>42</v>
      </c>
      <c r="I43" s="26">
        <v>12983.1</v>
      </c>
      <c r="J43" s="27">
        <f>G43*I43</f>
        <v>4381.7962500000003</v>
      </c>
      <c r="K43" s="24"/>
    </row>
    <row r="44" spans="1:11" s="1" customFormat="1" x14ac:dyDescent="0.3">
      <c r="A44" s="21"/>
      <c r="B44" s="39" t="s">
        <v>39</v>
      </c>
      <c r="C44" s="22"/>
      <c r="D44" s="23"/>
      <c r="E44" s="24"/>
      <c r="F44" s="24"/>
      <c r="G44" s="27"/>
      <c r="H44" s="25"/>
      <c r="I44" s="26"/>
      <c r="J44" s="27">
        <f>0.13*G43*8078.11</f>
        <v>354.42707625000003</v>
      </c>
      <c r="K44" s="24"/>
    </row>
    <row r="45" spans="1:11" s="1" customFormat="1" x14ac:dyDescent="0.3">
      <c r="A45" s="21"/>
      <c r="B45" s="39"/>
      <c r="C45" s="22"/>
      <c r="D45" s="23"/>
      <c r="E45" s="24"/>
      <c r="F45" s="24"/>
      <c r="G45" s="27"/>
      <c r="H45" s="25"/>
      <c r="I45" s="26"/>
      <c r="J45" s="27"/>
      <c r="K45" s="24"/>
    </row>
    <row r="60" spans="1:11" s="1" customFormat="1" ht="30" x14ac:dyDescent="0.3">
      <c r="A60" s="21">
        <v>3</v>
      </c>
      <c r="B60" s="37" t="s">
        <v>45</v>
      </c>
      <c r="C60" s="22"/>
      <c r="D60" s="23"/>
      <c r="E60" s="24"/>
      <c r="F60" s="24"/>
      <c r="G60" s="27"/>
      <c r="H60" s="25"/>
      <c r="I60" s="26"/>
      <c r="J60" s="27"/>
      <c r="K60" s="24"/>
    </row>
    <row r="61" spans="1:11" s="1" customFormat="1" x14ac:dyDescent="0.3">
      <c r="A61" s="21"/>
      <c r="B61" s="39" t="s">
        <v>41</v>
      </c>
      <c r="C61" s="22">
        <f>3*4</f>
        <v>12</v>
      </c>
      <c r="D61" s="23">
        <v>0.6</v>
      </c>
      <c r="E61" s="24">
        <v>0.6</v>
      </c>
      <c r="F61" s="24">
        <v>0.6</v>
      </c>
      <c r="G61" s="36">
        <f>PRODUCT(C61:F61)</f>
        <v>2.5919999999999996</v>
      </c>
      <c r="H61" s="25"/>
      <c r="I61" s="26"/>
      <c r="J61" s="27"/>
      <c r="K61" s="24"/>
    </row>
    <row r="62" spans="1:11" s="1" customFormat="1" x14ac:dyDescent="0.3">
      <c r="A62" s="21"/>
      <c r="B62" s="39" t="s">
        <v>26</v>
      </c>
      <c r="C62" s="22"/>
      <c r="D62" s="23"/>
      <c r="E62" s="24"/>
      <c r="F62" s="24"/>
      <c r="G62" s="27">
        <f>SUM(G61:G61)</f>
        <v>2.5919999999999996</v>
      </c>
      <c r="H62" s="25" t="s">
        <v>42</v>
      </c>
      <c r="I62" s="26">
        <v>13568.9</v>
      </c>
      <c r="J62" s="27">
        <f>G62*I62</f>
        <v>35170.588799999998</v>
      </c>
      <c r="K62" s="24"/>
    </row>
    <row r="63" spans="1:11" s="1" customFormat="1" x14ac:dyDescent="0.3">
      <c r="A63" s="21"/>
      <c r="B63" s="39" t="s">
        <v>39</v>
      </c>
      <c r="C63" s="22"/>
      <c r="D63" s="23"/>
      <c r="E63" s="24"/>
      <c r="F63" s="24"/>
      <c r="G63" s="27"/>
      <c r="H63" s="25"/>
      <c r="I63" s="26"/>
      <c r="J63" s="27">
        <f>0.13*G62*9524.2</f>
        <v>3209.2744320000002</v>
      </c>
      <c r="K63" s="24"/>
    </row>
    <row r="64" spans="1:11" s="1" customFormat="1" x14ac:dyDescent="0.3">
      <c r="A64" s="21"/>
      <c r="B64" s="39"/>
      <c r="C64" s="22"/>
      <c r="D64" s="23"/>
      <c r="E64" s="24"/>
      <c r="F64" s="24"/>
      <c r="G64" s="27"/>
      <c r="H64" s="25"/>
      <c r="I64" s="26"/>
      <c r="J64" s="27"/>
      <c r="K64" s="24"/>
    </row>
    <row r="65" spans="1:31" s="1" customFormat="1" ht="27.6" x14ac:dyDescent="0.3">
      <c r="A65" s="21">
        <v>3</v>
      </c>
      <c r="B65" s="41" t="s">
        <v>35</v>
      </c>
      <c r="C65" s="22">
        <v>1</v>
      </c>
      <c r="D65" s="23"/>
      <c r="E65" s="24"/>
      <c r="F65" s="24"/>
      <c r="G65" s="36">
        <f>PRODUCT(C65:F65)</f>
        <v>1</v>
      </c>
      <c r="H65" s="25" t="s">
        <v>36</v>
      </c>
      <c r="I65" s="26">
        <v>5000</v>
      </c>
      <c r="J65" s="27">
        <f>G65*I65</f>
        <v>5000</v>
      </c>
      <c r="K65" s="24"/>
    </row>
    <row r="66" spans="1:31" s="1" customFormat="1" x14ac:dyDescent="0.3">
      <c r="A66" s="21"/>
      <c r="B66" s="39"/>
      <c r="C66" s="22"/>
      <c r="D66" s="23"/>
      <c r="E66" s="24"/>
      <c r="F66" s="24"/>
      <c r="G66" s="27"/>
      <c r="H66" s="25"/>
      <c r="I66" s="26"/>
      <c r="J66" s="27"/>
      <c r="K66" s="24"/>
    </row>
    <row r="67" spans="1:31" s="1" customFormat="1" x14ac:dyDescent="0.3">
      <c r="A67" s="21">
        <v>4</v>
      </c>
      <c r="B67" s="41" t="s">
        <v>37</v>
      </c>
      <c r="C67" s="22">
        <v>1</v>
      </c>
      <c r="D67" s="23"/>
      <c r="E67" s="24"/>
      <c r="F67" s="24"/>
      <c r="G67" s="36">
        <f>PRODUCT(C67:F67)</f>
        <v>1</v>
      </c>
      <c r="H67" s="25" t="s">
        <v>36</v>
      </c>
      <c r="I67" s="26">
        <v>500</v>
      </c>
      <c r="J67" s="27">
        <f>G67*I67</f>
        <v>500</v>
      </c>
      <c r="K67" s="24"/>
    </row>
    <row r="68" spans="1:31" s="1" customFormat="1" x14ac:dyDescent="0.3">
      <c r="A68" s="21"/>
      <c r="B68" s="39"/>
      <c r="C68" s="22"/>
      <c r="D68" s="23"/>
      <c r="E68" s="24"/>
      <c r="F68" s="24"/>
      <c r="G68" s="27"/>
      <c r="H68" s="25"/>
      <c r="I68" s="26"/>
      <c r="J68" s="27"/>
      <c r="K68" s="24"/>
    </row>
    <row r="69" spans="1:31" x14ac:dyDescent="0.3">
      <c r="A69" s="9"/>
      <c r="B69" s="20" t="s">
        <v>16</v>
      </c>
      <c r="C69" s="8"/>
      <c r="D69" s="6"/>
      <c r="E69" s="6"/>
      <c r="F69" s="6"/>
      <c r="G69" s="33"/>
      <c r="H69" s="7"/>
      <c r="I69" s="7"/>
      <c r="J69" s="7">
        <f>SUM(J10:J68)</f>
        <v>324179.69887430896</v>
      </c>
      <c r="K69" s="4"/>
      <c r="M69" s="29"/>
      <c r="P69" s="32"/>
      <c r="Q69" s="32"/>
    </row>
    <row r="70" spans="1:31" x14ac:dyDescent="0.3">
      <c r="M70" s="29"/>
      <c r="N70" s="30"/>
      <c r="O70" s="30"/>
      <c r="P70" s="31"/>
      <c r="R70" s="30"/>
      <c r="S70" s="30"/>
      <c r="T70" s="30"/>
      <c r="U70" s="29"/>
      <c r="V70" s="29"/>
      <c r="W70" s="29"/>
      <c r="X70" s="29"/>
      <c r="Y70" s="29"/>
      <c r="Z70" s="29"/>
      <c r="AA70" s="29"/>
      <c r="AB70" s="29"/>
      <c r="AC70" s="29"/>
      <c r="AD70" s="29"/>
      <c r="AE70" s="29"/>
    </row>
    <row r="71" spans="1:31" s="1" customFormat="1" x14ac:dyDescent="0.3">
      <c r="B71" s="11" t="s">
        <v>22</v>
      </c>
      <c r="C71" s="64">
        <f>J69</f>
        <v>324179.69887430896</v>
      </c>
      <c r="D71" s="65"/>
      <c r="E71" s="10">
        <v>100</v>
      </c>
      <c r="F71" s="12"/>
      <c r="G71" s="13"/>
      <c r="H71" s="12"/>
      <c r="I71" s="14"/>
      <c r="J71" s="15"/>
      <c r="K71" s="16"/>
      <c r="M71" s="12"/>
      <c r="N71" s="30"/>
      <c r="O71" s="30"/>
      <c r="P71" s="30"/>
      <c r="Q71" s="30"/>
      <c r="R71" s="30"/>
      <c r="S71" s="30"/>
      <c r="T71" s="30"/>
      <c r="U71" s="12"/>
      <c r="V71" s="12"/>
      <c r="W71" s="12"/>
      <c r="X71" s="12"/>
      <c r="Y71" s="12"/>
      <c r="Z71" s="12"/>
      <c r="AA71" s="12"/>
      <c r="AB71" s="12"/>
      <c r="AC71" s="12"/>
      <c r="AD71" s="12"/>
      <c r="AE71" s="12"/>
    </row>
    <row r="72" spans="1:31" x14ac:dyDescent="0.3">
      <c r="B72" s="11" t="s">
        <v>17</v>
      </c>
      <c r="C72" s="67">
        <v>400000</v>
      </c>
      <c r="D72" s="68"/>
      <c r="E72" s="10"/>
      <c r="M72" s="29"/>
      <c r="N72" s="30"/>
      <c r="O72" s="30"/>
      <c r="P72" s="30"/>
      <c r="Q72" s="30"/>
      <c r="R72" s="30"/>
      <c r="S72" s="30"/>
      <c r="T72" s="30"/>
      <c r="U72" s="29"/>
      <c r="V72" s="29"/>
      <c r="W72" s="29"/>
      <c r="X72" s="29"/>
      <c r="Y72" s="29"/>
      <c r="Z72" s="29"/>
      <c r="AA72" s="29"/>
      <c r="AB72" s="29"/>
      <c r="AC72" s="29"/>
      <c r="AD72" s="29"/>
      <c r="AE72" s="29"/>
    </row>
    <row r="73" spans="1:31" x14ac:dyDescent="0.3">
      <c r="B73" s="11" t="s">
        <v>18</v>
      </c>
      <c r="C73" s="67">
        <f>C72-C75-C76</f>
        <v>380000</v>
      </c>
      <c r="D73" s="68"/>
      <c r="E73" s="10">
        <f>C73/C71*100</f>
        <v>117.21893792841533</v>
      </c>
      <c r="M73" s="29"/>
      <c r="N73" s="29"/>
      <c r="O73" s="29"/>
      <c r="P73" s="29"/>
      <c r="Q73" s="29"/>
      <c r="R73" s="29"/>
      <c r="S73" s="29"/>
      <c r="T73" s="29"/>
      <c r="U73" s="29"/>
      <c r="V73" s="29"/>
      <c r="W73" s="29"/>
      <c r="X73" s="29"/>
      <c r="Y73" s="29"/>
      <c r="Z73" s="29"/>
      <c r="AA73" s="29"/>
      <c r="AB73" s="29"/>
      <c r="AC73" s="29"/>
      <c r="AD73" s="29"/>
      <c r="AE73" s="29"/>
    </row>
    <row r="74" spans="1:31" x14ac:dyDescent="0.3">
      <c r="B74" s="11" t="s">
        <v>19</v>
      </c>
      <c r="C74" s="69">
        <f>C71-C73</f>
        <v>-55820.301125691039</v>
      </c>
      <c r="D74" s="69"/>
      <c r="E74" s="10">
        <f>100-E73</f>
        <v>-17.218937928415329</v>
      </c>
      <c r="M74" s="29"/>
      <c r="N74" s="29"/>
      <c r="O74" s="29"/>
      <c r="P74" s="29"/>
      <c r="Q74" s="29"/>
      <c r="R74" s="29"/>
      <c r="S74" s="29"/>
      <c r="T74" s="29"/>
      <c r="U74" s="29"/>
      <c r="V74" s="29"/>
      <c r="W74" s="29"/>
      <c r="X74" s="29"/>
      <c r="Y74" s="29"/>
      <c r="Z74" s="29"/>
      <c r="AA74" s="29"/>
      <c r="AB74" s="29"/>
      <c r="AC74" s="29"/>
      <c r="AD74" s="29"/>
      <c r="AE74" s="29"/>
    </row>
    <row r="75" spans="1:31" x14ac:dyDescent="0.3">
      <c r="B75" s="11" t="s">
        <v>20</v>
      </c>
      <c r="C75" s="64">
        <f>C72*0.03</f>
        <v>12000</v>
      </c>
      <c r="D75" s="65"/>
      <c r="E75" s="10">
        <v>3</v>
      </c>
      <c r="M75" s="29"/>
      <c r="N75" s="29"/>
      <c r="O75" s="29"/>
      <c r="P75" s="29"/>
      <c r="Q75" s="29"/>
      <c r="R75" s="29"/>
      <c r="S75" s="29"/>
      <c r="T75" s="29"/>
      <c r="U75" s="29"/>
      <c r="V75" s="29"/>
      <c r="W75" s="29"/>
      <c r="X75" s="29"/>
      <c r="Y75" s="29"/>
      <c r="Z75" s="29"/>
      <c r="AA75" s="29"/>
      <c r="AB75" s="29"/>
      <c r="AC75" s="29"/>
      <c r="AD75" s="29"/>
      <c r="AE75" s="29"/>
    </row>
    <row r="76" spans="1:31" x14ac:dyDescent="0.3">
      <c r="B76" s="11" t="s">
        <v>21</v>
      </c>
      <c r="C76" s="64">
        <f>C72*0.02</f>
        <v>8000</v>
      </c>
      <c r="D76" s="65"/>
      <c r="E76" s="10">
        <v>2</v>
      </c>
      <c r="M76" s="29"/>
      <c r="N76" s="29"/>
      <c r="O76" s="29"/>
      <c r="P76" s="29"/>
      <c r="Q76" s="29"/>
      <c r="R76" s="29"/>
      <c r="S76" s="29"/>
      <c r="T76" s="29"/>
      <c r="U76" s="29"/>
      <c r="V76" s="29"/>
      <c r="W76" s="29"/>
      <c r="X76" s="29"/>
      <c r="Y76" s="29"/>
      <c r="Z76" s="29"/>
      <c r="AA76" s="29"/>
      <c r="AB76" s="29"/>
      <c r="AC76" s="29"/>
      <c r="AD76" s="29"/>
      <c r="AE76" s="29"/>
    </row>
  </sheetData>
  <mergeCells count="15">
    <mergeCell ref="C75:D75"/>
    <mergeCell ref="C76:D76"/>
    <mergeCell ref="A7:F7"/>
    <mergeCell ref="H7:K7"/>
    <mergeCell ref="C71:D71"/>
    <mergeCell ref="C72:D72"/>
    <mergeCell ref="C73:D73"/>
    <mergeCell ref="C74:D74"/>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view="pageBreakPreview" topLeftCell="A58" zoomScale="80" zoomScaleNormal="100" zoomScaleSheetLayoutView="80" workbookViewId="0">
      <selection activeCell="J53" sqref="J53"/>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0" t="s">
        <v>0</v>
      </c>
      <c r="B1" s="60"/>
      <c r="C1" s="60"/>
      <c r="D1" s="60"/>
      <c r="E1" s="60"/>
      <c r="F1" s="60"/>
      <c r="G1" s="60"/>
      <c r="H1" s="60"/>
      <c r="I1" s="60"/>
      <c r="J1" s="60"/>
      <c r="K1" s="60"/>
    </row>
    <row r="2" spans="1:13" s="1" customFormat="1" ht="22.8" x14ac:dyDescent="0.3">
      <c r="A2" s="61" t="s">
        <v>1</v>
      </c>
      <c r="B2" s="61"/>
      <c r="C2" s="61"/>
      <c r="D2" s="61"/>
      <c r="E2" s="61"/>
      <c r="F2" s="61"/>
      <c r="G2" s="61"/>
      <c r="H2" s="61"/>
      <c r="I2" s="61"/>
      <c r="J2" s="61"/>
      <c r="K2" s="61"/>
    </row>
    <row r="3" spans="1:13" s="1" customFormat="1" x14ac:dyDescent="0.3">
      <c r="A3" s="62" t="s">
        <v>2</v>
      </c>
      <c r="B3" s="62"/>
      <c r="C3" s="62"/>
      <c r="D3" s="62"/>
      <c r="E3" s="62"/>
      <c r="F3" s="62"/>
      <c r="G3" s="62"/>
      <c r="H3" s="62"/>
      <c r="I3" s="62"/>
      <c r="J3" s="62"/>
      <c r="K3" s="62"/>
    </row>
    <row r="4" spans="1:13" s="1" customFormat="1" x14ac:dyDescent="0.3">
      <c r="A4" s="62" t="s">
        <v>3</v>
      </c>
      <c r="B4" s="62"/>
      <c r="C4" s="62"/>
      <c r="D4" s="62"/>
      <c r="E4" s="62"/>
      <c r="F4" s="62"/>
      <c r="G4" s="62"/>
      <c r="H4" s="62"/>
      <c r="I4" s="62"/>
      <c r="J4" s="62"/>
      <c r="K4" s="62"/>
    </row>
    <row r="5" spans="1:13" ht="17.399999999999999" x14ac:dyDescent="0.3">
      <c r="A5" s="63" t="s">
        <v>4</v>
      </c>
      <c r="B5" s="63"/>
      <c r="C5" s="63"/>
      <c r="D5" s="63"/>
      <c r="E5" s="63"/>
      <c r="F5" s="63"/>
      <c r="G5" s="63"/>
      <c r="H5" s="63"/>
      <c r="I5" s="63"/>
      <c r="J5" s="63"/>
      <c r="K5" s="63"/>
    </row>
    <row r="6" spans="1:13" ht="18" x14ac:dyDescent="0.35">
      <c r="A6" s="58" t="s">
        <v>34</v>
      </c>
      <c r="B6" s="58"/>
      <c r="C6" s="58"/>
      <c r="D6" s="58"/>
      <c r="E6" s="58"/>
      <c r="F6" s="58"/>
      <c r="G6" s="58"/>
      <c r="H6" s="59" t="s">
        <v>24</v>
      </c>
      <c r="I6" s="59"/>
      <c r="J6" s="59"/>
      <c r="K6" s="59"/>
    </row>
    <row r="7" spans="1:13" ht="15.6" x14ac:dyDescent="0.3">
      <c r="A7" s="66" t="s">
        <v>23</v>
      </c>
      <c r="B7" s="66"/>
      <c r="C7" s="66"/>
      <c r="D7" s="66"/>
      <c r="E7" s="66"/>
      <c r="F7" s="66"/>
      <c r="G7" s="2"/>
      <c r="H7" s="59" t="s">
        <v>25</v>
      </c>
      <c r="I7" s="59"/>
      <c r="J7" s="59"/>
      <c r="K7" s="59"/>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f>3*5</f>
        <v>15</v>
      </c>
      <c r="D10" s="10">
        <f>(2.5+1.5+13)/3.281</f>
        <v>5.1813471502590671</v>
      </c>
      <c r="E10" s="10">
        <v>3.97</v>
      </c>
      <c r="F10" s="10">
        <f>PRODUCT(C10:E10)</f>
        <v>308.54922279792743</v>
      </c>
      <c r="G10" s="36">
        <f>F10</f>
        <v>308.54922279792743</v>
      </c>
      <c r="H10" s="27"/>
      <c r="I10" s="27"/>
      <c r="J10" s="27"/>
      <c r="K10" s="11"/>
      <c r="M10" s="12"/>
    </row>
    <row r="11" spans="1:13" s="1" customFormat="1" ht="41.4" x14ac:dyDescent="0.3">
      <c r="A11" s="38"/>
      <c r="B11" s="39" t="s">
        <v>47</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1.4" x14ac:dyDescent="0.3">
      <c r="A12" s="38"/>
      <c r="B12" s="39" t="s">
        <v>51</v>
      </c>
      <c r="C12" s="40">
        <f>2*5</f>
        <v>10</v>
      </c>
      <c r="D12" s="10">
        <f>16.333/3.281</f>
        <v>4.97805547089302</v>
      </c>
      <c r="E12" s="10">
        <v>2.72</v>
      </c>
      <c r="F12" s="10">
        <f t="shared" si="0"/>
        <v>135.40310880829014</v>
      </c>
      <c r="G12" s="36">
        <f t="shared" si="1"/>
        <v>135.40310880829014</v>
      </c>
      <c r="H12" s="27"/>
      <c r="I12" s="27"/>
      <c r="J12" s="27"/>
      <c r="K12" s="11"/>
      <c r="M12" s="12"/>
    </row>
    <row r="13" spans="1:13" s="1" customFormat="1" ht="41.4" x14ac:dyDescent="0.3">
      <c r="A13" s="38"/>
      <c r="B13" s="39" t="s">
        <v>48</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1.4" x14ac:dyDescent="0.3">
      <c r="A14" s="38"/>
      <c r="B14" s="39" t="s">
        <v>50</v>
      </c>
      <c r="C14" s="40">
        <f>2*5</f>
        <v>10</v>
      </c>
      <c r="D14" s="10">
        <f>4/3.281</f>
        <v>1.2191405059433098</v>
      </c>
      <c r="E14" s="10">
        <v>1.83</v>
      </c>
      <c r="F14" s="10">
        <f t="shared" si="0"/>
        <v>22.310271258762569</v>
      </c>
      <c r="G14" s="36">
        <f t="shared" si="1"/>
        <v>22.310271258762569</v>
      </c>
      <c r="H14" s="27"/>
      <c r="I14" s="27"/>
      <c r="J14" s="27"/>
      <c r="K14" s="11"/>
      <c r="M14" s="12"/>
    </row>
    <row r="15" spans="1:13" s="1" customFormat="1" x14ac:dyDescent="0.3">
      <c r="A15" s="38"/>
      <c r="B15" s="39"/>
      <c r="C15" s="40">
        <f t="shared" ref="C15:C21" si="2">2*5</f>
        <v>10</v>
      </c>
      <c r="D15" s="10">
        <f>3.583/3.281</f>
        <v>1.0920451081987199</v>
      </c>
      <c r="E15" s="10">
        <v>1.83</v>
      </c>
      <c r="F15" s="10">
        <f t="shared" si="0"/>
        <v>19.984425480036574</v>
      </c>
      <c r="G15" s="36">
        <f t="shared" si="1"/>
        <v>19.984425480036574</v>
      </c>
      <c r="H15" s="27"/>
      <c r="I15" s="27"/>
      <c r="J15" s="27"/>
      <c r="K15" s="11"/>
      <c r="M15" s="12"/>
    </row>
    <row r="16" spans="1:13" s="1" customFormat="1" x14ac:dyDescent="0.3">
      <c r="A16" s="38"/>
      <c r="B16" s="39"/>
      <c r="C16" s="40">
        <f t="shared" si="2"/>
        <v>10</v>
      </c>
      <c r="D16" s="10">
        <f>3.25/3.281</f>
        <v>0.99055166107893933</v>
      </c>
      <c r="E16" s="10">
        <v>1.83</v>
      </c>
      <c r="F16" s="10">
        <f t="shared" si="0"/>
        <v>18.12709539774459</v>
      </c>
      <c r="G16" s="36">
        <f t="shared" si="1"/>
        <v>18.12709539774459</v>
      </c>
      <c r="H16" s="27"/>
      <c r="I16" s="27"/>
      <c r="J16" s="27"/>
      <c r="K16" s="11"/>
      <c r="M16" s="12"/>
    </row>
    <row r="17" spans="1:13" s="1" customFormat="1" x14ac:dyDescent="0.3">
      <c r="A17" s="38"/>
      <c r="B17" s="39"/>
      <c r="C17" s="40">
        <f t="shared" si="2"/>
        <v>10</v>
      </c>
      <c r="D17" s="10">
        <f>3.083/3.281</f>
        <v>0.93965254495580619</v>
      </c>
      <c r="E17" s="10">
        <v>1.83</v>
      </c>
      <c r="F17" s="10">
        <f t="shared" si="0"/>
        <v>17.195641572691255</v>
      </c>
      <c r="G17" s="36">
        <f t="shared" si="1"/>
        <v>17.195641572691255</v>
      </c>
      <c r="H17" s="27"/>
      <c r="I17" s="27"/>
      <c r="J17" s="27"/>
      <c r="K17" s="11"/>
      <c r="M17" s="12"/>
    </row>
    <row r="18" spans="1:13" s="1" customFormat="1" ht="41.4" x14ac:dyDescent="0.3">
      <c r="A18" s="38"/>
      <c r="B18" s="39" t="s">
        <v>49</v>
      </c>
      <c r="C18" s="40">
        <f t="shared" si="2"/>
        <v>10</v>
      </c>
      <c r="D18" s="10">
        <f>2.667/3.281</f>
        <v>0.81286193233770188</v>
      </c>
      <c r="E18" s="10">
        <v>1.83</v>
      </c>
      <c r="F18" s="10">
        <f t="shared" si="0"/>
        <v>14.875373361779944</v>
      </c>
      <c r="G18" s="36">
        <f t="shared" si="1"/>
        <v>14.875373361779944</v>
      </c>
      <c r="H18" s="27"/>
      <c r="I18" s="27"/>
      <c r="J18" s="27"/>
      <c r="K18" s="11"/>
      <c r="M18" s="12"/>
    </row>
    <row r="19" spans="1:13" s="1" customFormat="1" x14ac:dyDescent="0.3">
      <c r="A19" s="38"/>
      <c r="B19" s="39"/>
      <c r="C19" s="40">
        <f t="shared" si="2"/>
        <v>10</v>
      </c>
      <c r="D19" s="10">
        <f>2/3.281</f>
        <v>0.6095702529716549</v>
      </c>
      <c r="E19" s="10">
        <v>1.83</v>
      </c>
      <c r="F19" s="10">
        <f t="shared" si="0"/>
        <v>11.155135629381284</v>
      </c>
      <c r="G19" s="36">
        <f t="shared" si="1"/>
        <v>11.155135629381284</v>
      </c>
      <c r="H19" s="27"/>
      <c r="I19" s="27"/>
      <c r="J19" s="27"/>
      <c r="K19" s="11"/>
      <c r="M19" s="12"/>
    </row>
    <row r="20" spans="1:13" s="1" customFormat="1" x14ac:dyDescent="0.3">
      <c r="A20" s="38"/>
      <c r="B20" s="39"/>
      <c r="C20" s="40">
        <f t="shared" si="2"/>
        <v>10</v>
      </c>
      <c r="D20" s="10">
        <f>1.333/3.281</f>
        <v>0.40627857360560804</v>
      </c>
      <c r="E20" s="10">
        <v>1.83</v>
      </c>
      <c r="F20" s="10">
        <f t="shared" si="0"/>
        <v>7.4348978969826263</v>
      </c>
      <c r="G20" s="36">
        <f t="shared" si="1"/>
        <v>7.4348978969826263</v>
      </c>
      <c r="H20" s="27"/>
      <c r="I20" s="27"/>
      <c r="J20" s="27"/>
      <c r="K20" s="11"/>
      <c r="M20" s="12"/>
    </row>
    <row r="21" spans="1:13" s="1" customFormat="1" x14ac:dyDescent="0.3">
      <c r="A21" s="38"/>
      <c r="B21" s="39"/>
      <c r="C21" s="40">
        <f t="shared" si="2"/>
        <v>10</v>
      </c>
      <c r="D21" s="10">
        <f>8/12/3.281</f>
        <v>0.20319008432388497</v>
      </c>
      <c r="E21" s="10">
        <v>1.83</v>
      </c>
      <c r="F21" s="10">
        <f t="shared" si="0"/>
        <v>3.7183785431270953</v>
      </c>
      <c r="G21" s="36">
        <f t="shared" si="1"/>
        <v>3.7183785431270953</v>
      </c>
      <c r="H21" s="27"/>
      <c r="I21" s="27"/>
      <c r="J21" s="27"/>
      <c r="K21" s="11"/>
      <c r="M21" s="12"/>
    </row>
    <row r="22" spans="1:13" s="1" customFormat="1" ht="27.6" x14ac:dyDescent="0.3">
      <c r="A22" s="38"/>
      <c r="B22" s="39" t="s">
        <v>52</v>
      </c>
      <c r="C22" s="40">
        <f>2*6</f>
        <v>12</v>
      </c>
      <c r="D22" s="10">
        <f>44/3.281</f>
        <v>13.41054556537641</v>
      </c>
      <c r="E22" s="10">
        <v>2.72</v>
      </c>
      <c r="F22" s="10">
        <f>PRODUCT(C22:E22)</f>
        <v>437.72020725388603</v>
      </c>
      <c r="G22" s="36">
        <f>F22</f>
        <v>437.72020725388603</v>
      </c>
      <c r="H22" s="27"/>
      <c r="I22" s="27"/>
      <c r="J22" s="27"/>
      <c r="K22" s="11"/>
      <c r="M22" s="12"/>
    </row>
    <row r="23" spans="1:13" s="1" customFormat="1" x14ac:dyDescent="0.3">
      <c r="A23" s="21"/>
      <c r="B23" s="39" t="s">
        <v>26</v>
      </c>
      <c r="C23" s="22"/>
      <c r="D23" s="23"/>
      <c r="E23" s="24"/>
      <c r="F23" s="24"/>
      <c r="G23" s="27">
        <f>SUM(G10:G22)</f>
        <v>1146.2223102712587</v>
      </c>
      <c r="H23" s="25" t="s">
        <v>31</v>
      </c>
      <c r="I23" s="26">
        <v>181.17</v>
      </c>
      <c r="J23" s="27">
        <f>G23*I23</f>
        <v>207661.09595184392</v>
      </c>
      <c r="K23" s="24"/>
    </row>
    <row r="24" spans="1:13" s="1" customFormat="1" x14ac:dyDescent="0.3">
      <c r="A24" s="21"/>
      <c r="B24" s="39" t="s">
        <v>39</v>
      </c>
      <c r="C24" s="22"/>
      <c r="D24" s="23"/>
      <c r="E24" s="24"/>
      <c r="F24" s="24"/>
      <c r="G24" s="27"/>
      <c r="H24" s="25"/>
      <c r="I24" s="26"/>
      <c r="J24" s="27">
        <f>0.13*G23*(1871.42/18.94)</f>
        <v>14723.243731014734</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3">
      <c r="A28" s="21"/>
      <c r="B28" s="39" t="s">
        <v>26</v>
      </c>
      <c r="C28" s="22"/>
      <c r="D28" s="23"/>
      <c r="E28" s="24"/>
      <c r="F28" s="24"/>
      <c r="G28" s="27">
        <f>SUM(G27:G27)</f>
        <v>133.51687943876433</v>
      </c>
      <c r="H28" s="25" t="s">
        <v>33</v>
      </c>
      <c r="I28" s="26">
        <v>1070.9000000000001</v>
      </c>
      <c r="J28" s="27">
        <f>G28*I28</f>
        <v>142983.22619097272</v>
      </c>
      <c r="K28" s="24"/>
    </row>
    <row r="29" spans="1:13" s="1" customFormat="1" x14ac:dyDescent="0.3">
      <c r="A29" s="21"/>
      <c r="B29" s="39" t="s">
        <v>39</v>
      </c>
      <c r="C29" s="22"/>
      <c r="D29" s="23"/>
      <c r="E29" s="24"/>
      <c r="F29" s="24"/>
      <c r="G29" s="27"/>
      <c r="H29" s="25"/>
      <c r="I29" s="26"/>
      <c r="J29" s="27">
        <f>0.13*G28*8587.63/10</f>
        <v>14905.716271871303</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41</v>
      </c>
      <c r="C32" s="22">
        <f>3*5</f>
        <v>15</v>
      </c>
      <c r="D32" s="23">
        <v>0.45</v>
      </c>
      <c r="E32" s="24">
        <v>0.45</v>
      </c>
      <c r="F32" s="24">
        <f>(2.5+0.25+0.17)/3.281</f>
        <v>0.88997256933861624</v>
      </c>
      <c r="G32" s="36">
        <f>PRODUCT(C32:F32)</f>
        <v>2.7032916793660471</v>
      </c>
      <c r="H32" s="25"/>
      <c r="I32" s="26"/>
      <c r="J32" s="27"/>
      <c r="K32" s="24"/>
    </row>
    <row r="33" spans="1:11" s="1" customFormat="1" x14ac:dyDescent="0.3">
      <c r="A33" s="21"/>
      <c r="B33" s="39" t="s">
        <v>26</v>
      </c>
      <c r="C33" s="22"/>
      <c r="D33" s="23"/>
      <c r="E33" s="24"/>
      <c r="F33" s="24"/>
      <c r="G33" s="27">
        <f>SUM(G32:G32)</f>
        <v>2.7032916793660471</v>
      </c>
      <c r="H33" s="25" t="s">
        <v>42</v>
      </c>
      <c r="I33" s="26">
        <v>663.31</v>
      </c>
      <c r="J33" s="27">
        <f>G33*I33</f>
        <v>1793.1204038402925</v>
      </c>
      <c r="K33" s="24"/>
    </row>
    <row r="34" spans="1:11" s="1" customFormat="1" x14ac:dyDescent="0.3">
      <c r="A34" s="21"/>
      <c r="B34" s="39"/>
      <c r="C34" s="22"/>
      <c r="D34" s="23"/>
      <c r="E34" s="24"/>
      <c r="F34" s="24"/>
      <c r="G34" s="27"/>
      <c r="H34" s="25"/>
      <c r="I34" s="26"/>
      <c r="J34" s="27"/>
      <c r="K34" s="24"/>
    </row>
    <row r="35" spans="1:11" s="1" customFormat="1" ht="15" x14ac:dyDescent="0.3">
      <c r="A35" s="21">
        <v>4</v>
      </c>
      <c r="B35" s="37" t="s">
        <v>54</v>
      </c>
      <c r="C35" s="22"/>
      <c r="D35" s="23"/>
      <c r="E35" s="24"/>
      <c r="F35" s="24"/>
      <c r="G35" s="27"/>
      <c r="H35" s="25"/>
      <c r="I35" s="26"/>
      <c r="J35" s="27"/>
      <c r="K35" s="24"/>
    </row>
    <row r="36" spans="1:11" s="1" customFormat="1" x14ac:dyDescent="0.3">
      <c r="A36" s="21"/>
      <c r="B36" s="39" t="s">
        <v>41</v>
      </c>
      <c r="C36" s="22">
        <f>C32</f>
        <v>15</v>
      </c>
      <c r="D36" s="23">
        <f>D32</f>
        <v>0.45</v>
      </c>
      <c r="E36" s="24">
        <f>E32</f>
        <v>0.45</v>
      </c>
      <c r="F36" s="24"/>
      <c r="G36" s="36">
        <f>PRODUCT(C36:F36)</f>
        <v>3.0375000000000001</v>
      </c>
      <c r="H36" s="25"/>
      <c r="I36" s="26"/>
      <c r="J36" s="27"/>
      <c r="K36" s="24"/>
    </row>
    <row r="37" spans="1:11" s="1" customFormat="1" x14ac:dyDescent="0.3">
      <c r="A37" s="21"/>
      <c r="B37" s="39" t="s">
        <v>56</v>
      </c>
      <c r="C37" s="22">
        <v>1</v>
      </c>
      <c r="D37" s="23">
        <f>40/3.281</f>
        <v>12.1914050594331</v>
      </c>
      <c r="E37" s="24">
        <f>30/3.281</f>
        <v>9.1435537945748244</v>
      </c>
      <c r="F37" s="24"/>
      <c r="G37" s="36">
        <f>PRODUCT(C37:F37)</f>
        <v>111.47276799237824</v>
      </c>
      <c r="H37" s="25"/>
      <c r="I37" s="26"/>
      <c r="J37" s="27"/>
      <c r="K37" s="24"/>
    </row>
    <row r="38" spans="1:11" s="1" customFormat="1" x14ac:dyDescent="0.3">
      <c r="A38" s="21"/>
      <c r="B38" s="39" t="s">
        <v>26</v>
      </c>
      <c r="C38" s="22"/>
      <c r="D38" s="23"/>
      <c r="E38" s="24"/>
      <c r="F38" s="24"/>
      <c r="G38" s="27">
        <f>SUM(G36:G37)</f>
        <v>114.51026799237823</v>
      </c>
      <c r="H38" s="25" t="s">
        <v>33</v>
      </c>
      <c r="I38" s="26">
        <v>1014.97</v>
      </c>
      <c r="J38" s="27">
        <f>G38*I38</f>
        <v>116224.48670422414</v>
      </c>
      <c r="K38" s="24"/>
    </row>
    <row r="39" spans="1:11" s="1" customFormat="1" x14ac:dyDescent="0.3">
      <c r="A39" s="21"/>
      <c r="B39" s="39" t="s">
        <v>39</v>
      </c>
      <c r="C39" s="22"/>
      <c r="D39" s="23"/>
      <c r="E39" s="24"/>
      <c r="F39" s="24"/>
      <c r="G39" s="27"/>
      <c r="H39" s="25"/>
      <c r="I39" s="26"/>
      <c r="J39" s="27">
        <f>0.13*G38*8617.2/10</f>
        <v>12827.852457470985</v>
      </c>
      <c r="K39" s="24"/>
    </row>
    <row r="40" spans="1:11" s="1" customFormat="1" x14ac:dyDescent="0.3">
      <c r="A40" s="21"/>
      <c r="B40" s="39"/>
      <c r="C40" s="22"/>
      <c r="D40" s="23"/>
      <c r="E40" s="24"/>
      <c r="F40" s="24"/>
      <c r="G40" s="27"/>
      <c r="H40" s="25"/>
      <c r="I40" s="26"/>
      <c r="J40" s="27"/>
      <c r="K40" s="24"/>
    </row>
    <row r="41" spans="1:11" s="1" customFormat="1" ht="30" x14ac:dyDescent="0.3">
      <c r="A41" s="21">
        <v>5</v>
      </c>
      <c r="B41" s="37" t="s">
        <v>44</v>
      </c>
      <c r="C41" s="22"/>
      <c r="D41" s="23"/>
      <c r="E41" s="24"/>
      <c r="F41" s="24"/>
      <c r="G41" s="27"/>
      <c r="H41" s="25"/>
      <c r="I41" s="26"/>
      <c r="J41" s="27"/>
      <c r="K41" s="24"/>
    </row>
    <row r="42" spans="1:11" s="1" customFormat="1" x14ac:dyDescent="0.3">
      <c r="A42" s="21"/>
      <c r="B42" s="39" t="s">
        <v>41</v>
      </c>
      <c r="C42" s="22">
        <f>C36</f>
        <v>15</v>
      </c>
      <c r="D42" s="23">
        <f>D36</f>
        <v>0.45</v>
      </c>
      <c r="E42" s="24">
        <f>E36</f>
        <v>0.45</v>
      </c>
      <c r="F42" s="24">
        <v>7.4999999999999997E-2</v>
      </c>
      <c r="G42" s="36">
        <f>PRODUCT(C42:F42)</f>
        <v>0.2278125</v>
      </c>
      <c r="H42" s="25"/>
      <c r="I42" s="26"/>
      <c r="J42" s="27"/>
      <c r="K42" s="24"/>
    </row>
    <row r="43" spans="1:11" s="1" customFormat="1" x14ac:dyDescent="0.3">
      <c r="A43" s="21"/>
      <c r="B43" s="39" t="s">
        <v>26</v>
      </c>
      <c r="C43" s="22"/>
      <c r="D43" s="23"/>
      <c r="E43" s="24"/>
      <c r="F43" s="24"/>
      <c r="G43" s="27">
        <f>SUM(G42:G42)</f>
        <v>0.2278125</v>
      </c>
      <c r="H43" s="25" t="s">
        <v>42</v>
      </c>
      <c r="I43" s="26">
        <v>12983.1</v>
      </c>
      <c r="J43" s="27">
        <f>G43*I43</f>
        <v>2957.71246875</v>
      </c>
      <c r="K43" s="24"/>
    </row>
    <row r="44" spans="1:11" s="1" customFormat="1" x14ac:dyDescent="0.3">
      <c r="A44" s="21"/>
      <c r="B44" s="39" t="s">
        <v>39</v>
      </c>
      <c r="C44" s="22"/>
      <c r="D44" s="23"/>
      <c r="E44" s="24"/>
      <c r="F44" s="24"/>
      <c r="G44" s="27"/>
      <c r="H44" s="25"/>
      <c r="I44" s="26"/>
      <c r="J44" s="27">
        <f>0.13*G43*8078.11</f>
        <v>239.23827646874997</v>
      </c>
      <c r="K44" s="24"/>
    </row>
    <row r="45" spans="1:11" s="1" customFormat="1" x14ac:dyDescent="0.3">
      <c r="A45" s="21"/>
      <c r="B45" s="39"/>
      <c r="C45" s="22"/>
      <c r="D45" s="23"/>
      <c r="E45" s="24"/>
      <c r="F45" s="24"/>
      <c r="G45" s="27"/>
      <c r="H45" s="25"/>
      <c r="I45" s="26"/>
      <c r="J45" s="27"/>
      <c r="K45" s="24"/>
    </row>
    <row r="46" spans="1:11" s="1" customFormat="1" ht="30" x14ac:dyDescent="0.3">
      <c r="A46" s="21">
        <v>6</v>
      </c>
      <c r="B46" s="37" t="s">
        <v>45</v>
      </c>
      <c r="C46" s="22"/>
      <c r="D46" s="23"/>
      <c r="E46" s="24"/>
      <c r="F46" s="24"/>
      <c r="G46" s="27"/>
      <c r="H46" s="25"/>
      <c r="I46" s="26"/>
      <c r="J46" s="27"/>
      <c r="K46" s="24"/>
    </row>
    <row r="47" spans="1:11" s="1" customFormat="1" x14ac:dyDescent="0.3">
      <c r="A47" s="21"/>
      <c r="B47" s="39" t="s">
        <v>57</v>
      </c>
      <c r="C47" s="22">
        <f>C42</f>
        <v>15</v>
      </c>
      <c r="D47" s="23">
        <f>D42</f>
        <v>0.45</v>
      </c>
      <c r="E47" s="24">
        <f>E42</f>
        <v>0.45</v>
      </c>
      <c r="F47" s="24">
        <v>0.75</v>
      </c>
      <c r="G47" s="36">
        <f>PRODUCT(C47:F47)</f>
        <v>2.2781250000000002</v>
      </c>
      <c r="H47" s="25"/>
      <c r="I47" s="26"/>
      <c r="J47" s="27"/>
      <c r="K47" s="24"/>
    </row>
    <row r="48" spans="1:11" s="1" customFormat="1" x14ac:dyDescent="0.3">
      <c r="A48" s="21"/>
      <c r="B48" s="39"/>
      <c r="C48" s="22">
        <f>C47</f>
        <v>15</v>
      </c>
      <c r="D48" s="23">
        <v>0.3</v>
      </c>
      <c r="E48" s="24">
        <v>0.3</v>
      </c>
      <c r="F48" s="24">
        <v>0.45</v>
      </c>
      <c r="G48" s="36">
        <f>PRODUCT(C48:F48)</f>
        <v>0.60749999999999993</v>
      </c>
      <c r="H48" s="25"/>
      <c r="I48" s="26"/>
      <c r="J48" s="27"/>
      <c r="K48" s="24"/>
    </row>
    <row r="49" spans="1:11" s="1" customFormat="1" x14ac:dyDescent="0.3">
      <c r="A49" s="21"/>
      <c r="B49" s="39" t="s">
        <v>56</v>
      </c>
      <c r="C49" s="22">
        <v>1</v>
      </c>
      <c r="D49" s="23">
        <f>D37</f>
        <v>12.1914050594331</v>
      </c>
      <c r="E49" s="24">
        <f>E37</f>
        <v>9.1435537945748244</v>
      </c>
      <c r="F49" s="24">
        <v>7.4999999999999997E-2</v>
      </c>
      <c r="G49" s="36">
        <f>PRODUCT(C49:F49)</f>
        <v>8.3604575994283667</v>
      </c>
      <c r="H49" s="25"/>
      <c r="I49" s="26"/>
      <c r="J49" s="27"/>
      <c r="K49" s="24"/>
    </row>
    <row r="50" spans="1:11" s="1" customFormat="1" x14ac:dyDescent="0.3">
      <c r="A50" s="21"/>
      <c r="B50" s="39" t="s">
        <v>26</v>
      </c>
      <c r="C50" s="22"/>
      <c r="D50" s="23"/>
      <c r="E50" s="24"/>
      <c r="F50" s="24"/>
      <c r="G50" s="27">
        <f>SUM(G47:G49)</f>
        <v>11.246082599428366</v>
      </c>
      <c r="H50" s="25" t="s">
        <v>42</v>
      </c>
      <c r="I50" s="26">
        <v>13568.9</v>
      </c>
      <c r="J50" s="27">
        <f>G50*I50</f>
        <v>152596.97018338356</v>
      </c>
      <c r="K50" s="24"/>
    </row>
    <row r="51" spans="1:11" s="1" customFormat="1" x14ac:dyDescent="0.3">
      <c r="A51" s="21"/>
      <c r="B51" s="39" t="s">
        <v>39</v>
      </c>
      <c r="C51" s="22"/>
      <c r="D51" s="23"/>
      <c r="E51" s="24"/>
      <c r="F51" s="24"/>
      <c r="G51" s="27"/>
      <c r="H51" s="25"/>
      <c r="I51" s="26"/>
      <c r="J51" s="27">
        <f>0.13*G50*9524.2</f>
        <v>13924.292186151835</v>
      </c>
      <c r="K51" s="24"/>
    </row>
    <row r="52" spans="1:11" s="1" customFormat="1" x14ac:dyDescent="0.3">
      <c r="A52" s="21"/>
      <c r="B52" s="39"/>
      <c r="C52" s="22"/>
      <c r="D52" s="23"/>
      <c r="E52" s="24"/>
      <c r="F52" s="24"/>
      <c r="G52" s="27"/>
      <c r="H52" s="25"/>
      <c r="I52" s="26"/>
      <c r="J52" s="27"/>
      <c r="K52" s="24"/>
    </row>
    <row r="53" spans="1:11" s="1" customFormat="1" ht="30" x14ac:dyDescent="0.3">
      <c r="A53" s="21">
        <v>7</v>
      </c>
      <c r="B53" s="37" t="s">
        <v>53</v>
      </c>
      <c r="C53" s="22"/>
      <c r="D53" s="23"/>
      <c r="E53" s="24"/>
      <c r="F53" s="24"/>
      <c r="G53" s="27"/>
      <c r="H53" s="25"/>
      <c r="I53" s="26"/>
      <c r="J53" s="27"/>
      <c r="K53" s="24"/>
    </row>
    <row r="54" spans="1:11" s="1" customFormat="1" x14ac:dyDescent="0.3">
      <c r="A54" s="21"/>
      <c r="B54" s="39" t="s">
        <v>57</v>
      </c>
      <c r="C54" s="22">
        <f>4*2</f>
        <v>8</v>
      </c>
      <c r="D54" s="23">
        <f>13.917/3.281</f>
        <v>4.2416946053032607</v>
      </c>
      <c r="E54" s="24">
        <v>0.23</v>
      </c>
      <c r="F54" s="24">
        <v>0.3</v>
      </c>
      <c r="G54" s="36">
        <f>PRODUCT(C54:F54)</f>
        <v>2.3414154221273997</v>
      </c>
      <c r="H54" s="25"/>
      <c r="I54" s="26"/>
      <c r="J54" s="27"/>
      <c r="K54" s="24"/>
    </row>
    <row r="55" spans="1:11" s="1" customFormat="1" x14ac:dyDescent="0.3">
      <c r="A55" s="21"/>
      <c r="B55" s="39"/>
      <c r="C55" s="22">
        <f>2*2</f>
        <v>4</v>
      </c>
      <c r="D55" s="23">
        <f>8.917/3.281</f>
        <v>2.7177689728741234</v>
      </c>
      <c r="E55" s="24">
        <v>0.23</v>
      </c>
      <c r="F55" s="24">
        <v>0.3</v>
      </c>
      <c r="G55" s="36">
        <f>PRODUCT(C55:F55)</f>
        <v>0.75010423651325808</v>
      </c>
      <c r="H55" s="25"/>
      <c r="I55" s="26"/>
      <c r="J55" s="27"/>
      <c r="K55" s="24"/>
    </row>
    <row r="56" spans="1:11" s="1" customFormat="1" x14ac:dyDescent="0.3">
      <c r="A56" s="21"/>
      <c r="B56" s="39" t="s">
        <v>58</v>
      </c>
      <c r="C56" s="22">
        <v>2</v>
      </c>
      <c r="D56" s="23">
        <f>30/3.281</f>
        <v>9.1435537945748244</v>
      </c>
      <c r="E56" s="24">
        <v>0.23</v>
      </c>
      <c r="F56" s="24">
        <v>0.9</v>
      </c>
      <c r="G56" s="36">
        <f>PRODUCT(C56:F56)</f>
        <v>3.7854312709539779</v>
      </c>
      <c r="H56" s="25"/>
      <c r="I56" s="26"/>
      <c r="J56" s="27"/>
      <c r="K56" s="24"/>
    </row>
    <row r="57" spans="1:11" s="1" customFormat="1" x14ac:dyDescent="0.3">
      <c r="A57" s="21"/>
      <c r="B57" s="39"/>
      <c r="C57" s="22">
        <v>2</v>
      </c>
      <c r="D57" s="23">
        <f>(40-1.5)/3.281</f>
        <v>11.734227369704358</v>
      </c>
      <c r="E57" s="24">
        <v>0.23</v>
      </c>
      <c r="F57" s="24">
        <v>0.9</v>
      </c>
      <c r="G57" s="36">
        <f>PRODUCT(C57:F57)</f>
        <v>4.8579701310576047</v>
      </c>
      <c r="H57" s="25"/>
      <c r="I57" s="26"/>
      <c r="J57" s="27"/>
      <c r="K57" s="24"/>
    </row>
    <row r="58" spans="1:11" s="1" customFormat="1" x14ac:dyDescent="0.3">
      <c r="A58" s="21"/>
      <c r="B58" s="39" t="s">
        <v>26</v>
      </c>
      <c r="C58" s="22"/>
      <c r="D58" s="23"/>
      <c r="E58" s="24"/>
      <c r="F58" s="24"/>
      <c r="G58" s="27">
        <f>SUM(G54:G57)</f>
        <v>11.73492106065224</v>
      </c>
      <c r="H58" s="25" t="s">
        <v>42</v>
      </c>
      <c r="I58" s="26">
        <v>14362.76</v>
      </c>
      <c r="J58" s="27">
        <f>G58*I58</f>
        <v>168545.85481309358</v>
      </c>
      <c r="K58" s="24"/>
    </row>
    <row r="59" spans="1:11" s="1" customFormat="1" x14ac:dyDescent="0.3">
      <c r="A59" s="21"/>
      <c r="B59" s="39" t="s">
        <v>39</v>
      </c>
      <c r="C59" s="22"/>
      <c r="D59" s="23"/>
      <c r="E59" s="24"/>
      <c r="F59" s="24"/>
      <c r="G59" s="27"/>
      <c r="H59" s="25"/>
      <c r="I59" s="26"/>
      <c r="J59" s="27">
        <f>0.13*G58*10311.74</f>
        <v>15730.969136736117</v>
      </c>
      <c r="K59" s="24"/>
    </row>
    <row r="60" spans="1:11" s="1" customFormat="1" x14ac:dyDescent="0.3">
      <c r="A60" s="21"/>
      <c r="B60" s="39"/>
      <c r="C60" s="22"/>
      <c r="D60" s="23"/>
      <c r="E60" s="24"/>
      <c r="F60" s="24"/>
      <c r="G60" s="27"/>
      <c r="H60" s="25"/>
      <c r="I60" s="26"/>
      <c r="J60" s="27"/>
      <c r="K60" s="24"/>
    </row>
    <row r="61" spans="1:11" s="1" customFormat="1" ht="30" x14ac:dyDescent="0.3">
      <c r="A61" s="21">
        <v>8</v>
      </c>
      <c r="B61" s="37" t="s">
        <v>59</v>
      </c>
      <c r="C61" s="22"/>
      <c r="D61" s="23"/>
      <c r="E61" s="24"/>
      <c r="F61" s="24"/>
      <c r="G61" s="27"/>
      <c r="H61" s="25"/>
      <c r="I61" s="26"/>
      <c r="J61" s="27"/>
      <c r="K61" s="24"/>
    </row>
    <row r="62" spans="1:11" s="1" customFormat="1" x14ac:dyDescent="0.3">
      <c r="A62" s="21"/>
      <c r="B62" s="39" t="s">
        <v>58</v>
      </c>
      <c r="C62" s="22">
        <f>2*2</f>
        <v>4</v>
      </c>
      <c r="D62" s="23">
        <f>30/3.281</f>
        <v>9.1435537945748244</v>
      </c>
      <c r="E62" s="24"/>
      <c r="F62" s="24">
        <v>0.9</v>
      </c>
      <c r="G62" s="36">
        <f>PRODUCT(C62:F62)</f>
        <v>32.916793660469367</v>
      </c>
      <c r="H62" s="25"/>
      <c r="I62" s="26"/>
      <c r="J62" s="27"/>
      <c r="K62" s="24"/>
    </row>
    <row r="63" spans="1:11" s="1" customFormat="1" x14ac:dyDescent="0.3">
      <c r="A63" s="21"/>
      <c r="B63" s="39"/>
      <c r="C63" s="22">
        <f>2*2</f>
        <v>4</v>
      </c>
      <c r="D63" s="23">
        <f>(40-1.5)/3.281</f>
        <v>11.734227369704358</v>
      </c>
      <c r="E63" s="24"/>
      <c r="F63" s="24">
        <v>0.9</v>
      </c>
      <c r="G63" s="36">
        <f>PRODUCT(C63:F63)</f>
        <v>42.243218530935692</v>
      </c>
      <c r="H63" s="25"/>
      <c r="I63" s="26"/>
      <c r="J63" s="27"/>
      <c r="K63" s="24"/>
    </row>
    <row r="64" spans="1:11" s="1" customFormat="1" x14ac:dyDescent="0.3">
      <c r="A64" s="21"/>
      <c r="B64" s="39" t="s">
        <v>26</v>
      </c>
      <c r="C64" s="22"/>
      <c r="D64" s="23"/>
      <c r="E64" s="24"/>
      <c r="F64" s="24"/>
      <c r="G64" s="27">
        <f>SUM(G60:G63)</f>
        <v>75.160012191405059</v>
      </c>
      <c r="H64" s="25" t="s">
        <v>33</v>
      </c>
      <c r="I64" s="26">
        <v>405.86</v>
      </c>
      <c r="J64" s="27">
        <f>G64*I64</f>
        <v>30504.442548003659</v>
      </c>
      <c r="K64" s="24"/>
    </row>
    <row r="65" spans="1:31" s="1" customFormat="1" x14ac:dyDescent="0.3">
      <c r="A65" s="21"/>
      <c r="B65" s="39" t="s">
        <v>39</v>
      </c>
      <c r="C65" s="22"/>
      <c r="D65" s="23"/>
      <c r="E65" s="24"/>
      <c r="F65" s="24"/>
      <c r="G65" s="27"/>
      <c r="H65" s="25"/>
      <c r="I65" s="26"/>
      <c r="J65" s="27">
        <f>0.13*G64*11166.2/100</f>
        <v>1091.0272465711676</v>
      </c>
      <c r="K65" s="24"/>
    </row>
    <row r="66" spans="1:31" s="1" customFormat="1" ht="15" x14ac:dyDescent="0.3">
      <c r="A66" s="21"/>
      <c r="B66" s="37"/>
      <c r="C66" s="22"/>
      <c r="D66" s="23"/>
      <c r="E66" s="24"/>
      <c r="F66" s="24"/>
      <c r="G66" s="27"/>
      <c r="H66" s="25"/>
      <c r="I66" s="26"/>
      <c r="J66" s="27"/>
      <c r="K66" s="24"/>
    </row>
    <row r="67" spans="1:31" s="1" customFormat="1" ht="27.6" x14ac:dyDescent="0.3">
      <c r="A67" s="21">
        <v>9</v>
      </c>
      <c r="B67" s="41" t="s">
        <v>35</v>
      </c>
      <c r="C67" s="22">
        <v>1</v>
      </c>
      <c r="D67" s="23"/>
      <c r="E67" s="24"/>
      <c r="F67" s="24"/>
      <c r="G67" s="36">
        <f>PRODUCT(C67:F67)</f>
        <v>1</v>
      </c>
      <c r="H67" s="25" t="s">
        <v>36</v>
      </c>
      <c r="I67" s="26">
        <v>5000</v>
      </c>
      <c r="J67" s="27">
        <f>G67*I67</f>
        <v>5000</v>
      </c>
      <c r="K67" s="24"/>
    </row>
    <row r="68" spans="1:31" s="1" customFormat="1" x14ac:dyDescent="0.3">
      <c r="A68" s="21"/>
      <c r="B68" s="39"/>
      <c r="C68" s="22"/>
      <c r="D68" s="23"/>
      <c r="E68" s="24"/>
      <c r="F68" s="24"/>
      <c r="G68" s="27"/>
      <c r="H68" s="25"/>
      <c r="I68" s="26"/>
      <c r="J68" s="27"/>
      <c r="K68" s="24"/>
    </row>
    <row r="69" spans="1:31" s="1" customFormat="1" x14ac:dyDescent="0.3">
      <c r="A69" s="21">
        <v>10</v>
      </c>
      <c r="B69" s="41" t="s">
        <v>37</v>
      </c>
      <c r="C69" s="22">
        <v>1</v>
      </c>
      <c r="D69" s="23"/>
      <c r="E69" s="24"/>
      <c r="F69" s="24"/>
      <c r="G69" s="36">
        <f>PRODUCT(C69:F69)</f>
        <v>1</v>
      </c>
      <c r="H69" s="25" t="s">
        <v>55</v>
      </c>
      <c r="I69" s="26">
        <v>500</v>
      </c>
      <c r="J69" s="27">
        <f>G69*I69</f>
        <v>500</v>
      </c>
      <c r="K69" s="24"/>
    </row>
    <row r="70" spans="1:31" s="1" customFormat="1" x14ac:dyDescent="0.3">
      <c r="A70" s="21"/>
      <c r="B70" s="39"/>
      <c r="C70" s="22"/>
      <c r="D70" s="23"/>
      <c r="E70" s="24"/>
      <c r="F70" s="24"/>
      <c r="G70" s="27"/>
      <c r="H70" s="25"/>
      <c r="I70" s="26"/>
      <c r="J70" s="27"/>
      <c r="K70" s="24"/>
    </row>
    <row r="71" spans="1:31" x14ac:dyDescent="0.3">
      <c r="A71" s="9"/>
      <c r="B71" s="20" t="s">
        <v>16</v>
      </c>
      <c r="C71" s="8"/>
      <c r="D71" s="6"/>
      <c r="E71" s="6"/>
      <c r="F71" s="6"/>
      <c r="G71" s="33"/>
      <c r="H71" s="7"/>
      <c r="I71" s="7"/>
      <c r="J71" s="7">
        <f>SUM(J10:J70)</f>
        <v>902209.24857039668</v>
      </c>
      <c r="K71" s="4"/>
      <c r="M71" s="29"/>
      <c r="P71" s="32"/>
      <c r="Q71" s="32"/>
    </row>
    <row r="72" spans="1:31" x14ac:dyDescent="0.3">
      <c r="M72" s="29"/>
      <c r="N72" s="30"/>
      <c r="O72" s="30"/>
      <c r="P72" s="31"/>
      <c r="R72" s="30"/>
      <c r="S72" s="30"/>
      <c r="T72" s="30"/>
      <c r="U72" s="29"/>
      <c r="V72" s="29"/>
      <c r="W72" s="29"/>
      <c r="X72" s="29"/>
      <c r="Y72" s="29"/>
      <c r="Z72" s="29"/>
      <c r="AA72" s="29"/>
      <c r="AB72" s="29"/>
      <c r="AC72" s="29"/>
      <c r="AD72" s="29"/>
      <c r="AE72" s="29"/>
    </row>
    <row r="73" spans="1:31" s="1" customFormat="1" x14ac:dyDescent="0.3">
      <c r="B73" s="11" t="s">
        <v>22</v>
      </c>
      <c r="C73" s="64">
        <f>J71</f>
        <v>902209.24857039668</v>
      </c>
      <c r="D73" s="65"/>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3">
      <c r="B74" s="11" t="s">
        <v>17</v>
      </c>
      <c r="C74" s="67">
        <v>400000</v>
      </c>
      <c r="D74" s="68"/>
      <c r="E74" s="10"/>
      <c r="M74" s="29"/>
      <c r="N74" s="30"/>
      <c r="O74" s="30"/>
      <c r="P74" s="30"/>
      <c r="Q74" s="30"/>
      <c r="R74" s="30"/>
      <c r="S74" s="30"/>
      <c r="T74" s="30"/>
      <c r="U74" s="29"/>
      <c r="V74" s="29"/>
      <c r="W74" s="29"/>
      <c r="X74" s="29"/>
      <c r="Y74" s="29"/>
      <c r="Z74" s="29"/>
      <c r="AA74" s="29"/>
      <c r="AB74" s="29"/>
      <c r="AC74" s="29"/>
      <c r="AD74" s="29"/>
      <c r="AE74" s="29"/>
    </row>
    <row r="75" spans="1:31" x14ac:dyDescent="0.3">
      <c r="B75" s="11" t="s">
        <v>18</v>
      </c>
      <c r="C75" s="67">
        <f>C74-C77-C78</f>
        <v>380000</v>
      </c>
      <c r="D75" s="68"/>
      <c r="E75" s="10">
        <f>C75/C73*100</f>
        <v>42.118832255613896</v>
      </c>
      <c r="M75" s="29"/>
      <c r="N75" s="29"/>
      <c r="O75" s="29"/>
      <c r="P75" s="29"/>
      <c r="Q75" s="29"/>
      <c r="R75" s="29"/>
      <c r="S75" s="29"/>
      <c r="T75" s="29"/>
      <c r="U75" s="29"/>
      <c r="V75" s="29"/>
      <c r="W75" s="29"/>
      <c r="X75" s="29"/>
      <c r="Y75" s="29"/>
      <c r="Z75" s="29"/>
      <c r="AA75" s="29"/>
      <c r="AB75" s="29"/>
      <c r="AC75" s="29"/>
      <c r="AD75" s="29"/>
      <c r="AE75" s="29"/>
    </row>
    <row r="76" spans="1:31" x14ac:dyDescent="0.3">
      <c r="B76" s="11" t="s">
        <v>19</v>
      </c>
      <c r="C76" s="69">
        <f>C73-C75</f>
        <v>522209.24857039668</v>
      </c>
      <c r="D76" s="69"/>
      <c r="E76" s="10">
        <f>100-E75</f>
        <v>57.881167744386104</v>
      </c>
      <c r="M76" s="29"/>
      <c r="N76" s="29"/>
      <c r="O76" s="29"/>
      <c r="P76" s="29"/>
      <c r="Q76" s="29"/>
      <c r="R76" s="29"/>
      <c r="S76" s="29"/>
      <c r="T76" s="29"/>
      <c r="U76" s="29"/>
      <c r="V76" s="29"/>
      <c r="W76" s="29"/>
      <c r="X76" s="29"/>
      <c r="Y76" s="29"/>
      <c r="Z76" s="29"/>
      <c r="AA76" s="29"/>
      <c r="AB76" s="29"/>
      <c r="AC76" s="29"/>
      <c r="AD76" s="29"/>
      <c r="AE76" s="29"/>
    </row>
    <row r="77" spans="1:31" x14ac:dyDescent="0.3">
      <c r="B77" s="11" t="s">
        <v>20</v>
      </c>
      <c r="C77" s="64">
        <f>C74*0.03</f>
        <v>12000</v>
      </c>
      <c r="D77" s="65"/>
      <c r="E77" s="10">
        <v>3</v>
      </c>
      <c r="M77" s="29"/>
      <c r="N77" s="29"/>
      <c r="O77" s="29"/>
      <c r="P77" s="29"/>
      <c r="Q77" s="29"/>
      <c r="R77" s="29"/>
      <c r="S77" s="29"/>
      <c r="T77" s="29"/>
      <c r="U77" s="29"/>
      <c r="V77" s="29"/>
      <c r="W77" s="29"/>
      <c r="X77" s="29"/>
      <c r="Y77" s="29"/>
      <c r="Z77" s="29"/>
      <c r="AA77" s="29"/>
      <c r="AB77" s="29"/>
      <c r="AC77" s="29"/>
      <c r="AD77" s="29"/>
      <c r="AE77" s="29"/>
    </row>
    <row r="78" spans="1:31" x14ac:dyDescent="0.3">
      <c r="B78" s="11" t="s">
        <v>21</v>
      </c>
      <c r="C78" s="64">
        <f>C74*0.02</f>
        <v>8000</v>
      </c>
      <c r="D78" s="65"/>
      <c r="E78" s="10">
        <v>2</v>
      </c>
      <c r="M78" s="29"/>
      <c r="N78" s="29"/>
      <c r="O78" s="29"/>
      <c r="P78" s="29"/>
      <c r="Q78" s="29"/>
      <c r="R78" s="29"/>
      <c r="S78" s="29"/>
      <c r="T78" s="29"/>
      <c r="U78" s="29"/>
      <c r="V78" s="29"/>
      <c r="W78" s="29"/>
      <c r="X78" s="29"/>
      <c r="Y78" s="29"/>
      <c r="Z78" s="29"/>
      <c r="AA78" s="29"/>
      <c r="AB78" s="29"/>
      <c r="AC78" s="29"/>
      <c r="AD78" s="29"/>
      <c r="AE78" s="29"/>
    </row>
  </sheetData>
  <mergeCells count="15">
    <mergeCell ref="C77:D77"/>
    <mergeCell ref="C78:D78"/>
    <mergeCell ref="A7:F7"/>
    <mergeCell ref="H7:K7"/>
    <mergeCell ref="C73:D73"/>
    <mergeCell ref="C74:D74"/>
    <mergeCell ref="C75:D75"/>
    <mergeCell ref="C76:D76"/>
    <mergeCell ref="A6:G6"/>
    <mergeCell ref="H6:K6"/>
    <mergeCell ref="A1:K1"/>
    <mergeCell ref="A2:K2"/>
    <mergeCell ref="A3:K3"/>
    <mergeCell ref="A4:K4"/>
    <mergeCell ref="A5:K5"/>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70" zoomScaleNormal="100" zoomScaleSheetLayoutView="80" workbookViewId="0">
      <selection activeCell="A85" sqref="A85"/>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0" t="s">
        <v>0</v>
      </c>
      <c r="B1" s="60"/>
      <c r="C1" s="60"/>
      <c r="D1" s="60"/>
      <c r="E1" s="60"/>
      <c r="F1" s="60"/>
      <c r="G1" s="60"/>
      <c r="H1" s="60"/>
      <c r="I1" s="60"/>
      <c r="J1" s="60"/>
      <c r="K1" s="60"/>
    </row>
    <row r="2" spans="1:13" s="1" customFormat="1" ht="22.8" x14ac:dyDescent="0.3">
      <c r="A2" s="61" t="s">
        <v>1</v>
      </c>
      <c r="B2" s="61"/>
      <c r="C2" s="61"/>
      <c r="D2" s="61"/>
      <c r="E2" s="61"/>
      <c r="F2" s="61"/>
      <c r="G2" s="61"/>
      <c r="H2" s="61"/>
      <c r="I2" s="61"/>
      <c r="J2" s="61"/>
      <c r="K2" s="61"/>
    </row>
    <row r="3" spans="1:13" s="1" customFormat="1" x14ac:dyDescent="0.3">
      <c r="A3" s="62" t="s">
        <v>2</v>
      </c>
      <c r="B3" s="62"/>
      <c r="C3" s="62"/>
      <c r="D3" s="62"/>
      <c r="E3" s="62"/>
      <c r="F3" s="62"/>
      <c r="G3" s="62"/>
      <c r="H3" s="62"/>
      <c r="I3" s="62"/>
      <c r="J3" s="62"/>
      <c r="K3" s="62"/>
    </row>
    <row r="4" spans="1:13" s="1" customFormat="1" x14ac:dyDescent="0.3">
      <c r="A4" s="62" t="s">
        <v>3</v>
      </c>
      <c r="B4" s="62"/>
      <c r="C4" s="62"/>
      <c r="D4" s="62"/>
      <c r="E4" s="62"/>
      <c r="F4" s="62"/>
      <c r="G4" s="62"/>
      <c r="H4" s="62"/>
      <c r="I4" s="62"/>
      <c r="J4" s="62"/>
      <c r="K4" s="62"/>
    </row>
    <row r="5" spans="1:13" ht="17.399999999999999" x14ac:dyDescent="0.3">
      <c r="A5" s="63" t="s">
        <v>4</v>
      </c>
      <c r="B5" s="63"/>
      <c r="C5" s="63"/>
      <c r="D5" s="63"/>
      <c r="E5" s="63"/>
      <c r="F5" s="63"/>
      <c r="G5" s="63"/>
      <c r="H5" s="63"/>
      <c r="I5" s="63"/>
      <c r="J5" s="63"/>
      <c r="K5" s="63"/>
    </row>
    <row r="6" spans="1:13" ht="18" x14ac:dyDescent="0.35">
      <c r="A6" s="58" t="s">
        <v>34</v>
      </c>
      <c r="B6" s="58"/>
      <c r="C6" s="58"/>
      <c r="D6" s="58"/>
      <c r="E6" s="58"/>
      <c r="F6" s="58"/>
      <c r="G6" s="58"/>
      <c r="H6" s="59" t="s">
        <v>24</v>
      </c>
      <c r="I6" s="59"/>
      <c r="J6" s="59"/>
      <c r="K6" s="59"/>
    </row>
    <row r="7" spans="1:13" ht="15.6" x14ac:dyDescent="0.3">
      <c r="A7" s="66" t="s">
        <v>23</v>
      </c>
      <c r="B7" s="66"/>
      <c r="C7" s="66"/>
      <c r="D7" s="66"/>
      <c r="E7" s="66"/>
      <c r="F7" s="66"/>
      <c r="G7" s="2"/>
      <c r="H7" s="59" t="s">
        <v>25</v>
      </c>
      <c r="I7" s="59"/>
      <c r="J7" s="59"/>
      <c r="K7" s="59"/>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1.4" x14ac:dyDescent="0.3">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1.4" x14ac:dyDescent="0.3">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1.4" x14ac:dyDescent="0.3">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1.4" x14ac:dyDescent="0.3">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3">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3">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3">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1.4" x14ac:dyDescent="0.3">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3">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3">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3">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27.6" x14ac:dyDescent="0.3">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3">
      <c r="A23" s="21"/>
      <c r="B23" s="39" t="s">
        <v>26</v>
      </c>
      <c r="C23" s="22"/>
      <c r="D23" s="23"/>
      <c r="E23" s="24"/>
      <c r="F23" s="24"/>
      <c r="G23" s="27">
        <f>SUM(G10:G22)</f>
        <v>957.85319110027433</v>
      </c>
      <c r="H23" s="25" t="s">
        <v>31</v>
      </c>
      <c r="I23" s="26">
        <v>181.17</v>
      </c>
      <c r="J23" s="27">
        <f>G23*I23</f>
        <v>173534.2626316367</v>
      </c>
      <c r="K23" s="24"/>
    </row>
    <row r="24" spans="1:13" s="1" customFormat="1" x14ac:dyDescent="0.3">
      <c r="A24" s="21"/>
      <c r="B24" s="39" t="s">
        <v>39</v>
      </c>
      <c r="C24" s="22"/>
      <c r="D24" s="23"/>
      <c r="E24" s="24"/>
      <c r="F24" s="24"/>
      <c r="G24" s="27"/>
      <c r="H24" s="25"/>
      <c r="I24" s="26"/>
      <c r="J24" s="27">
        <f>0.13*G23*(1871.42/18.94)</f>
        <v>12303.63941159207</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3">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3">
      <c r="A29" s="21"/>
      <c r="B29" s="39" t="s">
        <v>39</v>
      </c>
      <c r="C29" s="22"/>
      <c r="D29" s="23"/>
      <c r="E29" s="24"/>
      <c r="F29" s="24"/>
      <c r="G29" s="27"/>
      <c r="H29" s="25"/>
      <c r="I29" s="26"/>
      <c r="J29" s="27">
        <f>0.13*G28*8587.63/10</f>
        <v>13918.496619811258</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3">
      <c r="A33" s="21"/>
      <c r="B33" s="39" t="s">
        <v>26</v>
      </c>
      <c r="C33" s="22"/>
      <c r="D33" s="23"/>
      <c r="E33" s="24"/>
      <c r="F33" s="24"/>
      <c r="G33" s="27">
        <f>SUM(G32:G32)</f>
        <v>2.1626333434928378</v>
      </c>
      <c r="H33" s="25" t="s">
        <v>42</v>
      </c>
      <c r="I33" s="26">
        <v>663.31</v>
      </c>
      <c r="J33" s="27">
        <f>G33*I33</f>
        <v>1434.4963230722342</v>
      </c>
      <c r="K33" s="24"/>
    </row>
    <row r="34" spans="1:11" s="1" customFormat="1" x14ac:dyDescent="0.3">
      <c r="A34" s="21"/>
      <c r="B34" s="39"/>
      <c r="C34" s="22"/>
      <c r="D34" s="23"/>
      <c r="E34" s="24"/>
      <c r="F34" s="24"/>
      <c r="G34" s="27"/>
      <c r="H34" s="25"/>
      <c r="I34" s="26"/>
      <c r="J34" s="27"/>
      <c r="K34" s="24"/>
    </row>
    <row r="35" spans="1:11" s="1" customFormat="1" ht="15" x14ac:dyDescent="0.3">
      <c r="A35" s="21">
        <v>4</v>
      </c>
      <c r="B35" s="37" t="s">
        <v>54</v>
      </c>
      <c r="C35" s="22"/>
      <c r="D35" s="23"/>
      <c r="E35" s="24"/>
      <c r="F35" s="24"/>
      <c r="G35" s="27"/>
      <c r="H35" s="25"/>
      <c r="I35" s="26"/>
      <c r="J35" s="27"/>
      <c r="K35" s="24"/>
    </row>
    <row r="36" spans="1:11" s="1" customFormat="1" x14ac:dyDescent="0.3">
      <c r="A36" s="21"/>
      <c r="B36" s="39" t="str">
        <f>B32</f>
        <v>-for footing</v>
      </c>
      <c r="C36" s="22">
        <f>C32</f>
        <v>12</v>
      </c>
      <c r="D36" s="23">
        <f>D32</f>
        <v>0.45</v>
      </c>
      <c r="E36" s="24">
        <f>E32</f>
        <v>0.45</v>
      </c>
      <c r="F36" s="24"/>
      <c r="G36" s="36">
        <f>PRODUCT(C36:F36)</f>
        <v>2.4300000000000002</v>
      </c>
      <c r="H36" s="25"/>
      <c r="I36" s="26"/>
      <c r="J36" s="27"/>
      <c r="K36" s="24"/>
    </row>
    <row r="37" spans="1:11" s="1" customFormat="1" x14ac:dyDescent="0.3">
      <c r="A37" s="21"/>
      <c r="B37" s="39" t="s">
        <v>63</v>
      </c>
      <c r="C37" s="22">
        <f>0*2*2</f>
        <v>0</v>
      </c>
      <c r="D37" s="23">
        <f>11.17/3.281</f>
        <v>3.4044498628466928</v>
      </c>
      <c r="E37" s="24">
        <v>0.23</v>
      </c>
      <c r="F37" s="24"/>
      <c r="G37" s="36">
        <f>PRODUCT(C37:F37)</f>
        <v>0</v>
      </c>
      <c r="H37" s="25"/>
      <c r="I37" s="26"/>
      <c r="J37" s="27"/>
      <c r="K37" s="24"/>
    </row>
    <row r="38" spans="1:11" s="1" customFormat="1" x14ac:dyDescent="0.3">
      <c r="A38" s="21"/>
      <c r="B38" s="39"/>
      <c r="C38" s="22">
        <f>0*2*3</f>
        <v>0</v>
      </c>
      <c r="D38" s="23">
        <f>11.75/3.281</f>
        <v>3.5812252362084727</v>
      </c>
      <c r="E38" s="24">
        <v>0.23</v>
      </c>
      <c r="F38" s="24"/>
      <c r="G38" s="36">
        <f>PRODUCT(C38:F38)</f>
        <v>0</v>
      </c>
      <c r="H38" s="25"/>
      <c r="I38" s="26"/>
      <c r="J38" s="27"/>
      <c r="K38" s="24"/>
    </row>
    <row r="39" spans="1:11" s="1" customFormat="1" x14ac:dyDescent="0.3">
      <c r="A39" s="21"/>
      <c r="B39" s="39" t="s">
        <v>26</v>
      </c>
      <c r="C39" s="22"/>
      <c r="D39" s="23"/>
      <c r="E39" s="24"/>
      <c r="F39" s="24"/>
      <c r="G39" s="27">
        <f>SUM(G36:G38)</f>
        <v>2.4300000000000002</v>
      </c>
      <c r="H39" s="25" t="s">
        <v>33</v>
      </c>
      <c r="I39" s="26">
        <v>1014.97</v>
      </c>
      <c r="J39" s="27">
        <f>G39*I39</f>
        <v>2466.3771000000002</v>
      </c>
      <c r="K39" s="24"/>
    </row>
    <row r="40" spans="1:11" s="1" customFormat="1" x14ac:dyDescent="0.3">
      <c r="A40" s="21"/>
      <c r="B40" s="39" t="s">
        <v>39</v>
      </c>
      <c r="C40" s="22"/>
      <c r="D40" s="23"/>
      <c r="E40" s="24"/>
      <c r="F40" s="24"/>
      <c r="G40" s="27"/>
      <c r="H40" s="25"/>
      <c r="I40" s="26"/>
      <c r="J40" s="27">
        <f>0.13*G39*8617.2/10</f>
        <v>272.21734800000002</v>
      </c>
      <c r="K40" s="24"/>
    </row>
    <row r="41" spans="1:11" s="1" customFormat="1" x14ac:dyDescent="0.3">
      <c r="A41" s="21"/>
      <c r="B41" s="39"/>
      <c r="C41" s="22"/>
      <c r="D41" s="23"/>
      <c r="E41" s="24"/>
      <c r="F41" s="24"/>
      <c r="G41" s="27"/>
      <c r="H41" s="25"/>
      <c r="I41" s="26"/>
      <c r="J41" s="27"/>
      <c r="K41" s="24"/>
    </row>
    <row r="42" spans="1:11" s="1" customFormat="1" ht="30" x14ac:dyDescent="0.3">
      <c r="A42" s="21">
        <v>5</v>
      </c>
      <c r="B42" s="37" t="s">
        <v>44</v>
      </c>
      <c r="C42" s="22"/>
      <c r="D42" s="23"/>
      <c r="E42" s="24"/>
      <c r="F42" s="24"/>
      <c r="G42" s="27"/>
      <c r="H42" s="25"/>
      <c r="I42" s="26"/>
      <c r="J42" s="27"/>
      <c r="K42" s="24"/>
    </row>
    <row r="43" spans="1:11" s="1" customFormat="1" x14ac:dyDescent="0.3">
      <c r="A43" s="21"/>
      <c r="B43" s="39" t="str">
        <f>B32</f>
        <v>-for footing</v>
      </c>
      <c r="C43" s="22">
        <f>C36</f>
        <v>12</v>
      </c>
      <c r="D43" s="23">
        <f>D36</f>
        <v>0.45</v>
      </c>
      <c r="E43" s="24">
        <f>E36</f>
        <v>0.45</v>
      </c>
      <c r="F43" s="24">
        <v>7.4999999999999997E-2</v>
      </c>
      <c r="G43" s="36">
        <f>PRODUCT(C43:F43)</f>
        <v>0.18225</v>
      </c>
      <c r="H43" s="25"/>
      <c r="I43" s="26"/>
      <c r="J43" s="27"/>
      <c r="K43" s="24"/>
    </row>
    <row r="44" spans="1:11" s="1" customFormat="1" x14ac:dyDescent="0.3">
      <c r="A44" s="21"/>
      <c r="B44" s="39" t="s">
        <v>63</v>
      </c>
      <c r="C44" s="22">
        <f>0*2*2</f>
        <v>0</v>
      </c>
      <c r="D44" s="23">
        <f>11.17/3.281</f>
        <v>3.4044498628466928</v>
      </c>
      <c r="E44" s="24">
        <v>0.23</v>
      </c>
      <c r="F44" s="24">
        <v>0.05</v>
      </c>
      <c r="G44" s="36">
        <f>PRODUCT(C44:F44)</f>
        <v>0</v>
      </c>
      <c r="H44" s="25"/>
      <c r="I44" s="26"/>
      <c r="J44" s="27"/>
      <c r="K44" s="24"/>
    </row>
    <row r="45" spans="1:11" s="1" customFormat="1" x14ac:dyDescent="0.3">
      <c r="A45" s="21"/>
      <c r="B45" s="39"/>
      <c r="C45" s="22">
        <f>0*2*3</f>
        <v>0</v>
      </c>
      <c r="D45" s="23">
        <f>11.75/3.281</f>
        <v>3.5812252362084727</v>
      </c>
      <c r="E45" s="24">
        <v>0.23</v>
      </c>
      <c r="F45" s="24">
        <v>0.05</v>
      </c>
      <c r="G45" s="36">
        <f>PRODUCT(C45:F45)</f>
        <v>0</v>
      </c>
      <c r="H45" s="25"/>
      <c r="I45" s="26"/>
      <c r="J45" s="27"/>
      <c r="K45" s="24"/>
    </row>
    <row r="46" spans="1:11" s="1" customFormat="1" x14ac:dyDescent="0.3">
      <c r="A46" s="21"/>
      <c r="B46" s="39" t="s">
        <v>26</v>
      </c>
      <c r="C46" s="22"/>
      <c r="D46" s="23"/>
      <c r="E46" s="24"/>
      <c r="F46" s="24"/>
      <c r="G46" s="27">
        <f>SUM(G43:G45)</f>
        <v>0.18225</v>
      </c>
      <c r="H46" s="25" t="s">
        <v>42</v>
      </c>
      <c r="I46" s="26">
        <v>12983.1</v>
      </c>
      <c r="J46" s="27">
        <f>G46*I46</f>
        <v>2366.1699749999998</v>
      </c>
      <c r="K46" s="24"/>
    </row>
    <row r="47" spans="1:11" s="1" customFormat="1" x14ac:dyDescent="0.3">
      <c r="A47" s="21"/>
      <c r="B47" s="39" t="s">
        <v>39</v>
      </c>
      <c r="C47" s="22"/>
      <c r="D47" s="23"/>
      <c r="E47" s="24"/>
      <c r="F47" s="24"/>
      <c r="G47" s="27"/>
      <c r="H47" s="25"/>
      <c r="I47" s="26"/>
      <c r="J47" s="27">
        <f>0.13*G46*8078.11</f>
        <v>191.39062117500001</v>
      </c>
      <c r="K47" s="24"/>
    </row>
    <row r="48" spans="1:11" s="1" customFormat="1" x14ac:dyDescent="0.3">
      <c r="A48" s="21"/>
      <c r="B48" s="39"/>
      <c r="C48" s="22"/>
      <c r="D48" s="23"/>
      <c r="E48" s="24"/>
      <c r="F48" s="24"/>
      <c r="G48" s="27"/>
      <c r="H48" s="25"/>
      <c r="I48" s="26"/>
      <c r="J48" s="27"/>
      <c r="K48" s="24"/>
    </row>
    <row r="49" spans="1:11" s="1" customFormat="1" ht="43.2" x14ac:dyDescent="0.3">
      <c r="A49" s="21">
        <v>6</v>
      </c>
      <c r="B49" s="37" t="s">
        <v>64</v>
      </c>
      <c r="C49" s="22" t="s">
        <v>65</v>
      </c>
      <c r="D49" s="34" t="s">
        <v>27</v>
      </c>
      <c r="E49" s="35" t="s">
        <v>29</v>
      </c>
      <c r="F49" s="35" t="s">
        <v>66</v>
      </c>
      <c r="G49" s="42" t="s">
        <v>67</v>
      </c>
      <c r="H49" s="25"/>
      <c r="I49" s="26"/>
      <c r="J49" s="27"/>
      <c r="K49" s="24"/>
    </row>
    <row r="50" spans="1:11" s="1" customFormat="1" x14ac:dyDescent="0.3">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x14ac:dyDescent="0.3">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x14ac:dyDescent="0.3">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x14ac:dyDescent="0.3">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x14ac:dyDescent="0.3">
      <c r="A54" s="21"/>
      <c r="B54" s="39" t="s">
        <v>26</v>
      </c>
      <c r="C54" s="22"/>
      <c r="D54" s="23"/>
      <c r="E54" s="24"/>
      <c r="F54" s="24"/>
      <c r="G54" s="27">
        <f>0*SUM(G50:G53)</f>
        <v>0</v>
      </c>
      <c r="H54" s="25" t="s">
        <v>70</v>
      </c>
      <c r="I54" s="26">
        <v>131940</v>
      </c>
      <c r="J54" s="27">
        <f>G54*I54</f>
        <v>0</v>
      </c>
      <c r="K54" s="24"/>
    </row>
    <row r="55" spans="1:11" s="1" customFormat="1" x14ac:dyDescent="0.3">
      <c r="A55" s="21"/>
      <c r="B55" s="39" t="s">
        <v>39</v>
      </c>
      <c r="C55" s="22"/>
      <c r="D55" s="23"/>
      <c r="E55" s="24"/>
      <c r="F55" s="24"/>
      <c r="G55" s="27"/>
      <c r="H55" s="25"/>
      <c r="I55" s="26"/>
      <c r="J55" s="27">
        <f>0.13*G54*106200</f>
        <v>0</v>
      </c>
      <c r="K55" s="24"/>
    </row>
    <row r="56" spans="1:11" s="1" customFormat="1" x14ac:dyDescent="0.3">
      <c r="A56" s="21"/>
      <c r="B56" s="39"/>
      <c r="C56" s="22"/>
      <c r="D56" s="23"/>
      <c r="E56" s="24"/>
      <c r="F56" s="24"/>
      <c r="G56" s="27"/>
      <c r="H56" s="25"/>
      <c r="I56" s="26"/>
      <c r="J56" s="27"/>
      <c r="K56" s="24"/>
    </row>
    <row r="57" spans="1:11" s="1" customFormat="1" ht="30" x14ac:dyDescent="0.3">
      <c r="A57" s="21">
        <v>7</v>
      </c>
      <c r="B57" s="37" t="s">
        <v>71</v>
      </c>
      <c r="C57" s="22"/>
      <c r="D57" s="23"/>
      <c r="E57" s="24"/>
      <c r="F57" s="24"/>
      <c r="G57" s="27"/>
      <c r="H57" s="25"/>
      <c r="I57" s="26"/>
      <c r="J57" s="27"/>
      <c r="K57" s="24"/>
    </row>
    <row r="58" spans="1:11" s="1" customFormat="1" x14ac:dyDescent="0.3">
      <c r="A58" s="21"/>
      <c r="B58" s="39" t="str">
        <f>B32</f>
        <v>-for footing</v>
      </c>
      <c r="C58" s="22">
        <v>12</v>
      </c>
      <c r="D58" s="23">
        <f>0.45*4</f>
        <v>1.8</v>
      </c>
      <c r="E58" s="24"/>
      <c r="F58" s="24">
        <v>0.45</v>
      </c>
      <c r="G58" s="36">
        <f>PRODUCT(C58:F58)</f>
        <v>9.7200000000000006</v>
      </c>
      <c r="H58" s="25"/>
      <c r="I58" s="26"/>
      <c r="J58" s="27"/>
      <c r="K58" s="24"/>
    </row>
    <row r="59" spans="1:11" s="1" customFormat="1" x14ac:dyDescent="0.3">
      <c r="A59" s="21"/>
      <c r="B59" s="39" t="s">
        <v>68</v>
      </c>
      <c r="C59" s="22">
        <v>12</v>
      </c>
      <c r="D59" s="23">
        <f>4*0.3</f>
        <v>1.2</v>
      </c>
      <c r="E59" s="24"/>
      <c r="F59" s="24">
        <v>0.3</v>
      </c>
      <c r="G59" s="36">
        <f>PRODUCT(C59:F59)</f>
        <v>4.3199999999999994</v>
      </c>
      <c r="H59" s="25"/>
      <c r="I59" s="26"/>
      <c r="J59" s="27"/>
      <c r="K59" s="24"/>
    </row>
    <row r="60" spans="1:11" s="1" customFormat="1" x14ac:dyDescent="0.3">
      <c r="A60" s="21"/>
      <c r="B60" s="39" t="s">
        <v>63</v>
      </c>
      <c r="C60" s="22">
        <f>0*2*2</f>
        <v>0</v>
      </c>
      <c r="D60" s="23">
        <f>12.5/3.281</f>
        <v>3.8098140810728434</v>
      </c>
      <c r="E60" s="24"/>
      <c r="F60" s="24">
        <f>0.23*2</f>
        <v>0.46</v>
      </c>
      <c r="G60" s="36">
        <f>PRODUCT(C60:F60)</f>
        <v>0</v>
      </c>
      <c r="H60" s="25"/>
      <c r="I60" s="26"/>
      <c r="J60" s="27"/>
      <c r="K60" s="24"/>
    </row>
    <row r="61" spans="1:11" s="1" customFormat="1" x14ac:dyDescent="0.3">
      <c r="A61" s="21"/>
      <c r="B61" s="39"/>
      <c r="C61" s="22">
        <f>0*2*2</f>
        <v>0</v>
      </c>
      <c r="D61" s="23">
        <f>11.917/3.281</f>
        <v>3.6321243523316058</v>
      </c>
      <c r="E61" s="24"/>
      <c r="F61" s="24">
        <f>0.23*2</f>
        <v>0.46</v>
      </c>
      <c r="G61" s="36">
        <f>PRODUCT(C61:F61)</f>
        <v>0</v>
      </c>
      <c r="H61" s="25"/>
      <c r="I61" s="26"/>
      <c r="J61" s="27"/>
      <c r="K61" s="24"/>
    </row>
    <row r="62" spans="1:11" s="1" customFormat="1" x14ac:dyDescent="0.3">
      <c r="A62" s="21"/>
      <c r="B62" s="39"/>
      <c r="C62" s="22">
        <f>0*1*2</f>
        <v>0</v>
      </c>
      <c r="D62" s="23">
        <f>12.25/3.281</f>
        <v>3.7336177994513866</v>
      </c>
      <c r="E62" s="24"/>
      <c r="F62" s="24">
        <f>0.23*2</f>
        <v>0.46</v>
      </c>
      <c r="G62" s="36">
        <f>PRODUCT(C62:F62)</f>
        <v>0</v>
      </c>
      <c r="H62" s="25"/>
      <c r="I62" s="26"/>
      <c r="J62" s="27"/>
      <c r="K62" s="24"/>
    </row>
    <row r="63" spans="1:11" s="1" customFormat="1" x14ac:dyDescent="0.3">
      <c r="A63" s="21"/>
      <c r="B63" s="39" t="s">
        <v>26</v>
      </c>
      <c r="C63" s="22"/>
      <c r="D63" s="23"/>
      <c r="E63" s="24"/>
      <c r="F63" s="24"/>
      <c r="G63" s="27">
        <f>SUM(G58:G62)</f>
        <v>14.04</v>
      </c>
      <c r="H63" s="25" t="s">
        <v>33</v>
      </c>
      <c r="I63" s="26">
        <v>915.42</v>
      </c>
      <c r="J63" s="27">
        <f>G63*I63</f>
        <v>12852.496799999999</v>
      </c>
      <c r="K63" s="24"/>
    </row>
    <row r="64" spans="1:11" s="1" customFormat="1" x14ac:dyDescent="0.3">
      <c r="A64" s="21"/>
      <c r="B64" s="39" t="s">
        <v>39</v>
      </c>
      <c r="C64" s="22"/>
      <c r="D64" s="23"/>
      <c r="E64" s="24"/>
      <c r="F64" s="24"/>
      <c r="G64" s="27"/>
      <c r="H64" s="25"/>
      <c r="I64" s="26"/>
      <c r="J64" s="27">
        <f>0.13*G63*46827.87/100</f>
        <v>854.70228323999993</v>
      </c>
      <c r="K64" s="24"/>
    </row>
    <row r="65" spans="1:11" s="1" customFormat="1" x14ac:dyDescent="0.3">
      <c r="A65" s="21"/>
      <c r="B65" s="39"/>
      <c r="C65" s="22"/>
      <c r="D65" s="23"/>
      <c r="E65" s="24"/>
      <c r="F65" s="24"/>
      <c r="G65" s="27"/>
      <c r="H65" s="25"/>
      <c r="I65" s="26"/>
      <c r="J65" s="27"/>
      <c r="K65" s="24"/>
    </row>
    <row r="66" spans="1:11" s="1" customFormat="1" ht="30" x14ac:dyDescent="0.3">
      <c r="A66" s="21">
        <v>8</v>
      </c>
      <c r="B66" s="37" t="s">
        <v>45</v>
      </c>
      <c r="C66" s="22"/>
      <c r="D66" s="23"/>
      <c r="E66" s="24"/>
      <c r="F66" s="24"/>
      <c r="G66" s="27"/>
      <c r="H66" s="25"/>
      <c r="I66" s="26"/>
      <c r="J66" s="27"/>
      <c r="K66" s="24"/>
    </row>
    <row r="67" spans="1:11" s="1" customFormat="1" x14ac:dyDescent="0.3">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3">
      <c r="A68" s="21"/>
      <c r="B68" s="39" t="str">
        <f>B59</f>
        <v>-for column</v>
      </c>
      <c r="C68" s="22">
        <f>C67</f>
        <v>12</v>
      </c>
      <c r="D68" s="23">
        <v>0.3</v>
      </c>
      <c r="E68" s="24">
        <v>0.3</v>
      </c>
      <c r="F68" s="24">
        <f>0.3+0.45</f>
        <v>0.75</v>
      </c>
      <c r="G68" s="36">
        <f>PRODUCT(C68:F68)</f>
        <v>0.80999999999999983</v>
      </c>
      <c r="H68" s="25"/>
      <c r="I68" s="26"/>
      <c r="J68" s="27"/>
      <c r="K68" s="24"/>
    </row>
    <row r="69" spans="1:11" s="1" customFormat="1" x14ac:dyDescent="0.3">
      <c r="A69" s="21"/>
      <c r="B69" s="39" t="s">
        <v>61</v>
      </c>
      <c r="C69" s="22">
        <f>0*2</f>
        <v>0</v>
      </c>
      <c r="D69" s="23">
        <f>40/3.281</f>
        <v>12.1914050594331</v>
      </c>
      <c r="E69" s="24">
        <v>0.23</v>
      </c>
      <c r="F69" s="24">
        <v>0.23</v>
      </c>
      <c r="G69" s="36">
        <f>PRODUCT(C69:F69)</f>
        <v>0</v>
      </c>
      <c r="H69" s="25"/>
      <c r="I69" s="26"/>
      <c r="J69" s="27"/>
      <c r="K69" s="24"/>
    </row>
    <row r="70" spans="1:11" s="1" customFormat="1" x14ac:dyDescent="0.3">
      <c r="A70" s="21"/>
      <c r="B70" s="39"/>
      <c r="C70" s="22">
        <f>0*2</f>
        <v>0</v>
      </c>
      <c r="D70" s="23">
        <f>30/3.281</f>
        <v>9.1435537945748244</v>
      </c>
      <c r="E70" s="24">
        <v>0.23</v>
      </c>
      <c r="F70" s="24">
        <v>0.23</v>
      </c>
      <c r="G70" s="36">
        <f>PRODUCT(C70:F70)</f>
        <v>0</v>
      </c>
      <c r="H70" s="25"/>
      <c r="I70" s="26"/>
      <c r="J70" s="27"/>
      <c r="K70" s="24"/>
    </row>
    <row r="71" spans="1:11" s="1" customFormat="1" x14ac:dyDescent="0.3">
      <c r="A71" s="21"/>
      <c r="B71" s="39" t="s">
        <v>62</v>
      </c>
      <c r="C71" s="22">
        <f>-C67*0</f>
        <v>0</v>
      </c>
      <c r="D71" s="23">
        <f>3/12/3.281</f>
        <v>7.6196281621456863E-2</v>
      </c>
      <c r="E71" s="24">
        <v>0.23</v>
      </c>
      <c r="F71" s="24">
        <v>0.23</v>
      </c>
      <c r="G71" s="36">
        <f>PRODUCT(C71:F71)</f>
        <v>0</v>
      </c>
      <c r="H71" s="25"/>
      <c r="I71" s="26"/>
      <c r="J71" s="27"/>
      <c r="K71" s="24"/>
    </row>
    <row r="72" spans="1:11" s="1" customFormat="1" x14ac:dyDescent="0.3">
      <c r="A72" s="21"/>
      <c r="B72" s="39" t="s">
        <v>26</v>
      </c>
      <c r="C72" s="22"/>
      <c r="D72" s="23"/>
      <c r="E72" s="24"/>
      <c r="F72" s="24"/>
      <c r="G72" s="27">
        <f>SUM(G67:G71)</f>
        <v>1.9035</v>
      </c>
      <c r="H72" s="25" t="s">
        <v>42</v>
      </c>
      <c r="I72" s="26">
        <v>13568.9</v>
      </c>
      <c r="J72" s="27">
        <f>G72*I72</f>
        <v>25828.401149999998</v>
      </c>
      <c r="K72" s="24"/>
    </row>
    <row r="73" spans="1:11" s="1" customFormat="1" x14ac:dyDescent="0.3">
      <c r="A73" s="21"/>
      <c r="B73" s="39" t="s">
        <v>39</v>
      </c>
      <c r="C73" s="22"/>
      <c r="D73" s="23"/>
      <c r="E73" s="24"/>
      <c r="F73" s="24"/>
      <c r="G73" s="27"/>
      <c r="H73" s="25"/>
      <c r="I73" s="26"/>
      <c r="J73" s="27">
        <f>0.13*G72*9524.2</f>
        <v>2356.810911</v>
      </c>
      <c r="K73" s="24"/>
    </row>
    <row r="74" spans="1:11" s="1" customFormat="1" x14ac:dyDescent="0.3">
      <c r="A74" s="21"/>
      <c r="B74" s="39"/>
      <c r="C74" s="22"/>
      <c r="D74" s="23"/>
      <c r="E74" s="24"/>
      <c r="F74" s="24"/>
      <c r="G74" s="27"/>
      <c r="H74" s="25"/>
      <c r="I74" s="26"/>
      <c r="J74" s="27"/>
      <c r="K74" s="24"/>
    </row>
    <row r="75" spans="1:11" s="1" customFormat="1" ht="30" x14ac:dyDescent="0.3">
      <c r="A75" s="21">
        <v>9</v>
      </c>
      <c r="B75" s="37" t="s">
        <v>53</v>
      </c>
      <c r="C75" s="22"/>
      <c r="D75" s="23"/>
      <c r="E75" s="24"/>
      <c r="F75" s="24"/>
      <c r="G75" s="27"/>
      <c r="H75" s="25"/>
      <c r="I75" s="26"/>
      <c r="J75" s="27"/>
      <c r="K75" s="24"/>
    </row>
    <row r="76" spans="1:11" s="1" customFormat="1" x14ac:dyDescent="0.3">
      <c r="A76" s="21"/>
      <c r="B76" s="39" t="s">
        <v>57</v>
      </c>
      <c r="C76" s="22">
        <f>2*2</f>
        <v>4</v>
      </c>
      <c r="D76" s="23">
        <f>12.5/3.281</f>
        <v>3.8098140810728434</v>
      </c>
      <c r="E76" s="24">
        <v>0.23</v>
      </c>
      <c r="F76" s="24">
        <v>0.45</v>
      </c>
      <c r="G76" s="36">
        <f>PRODUCT(C76:F76)</f>
        <v>1.5772630295641572</v>
      </c>
      <c r="H76" s="25"/>
      <c r="I76" s="26"/>
      <c r="J76" s="27"/>
      <c r="K76" s="24"/>
    </row>
    <row r="77" spans="1:11" s="1" customFormat="1" x14ac:dyDescent="0.3">
      <c r="A77" s="21"/>
      <c r="B77" s="39"/>
      <c r="C77" s="22">
        <f>2*2</f>
        <v>4</v>
      </c>
      <c r="D77" s="23">
        <f>11.917/3.281</f>
        <v>3.6321243523316058</v>
      </c>
      <c r="E77" s="24">
        <v>0.23</v>
      </c>
      <c r="F77" s="24">
        <v>0.45</v>
      </c>
      <c r="G77" s="36">
        <f>PRODUCT(C77:F77)</f>
        <v>1.5036994818652849</v>
      </c>
      <c r="H77" s="25"/>
      <c r="I77" s="26"/>
      <c r="J77" s="27"/>
      <c r="K77" s="24"/>
    </row>
    <row r="78" spans="1:11" s="1" customFormat="1" x14ac:dyDescent="0.3">
      <c r="A78" s="21"/>
      <c r="B78" s="39"/>
      <c r="C78" s="22">
        <f>1*2</f>
        <v>2</v>
      </c>
      <c r="D78" s="23">
        <f>12.25/3.281</f>
        <v>3.7336177994513866</v>
      </c>
      <c r="E78" s="24">
        <v>0.23</v>
      </c>
      <c r="F78" s="24">
        <v>0.45</v>
      </c>
      <c r="G78" s="36">
        <f>PRODUCT(C78:F78)</f>
        <v>0.77285888448643714</v>
      </c>
      <c r="H78" s="25"/>
      <c r="I78" s="26"/>
      <c r="J78" s="27"/>
      <c r="K78" s="24"/>
    </row>
    <row r="79" spans="1:11" s="1" customFormat="1" x14ac:dyDescent="0.3">
      <c r="A79" s="21"/>
      <c r="B79" s="39" t="s">
        <v>26</v>
      </c>
      <c r="C79" s="22"/>
      <c r="D79" s="23"/>
      <c r="E79" s="24"/>
      <c r="F79" s="24"/>
      <c r="G79" s="27">
        <f>SUM(G76:G78)</f>
        <v>3.8538213959158796</v>
      </c>
      <c r="H79" s="25" t="s">
        <v>42</v>
      </c>
      <c r="I79" s="26">
        <v>14362.76</v>
      </c>
      <c r="J79" s="27">
        <f>G79*I79</f>
        <v>55351.511792404759</v>
      </c>
      <c r="K79" s="24"/>
    </row>
    <row r="80" spans="1:11" s="1" customFormat="1" x14ac:dyDescent="0.3">
      <c r="A80" s="21"/>
      <c r="B80" s="39" t="s">
        <v>39</v>
      </c>
      <c r="C80" s="22"/>
      <c r="D80" s="23"/>
      <c r="E80" s="24"/>
      <c r="F80" s="24"/>
      <c r="G80" s="27"/>
      <c r="H80" s="25"/>
      <c r="I80" s="26"/>
      <c r="J80" s="27">
        <f>0.13*G79*10311.74</f>
        <v>5166.1485513458092</v>
      </c>
      <c r="K80" s="24"/>
    </row>
    <row r="81" spans="1:31" s="1" customFormat="1" x14ac:dyDescent="0.3">
      <c r="A81" s="21"/>
      <c r="B81" s="39"/>
      <c r="C81" s="22"/>
      <c r="D81" s="23"/>
      <c r="E81" s="24"/>
      <c r="F81" s="24"/>
      <c r="G81" s="27"/>
      <c r="H81" s="25"/>
      <c r="I81" s="26"/>
      <c r="J81" s="27"/>
      <c r="K81" s="24"/>
    </row>
    <row r="82" spans="1:31" s="1" customFormat="1" ht="27.6" x14ac:dyDescent="0.3">
      <c r="A82" s="21">
        <v>10</v>
      </c>
      <c r="B82" s="41" t="s">
        <v>35</v>
      </c>
      <c r="C82" s="22">
        <v>1</v>
      </c>
      <c r="D82" s="23"/>
      <c r="E82" s="24"/>
      <c r="F82" s="24"/>
      <c r="G82" s="36">
        <f>PRODUCT(C82:F82)</f>
        <v>1</v>
      </c>
      <c r="H82" s="25" t="s">
        <v>36</v>
      </c>
      <c r="I82" s="26">
        <v>5000</v>
      </c>
      <c r="J82" s="27">
        <f>G82*I82</f>
        <v>5000</v>
      </c>
      <c r="K82" s="24"/>
    </row>
    <row r="83" spans="1:31" s="1" customFormat="1" x14ac:dyDescent="0.3">
      <c r="A83" s="21"/>
      <c r="B83" s="39"/>
      <c r="C83" s="22"/>
      <c r="D83" s="23"/>
      <c r="E83" s="24"/>
      <c r="F83" s="24"/>
      <c r="G83" s="27"/>
      <c r="H83" s="25"/>
      <c r="I83" s="26"/>
      <c r="J83" s="27"/>
      <c r="K83" s="24"/>
    </row>
    <row r="84" spans="1:31" s="1" customFormat="1" x14ac:dyDescent="0.3">
      <c r="A84" s="21">
        <v>11</v>
      </c>
      <c r="B84" s="41" t="s">
        <v>37</v>
      </c>
      <c r="C84" s="22">
        <v>1</v>
      </c>
      <c r="D84" s="23"/>
      <c r="E84" s="24"/>
      <c r="F84" s="24"/>
      <c r="G84" s="36">
        <f>PRODUCT(C84:F84)</f>
        <v>1</v>
      </c>
      <c r="H84" s="25" t="s">
        <v>55</v>
      </c>
      <c r="I84" s="26">
        <v>1000</v>
      </c>
      <c r="J84" s="27">
        <f>G84*I84</f>
        <v>1000</v>
      </c>
      <c r="K84" s="24"/>
    </row>
    <row r="85" spans="1:31" s="1" customFormat="1" x14ac:dyDescent="0.3">
      <c r="A85" s="21"/>
      <c r="B85" s="39"/>
      <c r="C85" s="22"/>
      <c r="D85" s="23"/>
      <c r="E85" s="24"/>
      <c r="F85" s="24"/>
      <c r="G85" s="27"/>
      <c r="H85" s="25"/>
      <c r="I85" s="26"/>
      <c r="J85" s="27"/>
      <c r="K85" s="24"/>
    </row>
    <row r="86" spans="1:31" x14ac:dyDescent="0.3">
      <c r="A86" s="9"/>
      <c r="B86" s="20" t="s">
        <v>16</v>
      </c>
      <c r="C86" s="8"/>
      <c r="D86" s="6"/>
      <c r="E86" s="6"/>
      <c r="F86" s="6"/>
      <c r="G86" s="33"/>
      <c r="H86" s="7"/>
      <c r="I86" s="7"/>
      <c r="J86" s="7">
        <f>SUM(J10:J85)</f>
        <v>448410.4337355725</v>
      </c>
      <c r="K86" s="4"/>
      <c r="M86" s="29"/>
      <c r="P86" s="32"/>
      <c r="Q86" s="32"/>
    </row>
    <row r="87" spans="1:31" x14ac:dyDescent="0.3">
      <c r="M87" s="29"/>
      <c r="N87" s="30"/>
      <c r="O87" s="30"/>
      <c r="P87" s="31"/>
      <c r="R87" s="30"/>
      <c r="S87" s="30"/>
      <c r="T87" s="30"/>
      <c r="U87" s="29"/>
      <c r="V87" s="29"/>
      <c r="W87" s="29"/>
      <c r="X87" s="29"/>
      <c r="Y87" s="29"/>
      <c r="Z87" s="29"/>
      <c r="AA87" s="29"/>
      <c r="AB87" s="29"/>
      <c r="AC87" s="29"/>
      <c r="AD87" s="29"/>
      <c r="AE87" s="29"/>
    </row>
    <row r="88" spans="1:31" s="1" customFormat="1" x14ac:dyDescent="0.3">
      <c r="B88" s="11" t="s">
        <v>22</v>
      </c>
      <c r="C88" s="64">
        <f>J86</f>
        <v>448410.4337355725</v>
      </c>
      <c r="D88" s="65"/>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3">
      <c r="B89" s="11" t="s">
        <v>17</v>
      </c>
      <c r="C89" s="67">
        <v>400000</v>
      </c>
      <c r="D89" s="68"/>
      <c r="E89" s="10"/>
      <c r="M89" s="29"/>
      <c r="N89" s="30"/>
      <c r="O89" s="30"/>
      <c r="P89" s="30"/>
      <c r="Q89" s="30"/>
      <c r="R89" s="30"/>
      <c r="S89" s="30"/>
      <c r="T89" s="30"/>
      <c r="U89" s="29"/>
      <c r="V89" s="29"/>
      <c r="W89" s="29"/>
      <c r="X89" s="29"/>
      <c r="Y89" s="29"/>
      <c r="Z89" s="29"/>
      <c r="AA89" s="29"/>
      <c r="AB89" s="29"/>
      <c r="AC89" s="29"/>
      <c r="AD89" s="29"/>
      <c r="AE89" s="29"/>
    </row>
    <row r="90" spans="1:31" x14ac:dyDescent="0.3">
      <c r="B90" s="11" t="s">
        <v>18</v>
      </c>
      <c r="C90" s="67">
        <f>C89-C92-C93</f>
        <v>380000</v>
      </c>
      <c r="D90" s="68"/>
      <c r="E90" s="10">
        <f>C90/C88*100</f>
        <v>84.743790824476193</v>
      </c>
      <c r="M90" s="29"/>
      <c r="N90" s="29"/>
      <c r="O90" s="29"/>
      <c r="P90" s="29"/>
      <c r="Q90" s="29"/>
      <c r="R90" s="29"/>
      <c r="S90" s="29"/>
      <c r="T90" s="29"/>
      <c r="U90" s="29"/>
      <c r="V90" s="29"/>
      <c r="W90" s="29"/>
      <c r="X90" s="29"/>
      <c r="Y90" s="29"/>
      <c r="Z90" s="29"/>
      <c r="AA90" s="29"/>
      <c r="AB90" s="29"/>
      <c r="AC90" s="29"/>
      <c r="AD90" s="29"/>
      <c r="AE90" s="29"/>
    </row>
    <row r="91" spans="1:31" x14ac:dyDescent="0.3">
      <c r="B91" s="11" t="s">
        <v>19</v>
      </c>
      <c r="C91" s="69">
        <f>C88-C90</f>
        <v>68410.4337355725</v>
      </c>
      <c r="D91" s="69"/>
      <c r="E91" s="10">
        <f>100-E90</f>
        <v>15.256209175523807</v>
      </c>
      <c r="M91" s="29"/>
      <c r="N91" s="29"/>
      <c r="O91" s="29"/>
      <c r="P91" s="29"/>
      <c r="Q91" s="29"/>
      <c r="R91" s="29"/>
      <c r="S91" s="29"/>
      <c r="T91" s="29"/>
      <c r="U91" s="29"/>
      <c r="V91" s="29"/>
      <c r="W91" s="29"/>
      <c r="X91" s="29"/>
      <c r="Y91" s="29"/>
      <c r="Z91" s="29"/>
      <c r="AA91" s="29"/>
      <c r="AB91" s="29"/>
      <c r="AC91" s="29"/>
      <c r="AD91" s="29"/>
      <c r="AE91" s="29"/>
    </row>
    <row r="92" spans="1:31" x14ac:dyDescent="0.3">
      <c r="B92" s="11" t="s">
        <v>20</v>
      </c>
      <c r="C92" s="64">
        <f>C89*0.03</f>
        <v>12000</v>
      </c>
      <c r="D92" s="65"/>
      <c r="E92" s="10">
        <v>3</v>
      </c>
      <c r="M92" s="29"/>
      <c r="N92" s="29"/>
      <c r="O92" s="29"/>
      <c r="P92" s="29"/>
      <c r="Q92" s="29"/>
      <c r="R92" s="29"/>
      <c r="S92" s="29"/>
      <c r="T92" s="29"/>
      <c r="U92" s="29"/>
      <c r="V92" s="29"/>
      <c r="W92" s="29"/>
      <c r="X92" s="29"/>
      <c r="Y92" s="29"/>
      <c r="Z92" s="29"/>
      <c r="AA92" s="29"/>
      <c r="AB92" s="29"/>
      <c r="AC92" s="29"/>
      <c r="AD92" s="29"/>
      <c r="AE92" s="29"/>
    </row>
    <row r="93" spans="1:31" x14ac:dyDescent="0.3">
      <c r="B93" s="11" t="s">
        <v>21</v>
      </c>
      <c r="C93" s="64">
        <f>C89*0.02</f>
        <v>8000</v>
      </c>
      <c r="D93" s="65"/>
      <c r="E93" s="10">
        <v>2</v>
      </c>
      <c r="M93" s="29"/>
      <c r="N93" s="29"/>
      <c r="O93" s="29"/>
      <c r="P93" s="29"/>
      <c r="Q93" s="29"/>
      <c r="R93" s="29"/>
      <c r="S93" s="29"/>
      <c r="T93" s="29"/>
      <c r="U93" s="29"/>
      <c r="V93" s="29"/>
      <c r="W93" s="29"/>
      <c r="X93" s="29"/>
      <c r="Y93" s="29"/>
      <c r="Z93" s="29"/>
      <c r="AA93" s="29"/>
      <c r="AB93" s="29"/>
      <c r="AC93" s="29"/>
      <c r="AD93" s="29"/>
      <c r="AE93" s="29"/>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rowBreaks count="1" manualBreakCount="1">
    <brk id="4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abSelected="1" view="pageBreakPreview" topLeftCell="A33" zoomScaleNormal="100" zoomScaleSheetLayoutView="100" workbookViewId="0">
      <selection activeCell="I35" sqref="I35"/>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0" t="s">
        <v>0</v>
      </c>
      <c r="B1" s="60"/>
      <c r="C1" s="60"/>
      <c r="D1" s="60"/>
      <c r="E1" s="60"/>
      <c r="F1" s="60"/>
      <c r="G1" s="60"/>
      <c r="H1" s="60"/>
      <c r="I1" s="60"/>
      <c r="J1" s="60"/>
      <c r="K1" s="60"/>
    </row>
    <row r="2" spans="1:13" s="1" customFormat="1" ht="22.8" x14ac:dyDescent="0.3">
      <c r="A2" s="61" t="s">
        <v>1</v>
      </c>
      <c r="B2" s="61"/>
      <c r="C2" s="61"/>
      <c r="D2" s="61"/>
      <c r="E2" s="61"/>
      <c r="F2" s="61"/>
      <c r="G2" s="61"/>
      <c r="H2" s="61"/>
      <c r="I2" s="61"/>
      <c r="J2" s="61"/>
      <c r="K2" s="61"/>
    </row>
    <row r="3" spans="1:13" s="1" customFormat="1" x14ac:dyDescent="0.3">
      <c r="A3" s="62" t="s">
        <v>2</v>
      </c>
      <c r="B3" s="62"/>
      <c r="C3" s="62"/>
      <c r="D3" s="62"/>
      <c r="E3" s="62"/>
      <c r="F3" s="62"/>
      <c r="G3" s="62"/>
      <c r="H3" s="62"/>
      <c r="I3" s="62"/>
      <c r="J3" s="62"/>
      <c r="K3" s="62"/>
    </row>
    <row r="4" spans="1:13" s="1" customFormat="1" x14ac:dyDescent="0.3">
      <c r="A4" s="62" t="s">
        <v>3</v>
      </c>
      <c r="B4" s="62"/>
      <c r="C4" s="62"/>
      <c r="D4" s="62"/>
      <c r="E4" s="62"/>
      <c r="F4" s="62"/>
      <c r="G4" s="62"/>
      <c r="H4" s="62"/>
      <c r="I4" s="62"/>
      <c r="J4" s="62"/>
      <c r="K4" s="62"/>
    </row>
    <row r="5" spans="1:13" ht="17.399999999999999" x14ac:dyDescent="0.3">
      <c r="A5" s="63" t="s">
        <v>4</v>
      </c>
      <c r="B5" s="63"/>
      <c r="C5" s="63"/>
      <c r="D5" s="63"/>
      <c r="E5" s="63"/>
      <c r="F5" s="63"/>
      <c r="G5" s="63"/>
      <c r="H5" s="63"/>
      <c r="I5" s="63"/>
      <c r="J5" s="63"/>
      <c r="K5" s="63"/>
    </row>
    <row r="6" spans="1:13" ht="18" x14ac:dyDescent="0.35">
      <c r="A6" s="58" t="s">
        <v>34</v>
      </c>
      <c r="B6" s="58"/>
      <c r="C6" s="58"/>
      <c r="D6" s="58"/>
      <c r="E6" s="58"/>
      <c r="F6" s="58"/>
      <c r="G6" s="58"/>
      <c r="H6" s="59" t="s">
        <v>24</v>
      </c>
      <c r="I6" s="59"/>
      <c r="J6" s="59"/>
      <c r="K6" s="59"/>
    </row>
    <row r="7" spans="1:13" ht="15.6" x14ac:dyDescent="0.3">
      <c r="A7" s="66" t="s">
        <v>23</v>
      </c>
      <c r="B7" s="66"/>
      <c r="C7" s="66"/>
      <c r="D7" s="66"/>
      <c r="E7" s="66"/>
      <c r="F7" s="66"/>
      <c r="G7" s="2"/>
      <c r="H7" s="59" t="s">
        <v>25</v>
      </c>
      <c r="I7" s="59"/>
      <c r="J7" s="59"/>
      <c r="K7" s="59"/>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1.4" x14ac:dyDescent="0.3">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1.4" x14ac:dyDescent="0.3">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1.4" x14ac:dyDescent="0.3">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1.4" x14ac:dyDescent="0.3">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3">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3">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3">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1.4" x14ac:dyDescent="0.3">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3">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3">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3">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27.6" x14ac:dyDescent="0.3">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3">
      <c r="A23" s="21"/>
      <c r="B23" s="39" t="s">
        <v>26</v>
      </c>
      <c r="C23" s="22"/>
      <c r="D23" s="23"/>
      <c r="E23" s="24"/>
      <c r="F23" s="24"/>
      <c r="G23" s="27">
        <f>SUM(G10:G22)</f>
        <v>957.85319110027433</v>
      </c>
      <c r="H23" s="25" t="s">
        <v>31</v>
      </c>
      <c r="I23" s="26">
        <v>181.17</v>
      </c>
      <c r="J23" s="27">
        <f>G23*I23</f>
        <v>173534.2626316367</v>
      </c>
      <c r="K23" s="24"/>
    </row>
    <row r="24" spans="1:13" s="1" customFormat="1" x14ac:dyDescent="0.3">
      <c r="A24" s="21"/>
      <c r="B24" s="39" t="s">
        <v>39</v>
      </c>
      <c r="C24" s="22"/>
      <c r="D24" s="23"/>
      <c r="E24" s="24"/>
      <c r="F24" s="24"/>
      <c r="G24" s="27"/>
      <c r="H24" s="25"/>
      <c r="I24" s="26"/>
      <c r="J24" s="27">
        <f>0.13*G23*(1871.42/18.94)</f>
        <v>12303.63941159207</v>
      </c>
      <c r="K24" s="24"/>
    </row>
    <row r="25" spans="1:13" s="1" customFormat="1" ht="15" x14ac:dyDescent="0.3">
      <c r="A25" s="21"/>
      <c r="B25" s="37"/>
      <c r="C25" s="22"/>
      <c r="D25" s="23"/>
      <c r="E25" s="24"/>
      <c r="F25" s="24"/>
      <c r="G25" s="28"/>
      <c r="H25" s="25"/>
      <c r="I25" s="26"/>
      <c r="J25" s="27"/>
      <c r="K25" s="24"/>
    </row>
    <row r="26" spans="1:13" s="1" customFormat="1" ht="45" x14ac:dyDescent="0.3">
      <c r="A26" s="38">
        <v>2</v>
      </c>
      <c r="B26" s="37" t="s">
        <v>32</v>
      </c>
      <c r="C26" s="40"/>
      <c r="D26" s="10"/>
      <c r="E26" s="10"/>
      <c r="F26" s="10"/>
      <c r="G26" s="36"/>
      <c r="H26" s="27"/>
      <c r="I26" s="27"/>
      <c r="J26" s="27"/>
      <c r="K26" s="11"/>
      <c r="M26" s="12"/>
    </row>
    <row r="27" spans="1:13" s="1" customFormat="1" x14ac:dyDescent="0.3">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3">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3">
      <c r="A29" s="21"/>
      <c r="B29" s="39" t="s">
        <v>39</v>
      </c>
      <c r="C29" s="22"/>
      <c r="D29" s="23"/>
      <c r="E29" s="24"/>
      <c r="F29" s="24"/>
      <c r="G29" s="27"/>
      <c r="H29" s="25"/>
      <c r="I29" s="26"/>
      <c r="J29" s="27">
        <f>0.13*G28*8587.63/10</f>
        <v>13918.496619811258</v>
      </c>
      <c r="K29" s="24"/>
    </row>
    <row r="30" spans="1:13" s="1" customFormat="1" x14ac:dyDescent="0.3">
      <c r="A30" s="21"/>
      <c r="B30" s="39"/>
      <c r="C30" s="22"/>
      <c r="D30" s="23"/>
      <c r="E30" s="24"/>
      <c r="F30" s="24"/>
      <c r="G30" s="27"/>
      <c r="H30" s="25"/>
      <c r="I30" s="26"/>
      <c r="J30" s="27"/>
      <c r="K30" s="24"/>
    </row>
    <row r="31" spans="1:13" s="1" customFormat="1" ht="30" x14ac:dyDescent="0.3">
      <c r="A31" s="21">
        <v>3</v>
      </c>
      <c r="B31" s="37" t="s">
        <v>40</v>
      </c>
      <c r="C31" s="22"/>
      <c r="D31" s="23"/>
      <c r="E31" s="24"/>
      <c r="F31" s="24"/>
      <c r="G31" s="27"/>
      <c r="H31" s="25"/>
      <c r="I31" s="26"/>
      <c r="J31" s="27"/>
      <c r="K31" s="24"/>
    </row>
    <row r="32" spans="1:13" s="1" customFormat="1" x14ac:dyDescent="0.3">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3">
      <c r="A33" s="21"/>
      <c r="B33" s="39" t="s">
        <v>26</v>
      </c>
      <c r="C33" s="22"/>
      <c r="D33" s="23"/>
      <c r="E33" s="24"/>
      <c r="F33" s="24"/>
      <c r="G33" s="27">
        <f>SUM(G32:G32)</f>
        <v>2.1626333434928378</v>
      </c>
      <c r="H33" s="25" t="s">
        <v>42</v>
      </c>
      <c r="I33" s="26">
        <v>663.31</v>
      </c>
      <c r="J33" s="27">
        <f>G33*I33</f>
        <v>1434.4963230722342</v>
      </c>
      <c r="K33" s="24"/>
    </row>
    <row r="34" spans="1:11" s="1" customFormat="1" x14ac:dyDescent="0.3">
      <c r="A34" s="21"/>
      <c r="B34" s="39"/>
      <c r="C34" s="22"/>
      <c r="D34" s="23"/>
      <c r="E34" s="24"/>
      <c r="F34" s="24"/>
      <c r="G34" s="27"/>
      <c r="H34" s="25"/>
      <c r="I34" s="26"/>
      <c r="J34" s="27"/>
      <c r="K34" s="24"/>
    </row>
    <row r="35" spans="1:11" s="1" customFormat="1" ht="82.8" x14ac:dyDescent="0.3">
      <c r="A35" s="21">
        <v>4</v>
      </c>
      <c r="B35" s="83" t="s">
        <v>93</v>
      </c>
      <c r="C35" s="22"/>
      <c r="D35" s="23"/>
      <c r="E35" s="24"/>
      <c r="F35" s="24"/>
      <c r="G35" s="27"/>
      <c r="H35" s="25"/>
      <c r="I35" s="26"/>
      <c r="J35" s="27"/>
      <c r="K35" s="24"/>
    </row>
    <row r="36" spans="1:11" s="1" customFormat="1" x14ac:dyDescent="0.3">
      <c r="A36" s="21"/>
      <c r="B36" s="39" t="s">
        <v>56</v>
      </c>
      <c r="C36" s="22">
        <v>1</v>
      </c>
      <c r="D36" s="23">
        <f>(29.917-0.75-0.75)/3.281</f>
        <v>8.6610789393477603</v>
      </c>
      <c r="E36" s="24">
        <f>(9.917+15-0.75-0.75)/3.281</f>
        <v>7.1371533069186226</v>
      </c>
      <c r="F36" s="24">
        <v>0.15</v>
      </c>
      <c r="G36" s="36">
        <f>PRODUCT(C36:F36)</f>
        <v>9.2723172290173643</v>
      </c>
      <c r="H36" s="25"/>
      <c r="I36" s="26"/>
      <c r="J36" s="27"/>
      <c r="K36" s="24"/>
    </row>
    <row r="37" spans="1:11" s="1" customFormat="1" hidden="1" x14ac:dyDescent="0.3">
      <c r="A37" s="21"/>
      <c r="B37" s="39" t="s">
        <v>63</v>
      </c>
      <c r="C37" s="22">
        <f>0*2*2</f>
        <v>0</v>
      </c>
      <c r="D37" s="23">
        <f>11.17/3.281</f>
        <v>3.4044498628466928</v>
      </c>
      <c r="E37" s="24">
        <v>0.23</v>
      </c>
      <c r="F37" s="24"/>
      <c r="G37" s="36">
        <f>PRODUCT(C37:F37)</f>
        <v>0</v>
      </c>
      <c r="H37" s="25"/>
      <c r="I37" s="26"/>
      <c r="J37" s="27"/>
      <c r="K37" s="24"/>
    </row>
    <row r="38" spans="1:11" s="1" customFormat="1" hidden="1" x14ac:dyDescent="0.3">
      <c r="A38" s="21"/>
      <c r="B38" s="39"/>
      <c r="C38" s="22">
        <f>0*2*3</f>
        <v>0</v>
      </c>
      <c r="D38" s="23">
        <f>11.75/3.281</f>
        <v>3.5812252362084727</v>
      </c>
      <c r="E38" s="24">
        <v>0.23</v>
      </c>
      <c r="F38" s="24"/>
      <c r="G38" s="36">
        <f>PRODUCT(C38:F38)</f>
        <v>0</v>
      </c>
      <c r="H38" s="25"/>
      <c r="I38" s="26"/>
      <c r="J38" s="27"/>
      <c r="K38" s="24"/>
    </row>
    <row r="39" spans="1:11" s="1" customFormat="1" x14ac:dyDescent="0.3">
      <c r="A39" s="21"/>
      <c r="B39" s="39" t="s">
        <v>26</v>
      </c>
      <c r="C39" s="22"/>
      <c r="D39" s="23"/>
      <c r="E39" s="24"/>
      <c r="F39" s="24"/>
      <c r="G39" s="27">
        <f>SUM(G36:G38)</f>
        <v>9.2723172290173643</v>
      </c>
      <c r="H39" s="25" t="s">
        <v>33</v>
      </c>
      <c r="I39" s="26">
        <v>4434.5200000000004</v>
      </c>
      <c r="J39" s="27">
        <f>G39*I39</f>
        <v>41118.276198422085</v>
      </c>
      <c r="K39" s="24"/>
    </row>
    <row r="40" spans="1:11" s="1" customFormat="1" x14ac:dyDescent="0.3">
      <c r="A40" s="21"/>
      <c r="B40" s="39" t="s">
        <v>39</v>
      </c>
      <c r="C40" s="22"/>
      <c r="D40" s="23"/>
      <c r="E40" s="24"/>
      <c r="F40" s="24"/>
      <c r="G40" s="27"/>
      <c r="H40" s="25"/>
      <c r="I40" s="26"/>
      <c r="J40" s="27">
        <f>0.13*G39*14817.6/5</f>
        <v>3572.2306820898802</v>
      </c>
      <c r="K40" s="24"/>
    </row>
    <row r="41" spans="1:11" s="1" customFormat="1" x14ac:dyDescent="0.3">
      <c r="A41" s="21"/>
      <c r="B41" s="39"/>
      <c r="C41" s="22"/>
      <c r="D41" s="23"/>
      <c r="E41" s="24"/>
      <c r="F41" s="24"/>
      <c r="G41" s="27"/>
      <c r="H41" s="25"/>
      <c r="I41" s="26"/>
      <c r="J41" s="27"/>
      <c r="K41" s="24"/>
    </row>
    <row r="42" spans="1:11" s="1" customFormat="1" ht="30" x14ac:dyDescent="0.3">
      <c r="A42" s="21">
        <v>5</v>
      </c>
      <c r="B42" s="37" t="s">
        <v>44</v>
      </c>
      <c r="C42" s="22"/>
      <c r="D42" s="23"/>
      <c r="E42" s="24"/>
      <c r="F42" s="24"/>
      <c r="G42" s="27"/>
      <c r="H42" s="25"/>
      <c r="I42" s="26"/>
      <c r="J42" s="27"/>
      <c r="K42" s="24"/>
    </row>
    <row r="43" spans="1:11" s="1" customFormat="1" x14ac:dyDescent="0.3">
      <c r="A43" s="21"/>
      <c r="B43" s="39" t="str">
        <f>B32</f>
        <v>-for footing</v>
      </c>
      <c r="C43" s="22">
        <f>C36</f>
        <v>1</v>
      </c>
      <c r="D43" s="23">
        <f>D36</f>
        <v>8.6610789393477603</v>
      </c>
      <c r="E43" s="24">
        <f>E36</f>
        <v>7.1371533069186226</v>
      </c>
      <c r="F43" s="24">
        <v>7.4999999999999997E-2</v>
      </c>
      <c r="G43" s="36">
        <f>PRODUCT(C43:F43)</f>
        <v>4.6361586145086822</v>
      </c>
      <c r="H43" s="25"/>
      <c r="I43" s="26"/>
      <c r="J43" s="27"/>
      <c r="K43" s="24"/>
    </row>
    <row r="44" spans="1:11" s="1" customFormat="1" hidden="1" x14ac:dyDescent="0.3">
      <c r="A44" s="21"/>
      <c r="B44" s="39" t="s">
        <v>63</v>
      </c>
      <c r="C44" s="22">
        <f>0*2*2</f>
        <v>0</v>
      </c>
      <c r="D44" s="23">
        <f>11.17/3.281</f>
        <v>3.4044498628466928</v>
      </c>
      <c r="E44" s="24">
        <v>0.23</v>
      </c>
      <c r="F44" s="24">
        <v>0.05</v>
      </c>
      <c r="G44" s="36">
        <f>PRODUCT(C44:F44)</f>
        <v>0</v>
      </c>
      <c r="H44" s="25"/>
      <c r="I44" s="26"/>
      <c r="J44" s="27"/>
      <c r="K44" s="24"/>
    </row>
    <row r="45" spans="1:11" s="1" customFormat="1" hidden="1" x14ac:dyDescent="0.3">
      <c r="A45" s="21"/>
      <c r="B45" s="39"/>
      <c r="C45" s="22">
        <f>0*2*3</f>
        <v>0</v>
      </c>
      <c r="D45" s="23">
        <f>11.75/3.281</f>
        <v>3.5812252362084727</v>
      </c>
      <c r="E45" s="24">
        <v>0.23</v>
      </c>
      <c r="F45" s="24">
        <v>0.05</v>
      </c>
      <c r="G45" s="36">
        <f>PRODUCT(C45:F45)</f>
        <v>0</v>
      </c>
      <c r="H45" s="25"/>
      <c r="I45" s="26"/>
      <c r="J45" s="27"/>
      <c r="K45" s="24"/>
    </row>
    <row r="46" spans="1:11" s="1" customFormat="1" x14ac:dyDescent="0.3">
      <c r="A46" s="21"/>
      <c r="B46" s="39" t="s">
        <v>26</v>
      </c>
      <c r="C46" s="22"/>
      <c r="D46" s="23"/>
      <c r="E46" s="24"/>
      <c r="F46" s="24"/>
      <c r="G46" s="27">
        <f>SUM(G43:G45)</f>
        <v>4.6361586145086822</v>
      </c>
      <c r="H46" s="25" t="s">
        <v>42</v>
      </c>
      <c r="I46" s="26">
        <v>12983.1</v>
      </c>
      <c r="J46" s="27">
        <f>G46*I46</f>
        <v>60191.710908027671</v>
      </c>
      <c r="K46" s="24"/>
    </row>
    <row r="47" spans="1:11" s="1" customFormat="1" x14ac:dyDescent="0.3">
      <c r="A47" s="21"/>
      <c r="B47" s="39" t="s">
        <v>39</v>
      </c>
      <c r="C47" s="22"/>
      <c r="D47" s="23"/>
      <c r="E47" s="24"/>
      <c r="F47" s="24"/>
      <c r="G47" s="27"/>
      <c r="H47" s="25"/>
      <c r="I47" s="26"/>
      <c r="J47" s="27">
        <f>0.13*G46*8078.11</f>
        <v>4868.6819045083348</v>
      </c>
      <c r="K47" s="24"/>
    </row>
    <row r="48" spans="1:11" s="1" customFormat="1" x14ac:dyDescent="0.3">
      <c r="A48" s="21"/>
      <c r="B48" s="39"/>
      <c r="C48" s="22"/>
      <c r="D48" s="23"/>
      <c r="E48" s="24"/>
      <c r="F48" s="24"/>
      <c r="G48" s="27"/>
      <c r="H48" s="25"/>
      <c r="I48" s="26"/>
      <c r="J48" s="27"/>
      <c r="K48" s="24"/>
    </row>
    <row r="49" spans="1:11" s="1" customFormat="1" ht="43.2" hidden="1" x14ac:dyDescent="0.3">
      <c r="A49" s="21">
        <v>6</v>
      </c>
      <c r="B49" s="37" t="s">
        <v>64</v>
      </c>
      <c r="C49" s="22" t="s">
        <v>65</v>
      </c>
      <c r="D49" s="34" t="s">
        <v>27</v>
      </c>
      <c r="E49" s="35" t="s">
        <v>29</v>
      </c>
      <c r="F49" s="35" t="s">
        <v>66</v>
      </c>
      <c r="G49" s="42" t="s">
        <v>67</v>
      </c>
      <c r="H49" s="25"/>
      <c r="I49" s="26"/>
      <c r="J49" s="27"/>
      <c r="K49" s="24"/>
    </row>
    <row r="50" spans="1:11" s="1" customFormat="1" hidden="1" x14ac:dyDescent="0.3">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hidden="1" x14ac:dyDescent="0.3">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hidden="1" x14ac:dyDescent="0.3">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hidden="1" x14ac:dyDescent="0.3">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hidden="1" x14ac:dyDescent="0.3">
      <c r="A54" s="21"/>
      <c r="B54" s="39" t="s">
        <v>26</v>
      </c>
      <c r="C54" s="22"/>
      <c r="D54" s="23"/>
      <c r="E54" s="24"/>
      <c r="F54" s="24"/>
      <c r="G54" s="27">
        <f>0*SUM(G50:G53)</f>
        <v>0</v>
      </c>
      <c r="H54" s="25" t="s">
        <v>70</v>
      </c>
      <c r="I54" s="26">
        <v>131940</v>
      </c>
      <c r="J54" s="27">
        <f>G54*I54</f>
        <v>0</v>
      </c>
      <c r="K54" s="24"/>
    </row>
    <row r="55" spans="1:11" s="1" customFormat="1" hidden="1" x14ac:dyDescent="0.3">
      <c r="A55" s="21"/>
      <c r="B55" s="39" t="s">
        <v>39</v>
      </c>
      <c r="C55" s="22"/>
      <c r="D55" s="23"/>
      <c r="E55" s="24"/>
      <c r="F55" s="24"/>
      <c r="G55" s="27"/>
      <c r="H55" s="25"/>
      <c r="I55" s="26"/>
      <c r="J55" s="27">
        <f>0.13*G54*106200</f>
        <v>0</v>
      </c>
      <c r="K55" s="24"/>
    </row>
    <row r="56" spans="1:11" s="1" customFormat="1" hidden="1" x14ac:dyDescent="0.3">
      <c r="A56" s="21"/>
      <c r="B56" s="39"/>
      <c r="C56" s="22"/>
      <c r="D56" s="23"/>
      <c r="E56" s="24"/>
      <c r="F56" s="24"/>
      <c r="G56" s="27"/>
      <c r="H56" s="25"/>
      <c r="I56" s="26"/>
      <c r="J56" s="27"/>
      <c r="K56" s="24"/>
    </row>
    <row r="57" spans="1:11" s="1" customFormat="1" ht="30" x14ac:dyDescent="0.3">
      <c r="A57" s="21">
        <v>6</v>
      </c>
      <c r="B57" s="37" t="s">
        <v>71</v>
      </c>
      <c r="C57" s="22"/>
      <c r="D57" s="23"/>
      <c r="E57" s="24"/>
      <c r="F57" s="24"/>
      <c r="G57" s="27"/>
      <c r="H57" s="25"/>
      <c r="I57" s="26"/>
      <c r="J57" s="27"/>
      <c r="K57" s="24"/>
    </row>
    <row r="58" spans="1:11" s="1" customFormat="1" x14ac:dyDescent="0.3">
      <c r="A58" s="21"/>
      <c r="B58" s="39" t="str">
        <f>B32</f>
        <v>-for footing</v>
      </c>
      <c r="C58" s="22">
        <v>12</v>
      </c>
      <c r="D58" s="23">
        <f>0.45*4</f>
        <v>1.8</v>
      </c>
      <c r="E58" s="24"/>
      <c r="F58" s="24">
        <v>0.45</v>
      </c>
      <c r="G58" s="36">
        <f>PRODUCT(C58:F58)</f>
        <v>9.7200000000000006</v>
      </c>
      <c r="H58" s="25"/>
      <c r="I58" s="26"/>
      <c r="J58" s="27"/>
      <c r="K58" s="24"/>
    </row>
    <row r="59" spans="1:11" s="1" customFormat="1" x14ac:dyDescent="0.3">
      <c r="A59" s="21"/>
      <c r="B59" s="39" t="s">
        <v>68</v>
      </c>
      <c r="C59" s="22">
        <v>12</v>
      </c>
      <c r="D59" s="23">
        <f>4*0.3</f>
        <v>1.2</v>
      </c>
      <c r="E59" s="24"/>
      <c r="F59" s="24">
        <v>0.3</v>
      </c>
      <c r="G59" s="36">
        <f>PRODUCT(C59:F59)</f>
        <v>4.3199999999999994</v>
      </c>
      <c r="H59" s="25"/>
      <c r="I59" s="26"/>
      <c r="J59" s="27"/>
      <c r="K59" s="24"/>
    </row>
    <row r="60" spans="1:11" s="1" customFormat="1" hidden="1" x14ac:dyDescent="0.3">
      <c r="A60" s="21"/>
      <c r="B60" s="39" t="s">
        <v>63</v>
      </c>
      <c r="C60" s="22">
        <f>0*2*2</f>
        <v>0</v>
      </c>
      <c r="D60" s="23">
        <f>12.5/3.281</f>
        <v>3.8098140810728434</v>
      </c>
      <c r="E60" s="24"/>
      <c r="F60" s="24">
        <f>0.23*2</f>
        <v>0.46</v>
      </c>
      <c r="G60" s="36">
        <f>PRODUCT(C60:F60)</f>
        <v>0</v>
      </c>
      <c r="H60" s="25"/>
      <c r="I60" s="26"/>
      <c r="J60" s="27"/>
      <c r="K60" s="24"/>
    </row>
    <row r="61" spans="1:11" s="1" customFormat="1" hidden="1" x14ac:dyDescent="0.3">
      <c r="A61" s="21"/>
      <c r="B61" s="39"/>
      <c r="C61" s="22">
        <f>0*2*2</f>
        <v>0</v>
      </c>
      <c r="D61" s="23">
        <f>11.917/3.281</f>
        <v>3.6321243523316058</v>
      </c>
      <c r="E61" s="24"/>
      <c r="F61" s="24">
        <f>0.23*2</f>
        <v>0.46</v>
      </c>
      <c r="G61" s="36">
        <f>PRODUCT(C61:F61)</f>
        <v>0</v>
      </c>
      <c r="H61" s="25"/>
      <c r="I61" s="26"/>
      <c r="J61" s="27"/>
      <c r="K61" s="24"/>
    </row>
    <row r="62" spans="1:11" s="1" customFormat="1" hidden="1" x14ac:dyDescent="0.3">
      <c r="A62" s="21"/>
      <c r="B62" s="39"/>
      <c r="C62" s="22">
        <f>0*1*2</f>
        <v>0</v>
      </c>
      <c r="D62" s="23">
        <f>12.25/3.281</f>
        <v>3.7336177994513866</v>
      </c>
      <c r="E62" s="24"/>
      <c r="F62" s="24">
        <f>0.23*2</f>
        <v>0.46</v>
      </c>
      <c r="G62" s="36">
        <f>PRODUCT(C62:F62)</f>
        <v>0</v>
      </c>
      <c r="H62" s="25"/>
      <c r="I62" s="26"/>
      <c r="J62" s="27"/>
      <c r="K62" s="24"/>
    </row>
    <row r="63" spans="1:11" s="1" customFormat="1" x14ac:dyDescent="0.3">
      <c r="A63" s="21"/>
      <c r="B63" s="39" t="s">
        <v>26</v>
      </c>
      <c r="C63" s="22"/>
      <c r="D63" s="23"/>
      <c r="E63" s="24"/>
      <c r="F63" s="24"/>
      <c r="G63" s="27">
        <f>SUM(G58:G62)</f>
        <v>14.04</v>
      </c>
      <c r="H63" s="25" t="s">
        <v>33</v>
      </c>
      <c r="I63" s="26">
        <v>915.42</v>
      </c>
      <c r="J63" s="27">
        <f>G63*I63</f>
        <v>12852.496799999999</v>
      </c>
      <c r="K63" s="24"/>
    </row>
    <row r="64" spans="1:11" s="1" customFormat="1" x14ac:dyDescent="0.3">
      <c r="A64" s="21"/>
      <c r="B64" s="39" t="s">
        <v>39</v>
      </c>
      <c r="C64" s="22"/>
      <c r="D64" s="23"/>
      <c r="E64" s="24"/>
      <c r="F64" s="24"/>
      <c r="G64" s="27"/>
      <c r="H64" s="25"/>
      <c r="I64" s="26"/>
      <c r="J64" s="27">
        <f>0.13*G63*46827.87/100</f>
        <v>854.70228323999993</v>
      </c>
      <c r="K64" s="24"/>
    </row>
    <row r="65" spans="1:11" s="1" customFormat="1" x14ac:dyDescent="0.3">
      <c r="A65" s="21"/>
      <c r="B65" s="39"/>
      <c r="C65" s="22"/>
      <c r="D65" s="23"/>
      <c r="E65" s="24"/>
      <c r="F65" s="24"/>
      <c r="G65" s="27"/>
      <c r="H65" s="25"/>
      <c r="I65" s="26"/>
      <c r="J65" s="27"/>
      <c r="K65" s="24"/>
    </row>
    <row r="66" spans="1:11" s="1" customFormat="1" ht="30" x14ac:dyDescent="0.3">
      <c r="A66" s="21">
        <v>7</v>
      </c>
      <c r="B66" s="37" t="s">
        <v>45</v>
      </c>
      <c r="C66" s="22"/>
      <c r="D66" s="23"/>
      <c r="E66" s="24"/>
      <c r="F66" s="24"/>
      <c r="G66" s="27"/>
      <c r="H66" s="25"/>
      <c r="I66" s="26"/>
      <c r="J66" s="27"/>
      <c r="K66" s="24"/>
    </row>
    <row r="67" spans="1:11" s="1" customFormat="1" x14ac:dyDescent="0.3">
      <c r="A67" s="21"/>
      <c r="B67" s="39" t="str">
        <f>B32</f>
        <v>-for footing</v>
      </c>
      <c r="C67" s="22">
        <f>C43</f>
        <v>1</v>
      </c>
      <c r="D67" s="23">
        <f>D43</f>
        <v>8.6610789393477603</v>
      </c>
      <c r="E67" s="24">
        <f>E43</f>
        <v>7.1371533069186226</v>
      </c>
      <c r="F67" s="24">
        <v>0.45</v>
      </c>
      <c r="G67" s="36">
        <f>PRODUCT(C67:F67)</f>
        <v>27.816951687052097</v>
      </c>
      <c r="H67" s="25"/>
      <c r="I67" s="26"/>
      <c r="J67" s="27"/>
      <c r="K67" s="24"/>
    </row>
    <row r="68" spans="1:11" s="1" customFormat="1" x14ac:dyDescent="0.3">
      <c r="A68" s="21"/>
      <c r="B68" s="39" t="str">
        <f>B59</f>
        <v>-for column</v>
      </c>
      <c r="C68" s="22">
        <f>C67</f>
        <v>1</v>
      </c>
      <c r="D68" s="23">
        <v>0.3</v>
      </c>
      <c r="E68" s="24">
        <v>0.3</v>
      </c>
      <c r="F68" s="24">
        <f>0.3+0.45</f>
        <v>0.75</v>
      </c>
      <c r="G68" s="36">
        <f>PRODUCT(C68:F68)</f>
        <v>6.7500000000000004E-2</v>
      </c>
      <c r="H68" s="25"/>
      <c r="I68" s="26"/>
      <c r="J68" s="27"/>
      <c r="K68" s="24"/>
    </row>
    <row r="69" spans="1:11" s="1" customFormat="1" hidden="1" x14ac:dyDescent="0.3">
      <c r="A69" s="21"/>
      <c r="B69" s="39" t="s">
        <v>61</v>
      </c>
      <c r="C69" s="22">
        <f>0*2</f>
        <v>0</v>
      </c>
      <c r="D69" s="23">
        <f>40/3.281</f>
        <v>12.1914050594331</v>
      </c>
      <c r="E69" s="24">
        <v>0.23</v>
      </c>
      <c r="F69" s="24">
        <v>0.23</v>
      </c>
      <c r="G69" s="36">
        <f>PRODUCT(C69:F69)</f>
        <v>0</v>
      </c>
      <c r="H69" s="25"/>
      <c r="I69" s="26"/>
      <c r="J69" s="27"/>
      <c r="K69" s="24"/>
    </row>
    <row r="70" spans="1:11" s="1" customFormat="1" hidden="1" x14ac:dyDescent="0.3">
      <c r="A70" s="21"/>
      <c r="B70" s="39"/>
      <c r="C70" s="22">
        <f>0*2</f>
        <v>0</v>
      </c>
      <c r="D70" s="23">
        <f>30/3.281</f>
        <v>9.1435537945748244</v>
      </c>
      <c r="E70" s="24">
        <v>0.23</v>
      </c>
      <c r="F70" s="24">
        <v>0.23</v>
      </c>
      <c r="G70" s="36">
        <f>PRODUCT(C70:F70)</f>
        <v>0</v>
      </c>
      <c r="H70" s="25"/>
      <c r="I70" s="26"/>
      <c r="J70" s="27"/>
      <c r="K70" s="24"/>
    </row>
    <row r="71" spans="1:11" s="1" customFormat="1" hidden="1" x14ac:dyDescent="0.3">
      <c r="A71" s="21"/>
      <c r="B71" s="39" t="s">
        <v>62</v>
      </c>
      <c r="C71" s="22">
        <f>-C67*0</f>
        <v>0</v>
      </c>
      <c r="D71" s="23">
        <f>3/12/3.281</f>
        <v>7.6196281621456863E-2</v>
      </c>
      <c r="E71" s="24">
        <v>0.23</v>
      </c>
      <c r="F71" s="24">
        <v>0.23</v>
      </c>
      <c r="G71" s="36">
        <f>PRODUCT(C71:F71)</f>
        <v>0</v>
      </c>
      <c r="H71" s="25"/>
      <c r="I71" s="26"/>
      <c r="J71" s="27"/>
      <c r="K71" s="24"/>
    </row>
    <row r="72" spans="1:11" s="1" customFormat="1" x14ac:dyDescent="0.3">
      <c r="A72" s="21"/>
      <c r="B72" s="39" t="s">
        <v>26</v>
      </c>
      <c r="C72" s="22"/>
      <c r="D72" s="23"/>
      <c r="E72" s="24"/>
      <c r="F72" s="24"/>
      <c r="G72" s="27">
        <f>SUM(G67:G71)</f>
        <v>27.884451687052096</v>
      </c>
      <c r="H72" s="25" t="s">
        <v>42</v>
      </c>
      <c r="I72" s="26">
        <v>13568.9</v>
      </c>
      <c r="J72" s="27">
        <f>G72*I72</f>
        <v>378361.33649644116</v>
      </c>
      <c r="K72" s="24"/>
    </row>
    <row r="73" spans="1:11" s="1" customFormat="1" x14ac:dyDescent="0.3">
      <c r="A73" s="21"/>
      <c r="B73" s="39" t="s">
        <v>39</v>
      </c>
      <c r="C73" s="22"/>
      <c r="D73" s="23"/>
      <c r="E73" s="24"/>
      <c r="F73" s="24"/>
      <c r="G73" s="27"/>
      <c r="H73" s="25"/>
      <c r="I73" s="26"/>
      <c r="J73" s="27">
        <f>0.13*G72*9524.2</f>
        <v>34525.022318516807</v>
      </c>
      <c r="K73" s="24"/>
    </row>
    <row r="74" spans="1:11" s="1" customFormat="1" x14ac:dyDescent="0.3">
      <c r="A74" s="21"/>
      <c r="B74" s="39"/>
      <c r="C74" s="22"/>
      <c r="D74" s="23"/>
      <c r="E74" s="24"/>
      <c r="F74" s="24"/>
      <c r="G74" s="27"/>
      <c r="H74" s="25"/>
      <c r="I74" s="26"/>
      <c r="J74" s="27"/>
      <c r="K74" s="24"/>
    </row>
    <row r="75" spans="1:11" s="1" customFormat="1" ht="30" x14ac:dyDescent="0.3">
      <c r="A75" s="21">
        <v>8</v>
      </c>
      <c r="B75" s="37" t="s">
        <v>53</v>
      </c>
      <c r="C75" s="22"/>
      <c r="D75" s="23"/>
      <c r="E75" s="24"/>
      <c r="F75" s="24"/>
      <c r="G75" s="27"/>
      <c r="H75" s="25"/>
      <c r="I75" s="26"/>
      <c r="J75" s="27"/>
      <c r="K75" s="24"/>
    </row>
    <row r="76" spans="1:11" s="1" customFormat="1" x14ac:dyDescent="0.3">
      <c r="A76" s="21"/>
      <c r="B76" s="39" t="s">
        <v>57</v>
      </c>
      <c r="C76" s="22">
        <f>2*2</f>
        <v>4</v>
      </c>
      <c r="D76" s="23">
        <f>12.5/3.281</f>
        <v>3.8098140810728434</v>
      </c>
      <c r="E76" s="24">
        <v>0.23</v>
      </c>
      <c r="F76" s="24">
        <v>0.5</v>
      </c>
      <c r="G76" s="36">
        <f>PRODUCT(C76:F76)</f>
        <v>1.752514477293508</v>
      </c>
      <c r="H76" s="25"/>
      <c r="I76" s="26"/>
      <c r="J76" s="27"/>
      <c r="K76" s="24"/>
    </row>
    <row r="77" spans="1:11" s="1" customFormat="1" x14ac:dyDescent="0.3">
      <c r="A77" s="21"/>
      <c r="B77" s="39"/>
      <c r="C77" s="22">
        <f>2*2</f>
        <v>4</v>
      </c>
      <c r="D77" s="23">
        <f>11.917/3.281</f>
        <v>3.6321243523316058</v>
      </c>
      <c r="E77" s="24">
        <v>0.23</v>
      </c>
      <c r="F77" s="24">
        <v>0.5</v>
      </c>
      <c r="G77" s="36">
        <f>PRODUCT(C77:F77)</f>
        <v>1.6707772020725387</v>
      </c>
      <c r="H77" s="25"/>
      <c r="I77" s="26"/>
      <c r="J77" s="27"/>
      <c r="K77" s="24"/>
    </row>
    <row r="78" spans="1:11" s="1" customFormat="1" x14ac:dyDescent="0.3">
      <c r="A78" s="21"/>
      <c r="B78" s="39"/>
      <c r="C78" s="22">
        <f>1*2</f>
        <v>2</v>
      </c>
      <c r="D78" s="23">
        <f>12.25/3.281</f>
        <v>3.7336177994513866</v>
      </c>
      <c r="E78" s="24">
        <v>0.23</v>
      </c>
      <c r="F78" s="24">
        <v>0.5</v>
      </c>
      <c r="G78" s="36">
        <f>PRODUCT(C78:F78)</f>
        <v>0.85873209387381899</v>
      </c>
      <c r="H78" s="25"/>
      <c r="I78" s="26"/>
      <c r="J78" s="27"/>
      <c r="K78" s="24"/>
    </row>
    <row r="79" spans="1:11" s="1" customFormat="1" x14ac:dyDescent="0.3">
      <c r="A79" s="21"/>
      <c r="B79" s="39" t="s">
        <v>26</v>
      </c>
      <c r="C79" s="22"/>
      <c r="D79" s="23"/>
      <c r="E79" s="24"/>
      <c r="F79" s="24"/>
      <c r="G79" s="27">
        <f>SUM(G76:G78)</f>
        <v>4.2820237732398656</v>
      </c>
      <c r="H79" s="25" t="s">
        <v>42</v>
      </c>
      <c r="I79" s="26">
        <v>14362.76</v>
      </c>
      <c r="J79" s="27">
        <f>G79*I79</f>
        <v>61501.679769338611</v>
      </c>
      <c r="K79" s="24"/>
    </row>
    <row r="80" spans="1:11" s="1" customFormat="1" x14ac:dyDescent="0.3">
      <c r="A80" s="21"/>
      <c r="B80" s="39" t="s">
        <v>39</v>
      </c>
      <c r="C80" s="22"/>
      <c r="D80" s="23"/>
      <c r="E80" s="24"/>
      <c r="F80" s="24"/>
      <c r="G80" s="27"/>
      <c r="H80" s="25"/>
      <c r="I80" s="26"/>
      <c r="J80" s="27">
        <f>0.13*G79*10311.74</f>
        <v>5740.1650570508991</v>
      </c>
      <c r="K80" s="24"/>
    </row>
    <row r="81" spans="1:31" s="1" customFormat="1" x14ac:dyDescent="0.3">
      <c r="A81" s="21"/>
      <c r="B81" s="39"/>
      <c r="C81" s="22"/>
      <c r="D81" s="23"/>
      <c r="E81" s="24"/>
      <c r="F81" s="24"/>
      <c r="G81" s="27"/>
      <c r="H81" s="25"/>
      <c r="I81" s="26"/>
      <c r="J81" s="27"/>
      <c r="K81" s="24"/>
    </row>
    <row r="82" spans="1:31" s="1" customFormat="1" ht="27.6" x14ac:dyDescent="0.3">
      <c r="A82" s="21">
        <v>9</v>
      </c>
      <c r="B82" s="41" t="s">
        <v>35</v>
      </c>
      <c r="C82" s="22">
        <v>1</v>
      </c>
      <c r="D82" s="23"/>
      <c r="E82" s="24"/>
      <c r="F82" s="24"/>
      <c r="G82" s="36">
        <f>PRODUCT(C82:F82)</f>
        <v>1</v>
      </c>
      <c r="H82" s="25" t="s">
        <v>36</v>
      </c>
      <c r="I82" s="26">
        <v>5000</v>
      </c>
      <c r="J82" s="27">
        <f>G82*I82</f>
        <v>5000</v>
      </c>
      <c r="K82" s="24"/>
    </row>
    <row r="83" spans="1:31" s="1" customFormat="1" x14ac:dyDescent="0.3">
      <c r="A83" s="21"/>
      <c r="B83" s="39"/>
      <c r="C83" s="22"/>
      <c r="D83" s="23"/>
      <c r="E83" s="24"/>
      <c r="F83" s="24"/>
      <c r="G83" s="27"/>
      <c r="H83" s="25"/>
      <c r="I83" s="26"/>
      <c r="J83" s="27"/>
      <c r="K83" s="24"/>
    </row>
    <row r="84" spans="1:31" s="1" customFormat="1" x14ac:dyDescent="0.3">
      <c r="A84" s="21">
        <v>10</v>
      </c>
      <c r="B84" s="41" t="s">
        <v>37</v>
      </c>
      <c r="C84" s="22">
        <v>1</v>
      </c>
      <c r="D84" s="23"/>
      <c r="E84" s="24"/>
      <c r="F84" s="24"/>
      <c r="G84" s="36">
        <f>PRODUCT(C84:F84)</f>
        <v>1</v>
      </c>
      <c r="H84" s="25" t="s">
        <v>55</v>
      </c>
      <c r="I84" s="26">
        <v>1000</v>
      </c>
      <c r="J84" s="27">
        <f>G84*I84</f>
        <v>1000</v>
      </c>
      <c r="K84" s="24"/>
    </row>
    <row r="85" spans="1:31" s="1" customFormat="1" x14ac:dyDescent="0.3">
      <c r="A85" s="21"/>
      <c r="B85" s="39"/>
      <c r="C85" s="22"/>
      <c r="D85" s="23"/>
      <c r="E85" s="24"/>
      <c r="F85" s="24"/>
      <c r="G85" s="27"/>
      <c r="H85" s="25"/>
      <c r="I85" s="26"/>
      <c r="J85" s="27"/>
      <c r="K85" s="24"/>
    </row>
    <row r="86" spans="1:31" x14ac:dyDescent="0.3">
      <c r="A86" s="9"/>
      <c r="B86" s="20" t="s">
        <v>16</v>
      </c>
      <c r="C86" s="8"/>
      <c r="D86" s="6"/>
      <c r="E86" s="6"/>
      <c r="F86" s="6"/>
      <c r="G86" s="33"/>
      <c r="H86" s="7"/>
      <c r="I86" s="7"/>
      <c r="J86" s="7">
        <f>SUM(J10:J85)</f>
        <v>944290.50962104241</v>
      </c>
      <c r="K86" s="4"/>
      <c r="M86" s="29"/>
      <c r="P86" s="32"/>
      <c r="Q86" s="32"/>
    </row>
    <row r="87" spans="1:31" x14ac:dyDescent="0.3">
      <c r="M87" s="29"/>
      <c r="N87" s="30"/>
      <c r="O87" s="30"/>
      <c r="P87" s="31"/>
      <c r="R87" s="30"/>
      <c r="S87" s="30"/>
      <c r="T87" s="30"/>
      <c r="U87" s="29"/>
      <c r="V87" s="29"/>
      <c r="W87" s="29"/>
      <c r="X87" s="29"/>
      <c r="Y87" s="29"/>
      <c r="Z87" s="29"/>
      <c r="AA87" s="29"/>
      <c r="AB87" s="29"/>
      <c r="AC87" s="29"/>
      <c r="AD87" s="29"/>
      <c r="AE87" s="29"/>
    </row>
    <row r="88" spans="1:31" s="1" customFormat="1" x14ac:dyDescent="0.3">
      <c r="B88" s="11" t="s">
        <v>22</v>
      </c>
      <c r="C88" s="64">
        <f>J86</f>
        <v>944290.50962104241</v>
      </c>
      <c r="D88" s="65"/>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3">
      <c r="B89" s="11" t="s">
        <v>17</v>
      </c>
      <c r="C89" s="67">
        <v>400000</v>
      </c>
      <c r="D89" s="68"/>
      <c r="E89" s="10"/>
      <c r="M89" s="29"/>
      <c r="N89" s="30"/>
      <c r="O89" s="30"/>
      <c r="P89" s="30"/>
      <c r="Q89" s="30"/>
      <c r="R89" s="30"/>
      <c r="S89" s="30"/>
      <c r="T89" s="30"/>
      <c r="U89" s="29"/>
      <c r="V89" s="29"/>
      <c r="W89" s="29"/>
      <c r="X89" s="29"/>
      <c r="Y89" s="29"/>
      <c r="Z89" s="29"/>
      <c r="AA89" s="29"/>
      <c r="AB89" s="29"/>
      <c r="AC89" s="29"/>
      <c r="AD89" s="29"/>
      <c r="AE89" s="29"/>
    </row>
    <row r="90" spans="1:31" x14ac:dyDescent="0.3">
      <c r="B90" s="11" t="s">
        <v>18</v>
      </c>
      <c r="C90" s="67">
        <f>C89-C92-C93</f>
        <v>380000</v>
      </c>
      <c r="D90" s="68"/>
      <c r="E90" s="10">
        <f>C90/C88*100</f>
        <v>40.24185312976401</v>
      </c>
      <c r="M90" s="29"/>
      <c r="N90" s="29"/>
      <c r="O90" s="29"/>
      <c r="P90" s="29"/>
      <c r="Q90" s="29"/>
      <c r="R90" s="29"/>
      <c r="S90" s="29"/>
      <c r="T90" s="29"/>
      <c r="U90" s="29"/>
      <c r="V90" s="29"/>
      <c r="W90" s="29"/>
      <c r="X90" s="29"/>
      <c r="Y90" s="29"/>
      <c r="Z90" s="29"/>
      <c r="AA90" s="29"/>
      <c r="AB90" s="29"/>
      <c r="AC90" s="29"/>
      <c r="AD90" s="29"/>
      <c r="AE90" s="29"/>
    </row>
    <row r="91" spans="1:31" x14ac:dyDescent="0.3">
      <c r="B91" s="11" t="s">
        <v>19</v>
      </c>
      <c r="C91" s="69">
        <f>C88-C90</f>
        <v>564290.50962104241</v>
      </c>
      <c r="D91" s="69"/>
      <c r="E91" s="10">
        <f>100-E90</f>
        <v>59.75814687023599</v>
      </c>
      <c r="M91" s="29"/>
      <c r="N91" s="29"/>
      <c r="O91" s="29"/>
      <c r="P91" s="29"/>
      <c r="Q91" s="29"/>
      <c r="R91" s="29"/>
      <c r="S91" s="29"/>
      <c r="T91" s="29"/>
      <c r="U91" s="29"/>
      <c r="V91" s="29"/>
      <c r="W91" s="29"/>
      <c r="X91" s="29"/>
      <c r="Y91" s="29"/>
      <c r="Z91" s="29"/>
      <c r="AA91" s="29"/>
      <c r="AB91" s="29"/>
      <c r="AC91" s="29"/>
      <c r="AD91" s="29"/>
      <c r="AE91" s="29"/>
    </row>
    <row r="92" spans="1:31" x14ac:dyDescent="0.3">
      <c r="B92" s="11" t="s">
        <v>20</v>
      </c>
      <c r="C92" s="64">
        <f>C89*0.03</f>
        <v>12000</v>
      </c>
      <c r="D92" s="65"/>
      <c r="E92" s="10">
        <v>3</v>
      </c>
      <c r="M92" s="29"/>
      <c r="N92" s="29"/>
      <c r="O92" s="29"/>
      <c r="P92" s="29"/>
      <c r="Q92" s="29"/>
      <c r="R92" s="29"/>
      <c r="S92" s="29"/>
      <c r="T92" s="29"/>
      <c r="U92" s="29"/>
      <c r="V92" s="29"/>
      <c r="W92" s="29"/>
      <c r="X92" s="29"/>
      <c r="Y92" s="29"/>
      <c r="Z92" s="29"/>
      <c r="AA92" s="29"/>
      <c r="AB92" s="29"/>
      <c r="AC92" s="29"/>
      <c r="AD92" s="29"/>
      <c r="AE92" s="29"/>
    </row>
    <row r="93" spans="1:31" x14ac:dyDescent="0.3">
      <c r="B93" s="11" t="s">
        <v>21</v>
      </c>
      <c r="C93" s="64">
        <f>C89*0.02</f>
        <v>8000</v>
      </c>
      <c r="D93" s="65"/>
      <c r="E93" s="10">
        <v>2</v>
      </c>
      <c r="M93" s="29"/>
      <c r="N93" s="29"/>
      <c r="O93" s="29"/>
      <c r="P93" s="29"/>
      <c r="Q93" s="29"/>
      <c r="R93" s="29"/>
      <c r="S93" s="29"/>
      <c r="T93" s="29"/>
      <c r="U93" s="29"/>
      <c r="V93" s="29"/>
      <c r="W93" s="29"/>
      <c r="X93" s="29"/>
      <c r="Y93" s="29"/>
      <c r="Z93" s="29"/>
      <c r="AA93" s="29"/>
      <c r="AB93" s="29"/>
      <c r="AC93" s="29"/>
      <c r="AD93" s="29"/>
      <c r="AE93" s="29"/>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22" zoomScaleNormal="100" workbookViewId="0">
      <selection activeCell="N30" sqref="N3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2" t="s">
        <v>0</v>
      </c>
      <c r="B1" s="72"/>
      <c r="C1" s="72"/>
      <c r="D1" s="72"/>
      <c r="E1" s="72"/>
      <c r="F1" s="72"/>
      <c r="G1" s="72"/>
      <c r="H1" s="72"/>
      <c r="I1" s="72"/>
      <c r="J1" s="72"/>
      <c r="K1" s="72"/>
    </row>
    <row r="2" spans="1:11" ht="24.6" x14ac:dyDescent="0.4">
      <c r="A2" s="73" t="s">
        <v>1</v>
      </c>
      <c r="B2" s="73"/>
      <c r="C2" s="73"/>
      <c r="D2" s="73"/>
      <c r="E2" s="73"/>
      <c r="F2" s="73"/>
      <c r="G2" s="73"/>
      <c r="H2" s="73"/>
      <c r="I2" s="73"/>
      <c r="J2" s="73"/>
      <c r="K2" s="73"/>
    </row>
    <row r="3" spans="1:11" s="1" customFormat="1" x14ac:dyDescent="0.3">
      <c r="A3" s="62" t="s">
        <v>2</v>
      </c>
      <c r="B3" s="62"/>
      <c r="C3" s="62"/>
      <c r="D3" s="62"/>
      <c r="E3" s="62"/>
      <c r="F3" s="62"/>
      <c r="G3" s="62"/>
      <c r="H3" s="62"/>
      <c r="I3" s="62"/>
      <c r="J3" s="62"/>
      <c r="K3" s="62"/>
    </row>
    <row r="4" spans="1:11" s="1" customFormat="1" x14ac:dyDescent="0.3">
      <c r="A4" s="62" t="s">
        <v>3</v>
      </c>
      <c r="B4" s="62"/>
      <c r="C4" s="62"/>
      <c r="D4" s="62"/>
      <c r="E4" s="62"/>
      <c r="F4" s="62"/>
      <c r="G4" s="62"/>
      <c r="H4" s="62"/>
      <c r="I4" s="62"/>
      <c r="J4" s="62"/>
      <c r="K4" s="62"/>
    </row>
    <row r="5" spans="1:11" ht="18" x14ac:dyDescent="0.35">
      <c r="A5" s="74" t="s">
        <v>72</v>
      </c>
      <c r="B5" s="74"/>
      <c r="C5" s="74"/>
      <c r="D5" s="74"/>
      <c r="E5" s="74"/>
      <c r="F5" s="74"/>
      <c r="G5" s="74"/>
      <c r="H5" s="74"/>
      <c r="I5" s="74"/>
      <c r="J5" s="74"/>
      <c r="K5" s="74"/>
    </row>
    <row r="6" spans="1:11" ht="18" x14ac:dyDescent="0.35">
      <c r="A6" s="44" t="s">
        <v>73</v>
      </c>
      <c r="B6" s="44"/>
      <c r="C6" s="70">
        <f>F40</f>
        <v>944290.50962104241</v>
      </c>
      <c r="D6" s="71"/>
      <c r="E6" s="45"/>
      <c r="F6" s="44"/>
      <c r="G6" s="44"/>
      <c r="H6" s="44" t="s">
        <v>74</v>
      </c>
      <c r="I6" s="44"/>
      <c r="J6" s="70">
        <f>I40</f>
        <v>436737.3588138193</v>
      </c>
      <c r="K6" s="71"/>
    </row>
    <row r="7" spans="1:11" x14ac:dyDescent="0.3">
      <c r="A7" s="46" t="s">
        <v>75</v>
      </c>
      <c r="B7" s="46"/>
      <c r="C7" s="46"/>
      <c r="D7" s="46"/>
      <c r="F7" s="75"/>
      <c r="G7" s="75"/>
      <c r="I7" s="76" t="s">
        <v>76</v>
      </c>
      <c r="J7" s="76"/>
      <c r="K7" s="76"/>
    </row>
    <row r="8" spans="1:11" ht="15.6" x14ac:dyDescent="0.3">
      <c r="A8" s="77" t="str">
        <f>'[10]callapsible gate added'!A6:F6</f>
        <v>Project:- राष्ट्रिय मा. बि. वाल निर्माण</v>
      </c>
      <c r="B8" s="77"/>
      <c r="C8" s="77"/>
      <c r="D8" s="77"/>
      <c r="E8" s="77"/>
      <c r="F8" s="77"/>
      <c r="I8" s="78" t="s">
        <v>77</v>
      </c>
      <c r="J8" s="78"/>
      <c r="K8" s="78"/>
    </row>
    <row r="9" spans="1:11" x14ac:dyDescent="0.3">
      <c r="A9" s="79" t="str">
        <f>'[10]callapsible gate added'!A7:F7</f>
        <v>Location:- Shankharapur Municipality 9</v>
      </c>
      <c r="B9" s="79"/>
      <c r="C9" s="79"/>
      <c r="D9" s="79"/>
      <c r="E9" s="79"/>
      <c r="F9" s="79"/>
      <c r="I9" s="78" t="s">
        <v>78</v>
      </c>
      <c r="J9" s="78"/>
      <c r="K9" s="78"/>
    </row>
    <row r="11" spans="1:11" x14ac:dyDescent="0.3">
      <c r="A11" s="81" t="s">
        <v>79</v>
      </c>
      <c r="B11" s="81" t="s">
        <v>80</v>
      </c>
      <c r="C11" s="81" t="s">
        <v>12</v>
      </c>
      <c r="D11" s="82" t="s">
        <v>81</v>
      </c>
      <c r="E11" s="82"/>
      <c r="F11" s="82"/>
      <c r="G11" s="82" t="s">
        <v>82</v>
      </c>
      <c r="H11" s="82"/>
      <c r="I11" s="82"/>
      <c r="J11" s="81" t="s">
        <v>83</v>
      </c>
      <c r="K11" s="80" t="s">
        <v>15</v>
      </c>
    </row>
    <row r="12" spans="1:11" x14ac:dyDescent="0.3">
      <c r="A12" s="81"/>
      <c r="B12" s="81"/>
      <c r="C12" s="81"/>
      <c r="D12" s="47" t="s">
        <v>84</v>
      </c>
      <c r="E12" s="47" t="s">
        <v>13</v>
      </c>
      <c r="F12" s="47" t="s">
        <v>14</v>
      </c>
      <c r="G12" s="47" t="s">
        <v>84</v>
      </c>
      <c r="H12" s="47" t="s">
        <v>13</v>
      </c>
      <c r="I12" s="47" t="s">
        <v>14</v>
      </c>
      <c r="J12" s="81"/>
      <c r="K12" s="80"/>
    </row>
    <row r="13" spans="1:11" s="1" customFormat="1" ht="30" x14ac:dyDescent="0.3">
      <c r="A13" s="48">
        <f>'400000 final'!A9</f>
        <v>1</v>
      </c>
      <c r="B13" s="49" t="str">
        <f>'400000 final'!B9</f>
        <v>sfnf] kmnfd] kfO{ksf] 6«; agfO{ h8fg ug]{ sfd</v>
      </c>
      <c r="C13" s="10" t="str">
        <f>'400000 final'!H23</f>
        <v>Kg</v>
      </c>
      <c r="D13" s="10">
        <f>'400000 final'!G23</f>
        <v>957.85319110027433</v>
      </c>
      <c r="E13" s="10">
        <f>'400000 final'!I23</f>
        <v>181.17</v>
      </c>
      <c r="F13" s="10">
        <f>D13*E13</f>
        <v>173534.2626316367</v>
      </c>
      <c r="G13" s="10">
        <f>V!G24</f>
        <v>656.19979274611399</v>
      </c>
      <c r="H13" s="10">
        <f>V!I24</f>
        <v>181.17</v>
      </c>
      <c r="I13" s="10">
        <f>G13*H13</f>
        <v>118883.71645181347</v>
      </c>
      <c r="J13" s="50">
        <f>I13-F13</f>
        <v>-54650.546179823228</v>
      </c>
      <c r="K13" s="51"/>
    </row>
    <row r="14" spans="1:11" s="1" customFormat="1" ht="15.6" x14ac:dyDescent="0.3">
      <c r="A14" s="48"/>
      <c r="B14" s="53" t="str">
        <f>'[10]callapsible gate added'!B106</f>
        <v>VAT calculation</v>
      </c>
      <c r="C14" s="10"/>
      <c r="D14" s="10"/>
      <c r="E14" s="10"/>
      <c r="F14" s="10">
        <f>'400000 final'!J24</f>
        <v>12303.63941159207</v>
      </c>
      <c r="G14" s="10"/>
      <c r="H14" s="10"/>
      <c r="I14" s="10">
        <f>V!J25</f>
        <v>8428.8967316959479</v>
      </c>
      <c r="J14" s="50">
        <f>I14-F14</f>
        <v>-3874.7426798961224</v>
      </c>
      <c r="K14" s="51"/>
    </row>
    <row r="15" spans="1:11" s="1" customFormat="1" x14ac:dyDescent="0.3">
      <c r="A15" s="54"/>
      <c r="B15" s="54"/>
      <c r="C15" s="10"/>
      <c r="D15" s="10"/>
      <c r="E15" s="10"/>
      <c r="F15" s="10"/>
      <c r="G15" s="10"/>
      <c r="H15" s="10"/>
      <c r="I15" s="10"/>
      <c r="J15" s="50"/>
      <c r="K15" s="51"/>
    </row>
    <row r="16" spans="1:11" s="1" customFormat="1" ht="30" x14ac:dyDescent="0.3">
      <c r="A16" s="48">
        <f>'400000 final'!A26</f>
        <v>2</v>
      </c>
      <c r="B16" s="49" t="str">
        <f>'400000 final'!B26</f>
        <v xml:space="preserve">).#^ lblv ).$ dL.dL.afSnf] sf]?u]6]8 /+lug ss{6 kftfsf] 5fgf 5fpg] sfd </v>
      </c>
      <c r="C16" s="10" t="str">
        <f>'400000 final'!H28</f>
        <v>sqm</v>
      </c>
      <c r="D16" s="10">
        <f>'400000 final'!G28</f>
        <v>124.67393054187565</v>
      </c>
      <c r="E16" s="10">
        <f>'400000 final'!I28</f>
        <v>1070.9000000000001</v>
      </c>
      <c r="F16" s="10">
        <f>D16*E16</f>
        <v>133513.31221729465</v>
      </c>
      <c r="G16" s="10">
        <f>V!G29</f>
        <v>81.49897926553875</v>
      </c>
      <c r="H16" s="10">
        <f>V!I29</f>
        <v>1070.9000000000001</v>
      </c>
      <c r="I16" s="10">
        <f>G16*H16</f>
        <v>87277.256895465456</v>
      </c>
      <c r="J16" s="50">
        <f>I16-F16</f>
        <v>-46236.05532182919</v>
      </c>
      <c r="K16" s="51"/>
    </row>
    <row r="17" spans="1:11" s="1" customFormat="1" ht="15.6" x14ac:dyDescent="0.3">
      <c r="A17" s="48"/>
      <c r="B17" s="53" t="str">
        <f>'400000 final'!B29</f>
        <v>-VAT 13% for materials</v>
      </c>
      <c r="C17" s="10"/>
      <c r="D17" s="10"/>
      <c r="E17" s="10"/>
      <c r="F17" s="10">
        <f>'400000 final'!J29</f>
        <v>13918.496619811258</v>
      </c>
      <c r="G17" s="10"/>
      <c r="H17" s="10"/>
      <c r="I17" s="10">
        <f>V!J30</f>
        <v>9098.4800310315404</v>
      </c>
      <c r="J17" s="50">
        <f>I17-F17</f>
        <v>-4820.0165887797175</v>
      </c>
      <c r="K17" s="51"/>
    </row>
    <row r="18" spans="1:11" s="1" customFormat="1" x14ac:dyDescent="0.3">
      <c r="A18" s="54"/>
      <c r="B18" s="54"/>
      <c r="C18" s="10"/>
      <c r="D18" s="10"/>
      <c r="E18" s="10"/>
      <c r="F18" s="10"/>
      <c r="G18" s="10"/>
      <c r="H18" s="10"/>
      <c r="I18" s="10"/>
      <c r="J18" s="50"/>
      <c r="K18" s="51"/>
    </row>
    <row r="19" spans="1:11" s="1" customFormat="1" ht="30" x14ac:dyDescent="0.3">
      <c r="A19" s="48">
        <f>'400000 final'!A31</f>
        <v>3</v>
      </c>
      <c r="B19" s="49" t="str">
        <f>'400000 final'!B31</f>
        <v xml:space="preserve">g/d k|sf/sf] Sn] / l;N6L df6f]df ;j} lsl;dsf] vGg] sfd </v>
      </c>
      <c r="C19" s="10" t="str">
        <f>'400000 final'!H33</f>
        <v>cum</v>
      </c>
      <c r="D19" s="10">
        <f>'400000 final'!G33</f>
        <v>2.1626333434928378</v>
      </c>
      <c r="E19" s="10">
        <f>'400000 final'!I33</f>
        <v>663.31</v>
      </c>
      <c r="F19" s="10">
        <f>D19*E19</f>
        <v>1434.4963230722342</v>
      </c>
      <c r="G19" s="10">
        <f>V!G37</f>
        <v>4.8749606827186831</v>
      </c>
      <c r="H19" s="10">
        <f>V!I37</f>
        <v>663.31</v>
      </c>
      <c r="I19" s="10">
        <f>G19*H19</f>
        <v>3233.6101704541293</v>
      </c>
      <c r="J19" s="50">
        <f>I19-F19</f>
        <v>1799.1138473818951</v>
      </c>
      <c r="K19" s="51"/>
    </row>
    <row r="20" spans="1:11" s="1" customFormat="1" x14ac:dyDescent="0.3">
      <c r="A20" s="54"/>
      <c r="B20" s="54"/>
      <c r="C20" s="10"/>
      <c r="D20" s="10"/>
      <c r="E20" s="10"/>
      <c r="F20" s="10"/>
      <c r="G20" s="10"/>
      <c r="H20" s="10"/>
      <c r="I20" s="10"/>
      <c r="J20" s="50"/>
      <c r="K20" s="51"/>
    </row>
    <row r="21" spans="1:11" s="1" customFormat="1" ht="15" x14ac:dyDescent="0.3">
      <c r="A21" s="48">
        <f>'400000 final'!A35</f>
        <v>4</v>
      </c>
      <c r="B21" s="49" t="str">
        <f>'400000 final'!B35</f>
        <v>Providing and laying of hand pack locally available Stone soling with 150 to 200 mm thick stones and packing with smaller stone on prepared surface as per Drawing and Technical Specifications.</v>
      </c>
      <c r="C21" s="10" t="str">
        <f>'400000 final'!H39</f>
        <v>sqm</v>
      </c>
      <c r="D21" s="10">
        <f>'400000 final'!G39</f>
        <v>9.2723172290173643</v>
      </c>
      <c r="E21" s="10">
        <f>'400000 final'!I39</f>
        <v>4434.5200000000004</v>
      </c>
      <c r="F21" s="10">
        <f>D21*E21</f>
        <v>41118.276198422085</v>
      </c>
      <c r="G21" s="10">
        <f>V!G44</f>
        <v>3.1132442852788786</v>
      </c>
      <c r="H21" s="10">
        <f>V!I44</f>
        <v>1014.97</v>
      </c>
      <c r="I21" s="10">
        <f>G21*H21</f>
        <v>3159.8495522295034</v>
      </c>
      <c r="J21" s="50">
        <f>I21-F21</f>
        <v>-37958.42664619258</v>
      </c>
      <c r="K21" s="51"/>
    </row>
    <row r="22" spans="1:11" s="1" customFormat="1" ht="15.6" x14ac:dyDescent="0.3">
      <c r="A22" s="48"/>
      <c r="B22" s="53" t="str">
        <f>'400000 final'!B40</f>
        <v>-VAT 13% for materials</v>
      </c>
      <c r="C22" s="10"/>
      <c r="D22" s="10"/>
      <c r="E22" s="10"/>
      <c r="F22" s="10">
        <f>'400000 final'!J40</f>
        <v>3572.2306820898802</v>
      </c>
      <c r="G22" s="10"/>
      <c r="H22" s="10"/>
      <c r="I22" s="10">
        <f>V!J45</f>
        <v>348.75683251636701</v>
      </c>
      <c r="J22" s="50">
        <f>I22-F22</f>
        <v>-3223.4738495735132</v>
      </c>
      <c r="K22" s="51"/>
    </row>
    <row r="23" spans="1:11" s="1" customFormat="1" x14ac:dyDescent="0.3">
      <c r="A23" s="54"/>
      <c r="B23" s="54"/>
      <c r="C23" s="10"/>
      <c r="D23" s="10"/>
      <c r="E23" s="10"/>
      <c r="F23" s="10"/>
      <c r="G23" s="10"/>
      <c r="H23" s="10"/>
      <c r="I23" s="10"/>
      <c r="J23" s="50"/>
      <c r="K23" s="51"/>
    </row>
    <row r="24" spans="1:11" s="1" customFormat="1" ht="30" x14ac:dyDescent="0.3">
      <c r="A24" s="48">
        <f>'400000 final'!A42</f>
        <v>5</v>
      </c>
      <c r="B24" s="49" t="str">
        <f>'400000 final'!B42</f>
        <v xml:space="preserve">hu leQf kvf{ndf l;d]G6 s+lqm6 ug]{ sfd -lk=;L=;L= !M@M$_  </v>
      </c>
      <c r="C24" s="10" t="str">
        <f>'400000 final'!H46</f>
        <v>cum</v>
      </c>
      <c r="D24" s="10">
        <f>'400000 final'!G46</f>
        <v>4.6361586145086822</v>
      </c>
      <c r="E24" s="10">
        <f>'400000 final'!I46</f>
        <v>12983.1</v>
      </c>
      <c r="F24" s="10">
        <f>D24*E24</f>
        <v>60191.710908027671</v>
      </c>
      <c r="G24" s="10">
        <f>V!G49</f>
        <v>4.4999999999999997E-3</v>
      </c>
      <c r="H24" s="10">
        <f>V!I49</f>
        <v>12983.1</v>
      </c>
      <c r="I24" s="10">
        <f>G24*H24</f>
        <v>58.423949999999998</v>
      </c>
      <c r="J24" s="50">
        <f>I24-F24</f>
        <v>-60133.286958027675</v>
      </c>
      <c r="K24" s="51"/>
    </row>
    <row r="25" spans="1:11" s="1" customFormat="1" ht="15.6" x14ac:dyDescent="0.3">
      <c r="A25" s="48"/>
      <c r="B25" s="53" t="str">
        <f>'400000 final'!B47</f>
        <v>-VAT 13% for materials</v>
      </c>
      <c r="C25" s="10"/>
      <c r="D25" s="10"/>
      <c r="E25" s="10"/>
      <c r="F25" s="10">
        <f>'400000 final'!J47</f>
        <v>4868.6819045083348</v>
      </c>
      <c r="G25" s="10"/>
      <c r="H25" s="10"/>
      <c r="I25" s="10">
        <f>V!J50</f>
        <v>4.7256943500000004</v>
      </c>
      <c r="J25" s="50">
        <f>I25-F25</f>
        <v>-4863.9562101583351</v>
      </c>
      <c r="K25" s="51"/>
    </row>
    <row r="26" spans="1:11" s="1" customFormat="1" x14ac:dyDescent="0.3">
      <c r="A26" s="54"/>
      <c r="B26" s="54"/>
      <c r="C26" s="10"/>
      <c r="D26" s="10"/>
      <c r="E26" s="10"/>
      <c r="F26" s="10"/>
      <c r="G26" s="10"/>
      <c r="H26" s="10"/>
      <c r="I26" s="10"/>
      <c r="J26" s="50"/>
      <c r="K26" s="51"/>
    </row>
    <row r="27" spans="1:11" s="1" customFormat="1" ht="30" x14ac:dyDescent="0.3">
      <c r="A27" s="48">
        <f>'400000 final'!A57</f>
        <v>6</v>
      </c>
      <c r="B27" s="49" t="str">
        <f>'400000 final'!B57</f>
        <v>kmnfd]sf] kfOk / KnfOaf]8{af6 kmdf{ agfpg] sfd</v>
      </c>
      <c r="C27" s="10" t="str">
        <f>'400000 final'!H63</f>
        <v>sqm</v>
      </c>
      <c r="D27" s="10">
        <f>'400000 final'!G63</f>
        <v>14.04</v>
      </c>
      <c r="E27" s="10">
        <f>'400000 final'!I63</f>
        <v>915.42</v>
      </c>
      <c r="F27" s="10">
        <f>D27*E27</f>
        <v>12852.496799999999</v>
      </c>
      <c r="G27" s="10">
        <f>V!G64</f>
        <v>11.400327298587829</v>
      </c>
      <c r="H27" s="10">
        <f>V!I64</f>
        <v>915.42</v>
      </c>
      <c r="I27" s="10">
        <f>G27*H27</f>
        <v>10436.08761567327</v>
      </c>
      <c r="J27" s="50">
        <f>I27-F27</f>
        <v>-2416.4091843267288</v>
      </c>
      <c r="K27" s="51"/>
    </row>
    <row r="28" spans="1:11" s="1" customFormat="1" ht="15.6" x14ac:dyDescent="0.3">
      <c r="A28" s="48"/>
      <c r="B28" s="53" t="str">
        <f>'400000 final'!B64</f>
        <v>-VAT 13% for materials</v>
      </c>
      <c r="C28" s="10"/>
      <c r="D28" s="10"/>
      <c r="E28" s="10"/>
      <c r="F28" s="10">
        <f>'400000 final'!J64</f>
        <v>854.70228323999993</v>
      </c>
      <c r="G28" s="10"/>
      <c r="H28" s="10"/>
      <c r="I28" s="10">
        <f>V!J65</f>
        <v>694.00895810443865</v>
      </c>
      <c r="J28" s="50">
        <f>I28-F28</f>
        <v>-160.69332513556128</v>
      </c>
      <c r="K28" s="51"/>
    </row>
    <row r="29" spans="1:11" s="1" customFormat="1" x14ac:dyDescent="0.3">
      <c r="A29" s="54"/>
      <c r="B29" s="54"/>
      <c r="C29" s="10"/>
      <c r="D29" s="10"/>
      <c r="E29" s="10"/>
      <c r="F29" s="10"/>
      <c r="G29" s="10"/>
      <c r="H29" s="10"/>
      <c r="I29" s="10"/>
      <c r="J29" s="50"/>
      <c r="K29" s="51"/>
    </row>
    <row r="30" spans="1:11" s="1" customFormat="1" ht="30" x14ac:dyDescent="0.3">
      <c r="A30" s="48">
        <f>'400000 final'!A66</f>
        <v>7</v>
      </c>
      <c r="B30" s="49" t="str">
        <f>'400000 final'!B66</f>
        <v xml:space="preserve">d]lzgsf] k|of]u u/L ;'k/ :6«Sr/df l;d]G6 s+lqm6 ug]{ sfd -!M!=%M#_ </v>
      </c>
      <c r="C30" s="10" t="str">
        <f>'400000 final'!H72</f>
        <v>cum</v>
      </c>
      <c r="D30" s="10">
        <f>'400000 final'!G72</f>
        <v>27.884451687052096</v>
      </c>
      <c r="E30" s="10">
        <f>'400000 final'!I72</f>
        <v>13568.9</v>
      </c>
      <c r="F30" s="10">
        <f>D30*E30</f>
        <v>378361.33649644116</v>
      </c>
      <c r="G30" s="10">
        <f>V!G72</f>
        <v>6.4099442617095725</v>
      </c>
      <c r="H30" s="10">
        <f>V!I72</f>
        <v>13568.9</v>
      </c>
      <c r="I30" s="10">
        <f>G30*H30</f>
        <v>86975.892692711015</v>
      </c>
      <c r="J30" s="50">
        <f>I30-F30</f>
        <v>-291385.44380373013</v>
      </c>
      <c r="K30" s="51"/>
    </row>
    <row r="31" spans="1:11" s="1" customFormat="1" ht="15.6" x14ac:dyDescent="0.3">
      <c r="A31" s="48"/>
      <c r="B31" s="53" t="str">
        <f>'400000 final'!B73</f>
        <v>-VAT 13% for materials</v>
      </c>
      <c r="C31" s="10"/>
      <c r="D31" s="10"/>
      <c r="E31" s="10"/>
      <c r="F31" s="10">
        <f>'400000 final'!J73</f>
        <v>34525.022318516807</v>
      </c>
      <c r="G31" s="10"/>
      <c r="H31" s="10"/>
      <c r="I31" s="10">
        <f>V!J73</f>
        <v>7936.4468478586614</v>
      </c>
      <c r="J31" s="50">
        <f>I31-F31</f>
        <v>-26588.575470658147</v>
      </c>
      <c r="K31" s="51"/>
    </row>
    <row r="32" spans="1:11" s="1" customFormat="1" x14ac:dyDescent="0.3">
      <c r="A32" s="54"/>
      <c r="B32" s="54"/>
      <c r="C32" s="10"/>
      <c r="D32" s="10"/>
      <c r="E32" s="10"/>
      <c r="F32" s="10"/>
      <c r="G32" s="10"/>
      <c r="H32" s="10"/>
      <c r="I32" s="10"/>
      <c r="J32" s="50"/>
      <c r="K32" s="51"/>
    </row>
    <row r="33" spans="1:11" s="1" customFormat="1" ht="30" x14ac:dyDescent="0.3">
      <c r="A33" s="48">
        <f>'400000 final'!A75</f>
        <v>8</v>
      </c>
      <c r="B33" s="49" t="str">
        <f>'400000 final'!B75</f>
        <v>e'O{+tNnfdf lrDgL e§fsf] O{+6fsf] uf/f] l;d]G6 d;nf -!M^_ df</v>
      </c>
      <c r="C33" s="10" t="str">
        <f>'400000 final'!H79</f>
        <v>cum</v>
      </c>
      <c r="D33" s="10">
        <f>'400000 final'!G79</f>
        <v>4.2820237732398656</v>
      </c>
      <c r="E33" s="10">
        <f>'400000 final'!I79</f>
        <v>14362.76</v>
      </c>
      <c r="F33" s="10">
        <f>D33*E33</f>
        <v>61501.679769338611</v>
      </c>
      <c r="G33" s="10">
        <f>V!G80</f>
        <v>6.3490663750314562</v>
      </c>
      <c r="H33" s="10">
        <f>V!I80</f>
        <v>14362.76</v>
      </c>
      <c r="I33" s="10">
        <f>G33*H33</f>
        <v>91190.116568646801</v>
      </c>
      <c r="J33" s="50">
        <f>I33-F33</f>
        <v>29688.436799308191</v>
      </c>
      <c r="K33" s="51"/>
    </row>
    <row r="34" spans="1:11" s="1" customFormat="1" ht="15.6" x14ac:dyDescent="0.3">
      <c r="A34" s="48"/>
      <c r="B34" s="53" t="str">
        <f>'400000 final'!B80</f>
        <v>-VAT 13% for materials</v>
      </c>
      <c r="C34" s="10"/>
      <c r="D34" s="10"/>
      <c r="E34" s="10"/>
      <c r="F34" s="10">
        <f>'400000 final'!J80</f>
        <v>5740.1650570508991</v>
      </c>
      <c r="G34" s="10"/>
      <c r="H34" s="10"/>
      <c r="I34" s="10">
        <f>V!J81</f>
        <v>8511.0898212686934</v>
      </c>
      <c r="J34" s="50">
        <f>I34-F34</f>
        <v>2770.9247642177943</v>
      </c>
      <c r="K34" s="51"/>
    </row>
    <row r="35" spans="1:11" s="1" customFormat="1" x14ac:dyDescent="0.3">
      <c r="A35" s="54"/>
      <c r="B35" s="54"/>
      <c r="C35" s="10"/>
      <c r="D35" s="10"/>
      <c r="E35" s="10"/>
      <c r="F35" s="10"/>
      <c r="G35" s="10"/>
      <c r="H35" s="10"/>
      <c r="I35" s="10"/>
      <c r="J35" s="50"/>
      <c r="K35" s="51"/>
    </row>
    <row r="36" spans="1:11" s="1" customFormat="1" ht="15.6" x14ac:dyDescent="0.3">
      <c r="A36" s="48">
        <f>'400000 final'!A82</f>
        <v>9</v>
      </c>
      <c r="B36" s="52" t="str">
        <f>'400000 final'!B82</f>
        <v>Provisional sum for unforseen works</v>
      </c>
      <c r="C36" s="10" t="str">
        <f>'400000 final'!H82</f>
        <v>PS</v>
      </c>
      <c r="D36" s="10">
        <f>'400000 final'!G82</f>
        <v>1</v>
      </c>
      <c r="E36" s="10">
        <f>'400000 final'!I82</f>
        <v>5000</v>
      </c>
      <c r="F36" s="10">
        <f>D36*E36</f>
        <v>5000</v>
      </c>
      <c r="G36" s="10">
        <f>V!G83</f>
        <v>0</v>
      </c>
      <c r="H36" s="10">
        <f>V!I83</f>
        <v>5000</v>
      </c>
      <c r="I36" s="10">
        <f>G36*H36</f>
        <v>0</v>
      </c>
      <c r="J36" s="50">
        <f>I36-F36</f>
        <v>-5000</v>
      </c>
      <c r="K36" s="51"/>
    </row>
    <row r="37" spans="1:11" s="1" customFormat="1" x14ac:dyDescent="0.3">
      <c r="A37" s="54"/>
      <c r="B37" s="54"/>
      <c r="C37" s="10"/>
      <c r="D37" s="10"/>
      <c r="E37" s="10"/>
      <c r="F37" s="10"/>
      <c r="G37" s="10"/>
      <c r="H37" s="10"/>
      <c r="I37" s="10"/>
      <c r="J37" s="50"/>
      <c r="K37" s="51"/>
    </row>
    <row r="38" spans="1:11" s="1" customFormat="1" x14ac:dyDescent="0.3">
      <c r="A38" s="48">
        <f>'400000 final'!A84</f>
        <v>10</v>
      </c>
      <c r="B38" s="55" t="str">
        <f>'400000 final'!B84</f>
        <v>Information board</v>
      </c>
      <c r="C38" s="10" t="str">
        <f>'400000 final'!H84</f>
        <v>no.</v>
      </c>
      <c r="D38" s="10">
        <f>'400000 final'!G84</f>
        <v>1</v>
      </c>
      <c r="E38" s="10">
        <f>'400000 final'!I84</f>
        <v>1000</v>
      </c>
      <c r="F38" s="10">
        <f>D38*E38</f>
        <v>1000</v>
      </c>
      <c r="G38" s="10">
        <f>V!G85</f>
        <v>1</v>
      </c>
      <c r="H38" s="10">
        <f>V!I85</f>
        <v>500</v>
      </c>
      <c r="I38" s="10">
        <f>G38*H38</f>
        <v>500</v>
      </c>
      <c r="J38" s="50">
        <f>I38-F38</f>
        <v>-500</v>
      </c>
      <c r="K38" s="51"/>
    </row>
    <row r="39" spans="1:11" s="1" customFormat="1" x14ac:dyDescent="0.3">
      <c r="A39" s="54"/>
      <c r="B39" s="54"/>
      <c r="C39" s="10"/>
      <c r="D39" s="10"/>
      <c r="E39" s="10"/>
      <c r="F39" s="10"/>
      <c r="G39" s="10"/>
      <c r="H39" s="10"/>
      <c r="I39" s="10"/>
      <c r="J39" s="50"/>
      <c r="K39" s="51"/>
    </row>
    <row r="40" spans="1:11" x14ac:dyDescent="0.3">
      <c r="A40" s="4"/>
      <c r="B40" s="56" t="s">
        <v>85</v>
      </c>
      <c r="C40" s="56"/>
      <c r="D40" s="7"/>
      <c r="E40" s="7"/>
      <c r="F40" s="7">
        <f>SUM(F13:F38)</f>
        <v>944290.50962104241</v>
      </c>
      <c r="G40" s="7"/>
      <c r="H40" s="7"/>
      <c r="I40" s="7">
        <f>SUM(I13:I38)</f>
        <v>436737.3588138193</v>
      </c>
      <c r="J40" s="57">
        <f>I40-F40</f>
        <v>-507553.15080722311</v>
      </c>
      <c r="K40" s="4"/>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4"/>
  <sheetViews>
    <sheetView topLeftCell="A17" zoomScaleNormal="100" zoomScaleSheetLayoutView="100" workbookViewId="0">
      <selection activeCell="E27" sqref="E27"/>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3" s="1" customFormat="1" x14ac:dyDescent="0.3">
      <c r="A1" s="60" t="s">
        <v>0</v>
      </c>
      <c r="B1" s="60"/>
      <c r="C1" s="60"/>
      <c r="D1" s="60"/>
      <c r="E1" s="60"/>
      <c r="F1" s="60"/>
      <c r="G1" s="60"/>
      <c r="H1" s="60"/>
      <c r="I1" s="60"/>
      <c r="J1" s="60"/>
      <c r="K1" s="60"/>
    </row>
    <row r="2" spans="1:13" s="1" customFormat="1" ht="22.8" x14ac:dyDescent="0.3">
      <c r="A2" s="61" t="s">
        <v>1</v>
      </c>
      <c r="B2" s="61"/>
      <c r="C2" s="61"/>
      <c r="D2" s="61"/>
      <c r="E2" s="61"/>
      <c r="F2" s="61"/>
      <c r="G2" s="61"/>
      <c r="H2" s="61"/>
      <c r="I2" s="61"/>
      <c r="J2" s="61"/>
      <c r="K2" s="61"/>
    </row>
    <row r="3" spans="1:13" s="1" customFormat="1" x14ac:dyDescent="0.3">
      <c r="A3" s="62" t="s">
        <v>2</v>
      </c>
      <c r="B3" s="62"/>
      <c r="C3" s="62"/>
      <c r="D3" s="62"/>
      <c r="E3" s="62"/>
      <c r="F3" s="62"/>
      <c r="G3" s="62"/>
      <c r="H3" s="62"/>
      <c r="I3" s="62"/>
      <c r="J3" s="62"/>
      <c r="K3" s="62"/>
    </row>
    <row r="4" spans="1:13" s="1" customFormat="1" x14ac:dyDescent="0.3">
      <c r="A4" s="62" t="s">
        <v>3</v>
      </c>
      <c r="B4" s="62"/>
      <c r="C4" s="62"/>
      <c r="D4" s="62"/>
      <c r="E4" s="62"/>
      <c r="F4" s="62"/>
      <c r="G4" s="62"/>
      <c r="H4" s="62"/>
      <c r="I4" s="62"/>
      <c r="J4" s="62"/>
      <c r="K4" s="62"/>
    </row>
    <row r="5" spans="1:13" ht="17.399999999999999" x14ac:dyDescent="0.3">
      <c r="A5" s="63" t="s">
        <v>86</v>
      </c>
      <c r="B5" s="63"/>
      <c r="C5" s="63"/>
      <c r="D5" s="63"/>
      <c r="E5" s="63"/>
      <c r="F5" s="63"/>
      <c r="G5" s="63"/>
      <c r="H5" s="63"/>
      <c r="I5" s="63"/>
      <c r="J5" s="63"/>
      <c r="K5" s="63"/>
    </row>
    <row r="6" spans="1:13" ht="18" x14ac:dyDescent="0.35">
      <c r="A6" s="58" t="s">
        <v>34</v>
      </c>
      <c r="B6" s="58"/>
      <c r="C6" s="58"/>
      <c r="D6" s="58"/>
      <c r="E6" s="58"/>
      <c r="F6" s="58"/>
      <c r="G6" s="58"/>
      <c r="H6" s="59" t="s">
        <v>24</v>
      </c>
      <c r="I6" s="59"/>
      <c r="J6" s="59"/>
      <c r="K6" s="59"/>
    </row>
    <row r="7" spans="1:13" ht="15.6" x14ac:dyDescent="0.3">
      <c r="A7" s="66" t="s">
        <v>23</v>
      </c>
      <c r="B7" s="66"/>
      <c r="C7" s="66"/>
      <c r="D7" s="66"/>
      <c r="E7" s="66"/>
      <c r="F7" s="66"/>
      <c r="G7" s="2"/>
      <c r="H7" s="59" t="s">
        <v>25</v>
      </c>
      <c r="I7" s="59"/>
      <c r="J7" s="59"/>
      <c r="K7" s="59"/>
    </row>
    <row r="8" spans="1:13" ht="15" customHeight="1" x14ac:dyDescent="0.3">
      <c r="A8" s="3" t="s">
        <v>5</v>
      </c>
      <c r="B8" s="17" t="s">
        <v>6</v>
      </c>
      <c r="C8" s="3" t="s">
        <v>7</v>
      </c>
      <c r="D8" s="18" t="s">
        <v>8</v>
      </c>
      <c r="E8" s="18" t="s">
        <v>9</v>
      </c>
      <c r="F8" s="18" t="s">
        <v>10</v>
      </c>
      <c r="G8" s="18" t="s">
        <v>11</v>
      </c>
      <c r="H8" s="3" t="s">
        <v>12</v>
      </c>
      <c r="I8" s="18" t="s">
        <v>13</v>
      </c>
      <c r="J8" s="18" t="s">
        <v>14</v>
      </c>
      <c r="K8" s="19" t="s">
        <v>15</v>
      </c>
    </row>
    <row r="9" spans="1:13" s="1" customFormat="1" ht="41.4" x14ac:dyDescent="0.3">
      <c r="A9" s="21">
        <v>1</v>
      </c>
      <c r="B9" s="37" t="s">
        <v>30</v>
      </c>
      <c r="C9" s="22" t="s">
        <v>7</v>
      </c>
      <c r="D9" s="34" t="s">
        <v>27</v>
      </c>
      <c r="E9" s="35" t="s">
        <v>29</v>
      </c>
      <c r="F9" s="35" t="s">
        <v>28</v>
      </c>
      <c r="G9" s="35"/>
      <c r="H9" s="25"/>
      <c r="I9" s="26"/>
      <c r="J9" s="27"/>
      <c r="K9" s="24"/>
    </row>
    <row r="10" spans="1:13" s="1" customFormat="1" ht="27.6" x14ac:dyDescent="0.3">
      <c r="A10" s="38"/>
      <c r="B10" s="39" t="s">
        <v>46</v>
      </c>
      <c r="C10" s="40">
        <v>3</v>
      </c>
      <c r="D10" s="10">
        <f>(10+(2.833-0.17-0.17-0.17))/3.281</f>
        <v>3.755867113684852</v>
      </c>
      <c r="E10" s="10">
        <v>3.97</v>
      </c>
      <c r="F10" s="10">
        <f>PRODUCT(C10:E10)</f>
        <v>44.73237732398659</v>
      </c>
      <c r="G10" s="36">
        <f>F10</f>
        <v>44.73237732398659</v>
      </c>
      <c r="H10" s="27"/>
      <c r="I10" s="27"/>
      <c r="J10" s="27"/>
      <c r="K10" s="11"/>
      <c r="M10" s="12"/>
    </row>
    <row r="11" spans="1:13" s="1" customFormat="1" x14ac:dyDescent="0.3">
      <c r="A11" s="38"/>
      <c r="B11" s="39"/>
      <c r="C11" s="40">
        <v>2</v>
      </c>
      <c r="D11" s="10">
        <f>(D10+D12)/2</f>
        <v>4.0099055166107895</v>
      </c>
      <c r="E11" s="10">
        <v>4.97</v>
      </c>
      <c r="F11" s="10">
        <f t="shared" ref="F11:F12" si="0">PRODUCT(C11:E11)</f>
        <v>39.858460835111245</v>
      </c>
      <c r="G11" s="36">
        <f t="shared" ref="G11:G12" si="1">F11</f>
        <v>39.858460835111245</v>
      </c>
      <c r="H11" s="27"/>
      <c r="I11" s="27"/>
      <c r="J11" s="27"/>
      <c r="K11" s="11"/>
      <c r="M11" s="12"/>
    </row>
    <row r="12" spans="1:13" s="1" customFormat="1" x14ac:dyDescent="0.3">
      <c r="A12" s="38"/>
      <c r="B12" s="39"/>
      <c r="C12" s="40">
        <v>3</v>
      </c>
      <c r="D12" s="10">
        <f>(10+(4.5-0.17-0.17-0.17))/3.281</f>
        <v>4.2639439195367261</v>
      </c>
      <c r="E12" s="10">
        <v>5.97</v>
      </c>
      <c r="F12" s="10">
        <f t="shared" si="0"/>
        <v>76.367235598902766</v>
      </c>
      <c r="G12" s="36">
        <f t="shared" si="1"/>
        <v>76.367235598902766</v>
      </c>
      <c r="H12" s="27"/>
      <c r="I12" s="27"/>
      <c r="J12" s="27"/>
      <c r="K12" s="11"/>
      <c r="M12" s="12"/>
    </row>
    <row r="13" spans="1:13" s="1" customFormat="1" ht="41.4" x14ac:dyDescent="0.3">
      <c r="A13" s="38"/>
      <c r="B13" s="39" t="s">
        <v>47</v>
      </c>
      <c r="C13" s="40">
        <v>3</v>
      </c>
      <c r="D13" s="10">
        <f>(175+175)/12/3.281</f>
        <v>8.8895661891699689</v>
      </c>
      <c r="E13" s="10">
        <v>2.4300000000000002</v>
      </c>
      <c r="F13" s="10">
        <f t="shared" ref="F13:F23" si="2">PRODUCT(C13:E13)</f>
        <v>64.804937519049076</v>
      </c>
      <c r="G13" s="36">
        <f t="shared" ref="G13:G23" si="3">F13</f>
        <v>64.804937519049076</v>
      </c>
      <c r="H13" s="27"/>
      <c r="I13" s="27"/>
      <c r="J13" s="27"/>
      <c r="K13" s="11"/>
      <c r="M13" s="12"/>
    </row>
    <row r="14" spans="1:13" s="1" customFormat="1" ht="41.4" x14ac:dyDescent="0.3">
      <c r="A14" s="38"/>
      <c r="B14" s="39" t="s">
        <v>51</v>
      </c>
      <c r="C14" s="40">
        <f>2*3</f>
        <v>6</v>
      </c>
      <c r="D14" s="10">
        <f>(16.5-0.833)/3.281</f>
        <v>4.7750685766534593</v>
      </c>
      <c r="E14" s="10">
        <v>2.4300000000000002</v>
      </c>
      <c r="F14" s="10">
        <f t="shared" si="2"/>
        <v>69.620499847607434</v>
      </c>
      <c r="G14" s="36">
        <f t="shared" si="3"/>
        <v>69.620499847607434</v>
      </c>
      <c r="H14" s="27"/>
      <c r="I14" s="27"/>
      <c r="J14" s="27"/>
      <c r="K14" s="11"/>
      <c r="M14" s="12"/>
    </row>
    <row r="15" spans="1:13" s="1" customFormat="1" ht="41.4" x14ac:dyDescent="0.3">
      <c r="A15" s="38"/>
      <c r="B15" s="39" t="s">
        <v>48</v>
      </c>
      <c r="C15" s="40">
        <v>0</v>
      </c>
      <c r="D15" s="10">
        <f>3.5/3.281</f>
        <v>1.0667479427003961</v>
      </c>
      <c r="E15" s="10">
        <v>2.4300000000000002</v>
      </c>
      <c r="F15" s="10">
        <f t="shared" si="2"/>
        <v>0</v>
      </c>
      <c r="G15" s="36">
        <f t="shared" si="3"/>
        <v>0</v>
      </c>
      <c r="H15" s="27"/>
      <c r="I15" s="27"/>
      <c r="J15" s="27"/>
      <c r="K15" s="11"/>
      <c r="M15" s="12"/>
    </row>
    <row r="16" spans="1:13" s="1" customFormat="1" ht="41.4" x14ac:dyDescent="0.3">
      <c r="A16" s="38"/>
      <c r="B16" s="39" t="s">
        <v>50</v>
      </c>
      <c r="C16" s="40">
        <f t="shared" ref="C16:C22" si="4">2*3</f>
        <v>6</v>
      </c>
      <c r="D16" s="10">
        <f>4.25/3.281</f>
        <v>1.2953367875647668</v>
      </c>
      <c r="E16" s="10">
        <v>1.83</v>
      </c>
      <c r="F16" s="10">
        <f t="shared" si="2"/>
        <v>14.222797927461139</v>
      </c>
      <c r="G16" s="36">
        <f t="shared" si="3"/>
        <v>14.222797927461139</v>
      </c>
      <c r="H16" s="27"/>
      <c r="I16" s="27"/>
      <c r="J16" s="27"/>
      <c r="K16" s="11"/>
      <c r="M16" s="12"/>
    </row>
    <row r="17" spans="1:15" s="1" customFormat="1" x14ac:dyDescent="0.3">
      <c r="A17" s="38"/>
      <c r="B17" s="39"/>
      <c r="C17" s="40">
        <f t="shared" si="4"/>
        <v>6</v>
      </c>
      <c r="D17" s="10">
        <f>4.42/3.281</f>
        <v>1.3471502590673574</v>
      </c>
      <c r="E17" s="10">
        <v>1.83</v>
      </c>
      <c r="F17" s="10">
        <f t="shared" si="2"/>
        <v>14.791709844559586</v>
      </c>
      <c r="G17" s="36">
        <f t="shared" si="3"/>
        <v>14.791709844559586</v>
      </c>
      <c r="H17" s="27"/>
      <c r="I17" s="27"/>
      <c r="J17" s="27"/>
      <c r="K17" s="11"/>
      <c r="M17" s="12"/>
    </row>
    <row r="18" spans="1:15" s="1" customFormat="1" x14ac:dyDescent="0.3">
      <c r="A18" s="38"/>
      <c r="B18" s="39"/>
      <c r="C18" s="40">
        <f t="shared" si="4"/>
        <v>6</v>
      </c>
      <c r="D18" s="10">
        <f>4.833/3.281</f>
        <v>1.4730265163060043</v>
      </c>
      <c r="E18" s="10">
        <v>1.83</v>
      </c>
      <c r="F18" s="10">
        <f t="shared" si="2"/>
        <v>16.17383114903993</v>
      </c>
      <c r="G18" s="36">
        <f t="shared" si="3"/>
        <v>16.17383114903993</v>
      </c>
      <c r="H18" s="27"/>
      <c r="I18" s="27"/>
      <c r="J18" s="27"/>
      <c r="K18" s="11"/>
      <c r="M18" s="12"/>
    </row>
    <row r="19" spans="1:15" s="1" customFormat="1" ht="41.4" x14ac:dyDescent="0.3">
      <c r="A19" s="38"/>
      <c r="B19" s="39" t="s">
        <v>49</v>
      </c>
      <c r="C19" s="40">
        <f t="shared" si="4"/>
        <v>6</v>
      </c>
      <c r="D19" s="10">
        <f>2.833/3.281</f>
        <v>0.86345626333434933</v>
      </c>
      <c r="E19" s="10">
        <v>2.4300000000000002</v>
      </c>
      <c r="F19" s="10">
        <f t="shared" si="2"/>
        <v>12.589192319414815</v>
      </c>
      <c r="G19" s="36">
        <f t="shared" si="3"/>
        <v>12.589192319414815</v>
      </c>
      <c r="H19" s="27"/>
      <c r="I19" s="27"/>
      <c r="J19" s="27"/>
      <c r="K19" s="11"/>
      <c r="M19" s="12"/>
    </row>
    <row r="20" spans="1:15" s="1" customFormat="1" x14ac:dyDescent="0.3">
      <c r="A20" s="38"/>
      <c r="B20" s="39"/>
      <c r="C20" s="40">
        <f t="shared" si="4"/>
        <v>6</v>
      </c>
      <c r="D20" s="10">
        <f>2/3.281</f>
        <v>0.6095702529716549</v>
      </c>
      <c r="E20" s="10">
        <v>2.4300000000000002</v>
      </c>
      <c r="F20" s="10">
        <f t="shared" si="2"/>
        <v>8.8875342883267283</v>
      </c>
      <c r="G20" s="36">
        <f t="shared" si="3"/>
        <v>8.8875342883267283</v>
      </c>
      <c r="H20" s="27"/>
      <c r="I20" s="27"/>
      <c r="J20" s="27"/>
      <c r="K20" s="11"/>
      <c r="M20" s="12"/>
    </row>
    <row r="21" spans="1:15" s="1" customFormat="1" x14ac:dyDescent="0.3">
      <c r="A21" s="38"/>
      <c r="B21" s="39"/>
      <c r="C21" s="40">
        <f t="shared" si="4"/>
        <v>6</v>
      </c>
      <c r="D21" s="10">
        <f>1.333/3.281</f>
        <v>0.40627857360560804</v>
      </c>
      <c r="E21" s="10">
        <v>2.4300000000000002</v>
      </c>
      <c r="F21" s="10">
        <f t="shared" si="2"/>
        <v>5.9235416031697659</v>
      </c>
      <c r="G21" s="36">
        <f t="shared" si="3"/>
        <v>5.9235416031697659</v>
      </c>
      <c r="H21" s="27"/>
      <c r="I21" s="27"/>
      <c r="J21" s="27"/>
      <c r="K21" s="11"/>
      <c r="M21" s="12"/>
    </row>
    <row r="22" spans="1:15" s="1" customFormat="1" x14ac:dyDescent="0.3">
      <c r="A22" s="38"/>
      <c r="B22" s="39"/>
      <c r="C22" s="40">
        <f t="shared" si="4"/>
        <v>6</v>
      </c>
      <c r="D22" s="10">
        <f>6/12/3.281</f>
        <v>0.15239256324291373</v>
      </c>
      <c r="E22" s="10">
        <v>2.4300000000000002</v>
      </c>
      <c r="F22" s="10">
        <f t="shared" si="2"/>
        <v>2.2218835720816821</v>
      </c>
      <c r="G22" s="36">
        <f t="shared" si="3"/>
        <v>2.2218835720816821</v>
      </c>
      <c r="H22" s="27"/>
      <c r="I22" s="27"/>
      <c r="J22" s="27"/>
      <c r="K22" s="11"/>
      <c r="M22" s="12"/>
    </row>
    <row r="23" spans="1:15" s="1" customFormat="1" ht="27.6" x14ac:dyDescent="0.3">
      <c r="A23" s="38"/>
      <c r="B23" s="39" t="s">
        <v>60</v>
      </c>
      <c r="C23" s="40">
        <v>14</v>
      </c>
      <c r="D23" s="10">
        <f>(142/12+145/12+22/12+22/12)/3.281</f>
        <v>8.4069897389007409</v>
      </c>
      <c r="E23" s="10">
        <v>2.4300000000000002</v>
      </c>
      <c r="F23" s="10">
        <f t="shared" si="2"/>
        <v>286.0057909174032</v>
      </c>
      <c r="G23" s="36">
        <f t="shared" si="3"/>
        <v>286.0057909174032</v>
      </c>
      <c r="H23" s="27"/>
      <c r="I23" s="27"/>
      <c r="J23" s="27"/>
      <c r="K23" s="11"/>
      <c r="M23" s="12">
        <f>(142+145)/12</f>
        <v>23.916666666666668</v>
      </c>
      <c r="O23" s="1">
        <f>(174+173)/12</f>
        <v>28.916666666666668</v>
      </c>
    </row>
    <row r="24" spans="1:15" s="1" customFormat="1" x14ac:dyDescent="0.3">
      <c r="A24" s="21"/>
      <c r="B24" s="39" t="s">
        <v>26</v>
      </c>
      <c r="C24" s="22"/>
      <c r="D24" s="23"/>
      <c r="E24" s="24"/>
      <c r="F24" s="24"/>
      <c r="G24" s="27">
        <f>SUM(G10:G23)</f>
        <v>656.19979274611399</v>
      </c>
      <c r="H24" s="25" t="s">
        <v>31</v>
      </c>
      <c r="I24" s="26">
        <v>181.17</v>
      </c>
      <c r="J24" s="27">
        <f>G24*I24</f>
        <v>118883.71645181347</v>
      </c>
      <c r="K24" s="24"/>
    </row>
    <row r="25" spans="1:15" s="1" customFormat="1" x14ac:dyDescent="0.3">
      <c r="A25" s="21"/>
      <c r="B25" s="39" t="s">
        <v>39</v>
      </c>
      <c r="C25" s="22"/>
      <c r="D25" s="23"/>
      <c r="E25" s="24"/>
      <c r="F25" s="24"/>
      <c r="G25" s="27"/>
      <c r="H25" s="25"/>
      <c r="I25" s="26"/>
      <c r="J25" s="27">
        <f>0.13*G24*(1871.42/18.94)</f>
        <v>8428.8967316959479</v>
      </c>
      <c r="K25" s="24"/>
    </row>
    <row r="26" spans="1:15" s="1" customFormat="1" ht="15" x14ac:dyDescent="0.3">
      <c r="A26" s="21"/>
      <c r="B26" s="37"/>
      <c r="C26" s="22"/>
      <c r="D26" s="23"/>
      <c r="E26" s="24"/>
      <c r="F26" s="24"/>
      <c r="G26" s="28"/>
      <c r="H26" s="25"/>
      <c r="I26" s="26"/>
      <c r="J26" s="27"/>
      <c r="K26" s="24"/>
      <c r="O26" s="1">
        <f>14*12+6</f>
        <v>174</v>
      </c>
    </row>
    <row r="27" spans="1:15" s="1" customFormat="1" ht="45" x14ac:dyDescent="0.3">
      <c r="A27" s="38">
        <v>2</v>
      </c>
      <c r="B27" s="37" t="s">
        <v>32</v>
      </c>
      <c r="C27" s="40"/>
      <c r="D27" s="10"/>
      <c r="E27" s="10"/>
      <c r="F27" s="10"/>
      <c r="G27" s="36"/>
      <c r="H27" s="27"/>
      <c r="I27" s="27"/>
      <c r="J27" s="27"/>
      <c r="K27" s="11"/>
      <c r="M27" s="12"/>
    </row>
    <row r="28" spans="1:15" s="1" customFormat="1" x14ac:dyDescent="0.3">
      <c r="A28" s="38"/>
      <c r="B28" s="39"/>
      <c r="C28" s="40">
        <v>2</v>
      </c>
      <c r="D28" s="10">
        <f>16/3.281</f>
        <v>4.8765620237732392</v>
      </c>
      <c r="E28" s="10">
        <f>(142/12+145/12+21/12+21/12)/3.281</f>
        <v>8.3561922178197712</v>
      </c>
      <c r="F28" s="10"/>
      <c r="G28" s="36">
        <f>PRODUCT(C28:F28)</f>
        <v>81.49897926553875</v>
      </c>
      <c r="H28" s="27"/>
      <c r="I28" s="27"/>
      <c r="J28" s="27"/>
      <c r="K28" s="11"/>
      <c r="M28" s="12"/>
    </row>
    <row r="29" spans="1:15" s="1" customFormat="1" x14ac:dyDescent="0.3">
      <c r="A29" s="21"/>
      <c r="B29" s="39" t="s">
        <v>26</v>
      </c>
      <c r="C29" s="22"/>
      <c r="D29" s="23"/>
      <c r="E29" s="24"/>
      <c r="F29" s="24"/>
      <c r="G29" s="27">
        <f>SUM(G28:G28)</f>
        <v>81.49897926553875</v>
      </c>
      <c r="H29" s="25" t="s">
        <v>33</v>
      </c>
      <c r="I29" s="26">
        <v>1070.9000000000001</v>
      </c>
      <c r="J29" s="27">
        <f>G29*I29</f>
        <v>87277.256895465456</v>
      </c>
      <c r="K29" s="24"/>
    </row>
    <row r="30" spans="1:15" s="1" customFormat="1" x14ac:dyDescent="0.3">
      <c r="A30" s="21"/>
      <c r="B30" s="39" t="s">
        <v>39</v>
      </c>
      <c r="C30" s="22"/>
      <c r="D30" s="23"/>
      <c r="E30" s="24"/>
      <c r="F30" s="24"/>
      <c r="G30" s="27"/>
      <c r="H30" s="25"/>
      <c r="I30" s="26"/>
      <c r="J30" s="27">
        <f>0.13*G29*8587.63/10</f>
        <v>9098.4800310315404</v>
      </c>
      <c r="K30" s="24"/>
    </row>
    <row r="31" spans="1:15" s="1" customFormat="1" x14ac:dyDescent="0.3">
      <c r="A31" s="21"/>
      <c r="B31" s="39"/>
      <c r="C31" s="22"/>
      <c r="D31" s="23"/>
      <c r="E31" s="24"/>
      <c r="F31" s="24"/>
      <c r="G31" s="27"/>
      <c r="H31" s="25"/>
      <c r="I31" s="26"/>
      <c r="J31" s="27"/>
      <c r="K31" s="24"/>
    </row>
    <row r="32" spans="1:15" s="1" customFormat="1" ht="30" x14ac:dyDescent="0.3">
      <c r="A32" s="21">
        <v>3</v>
      </c>
      <c r="B32" s="37" t="s">
        <v>40</v>
      </c>
      <c r="C32" s="22"/>
      <c r="D32" s="23"/>
      <c r="E32" s="24"/>
      <c r="F32" s="24"/>
      <c r="G32" s="27"/>
      <c r="H32" s="25"/>
      <c r="I32" s="26"/>
      <c r="J32" s="27"/>
      <c r="K32" s="24"/>
    </row>
    <row r="33" spans="1:11" s="1" customFormat="1" x14ac:dyDescent="0.3">
      <c r="A33" s="21"/>
      <c r="B33" s="39" t="s">
        <v>57</v>
      </c>
      <c r="C33" s="22">
        <f>3*2+2</f>
        <v>8</v>
      </c>
      <c r="D33" s="23">
        <v>0.45</v>
      </c>
      <c r="E33" s="24">
        <v>0.45</v>
      </c>
      <c r="F33" s="24">
        <f>0.75</f>
        <v>0.75</v>
      </c>
      <c r="G33" s="36">
        <f>PRODUCT(C33:F33)</f>
        <v>1.2150000000000001</v>
      </c>
      <c r="H33" s="25"/>
      <c r="I33" s="26"/>
      <c r="J33" s="27"/>
      <c r="K33" s="24"/>
    </row>
    <row r="34" spans="1:11" s="1" customFormat="1" x14ac:dyDescent="0.3">
      <c r="A34" s="21"/>
      <c r="B34" s="39"/>
      <c r="C34" s="22">
        <f>2</f>
        <v>2</v>
      </c>
      <c r="D34" s="23">
        <f>(9.917+15)/3.281</f>
        <v>7.594330996647364</v>
      </c>
      <c r="E34" s="24">
        <v>0.3</v>
      </c>
      <c r="F34" s="24">
        <v>0.45</v>
      </c>
      <c r="G34" s="36">
        <f t="shared" ref="G34:G36" si="5">PRODUCT(C34:F34)</f>
        <v>2.0504693690947882</v>
      </c>
      <c r="H34" s="25"/>
      <c r="I34" s="26"/>
      <c r="J34" s="27"/>
      <c r="K34" s="24"/>
    </row>
    <row r="35" spans="1:11" s="1" customFormat="1" x14ac:dyDescent="0.3">
      <c r="A35" s="21"/>
      <c r="B35" s="39"/>
      <c r="C35" s="22">
        <f>2</f>
        <v>2</v>
      </c>
      <c r="D35" s="23">
        <f>(29.917-1.5)/3.281</f>
        <v>8.6610789393477603</v>
      </c>
      <c r="E35" s="24">
        <v>0.3</v>
      </c>
      <c r="F35" s="24">
        <v>0.45</v>
      </c>
      <c r="G35" s="36">
        <f t="shared" si="5"/>
        <v>2.3384913136238952</v>
      </c>
      <c r="H35" s="25"/>
      <c r="I35" s="26"/>
      <c r="J35" s="27"/>
      <c r="K35" s="24"/>
    </row>
    <row r="36" spans="1:11" s="1" customFormat="1" x14ac:dyDescent="0.3">
      <c r="A36" s="21"/>
      <c r="B36" s="39" t="s">
        <v>88</v>
      </c>
      <c r="C36" s="22">
        <v>-8</v>
      </c>
      <c r="D36" s="23">
        <v>0.45</v>
      </c>
      <c r="E36" s="24">
        <v>0.45</v>
      </c>
      <c r="F36" s="24">
        <v>0.45</v>
      </c>
      <c r="G36" s="36">
        <f t="shared" si="5"/>
        <v>-0.72900000000000009</v>
      </c>
      <c r="H36" s="25"/>
      <c r="I36" s="26"/>
      <c r="J36" s="27"/>
      <c r="K36" s="24"/>
    </row>
    <row r="37" spans="1:11" s="1" customFormat="1" x14ac:dyDescent="0.3">
      <c r="A37" s="21"/>
      <c r="B37" s="39" t="s">
        <v>26</v>
      </c>
      <c r="C37" s="22"/>
      <c r="D37" s="23"/>
      <c r="E37" s="24"/>
      <c r="F37" s="24"/>
      <c r="G37" s="27">
        <f>SUM(G33:G36)</f>
        <v>4.8749606827186831</v>
      </c>
      <c r="H37" s="25" t="s">
        <v>42</v>
      </c>
      <c r="I37" s="26">
        <v>663.31</v>
      </c>
      <c r="J37" s="27">
        <f>G37*I37</f>
        <v>3233.6101704541293</v>
      </c>
      <c r="K37" s="24"/>
    </row>
    <row r="38" spans="1:11" s="1" customFormat="1" x14ac:dyDescent="0.3">
      <c r="A38" s="21"/>
      <c r="B38" s="39"/>
      <c r="C38" s="22"/>
      <c r="D38" s="23"/>
      <c r="E38" s="24"/>
      <c r="F38" s="24"/>
      <c r="G38" s="27"/>
      <c r="H38" s="25"/>
      <c r="I38" s="26"/>
      <c r="J38" s="27"/>
      <c r="K38" s="24"/>
    </row>
    <row r="39" spans="1:11" s="1" customFormat="1" ht="15" x14ac:dyDescent="0.3">
      <c r="A39" s="21">
        <v>4</v>
      </c>
      <c r="B39" s="37" t="s">
        <v>54</v>
      </c>
      <c r="C39" s="22"/>
      <c r="D39" s="23"/>
      <c r="E39" s="24"/>
      <c r="F39" s="24"/>
      <c r="G39" s="27"/>
      <c r="H39" s="25"/>
      <c r="I39" s="26"/>
      <c r="J39" s="27"/>
      <c r="K39" s="24"/>
    </row>
    <row r="40" spans="1:11" s="1" customFormat="1" x14ac:dyDescent="0.3">
      <c r="A40" s="21"/>
      <c r="B40" s="39" t="str">
        <f>B33</f>
        <v>-for footing</v>
      </c>
      <c r="C40" s="22">
        <v>1</v>
      </c>
      <c r="D40" s="23">
        <v>0.45</v>
      </c>
      <c r="E40" s="24">
        <v>0.45</v>
      </c>
      <c r="F40" s="24"/>
      <c r="G40" s="36">
        <f>PRODUCT(C40:F40)</f>
        <v>0.20250000000000001</v>
      </c>
      <c r="H40" s="25"/>
      <c r="I40" s="26"/>
      <c r="J40" s="27"/>
      <c r="K40" s="24"/>
    </row>
    <row r="41" spans="1:11" s="1" customFormat="1" x14ac:dyDescent="0.3">
      <c r="A41" s="21"/>
      <c r="B41" s="39" t="s">
        <v>63</v>
      </c>
      <c r="C41" s="22">
        <v>1</v>
      </c>
      <c r="D41" s="23">
        <f>(29.917-1.5)/3.281</f>
        <v>8.6610789393477603</v>
      </c>
      <c r="E41" s="24">
        <v>0.23</v>
      </c>
      <c r="F41" s="24"/>
      <c r="G41" s="36">
        <f>PRODUCT(C41:F41)</f>
        <v>1.992048156049985</v>
      </c>
      <c r="H41" s="25"/>
      <c r="I41" s="26"/>
      <c r="J41" s="27"/>
      <c r="K41" s="24"/>
    </row>
    <row r="42" spans="1:11" s="1" customFormat="1" x14ac:dyDescent="0.3">
      <c r="A42" s="21"/>
      <c r="B42" s="39"/>
      <c r="C42" s="22">
        <v>1</v>
      </c>
      <c r="D42" s="23">
        <f>(9.917+15)/3.281</f>
        <v>7.594330996647364</v>
      </c>
      <c r="E42" s="24">
        <v>0.23</v>
      </c>
      <c r="F42" s="24"/>
      <c r="G42" s="36">
        <f>PRODUCT(C42:F42)</f>
        <v>1.7466961292288938</v>
      </c>
      <c r="H42" s="25"/>
      <c r="I42" s="26"/>
      <c r="J42" s="27"/>
      <c r="K42" s="24"/>
    </row>
    <row r="43" spans="1:11" s="1" customFormat="1" x14ac:dyDescent="0.3">
      <c r="A43" s="21"/>
      <c r="B43" s="39" t="s">
        <v>92</v>
      </c>
      <c r="C43" s="22">
        <v>-8</v>
      </c>
      <c r="D43" s="23">
        <v>0.45</v>
      </c>
      <c r="E43" s="24">
        <v>0.23</v>
      </c>
      <c r="F43" s="24"/>
      <c r="G43" s="36">
        <f t="shared" ref="G43" si="6">PRODUCT(C43:F43)</f>
        <v>-0.82800000000000007</v>
      </c>
      <c r="H43" s="25"/>
      <c r="I43" s="26"/>
      <c r="J43" s="27"/>
      <c r="K43" s="24"/>
    </row>
    <row r="44" spans="1:11" s="1" customFormat="1" x14ac:dyDescent="0.3">
      <c r="A44" s="21"/>
      <c r="B44" s="39" t="s">
        <v>26</v>
      </c>
      <c r="C44" s="22"/>
      <c r="D44" s="23"/>
      <c r="E44" s="24"/>
      <c r="F44" s="24"/>
      <c r="G44" s="27">
        <f>SUM(G40:G43)</f>
        <v>3.1132442852788786</v>
      </c>
      <c r="H44" s="25" t="s">
        <v>33</v>
      </c>
      <c r="I44" s="26">
        <v>1014.97</v>
      </c>
      <c r="J44" s="27">
        <f>G44*I44</f>
        <v>3159.8495522295034</v>
      </c>
      <c r="K44" s="24"/>
    </row>
    <row r="45" spans="1:11" s="1" customFormat="1" x14ac:dyDescent="0.3">
      <c r="A45" s="21"/>
      <c r="B45" s="39" t="s">
        <v>39</v>
      </c>
      <c r="C45" s="22"/>
      <c r="D45" s="23"/>
      <c r="E45" s="24"/>
      <c r="F45" s="24"/>
      <c r="G45" s="27"/>
      <c r="H45" s="25"/>
      <c r="I45" s="26"/>
      <c r="J45" s="27">
        <f>0.13*G44*8617.2/10</f>
        <v>348.75683251636701</v>
      </c>
      <c r="K45" s="24"/>
    </row>
    <row r="46" spans="1:11" s="1" customFormat="1" x14ac:dyDescent="0.3">
      <c r="A46" s="21"/>
      <c r="B46" s="39"/>
      <c r="C46" s="22"/>
      <c r="D46" s="23"/>
      <c r="E46" s="24"/>
      <c r="F46" s="24"/>
      <c r="G46" s="27"/>
      <c r="H46" s="25"/>
      <c r="I46" s="26"/>
      <c r="J46" s="27"/>
      <c r="K46" s="24"/>
    </row>
    <row r="47" spans="1:11" s="1" customFormat="1" ht="30" x14ac:dyDescent="0.3">
      <c r="A47" s="21">
        <v>5</v>
      </c>
      <c r="B47" s="37" t="s">
        <v>44</v>
      </c>
      <c r="C47" s="22"/>
      <c r="D47" s="23"/>
      <c r="E47" s="24"/>
      <c r="F47" s="24"/>
      <c r="G47" s="27"/>
      <c r="H47" s="25"/>
      <c r="I47" s="26"/>
      <c r="J47" s="27"/>
      <c r="K47" s="24"/>
    </row>
    <row r="48" spans="1:11" s="1" customFormat="1" x14ac:dyDescent="0.3">
      <c r="A48" s="21"/>
      <c r="B48" s="39" t="str">
        <f>B33</f>
        <v>-for footing</v>
      </c>
      <c r="C48" s="22">
        <f>C40</f>
        <v>1</v>
      </c>
      <c r="D48" s="23">
        <v>0.3</v>
      </c>
      <c r="E48" s="24">
        <v>0.3</v>
      </c>
      <c r="F48" s="24">
        <v>0.05</v>
      </c>
      <c r="G48" s="36">
        <f>PRODUCT(C48:F48)</f>
        <v>4.4999999999999997E-3</v>
      </c>
      <c r="H48" s="25"/>
      <c r="I48" s="26"/>
      <c r="J48" s="27"/>
      <c r="K48" s="24"/>
    </row>
    <row r="49" spans="1:11" s="1" customFormat="1" x14ac:dyDescent="0.3">
      <c r="A49" s="21"/>
      <c r="B49" s="39" t="s">
        <v>26</v>
      </c>
      <c r="C49" s="22"/>
      <c r="D49" s="23"/>
      <c r="E49" s="24"/>
      <c r="F49" s="24"/>
      <c r="G49" s="27">
        <f>SUM(G48:G48)</f>
        <v>4.4999999999999997E-3</v>
      </c>
      <c r="H49" s="25" t="s">
        <v>42</v>
      </c>
      <c r="I49" s="26">
        <v>12983.1</v>
      </c>
      <c r="J49" s="27">
        <f>G49*I49</f>
        <v>58.423949999999998</v>
      </c>
      <c r="K49" s="24"/>
    </row>
    <row r="50" spans="1:11" s="1" customFormat="1" x14ac:dyDescent="0.3">
      <c r="A50" s="21"/>
      <c r="B50" s="39" t="s">
        <v>39</v>
      </c>
      <c r="C50" s="22"/>
      <c r="D50" s="23"/>
      <c r="E50" s="24"/>
      <c r="F50" s="24"/>
      <c r="G50" s="27"/>
      <c r="H50" s="25"/>
      <c r="I50" s="26"/>
      <c r="J50" s="27">
        <f>0.13*G49*8078.11</f>
        <v>4.7256943500000004</v>
      </c>
      <c r="K50" s="24"/>
    </row>
    <row r="51" spans="1:11" s="1" customFormat="1" x14ac:dyDescent="0.3">
      <c r="A51" s="21"/>
      <c r="B51" s="39"/>
      <c r="C51" s="22"/>
      <c r="D51" s="23"/>
      <c r="E51" s="24"/>
      <c r="F51" s="24"/>
      <c r="G51" s="27"/>
      <c r="H51" s="25"/>
      <c r="I51" s="26"/>
      <c r="J51" s="27"/>
      <c r="K51" s="24"/>
    </row>
    <row r="52" spans="1:11" s="1" customFormat="1" ht="43.2" x14ac:dyDescent="0.3">
      <c r="A52" s="21">
        <v>6</v>
      </c>
      <c r="B52" s="37" t="s">
        <v>64</v>
      </c>
      <c r="C52" s="22" t="s">
        <v>65</v>
      </c>
      <c r="D52" s="34" t="s">
        <v>27</v>
      </c>
      <c r="E52" s="35" t="s">
        <v>29</v>
      </c>
      <c r="F52" s="35" t="s">
        <v>66</v>
      </c>
      <c r="G52" s="42" t="s">
        <v>67</v>
      </c>
      <c r="H52" s="25"/>
      <c r="I52" s="26"/>
      <c r="J52" s="27"/>
      <c r="K52" s="24"/>
    </row>
    <row r="53" spans="1:11" s="1" customFormat="1" x14ac:dyDescent="0.3">
      <c r="A53" s="21"/>
      <c r="B53" s="39" t="s">
        <v>63</v>
      </c>
      <c r="C53" s="22">
        <v>2</v>
      </c>
      <c r="D53" s="34">
        <f>(142+145)/12/3.281</f>
        <v>7.289444275119374</v>
      </c>
      <c r="E53" s="35">
        <f>10*10/162</f>
        <v>0.61728395061728392</v>
      </c>
      <c r="F53" s="35">
        <f>PRODUCT(C53:E53)</f>
        <v>8.9993139199004606</v>
      </c>
      <c r="G53" s="43">
        <f>F53/1000</f>
        <v>8.9993139199004597E-3</v>
      </c>
      <c r="H53" s="25"/>
      <c r="I53" s="26"/>
      <c r="J53" s="27"/>
      <c r="K53" s="24"/>
    </row>
    <row r="54" spans="1:11" s="1" customFormat="1" x14ac:dyDescent="0.3">
      <c r="A54" s="21"/>
      <c r="B54" s="39" t="s">
        <v>69</v>
      </c>
      <c r="C54" s="22">
        <f>((TRUNC((D53-0.15-0.15-0.15)/0.15,0))+1)</f>
        <v>46</v>
      </c>
      <c r="D54" s="34">
        <f>(0.583+0.17)/3.281</f>
        <v>0.22950320024382809</v>
      </c>
      <c r="E54" s="35">
        <f>8*8/162</f>
        <v>0.39506172839506171</v>
      </c>
      <c r="F54" s="35">
        <f>PRODUCT(C54:E54)</f>
        <v>4.170724824184135</v>
      </c>
      <c r="G54" s="43">
        <f>F54/1000</f>
        <v>4.1707248241841348E-3</v>
      </c>
      <c r="H54" s="25"/>
      <c r="I54" s="26"/>
      <c r="J54" s="27"/>
      <c r="K54" s="24"/>
    </row>
    <row r="55" spans="1:11" s="1" customFormat="1" x14ac:dyDescent="0.3">
      <c r="A55" s="21"/>
      <c r="B55" s="39"/>
      <c r="C55" s="22">
        <v>2</v>
      </c>
      <c r="D55" s="34">
        <f>(174+173)/12/3.281</f>
        <v>8.8133699075485108</v>
      </c>
      <c r="E55" s="35">
        <f>10*10/162</f>
        <v>0.61728395061728392</v>
      </c>
      <c r="F55" s="35">
        <f>PRODUCT(C55:E55)</f>
        <v>10.880703589566062</v>
      </c>
      <c r="G55" s="43">
        <f>F55/1000</f>
        <v>1.0880703589566063E-2</v>
      </c>
      <c r="H55" s="25"/>
      <c r="I55" s="26"/>
      <c r="J55" s="27"/>
      <c r="K55" s="24"/>
    </row>
    <row r="56" spans="1:11" s="1" customFormat="1" x14ac:dyDescent="0.3">
      <c r="A56" s="21"/>
      <c r="B56" s="39" t="s">
        <v>69</v>
      </c>
      <c r="C56" s="22">
        <f>((TRUNC((D55-0.15-0.15-0.15)/0.15,0))+1)</f>
        <v>56</v>
      </c>
      <c r="D56" s="34">
        <f>(0.583+0.17)/3.281</f>
        <v>0.22950320024382809</v>
      </c>
      <c r="E56" s="35">
        <f>8*8/162</f>
        <v>0.39506172839506171</v>
      </c>
      <c r="F56" s="35">
        <f>PRODUCT(C56:E56)</f>
        <v>5.0774041337893818</v>
      </c>
      <c r="G56" s="43">
        <f>F56/1000</f>
        <v>5.0774041337893821E-3</v>
      </c>
      <c r="H56" s="25"/>
      <c r="I56" s="26"/>
      <c r="J56" s="27"/>
      <c r="K56" s="24"/>
    </row>
    <row r="57" spans="1:11" s="1" customFormat="1" x14ac:dyDescent="0.3">
      <c r="A57" s="21"/>
      <c r="B57" s="39" t="s">
        <v>26</v>
      </c>
      <c r="C57" s="22"/>
      <c r="D57" s="23"/>
      <c r="E57" s="24"/>
      <c r="F57" s="24"/>
      <c r="G57" s="27">
        <f>SUM(G53:G56)</f>
        <v>2.9128146467440039E-2</v>
      </c>
      <c r="H57" s="25" t="s">
        <v>70</v>
      </c>
      <c r="I57" s="26">
        <v>131940</v>
      </c>
      <c r="J57" s="27">
        <f>G57*I57</f>
        <v>3843.1676449140386</v>
      </c>
      <c r="K57" s="24"/>
    </row>
    <row r="58" spans="1:11" s="1" customFormat="1" x14ac:dyDescent="0.3">
      <c r="A58" s="21"/>
      <c r="B58" s="39" t="s">
        <v>39</v>
      </c>
      <c r="C58" s="22"/>
      <c r="D58" s="23"/>
      <c r="E58" s="24"/>
      <c r="F58" s="24"/>
      <c r="G58" s="27"/>
      <c r="H58" s="25"/>
      <c r="I58" s="26"/>
      <c r="J58" s="27">
        <f>0.13*G57*106200</f>
        <v>402.1431901294772</v>
      </c>
      <c r="K58" s="24"/>
    </row>
    <row r="59" spans="1:11" s="1" customFormat="1" x14ac:dyDescent="0.3">
      <c r="A59" s="21"/>
      <c r="B59" s="39"/>
      <c r="C59" s="22"/>
      <c r="D59" s="23"/>
      <c r="E59" s="24"/>
      <c r="F59" s="24"/>
      <c r="G59" s="27"/>
      <c r="H59" s="25"/>
      <c r="I59" s="26"/>
      <c r="J59" s="27"/>
      <c r="K59" s="24"/>
    </row>
    <row r="60" spans="1:11" s="1" customFormat="1" ht="30" x14ac:dyDescent="0.3">
      <c r="A60" s="21">
        <v>6</v>
      </c>
      <c r="B60" s="37" t="s">
        <v>71</v>
      </c>
      <c r="C60" s="22"/>
      <c r="D60" s="23"/>
      <c r="E60" s="24"/>
      <c r="F60" s="24"/>
      <c r="G60" s="27"/>
      <c r="H60" s="25"/>
      <c r="I60" s="26"/>
      <c r="J60" s="27"/>
      <c r="K60" s="24"/>
    </row>
    <row r="61" spans="1:11" s="1" customFormat="1" x14ac:dyDescent="0.3">
      <c r="A61" s="21"/>
      <c r="B61" s="39" t="s">
        <v>68</v>
      </c>
      <c r="C61" s="22">
        <v>2</v>
      </c>
      <c r="D61" s="23">
        <f>0.23*4</f>
        <v>0.92</v>
      </c>
      <c r="E61" s="24"/>
      <c r="F61" s="24">
        <f>((54-6+34-6)/2)/12/3.281-0.07</f>
        <v>0.89515290053845353</v>
      </c>
      <c r="G61" s="36">
        <f t="shared" ref="G61:G63" si="7">PRODUCT(C61:F61)</f>
        <v>1.6470813369907547</v>
      </c>
      <c r="H61" s="25"/>
      <c r="I61" s="26"/>
      <c r="J61" s="27"/>
      <c r="K61" s="24"/>
    </row>
    <row r="62" spans="1:11" s="1" customFormat="1" x14ac:dyDescent="0.3">
      <c r="A62" s="21"/>
      <c r="B62" s="39" t="s">
        <v>63</v>
      </c>
      <c r="C62" s="22">
        <f>2</f>
        <v>2</v>
      </c>
      <c r="D62" s="23">
        <f>(29.917/3.281)</f>
        <v>9.1182566290765017</v>
      </c>
      <c r="E62" s="24"/>
      <c r="F62" s="24">
        <f>0.15*2</f>
        <v>0.3</v>
      </c>
      <c r="G62" s="36">
        <f t="shared" si="7"/>
        <v>5.4709539774459008</v>
      </c>
      <c r="H62" s="25"/>
      <c r="I62" s="26"/>
      <c r="J62" s="27"/>
      <c r="K62" s="24"/>
    </row>
    <row r="63" spans="1:11" s="1" customFormat="1" x14ac:dyDescent="0.3">
      <c r="A63" s="21"/>
      <c r="B63" s="39"/>
      <c r="C63" s="22">
        <f>2</f>
        <v>2</v>
      </c>
      <c r="D63" s="23">
        <f>(9.917+15-0.75-0.75)/3.281</f>
        <v>7.1371533069186226</v>
      </c>
      <c r="E63" s="24"/>
      <c r="F63" s="24">
        <f>0.15*2</f>
        <v>0.3</v>
      </c>
      <c r="G63" s="36">
        <f t="shared" si="7"/>
        <v>4.2822919841511737</v>
      </c>
      <c r="H63" s="25"/>
      <c r="I63" s="26"/>
      <c r="J63" s="27"/>
      <c r="K63" s="24"/>
    </row>
    <row r="64" spans="1:11" s="1" customFormat="1" x14ac:dyDescent="0.3">
      <c r="A64" s="21"/>
      <c r="B64" s="39" t="s">
        <v>26</v>
      </c>
      <c r="C64" s="22"/>
      <c r="D64" s="23"/>
      <c r="E64" s="24"/>
      <c r="F64" s="24"/>
      <c r="G64" s="27">
        <f>SUM(G61:G63)</f>
        <v>11.400327298587829</v>
      </c>
      <c r="H64" s="25" t="s">
        <v>33</v>
      </c>
      <c r="I64" s="26">
        <v>915.42</v>
      </c>
      <c r="J64" s="27">
        <f>G64*I64</f>
        <v>10436.08761567327</v>
      </c>
      <c r="K64" s="24"/>
    </row>
    <row r="65" spans="1:14" s="1" customFormat="1" x14ac:dyDescent="0.3">
      <c r="A65" s="21"/>
      <c r="B65" s="39" t="s">
        <v>39</v>
      </c>
      <c r="C65" s="22"/>
      <c r="D65" s="23"/>
      <c r="E65" s="24"/>
      <c r="F65" s="24"/>
      <c r="G65" s="27"/>
      <c r="H65" s="25"/>
      <c r="I65" s="26"/>
      <c r="J65" s="27">
        <f>0.13*G64*46827.87/100</f>
        <v>694.00895810443865</v>
      </c>
      <c r="K65" s="24"/>
    </row>
    <row r="66" spans="1:14" s="1" customFormat="1" x14ac:dyDescent="0.3">
      <c r="A66" s="21"/>
      <c r="B66" s="39"/>
      <c r="C66" s="22"/>
      <c r="D66" s="23"/>
      <c r="E66" s="24"/>
      <c r="F66" s="24"/>
      <c r="G66" s="27"/>
      <c r="H66" s="25"/>
      <c r="I66" s="26"/>
      <c r="J66" s="27"/>
      <c r="K66" s="24"/>
    </row>
    <row r="67" spans="1:14" s="1" customFormat="1" ht="30" x14ac:dyDescent="0.3">
      <c r="A67" s="21">
        <v>7</v>
      </c>
      <c r="B67" s="37" t="s">
        <v>45</v>
      </c>
      <c r="C67" s="22"/>
      <c r="D67" s="23"/>
      <c r="E67" s="24"/>
      <c r="F67" s="24"/>
      <c r="G67" s="27"/>
      <c r="H67" s="25"/>
      <c r="I67" s="26"/>
      <c r="J67" s="27"/>
      <c r="K67" s="24"/>
    </row>
    <row r="68" spans="1:14" s="1" customFormat="1" x14ac:dyDescent="0.3">
      <c r="A68" s="21"/>
      <c r="B68" s="39" t="str">
        <f>B61</f>
        <v>-for column</v>
      </c>
      <c r="C68" s="22">
        <v>2</v>
      </c>
      <c r="D68" s="23">
        <v>0.23</v>
      </c>
      <c r="E68" s="24">
        <v>0.23</v>
      </c>
      <c r="F68" s="24">
        <f>((2.5+50/12)/2)/3.281-0.12</f>
        <v>0.89595042161942506</v>
      </c>
      <c r="G68" s="36">
        <f t="shared" ref="G68:G71" si="8">PRODUCT(C68:F68)</f>
        <v>9.4791554607335182E-2</v>
      </c>
      <c r="H68" s="25"/>
      <c r="I68" s="26"/>
      <c r="J68" s="27"/>
      <c r="K68" s="24"/>
    </row>
    <row r="69" spans="1:14" s="1" customFormat="1" x14ac:dyDescent="0.3">
      <c r="A69" s="21"/>
      <c r="B69" s="39" t="s">
        <v>61</v>
      </c>
      <c r="C69" s="22">
        <v>2</v>
      </c>
      <c r="D69" s="23">
        <f>(29.917-0.75-0.75)/3.281</f>
        <v>8.6610789393477603</v>
      </c>
      <c r="E69" s="24">
        <v>0.23</v>
      </c>
      <c r="F69" s="24">
        <v>0.15</v>
      </c>
      <c r="G69" s="36">
        <f t="shared" si="8"/>
        <v>0.59761444681499543</v>
      </c>
      <c r="H69" s="25"/>
      <c r="I69" s="26"/>
      <c r="J69" s="27"/>
      <c r="K69" s="24"/>
    </row>
    <row r="70" spans="1:14" s="1" customFormat="1" x14ac:dyDescent="0.3">
      <c r="A70" s="21"/>
      <c r="B70" s="39"/>
      <c r="C70" s="22">
        <v>2</v>
      </c>
      <c r="D70" s="23">
        <f>(9.917+15)/3.281</f>
        <v>7.594330996647364</v>
      </c>
      <c r="E70" s="24">
        <v>0.23</v>
      </c>
      <c r="F70" s="24">
        <v>0.15</v>
      </c>
      <c r="G70" s="36">
        <f t="shared" si="8"/>
        <v>0.52400883876866811</v>
      </c>
      <c r="H70" s="25"/>
      <c r="I70" s="26"/>
      <c r="J70" s="27"/>
      <c r="K70" s="24"/>
    </row>
    <row r="71" spans="1:14" s="1" customFormat="1" x14ac:dyDescent="0.3">
      <c r="A71" s="21"/>
      <c r="B71" s="39" t="s">
        <v>89</v>
      </c>
      <c r="C71" s="22">
        <v>1</v>
      </c>
      <c r="D71" s="23">
        <f>29.917/3.281</f>
        <v>9.1182566290765017</v>
      </c>
      <c r="E71" s="24">
        <f>(9.917+15)/3.281</f>
        <v>7.594330996647364</v>
      </c>
      <c r="F71" s="24">
        <v>7.4999999999999997E-2</v>
      </c>
      <c r="G71" s="36">
        <f t="shared" si="8"/>
        <v>5.1935294215185737</v>
      </c>
      <c r="H71" s="25"/>
      <c r="I71" s="26"/>
      <c r="J71" s="27"/>
      <c r="K71" s="24"/>
    </row>
    <row r="72" spans="1:14" s="1" customFormat="1" x14ac:dyDescent="0.3">
      <c r="A72" s="21"/>
      <c r="B72" s="39" t="s">
        <v>26</v>
      </c>
      <c r="C72" s="22"/>
      <c r="D72" s="23"/>
      <c r="E72" s="24"/>
      <c r="F72" s="24"/>
      <c r="G72" s="27">
        <f>SUM(G68:G71)</f>
        <v>6.4099442617095725</v>
      </c>
      <c r="H72" s="25" t="s">
        <v>42</v>
      </c>
      <c r="I72" s="26">
        <v>13568.9</v>
      </c>
      <c r="J72" s="27">
        <f>G72*I72</f>
        <v>86975.892692711015</v>
      </c>
      <c r="K72" s="24"/>
    </row>
    <row r="73" spans="1:14" s="1" customFormat="1" x14ac:dyDescent="0.3">
      <c r="A73" s="21"/>
      <c r="B73" s="39" t="s">
        <v>39</v>
      </c>
      <c r="C73" s="22"/>
      <c r="D73" s="23"/>
      <c r="E73" s="24"/>
      <c r="F73" s="24"/>
      <c r="G73" s="27"/>
      <c r="H73" s="25"/>
      <c r="I73" s="26"/>
      <c r="J73" s="27">
        <f>0.13*G72*9524.2</f>
        <v>7936.4468478586614</v>
      </c>
      <c r="K73" s="24"/>
    </row>
    <row r="74" spans="1:14" s="1" customFormat="1" x14ac:dyDescent="0.3">
      <c r="A74" s="21"/>
      <c r="B74" s="39"/>
      <c r="C74" s="22"/>
      <c r="D74" s="23"/>
      <c r="E74" s="24"/>
      <c r="F74" s="24"/>
      <c r="G74" s="27"/>
      <c r="H74" s="25"/>
      <c r="I74" s="26"/>
      <c r="J74" s="27"/>
      <c r="K74" s="24"/>
    </row>
    <row r="75" spans="1:14" s="1" customFormat="1" ht="30" x14ac:dyDescent="0.3">
      <c r="A75" s="21">
        <v>8</v>
      </c>
      <c r="B75" s="37" t="s">
        <v>53</v>
      </c>
      <c r="C75" s="22"/>
      <c r="D75" s="23"/>
      <c r="E75" s="24"/>
      <c r="F75" s="24"/>
      <c r="G75" s="27"/>
      <c r="H75" s="25"/>
      <c r="I75" s="26"/>
      <c r="J75" s="27"/>
      <c r="K75" s="24"/>
    </row>
    <row r="76" spans="1:14" s="1" customFormat="1" x14ac:dyDescent="0.3">
      <c r="A76" s="21"/>
      <c r="B76" s="39" t="s">
        <v>57</v>
      </c>
      <c r="C76" s="22">
        <v>6</v>
      </c>
      <c r="D76" s="23">
        <v>0.45</v>
      </c>
      <c r="E76" s="24">
        <v>0.45</v>
      </c>
      <c r="F76" s="24">
        <v>7.4999999999999997E-2</v>
      </c>
      <c r="G76" s="36">
        <f>PRODUCT(C76:F76)</f>
        <v>9.1124999999999998E-2</v>
      </c>
      <c r="H76" s="25"/>
      <c r="I76" s="26"/>
      <c r="J76" s="27"/>
      <c r="K76" s="24"/>
    </row>
    <row r="77" spans="1:14" s="1" customFormat="1" x14ac:dyDescent="0.3">
      <c r="A77" s="21"/>
      <c r="B77" s="39" t="s">
        <v>90</v>
      </c>
      <c r="C77" s="22">
        <v>2</v>
      </c>
      <c r="D77" s="23">
        <f>(29.917-0.75-0.75-0.75)/3.281</f>
        <v>8.4324900944833896</v>
      </c>
      <c r="E77" s="24">
        <v>0.23</v>
      </c>
      <c r="F77" s="24">
        <f>(47-2)/12/3.281-(45-36)/12/3.281</f>
        <v>0.91435537945748246</v>
      </c>
      <c r="G77" s="36">
        <f>PRODUCT(C77:F77)</f>
        <v>3.5467346328518983</v>
      </c>
      <c r="H77" s="25"/>
      <c r="I77" s="26"/>
      <c r="J77" s="27"/>
      <c r="K77" s="24"/>
    </row>
    <row r="78" spans="1:14" s="1" customFormat="1" x14ac:dyDescent="0.3">
      <c r="A78" s="21"/>
      <c r="B78" s="39"/>
      <c r="C78" s="22">
        <v>2</v>
      </c>
      <c r="D78" s="23">
        <f>(9.917+15-0.75)/3.281</f>
        <v>7.3657421517829933</v>
      </c>
      <c r="E78" s="24">
        <v>0.23</v>
      </c>
      <c r="F78" s="24">
        <f>(2.833-0.17)/3.281</f>
        <v>0.81164279183175869</v>
      </c>
      <c r="G78" s="36">
        <f>PRODUCT(C78:F78)</f>
        <v>2.7500417010335667</v>
      </c>
      <c r="H78" s="25"/>
      <c r="I78" s="26"/>
      <c r="J78" s="27"/>
      <c r="K78" s="24"/>
    </row>
    <row r="79" spans="1:14" s="1" customFormat="1" x14ac:dyDescent="0.3">
      <c r="A79" s="21"/>
      <c r="B79" s="39" t="s">
        <v>91</v>
      </c>
      <c r="C79" s="22">
        <v>-8</v>
      </c>
      <c r="D79" s="23">
        <v>7.4999999999999997E-2</v>
      </c>
      <c r="E79" s="24">
        <v>7.4999999999999997E-2</v>
      </c>
      <c r="F79" s="24">
        <f>(F77+F78)/2</f>
        <v>0.86299908564462058</v>
      </c>
      <c r="G79" s="36">
        <f>PRODUCT(C79:F79)</f>
        <v>-3.8834958854007923E-2</v>
      </c>
      <c r="H79" s="25"/>
      <c r="I79" s="26"/>
      <c r="J79" s="27"/>
      <c r="K79" s="24"/>
    </row>
    <row r="80" spans="1:14" s="1" customFormat="1" x14ac:dyDescent="0.3">
      <c r="A80" s="21"/>
      <c r="B80" s="39" t="s">
        <v>26</v>
      </c>
      <c r="C80" s="22"/>
      <c r="D80" s="23"/>
      <c r="E80" s="24"/>
      <c r="F80" s="24"/>
      <c r="G80" s="27">
        <f>SUM(G76:G79)</f>
        <v>6.3490663750314562</v>
      </c>
      <c r="H80" s="25" t="s">
        <v>42</v>
      </c>
      <c r="I80" s="26">
        <v>14362.76</v>
      </c>
      <c r="J80" s="27">
        <f>G80*I80</f>
        <v>91190.116568646801</v>
      </c>
      <c r="K80" s="24"/>
      <c r="N80" s="1">
        <f>G80*560</f>
        <v>3555.4771700176157</v>
      </c>
    </row>
    <row r="81" spans="1:31" s="1" customFormat="1" x14ac:dyDescent="0.3">
      <c r="A81" s="21"/>
      <c r="B81" s="39" t="s">
        <v>39</v>
      </c>
      <c r="C81" s="22"/>
      <c r="D81" s="23"/>
      <c r="E81" s="24"/>
      <c r="F81" s="24"/>
      <c r="G81" s="27"/>
      <c r="H81" s="25"/>
      <c r="I81" s="26"/>
      <c r="J81" s="27">
        <f>0.13*G80*10311.74</f>
        <v>8511.0898212686934</v>
      </c>
      <c r="K81" s="24"/>
    </row>
    <row r="82" spans="1:31" s="1" customFormat="1" x14ac:dyDescent="0.3">
      <c r="A82" s="21"/>
      <c r="B82" s="39"/>
      <c r="C82" s="22"/>
      <c r="D82" s="23"/>
      <c r="E82" s="24"/>
      <c r="F82" s="24"/>
      <c r="G82" s="27"/>
      <c r="H82" s="25"/>
      <c r="I82" s="26"/>
      <c r="J82" s="27"/>
      <c r="K82" s="24"/>
    </row>
    <row r="83" spans="1:31" s="1" customFormat="1" ht="27.6" x14ac:dyDescent="0.3">
      <c r="A83" s="21">
        <v>9</v>
      </c>
      <c r="B83" s="41" t="s">
        <v>35</v>
      </c>
      <c r="C83" s="22">
        <v>0</v>
      </c>
      <c r="D83" s="23"/>
      <c r="E83" s="24"/>
      <c r="F83" s="24"/>
      <c r="G83" s="36">
        <f>PRODUCT(C83:F83)</f>
        <v>0</v>
      </c>
      <c r="H83" s="25" t="s">
        <v>36</v>
      </c>
      <c r="I83" s="26">
        <v>5000</v>
      </c>
      <c r="J83" s="27">
        <f>G83*I83</f>
        <v>0</v>
      </c>
      <c r="K83" s="24"/>
    </row>
    <row r="84" spans="1:31" s="1" customFormat="1" x14ac:dyDescent="0.3">
      <c r="A84" s="21"/>
      <c r="B84" s="39"/>
      <c r="C84" s="22"/>
      <c r="D84" s="23"/>
      <c r="E84" s="24"/>
      <c r="F84" s="24"/>
      <c r="G84" s="27"/>
      <c r="H84" s="25"/>
      <c r="I84" s="26"/>
      <c r="J84" s="27"/>
      <c r="K84" s="24"/>
    </row>
    <row r="85" spans="1:31" s="1" customFormat="1" x14ac:dyDescent="0.3">
      <c r="A85" s="21">
        <v>10</v>
      </c>
      <c r="B85" s="41" t="s">
        <v>37</v>
      </c>
      <c r="C85" s="22">
        <v>1</v>
      </c>
      <c r="D85" s="23"/>
      <c r="E85" s="24"/>
      <c r="F85" s="24"/>
      <c r="G85" s="36">
        <f>PRODUCT(C85:F85)</f>
        <v>1</v>
      </c>
      <c r="H85" s="25" t="s">
        <v>55</v>
      </c>
      <c r="I85" s="26">
        <v>500</v>
      </c>
      <c r="J85" s="27">
        <f>G85*I85</f>
        <v>500</v>
      </c>
      <c r="K85" s="24"/>
    </row>
    <row r="86" spans="1:31" s="1" customFormat="1" x14ac:dyDescent="0.3">
      <c r="A86" s="21"/>
      <c r="B86" s="39"/>
      <c r="C86" s="22"/>
      <c r="D86" s="23"/>
      <c r="E86" s="24"/>
      <c r="F86" s="24"/>
      <c r="G86" s="27"/>
      <c r="H86" s="25"/>
      <c r="I86" s="26"/>
      <c r="J86" s="27"/>
      <c r="K86" s="24"/>
    </row>
    <row r="87" spans="1:31" x14ac:dyDescent="0.3">
      <c r="A87" s="9"/>
      <c r="B87" s="20" t="s">
        <v>16</v>
      </c>
      <c r="C87" s="8"/>
      <c r="D87" s="6"/>
      <c r="E87" s="6"/>
      <c r="F87" s="6"/>
      <c r="G87" s="33"/>
      <c r="H87" s="7"/>
      <c r="I87" s="7"/>
      <c r="J87" s="7">
        <f>SUM(J10:J86)</f>
        <v>440982.66964886279</v>
      </c>
      <c r="K87" s="4"/>
      <c r="M87" s="29"/>
      <c r="P87" s="32"/>
      <c r="Q87" s="32"/>
    </row>
    <row r="88" spans="1:31" x14ac:dyDescent="0.3">
      <c r="M88" s="29"/>
      <c r="N88" s="30"/>
      <c r="O88" s="30"/>
      <c r="P88" s="31"/>
      <c r="R88" s="30"/>
      <c r="S88" s="30"/>
      <c r="T88" s="30"/>
      <c r="U88" s="29"/>
      <c r="V88" s="29"/>
      <c r="W88" s="29"/>
      <c r="X88" s="29"/>
      <c r="Y88" s="29"/>
      <c r="Z88" s="29"/>
      <c r="AA88" s="29"/>
      <c r="AB88" s="29"/>
      <c r="AC88" s="29"/>
      <c r="AD88" s="29"/>
      <c r="AE88" s="29"/>
    </row>
    <row r="89" spans="1:31" s="1" customFormat="1" x14ac:dyDescent="0.3">
      <c r="B89" s="11" t="s">
        <v>87</v>
      </c>
      <c r="C89" s="64">
        <f>J87</f>
        <v>440982.66964886279</v>
      </c>
      <c r="D89" s="65"/>
      <c r="E89" s="10">
        <v>100</v>
      </c>
      <c r="F89" s="12"/>
      <c r="G89" s="13"/>
      <c r="H89" s="12"/>
      <c r="I89" s="14"/>
      <c r="J89" s="15"/>
      <c r="K89" s="16"/>
      <c r="M89" s="12"/>
      <c r="N89" s="30"/>
      <c r="O89" s="30"/>
      <c r="P89" s="30"/>
      <c r="Q89" s="30"/>
      <c r="R89" s="30"/>
      <c r="S89" s="30"/>
      <c r="T89" s="30"/>
      <c r="U89" s="12"/>
      <c r="V89" s="12"/>
      <c r="W89" s="12"/>
      <c r="X89" s="12"/>
      <c r="Y89" s="12"/>
      <c r="Z89" s="12"/>
      <c r="AA89" s="12"/>
      <c r="AB89" s="12"/>
      <c r="AC89" s="12"/>
      <c r="AD89" s="12"/>
      <c r="AE89" s="12"/>
    </row>
    <row r="90" spans="1:31" x14ac:dyDescent="0.3">
      <c r="B90" s="11" t="s">
        <v>17</v>
      </c>
      <c r="C90" s="67">
        <v>400000</v>
      </c>
      <c r="D90" s="68"/>
      <c r="E90" s="10"/>
      <c r="M90" s="29"/>
      <c r="N90" s="30"/>
      <c r="O90" s="30"/>
      <c r="P90" s="30"/>
      <c r="Q90" s="30"/>
      <c r="R90" s="30"/>
      <c r="S90" s="30"/>
      <c r="T90" s="30"/>
      <c r="U90" s="29"/>
      <c r="V90" s="29"/>
      <c r="W90" s="29"/>
      <c r="X90" s="29"/>
      <c r="Y90" s="29"/>
      <c r="Z90" s="29"/>
      <c r="AA90" s="29"/>
      <c r="AB90" s="29"/>
      <c r="AC90" s="29"/>
      <c r="AD90" s="29"/>
      <c r="AE90" s="29"/>
    </row>
    <row r="91" spans="1:31" x14ac:dyDescent="0.3">
      <c r="B91" s="11" t="s">
        <v>18</v>
      </c>
      <c r="C91" s="67">
        <f>C90-C93-C94</f>
        <v>380000</v>
      </c>
      <c r="D91" s="68"/>
      <c r="E91" s="10">
        <f>C91/C89*100</f>
        <v>86.171186795748483</v>
      </c>
      <c r="M91" s="29"/>
      <c r="N91" s="29"/>
      <c r="O91" s="29"/>
      <c r="P91" s="29"/>
      <c r="Q91" s="29"/>
      <c r="R91" s="29"/>
      <c r="S91" s="29"/>
      <c r="T91" s="29"/>
      <c r="U91" s="29"/>
      <c r="V91" s="29"/>
      <c r="W91" s="29"/>
      <c r="X91" s="29"/>
      <c r="Y91" s="29"/>
      <c r="Z91" s="29"/>
      <c r="AA91" s="29"/>
      <c r="AB91" s="29"/>
      <c r="AC91" s="29"/>
      <c r="AD91" s="29"/>
      <c r="AE91" s="29"/>
    </row>
    <row r="92" spans="1:31" x14ac:dyDescent="0.3">
      <c r="B92" s="11" t="s">
        <v>19</v>
      </c>
      <c r="C92" s="69">
        <f>C89-C91</f>
        <v>60982.669648862793</v>
      </c>
      <c r="D92" s="69"/>
      <c r="E92" s="10">
        <f>100-E91</f>
        <v>13.828813204251517</v>
      </c>
      <c r="M92" s="29"/>
      <c r="N92" s="29"/>
      <c r="O92" s="29"/>
      <c r="P92" s="29"/>
      <c r="Q92" s="29"/>
      <c r="R92" s="29"/>
      <c r="S92" s="29"/>
      <c r="T92" s="29"/>
      <c r="U92" s="29"/>
      <c r="V92" s="29"/>
      <c r="W92" s="29"/>
      <c r="X92" s="29"/>
      <c r="Y92" s="29"/>
      <c r="Z92" s="29"/>
      <c r="AA92" s="29"/>
      <c r="AB92" s="29"/>
      <c r="AC92" s="29"/>
      <c r="AD92" s="29"/>
      <c r="AE92" s="29"/>
    </row>
    <row r="93" spans="1:31" x14ac:dyDescent="0.3">
      <c r="B93" s="11" t="s">
        <v>20</v>
      </c>
      <c r="C93" s="64">
        <f>C90*0.03</f>
        <v>12000</v>
      </c>
      <c r="D93" s="65"/>
      <c r="E93" s="10">
        <v>3</v>
      </c>
      <c r="M93" s="29"/>
      <c r="N93" s="29"/>
      <c r="O93" s="29"/>
      <c r="P93" s="29"/>
      <c r="Q93" s="29"/>
      <c r="R93" s="29"/>
      <c r="S93" s="29"/>
      <c r="T93" s="29"/>
      <c r="U93" s="29"/>
      <c r="V93" s="29"/>
      <c r="W93" s="29"/>
      <c r="X93" s="29"/>
      <c r="Y93" s="29"/>
      <c r="Z93" s="29"/>
      <c r="AA93" s="29"/>
      <c r="AB93" s="29"/>
      <c r="AC93" s="29"/>
      <c r="AD93" s="29"/>
      <c r="AE93" s="29"/>
    </row>
    <row r="94" spans="1:31" x14ac:dyDescent="0.3">
      <c r="B94" s="11" t="s">
        <v>21</v>
      </c>
      <c r="C94" s="64">
        <f>C90*0.02</f>
        <v>8000</v>
      </c>
      <c r="D94" s="65"/>
      <c r="E94" s="10">
        <v>2</v>
      </c>
      <c r="M94" s="29"/>
      <c r="N94" s="29"/>
      <c r="O94" s="29"/>
      <c r="P94" s="29"/>
      <c r="Q94" s="29"/>
      <c r="R94" s="29"/>
      <c r="S94" s="29"/>
      <c r="T94" s="29"/>
      <c r="U94" s="29"/>
      <c r="V94" s="29"/>
      <c r="W94" s="29"/>
      <c r="X94" s="29"/>
      <c r="Y94" s="29"/>
      <c r="Z94" s="29"/>
      <c r="AA94" s="29"/>
      <c r="AB94" s="29"/>
      <c r="AC94" s="29"/>
      <c r="AD94" s="29"/>
      <c r="AE94" s="29"/>
    </row>
  </sheetData>
  <mergeCells count="15">
    <mergeCell ref="C93:D93"/>
    <mergeCell ref="C94:D94"/>
    <mergeCell ref="A7:F7"/>
    <mergeCell ref="H7:K7"/>
    <mergeCell ref="C89:D89"/>
    <mergeCell ref="C90:D90"/>
    <mergeCell ref="C91:D91"/>
    <mergeCell ref="C92:D92"/>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new</vt:lpstr>
      <vt:lpstr>as per mistry</vt:lpstr>
      <vt:lpstr>final</vt:lpstr>
      <vt:lpstr>400000 final</vt:lpstr>
      <vt:lpstr>WCR</vt:lpstr>
      <vt:lpstr>V</vt:lpstr>
      <vt:lpstr>'400000 final'!Print_Area</vt:lpstr>
      <vt:lpstr>'as per mistry'!Print_Area</vt:lpstr>
      <vt:lpstr>final!Print_Area</vt:lpstr>
      <vt:lpstr>new!Print_Area</vt:lpstr>
      <vt:lpstr>V!Print_Area</vt:lpstr>
      <vt:lpstr>'400000 final'!Print_Titles</vt:lpstr>
      <vt:lpstr>'as per mistry'!Print_Titles</vt:lpstr>
      <vt:lpstr>final!Print_Titles</vt:lpstr>
      <vt:lpstr>new!Print_Titles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2025-02-06T08:09:46Z</cp:lastPrinted>
  <dcterms:created xsi:type="dcterms:W3CDTF">2015-06-05T18:17:20Z</dcterms:created>
  <dcterms:modified xsi:type="dcterms:W3CDTF">2025-07-02T03:18:33Z</dcterms:modified>
</cp:coreProperties>
</file>