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वडा कार्यालय अगाडी ढलान\"/>
    </mc:Choice>
  </mc:AlternateContent>
  <bookViews>
    <workbookView xWindow="-120" yWindow="-120" windowWidth="20736" windowHeight="11160"/>
  </bookViews>
  <sheets>
    <sheet name="estimate" sheetId="19" r:id="rId1"/>
    <sheet name="WCR" sheetId="6" r:id="rId2"/>
    <sheet name="M" sheetId="21"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estimate!$A$1:$K$53</definedName>
    <definedName name="_xlnm.Print_Area" localSheetId="2">M!$A$1:$K$74</definedName>
    <definedName name="_xlnm.Print_Titles" localSheetId="0">estimate!$1:$8</definedName>
    <definedName name="_xlnm.Print_Titles" localSheetId="2">M!$1:$8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1" i="19" l="1"/>
  <c r="C39" i="19"/>
  <c r="G39" i="19" s="1"/>
  <c r="D39" i="19"/>
  <c r="E39" i="19"/>
  <c r="C40" i="19"/>
  <c r="D40" i="19"/>
  <c r="E40" i="19"/>
  <c r="G40" i="19"/>
  <c r="G38" i="19"/>
  <c r="E38" i="19"/>
  <c r="D38" i="19"/>
  <c r="C38" i="19"/>
  <c r="B38" i="19"/>
  <c r="G37" i="19"/>
  <c r="G36" i="19"/>
  <c r="D37" i="19"/>
  <c r="E37" i="19"/>
  <c r="F37" i="19"/>
  <c r="E36" i="19"/>
  <c r="F36" i="19"/>
  <c r="D36" i="19"/>
  <c r="B36" i="19"/>
  <c r="J42" i="19" l="1"/>
  <c r="J41" i="19" l="1"/>
  <c r="B29" i="19" l="1"/>
  <c r="B12" i="19" s="1"/>
  <c r="C13" i="19"/>
  <c r="C30" i="19"/>
  <c r="D30" i="19"/>
  <c r="D13" i="19" s="1"/>
  <c r="E30" i="19"/>
  <c r="E13" i="19" s="1"/>
  <c r="C31" i="19"/>
  <c r="C29" i="19"/>
  <c r="C12" i="19" s="1"/>
  <c r="B27" i="19"/>
  <c r="B10" i="19" s="1"/>
  <c r="G21" i="19"/>
  <c r="E22" i="19"/>
  <c r="E31" i="19" s="1"/>
  <c r="E14" i="19" s="1"/>
  <c r="D22" i="19"/>
  <c r="G22" i="19" s="1"/>
  <c r="E20" i="19"/>
  <c r="E29" i="19" s="1"/>
  <c r="E12" i="19" s="1"/>
  <c r="D20" i="19"/>
  <c r="D29" i="19" s="1"/>
  <c r="F19" i="19"/>
  <c r="F28" i="19" s="1"/>
  <c r="F11" i="19" s="1"/>
  <c r="E19" i="19"/>
  <c r="E28" i="19" s="1"/>
  <c r="E11" i="19" s="1"/>
  <c r="D19" i="19"/>
  <c r="D28" i="19" s="1"/>
  <c r="D11" i="19" s="1"/>
  <c r="F18" i="19"/>
  <c r="F27" i="19" s="1"/>
  <c r="F10" i="19" s="1"/>
  <c r="E18" i="19"/>
  <c r="E27" i="19" s="1"/>
  <c r="E10" i="19" s="1"/>
  <c r="D18" i="19"/>
  <c r="D27" i="19" s="1"/>
  <c r="G18" i="19" l="1"/>
  <c r="G13" i="19"/>
  <c r="D31" i="19"/>
  <c r="D14" i="19" s="1"/>
  <c r="G31" i="19"/>
  <c r="G29" i="19"/>
  <c r="D12" i="19"/>
  <c r="G12" i="19" s="1"/>
  <c r="D10" i="19"/>
  <c r="G10" i="19" s="1"/>
  <c r="G15" i="19" s="1"/>
  <c r="G27" i="19"/>
  <c r="G32" i="19" s="1"/>
  <c r="G11" i="19"/>
  <c r="G19" i="19"/>
  <c r="G20" i="19"/>
  <c r="G30" i="19"/>
  <c r="C14" i="19"/>
  <c r="G14" i="19" s="1"/>
  <c r="G28" i="19"/>
  <c r="A9" i="6"/>
  <c r="A8" i="6"/>
  <c r="G51" i="21"/>
  <c r="S94" i="21"/>
  <c r="S93" i="21"/>
  <c r="S92" i="21"/>
  <c r="S90" i="21"/>
  <c r="S89" i="21"/>
  <c r="S88" i="21"/>
  <c r="S86" i="21"/>
  <c r="S85" i="21"/>
  <c r="S84" i="21"/>
  <c r="S82" i="21"/>
  <c r="S81" i="21"/>
  <c r="S80" i="21"/>
  <c r="S78" i="21"/>
  <c r="S77" i="21"/>
  <c r="S76" i="21"/>
  <c r="S74" i="21"/>
  <c r="C74" i="21"/>
  <c r="S73" i="21"/>
  <c r="C73" i="21"/>
  <c r="C71" i="21" s="1"/>
  <c r="S72" i="21"/>
  <c r="N66" i="21"/>
  <c r="G65" i="21"/>
  <c r="J65" i="21" s="1"/>
  <c r="G61" i="21"/>
  <c r="G60" i="21"/>
  <c r="G62" i="21" s="1"/>
  <c r="G55" i="21"/>
  <c r="G56" i="21" s="1"/>
  <c r="G50" i="21"/>
  <c r="G49" i="21"/>
  <c r="G48" i="21"/>
  <c r="G47" i="21"/>
  <c r="G46" i="21"/>
  <c r="G45" i="21"/>
  <c r="B45" i="21"/>
  <c r="E40" i="21"/>
  <c r="D40" i="21"/>
  <c r="F40" i="21" s="1"/>
  <c r="G40" i="21" s="1"/>
  <c r="E39" i="21"/>
  <c r="D39" i="21"/>
  <c r="F39" i="21" s="1"/>
  <c r="G39" i="21" s="1"/>
  <c r="F34" i="21"/>
  <c r="G34" i="21" s="1"/>
  <c r="F33" i="21"/>
  <c r="G33" i="21" s="1"/>
  <c r="G32" i="21"/>
  <c r="F32" i="21"/>
  <c r="E32" i="21"/>
  <c r="F31" i="21"/>
  <c r="G31" i="21" s="1"/>
  <c r="F30" i="21"/>
  <c r="G30" i="21" s="1"/>
  <c r="G35" i="21" s="1"/>
  <c r="G25" i="21"/>
  <c r="G24" i="21"/>
  <c r="E23" i="21"/>
  <c r="G23" i="21" s="1"/>
  <c r="G22" i="21"/>
  <c r="G21" i="21"/>
  <c r="E16" i="21"/>
  <c r="D16" i="21"/>
  <c r="G11" i="21"/>
  <c r="G23" i="19" l="1"/>
  <c r="J57" i="21"/>
  <c r="J56" i="21"/>
  <c r="G26" i="21"/>
  <c r="J63" i="21"/>
  <c r="J62" i="21"/>
  <c r="J36" i="21"/>
  <c r="J35" i="21"/>
  <c r="G16" i="21"/>
  <c r="J52" i="21"/>
  <c r="J51" i="21"/>
  <c r="G41" i="21"/>
  <c r="H37" i="6"/>
  <c r="E37" i="6"/>
  <c r="C37" i="6"/>
  <c r="B37" i="6"/>
  <c r="A37" i="6"/>
  <c r="H34" i="6"/>
  <c r="F35" i="6"/>
  <c r="E34" i="6"/>
  <c r="D34" i="6"/>
  <c r="C34" i="6"/>
  <c r="B35" i="6"/>
  <c r="B34" i="6"/>
  <c r="A34" i="6"/>
  <c r="H31" i="6"/>
  <c r="F32" i="6"/>
  <c r="E31" i="6"/>
  <c r="D31" i="6"/>
  <c r="C31" i="6"/>
  <c r="B32" i="6"/>
  <c r="B31" i="6"/>
  <c r="A31" i="6"/>
  <c r="H28" i="6"/>
  <c r="E28" i="6"/>
  <c r="C28" i="6"/>
  <c r="B29" i="6"/>
  <c r="B28" i="6"/>
  <c r="A28" i="6"/>
  <c r="H25" i="6"/>
  <c r="E25" i="6"/>
  <c r="C25" i="6"/>
  <c r="B26" i="6"/>
  <c r="B25" i="6"/>
  <c r="A25" i="6"/>
  <c r="H22" i="6"/>
  <c r="E22" i="6"/>
  <c r="C22" i="6"/>
  <c r="B23" i="6"/>
  <c r="B22" i="6"/>
  <c r="A22" i="6"/>
  <c r="H19" i="6"/>
  <c r="E19" i="6"/>
  <c r="C19" i="6"/>
  <c r="B20" i="6"/>
  <c r="B19" i="6"/>
  <c r="A19" i="6"/>
  <c r="H16" i="6"/>
  <c r="E16" i="6"/>
  <c r="C16" i="6"/>
  <c r="B17" i="6"/>
  <c r="B16" i="6"/>
  <c r="A16" i="6"/>
  <c r="H13" i="6"/>
  <c r="E13" i="6"/>
  <c r="C13" i="6"/>
  <c r="B14" i="6"/>
  <c r="B13" i="6"/>
  <c r="A13" i="6"/>
  <c r="G19" i="6"/>
  <c r="F31" i="6" l="1"/>
  <c r="F34" i="6"/>
  <c r="G28" i="6"/>
  <c r="G17" i="21"/>
  <c r="G10" i="21"/>
  <c r="G12" i="21" s="1"/>
  <c r="J41" i="21"/>
  <c r="J42" i="21"/>
  <c r="J26" i="21"/>
  <c r="J27" i="21"/>
  <c r="G22" i="6"/>
  <c r="J12" i="21" l="1"/>
  <c r="J13" i="21"/>
  <c r="J17" i="21"/>
  <c r="J18" i="21"/>
  <c r="G34" i="6"/>
  <c r="I34" i="6" s="1"/>
  <c r="J34" i="6" s="1"/>
  <c r="I28" i="6"/>
  <c r="I22" i="6"/>
  <c r="G37" i="6" l="1"/>
  <c r="I32" i="6"/>
  <c r="J32" i="6" s="1"/>
  <c r="G31" i="6"/>
  <c r="I31" i="6" s="1"/>
  <c r="J31" i="6" s="1"/>
  <c r="J67" i="21"/>
  <c r="C69" i="21" s="1"/>
  <c r="I20" i="6"/>
  <c r="I35" i="6"/>
  <c r="J35" i="6" s="1"/>
  <c r="I29" i="6"/>
  <c r="I19" i="6"/>
  <c r="C72" i="21" l="1"/>
  <c r="E71" i="21"/>
  <c r="E72" i="21" s="1"/>
  <c r="I17" i="6"/>
  <c r="G16" i="6"/>
  <c r="I16" i="6" s="1"/>
  <c r="G13" i="6"/>
  <c r="I14" i="6"/>
  <c r="I23" i="6"/>
  <c r="I26" i="6" l="1"/>
  <c r="G25" i="6"/>
  <c r="I25" i="6" s="1"/>
  <c r="F29" i="6" l="1"/>
  <c r="J29" i="6" s="1"/>
  <c r="D28" i="6"/>
  <c r="F28" i="6" s="1"/>
  <c r="J28" i="6" s="1"/>
  <c r="F26" i="6" l="1"/>
  <c r="J26" i="6" s="1"/>
  <c r="D25" i="6"/>
  <c r="F25" i="6" s="1"/>
  <c r="J25" i="6" s="1"/>
  <c r="N45" i="19"/>
  <c r="C52" i="19" l="1"/>
  <c r="G44" i="19"/>
  <c r="J44" i="19" l="1"/>
  <c r="D37" i="6"/>
  <c r="C53" i="19"/>
  <c r="C50" i="19" s="1"/>
  <c r="D19" i="6"/>
  <c r="F19" i="6" s="1"/>
  <c r="J19" i="6" s="1"/>
  <c r="D22" i="6"/>
  <c r="F22" i="6" s="1"/>
  <c r="J22" i="6" s="1"/>
  <c r="F23" i="6" l="1"/>
  <c r="J23" i="6" s="1"/>
  <c r="D16" i="6"/>
  <c r="F16" i="6" s="1"/>
  <c r="J16" i="6" s="1"/>
  <c r="J32" i="19" l="1"/>
  <c r="J33" i="19"/>
  <c r="F20" i="6" s="1"/>
  <c r="J20" i="6" s="1"/>
  <c r="F14" i="6" l="1"/>
  <c r="D13" i="6"/>
  <c r="J15" i="19"/>
  <c r="I37" i="6" l="1"/>
  <c r="F37" i="6"/>
  <c r="J37" i="6" l="1"/>
  <c r="I13" i="6"/>
  <c r="I39" i="6" s="1"/>
  <c r="J14" i="6" l="1"/>
  <c r="F13" i="6"/>
  <c r="J13" i="6" s="1"/>
  <c r="J6" i="6" l="1"/>
  <c r="J24" i="19" l="1"/>
  <c r="F17" i="6" s="1"/>
  <c r="J23" i="19"/>
  <c r="J46" i="19" l="1"/>
  <c r="C48" i="19" s="1"/>
  <c r="J17" i="6"/>
  <c r="F39" i="6"/>
  <c r="J39" i="6" l="1"/>
  <c r="C6" i="6"/>
  <c r="E50" i="19"/>
  <c r="E51" i="19" s="1"/>
  <c r="C51" i="19"/>
</calcChain>
</file>

<file path=xl/sharedStrings.xml><?xml version="1.0" encoding="utf-8"?>
<sst xmlns="http://schemas.openxmlformats.org/spreadsheetml/2006/main" count="158" uniqueCount="79">
  <si>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</si>
  <si>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</si>
  <si>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</si>
  <si>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</si>
  <si>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</si>
  <si>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</si>
  <si>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</si>
  <si>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</si>
  <si>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</si>
  <si>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</si>
  <si>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</si>
  <si>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</si>
  <si>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</si>
  <si>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</si>
  <si>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</si>
  <si>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</si>
  <si>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</si>
  <si>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</si>
  <si>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</si>
  <si>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</si>
  <si>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</si>
  <si>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</si>
  <si>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</si>
  <si>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</si>
  <si>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</si>
  <si>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</si>
  <si>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</si>
  <si>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</si>
  <si>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</si>
  <si>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</si>
  <si>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</si>
  <si>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</si>
  <si>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</si>
  <si>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</si>
  <si>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</si>
  <si>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</si>
  <si>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</si>
  <si>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</si>
  <si>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</si>
  <si>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</si>
  <si>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</si>
  <si>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</si>
  <si>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</si>
  <si>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</si>
  <si>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</si>
  <si>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</si>
  <si>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</si>
  <si>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</si>
  <si>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</si>
  <si>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</si>
  <si>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</si>
  <si>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</si>
  <si>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</si>
  <si>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</si>
  <si>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</si>
  <si>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</si>
  <si>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</si>
  <si>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</si>
  <si>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</si>
  <si>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</si>
  <si>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</si>
  <si>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</si>
  <si>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</si>
  <si>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</si>
  <si>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</si>
  <si>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</si>
  <si>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</si>
  <si>
    <t>Detail Valuated Sheet</t>
  </si>
  <si>
    <t>Date:2082/01/11</t>
  </si>
  <si>
    <t>-as of RCC quantity</t>
  </si>
  <si>
    <t>Area of scalene triangle</t>
  </si>
  <si>
    <t xml:space="preserve">F.Y:2081/82                </t>
  </si>
  <si>
    <t xml:space="preserve">Date:2082/01/12       </t>
  </si>
  <si>
    <t>-deduction for occupied area</t>
  </si>
  <si>
    <t xml:space="preserve">dfn;fdfg pknAw u/L %) dL=dL= df]6f] x]eL 8o"6L OG6/nls+u s+lqm6Ans %) dL=dL=df]6fOsf] qm;/ 8:6 dfyL /fvL la5ofpg]] sfd k'/f </t>
  </si>
  <si>
    <t>m2</t>
  </si>
  <si>
    <t>Area(m2)</t>
  </si>
  <si>
    <t xml:space="preserve">Project:- वडा कार्यालय अगाडी ढलान गरि ब्लक बिछ्याउने कार्य </t>
  </si>
  <si>
    <t>Date:2082/02/19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</si>
</sst>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1" fontId="6" fillId="0" borderId="1" xfId="0" applyNumberFormat="1" applyFont="1" applyFill="1" applyBorder="1" applyAlignment="1">
      <alignment horizontal="right" vertical="center" wrapText="1"/>
    </xf>
    <xf numFmtId="2" fontId="12" fillId="0" borderId="1" xfId="1" applyNumberFormat="1" applyFont="1" applyFill="1" applyBorder="1" applyAlignment="1">
      <alignment vertical="center" wrapText="1"/>
    </xf>
    <xf numFmtId="0" fontId="16"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7" fillId="3" borderId="1" xfId="0" quotePrefix="1" applyFont="1" applyFill="1" applyBorder="1" applyAlignment="1">
      <alignment wrapText="1"/>
    </xf>
    <xf numFmtId="2" fontId="13" fillId="0" borderId="1"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abSelected="1" zoomScaleNormal="100" workbookViewId="0">
      <selection activeCell="G9" sqref="G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4</v>
      </c>
      <c r="B5" s="78"/>
      <c r="C5" s="78"/>
      <c r="D5" s="78"/>
      <c r="E5" s="78"/>
      <c r="F5" s="78"/>
      <c r="G5" s="78"/>
      <c r="H5" s="78"/>
      <c r="I5" s="78"/>
      <c r="J5" s="78"/>
      <c r="K5" s="78"/>
    </row>
    <row r="6" spans="1:19" ht="15.6" x14ac:dyDescent="0.3">
      <c r="A6" s="73" t="s">
        <v>77</v>
      </c>
      <c r="B6" s="73"/>
      <c r="C6" s="73"/>
      <c r="D6" s="73"/>
      <c r="E6" s="73"/>
      <c r="F6" s="73"/>
      <c r="G6" s="2"/>
      <c r="H6" s="74" t="s">
        <v>43</v>
      </c>
      <c r="I6" s="74"/>
      <c r="J6" s="74"/>
      <c r="K6" s="74"/>
      <c r="O6" t="s">
        <v>48</v>
      </c>
    </row>
    <row r="7" spans="1:19" ht="15.6" x14ac:dyDescent="0.3">
      <c r="A7" s="80" t="s">
        <v>28</v>
      </c>
      <c r="B7" s="80"/>
      <c r="C7" s="80"/>
      <c r="D7" s="80"/>
      <c r="E7" s="80"/>
      <c r="F7" s="80"/>
      <c r="G7" s="3"/>
      <c r="H7" s="81" t="s">
        <v>78</v>
      </c>
      <c r="I7" s="81"/>
      <c r="J7" s="81"/>
      <c r="K7" s="8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19" ht="138" x14ac:dyDescent="0.3">
      <c r="A9" s="29">
        <v>1</v>
      </c>
      <c r="B9" s="30" t="s">
        <v>49</v>
      </c>
      <c r="C9" s="36"/>
      <c r="D9" s="36"/>
      <c r="E9" s="36"/>
      <c r="F9" s="36"/>
      <c r="G9" s="36"/>
      <c r="H9" s="36"/>
      <c r="I9" s="36"/>
      <c r="J9" s="36"/>
      <c r="K9" s="36"/>
      <c r="N9" t="s">
        <v>45</v>
      </c>
      <c r="O9" t="s">
        <v>46</v>
      </c>
    </row>
    <row r="10" spans="1:19" ht="15" customHeight="1" x14ac:dyDescent="0.3">
      <c r="A10" s="18"/>
      <c r="B10" s="37" t="str">
        <f>B27</f>
        <v>-For stone masonary</v>
      </c>
      <c r="C10" s="38">
        <v>0.15</v>
      </c>
      <c r="D10" s="38">
        <f>D27</f>
        <v>4.2</v>
      </c>
      <c r="E10" s="38">
        <f>E27</f>
        <v>2.7430661383724475</v>
      </c>
      <c r="F10" s="38">
        <f>F27</f>
        <v>5.0289545870161536</v>
      </c>
      <c r="G10" s="39">
        <f>(SQRT(((SUM(D10:F10))/2)*(((SUM(D10:F10))/2)-D10)*(((SUM(D10:F10))/2)-E10)*(((SUM(D10:F10))/2)-F10)))*C10</f>
        <v>0.86405292021268065</v>
      </c>
      <c r="H10" s="40"/>
      <c r="I10" s="40"/>
      <c r="J10" s="40"/>
      <c r="K10" s="21"/>
      <c r="M10" s="25"/>
      <c r="N10" s="1"/>
      <c r="O10" s="1"/>
      <c r="P10" s="1"/>
      <c r="Q10" s="1"/>
      <c r="R10" s="25"/>
      <c r="S10" s="25"/>
    </row>
    <row r="11" spans="1:19" ht="15" customHeight="1" x14ac:dyDescent="0.3">
      <c r="A11" s="18"/>
      <c r="B11" s="37"/>
      <c r="C11" s="38">
        <v>0.15</v>
      </c>
      <c r="D11" s="38">
        <f>D28</f>
        <v>5.0289545870161536</v>
      </c>
      <c r="E11" s="38">
        <f>E28</f>
        <v>2.2858884486437061</v>
      </c>
      <c r="F11" s="38">
        <f>F28</f>
        <v>4.7241694605303257</v>
      </c>
      <c r="G11" s="39">
        <f>(SQRT(((SUM(D11:F11))/2)*(((SUM(D11:F11))/2)-D11)*(((SUM(D11:F11))/2)-E11)*(((SUM(D11:F11))/2)-F11)))*C11</f>
        <v>0.80550184244579115</v>
      </c>
      <c r="H11" s="40"/>
      <c r="I11" s="40"/>
      <c r="J11" s="40"/>
      <c r="K11" s="21"/>
      <c r="M11" s="25"/>
      <c r="N11" s="1"/>
      <c r="O11" s="1"/>
      <c r="P11" s="1"/>
      <c r="Q11" s="1"/>
      <c r="R11" s="25"/>
      <c r="S11" s="25"/>
    </row>
    <row r="12" spans="1:19" ht="15" customHeight="1" x14ac:dyDescent="0.3">
      <c r="A12" s="18"/>
      <c r="B12" s="37" t="str">
        <f>B29</f>
        <v>-deduction for occupied area</v>
      </c>
      <c r="C12" s="47">
        <f>C29</f>
        <v>-1</v>
      </c>
      <c r="D12" s="38">
        <f>D29</f>
        <v>1.3207355481052523</v>
      </c>
      <c r="E12" s="38">
        <f>E29</f>
        <v>0.55877273189068366</v>
      </c>
      <c r="F12" s="38">
        <v>0.15</v>
      </c>
      <c r="G12" s="39">
        <f t="shared" ref="G12" si="0">PRODUCT(C12:F12)</f>
        <v>-0.11069865154798669</v>
      </c>
      <c r="H12" s="40"/>
      <c r="I12" s="40"/>
      <c r="J12" s="40"/>
      <c r="K12" s="21"/>
      <c r="M12" s="25"/>
      <c r="N12" s="1"/>
      <c r="O12" s="1"/>
      <c r="P12" s="1"/>
      <c r="Q12" s="1"/>
      <c r="R12" s="25"/>
      <c r="S12" s="25"/>
    </row>
    <row r="13" spans="1:19" ht="15" customHeight="1" x14ac:dyDescent="0.3">
      <c r="A13" s="18"/>
      <c r="B13" s="37"/>
      <c r="C13" s="47">
        <f t="shared" ref="C13:E13" si="1">C30</f>
        <v>-1</v>
      </c>
      <c r="D13" s="38">
        <f t="shared" si="1"/>
        <v>0.83</v>
      </c>
      <c r="E13" s="38">
        <f t="shared" si="1"/>
        <v>0.37</v>
      </c>
      <c r="F13" s="38">
        <v>0.15</v>
      </c>
      <c r="G13" s="39">
        <f t="shared" ref="G13:G14" si="2">PRODUCT(C13:F13)</f>
        <v>-4.6064999999999995E-2</v>
      </c>
      <c r="H13" s="40"/>
      <c r="I13" s="40"/>
      <c r="J13" s="40"/>
      <c r="K13" s="21"/>
      <c r="M13" s="25"/>
      <c r="N13" s="1"/>
      <c r="O13" s="1"/>
      <c r="P13" s="1"/>
      <c r="Q13" s="1"/>
      <c r="R13" s="25"/>
      <c r="S13" s="25"/>
    </row>
    <row r="14" spans="1:19" ht="15" customHeight="1" x14ac:dyDescent="0.3">
      <c r="A14" s="18"/>
      <c r="B14" s="37"/>
      <c r="C14" s="47">
        <f t="shared" ref="C14:E14" si="3">C31</f>
        <v>-1</v>
      </c>
      <c r="D14" s="38">
        <f t="shared" si="3"/>
        <v>0.99055166107893933</v>
      </c>
      <c r="E14" s="38">
        <f t="shared" si="3"/>
        <v>0.6095702529716549</v>
      </c>
      <c r="F14" s="38">
        <v>0.15</v>
      </c>
      <c r="G14" s="39">
        <f t="shared" si="2"/>
        <v>-9.057162399380729E-2</v>
      </c>
      <c r="H14" s="40"/>
      <c r="I14" s="40"/>
      <c r="J14" s="40"/>
      <c r="K14" s="21"/>
      <c r="M14" s="25"/>
      <c r="N14" s="1"/>
      <c r="O14" s="1"/>
      <c r="P14" s="1"/>
      <c r="Q14" s="1"/>
      <c r="R14" s="25"/>
      <c r="S14" s="25"/>
    </row>
    <row r="15" spans="1:19" ht="15" customHeight="1" x14ac:dyDescent="0.3">
      <c r="A15" s="18"/>
      <c r="B15" s="37" t="s">
        <v>40</v>
      </c>
      <c r="C15" s="19"/>
      <c r="D15" s="20"/>
      <c r="E15" s="21"/>
      <c r="F15" s="21"/>
      <c r="G15" s="23">
        <f>SUM(G10:G14)</f>
        <v>1.4222194871166778</v>
      </c>
      <c r="H15" s="22" t="s">
        <v>39</v>
      </c>
      <c r="I15" s="23">
        <v>736.88</v>
      </c>
      <c r="J15" s="41">
        <f>G15*I15</f>
        <v>1048.0050956665375</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21" ht="82.8" x14ac:dyDescent="0.3">
      <c r="A17" s="18">
        <v>2</v>
      </c>
      <c r="B17" s="30" t="s">
        <v>42</v>
      </c>
      <c r="C17" s="19"/>
      <c r="D17" s="20"/>
      <c r="E17" s="21"/>
      <c r="F17" s="21"/>
      <c r="G17" s="23"/>
      <c r="H17" s="22"/>
      <c r="I17" s="23"/>
      <c r="J17" s="41"/>
      <c r="K17" s="21"/>
      <c r="M17" s="25"/>
      <c r="N17" s="1"/>
      <c r="O17" s="72" t="s">
        <v>54</v>
      </c>
      <c r="P17" s="72"/>
      <c r="Q17" s="72"/>
      <c r="R17" s="72"/>
      <c r="S17" s="72"/>
      <c r="T17" s="72"/>
      <c r="U17" s="72"/>
    </row>
    <row r="18" spans="1:21" ht="15" customHeight="1" x14ac:dyDescent="0.3">
      <c r="A18" s="18"/>
      <c r="B18" s="37" t="s">
        <v>53</v>
      </c>
      <c r="C18" s="38">
        <v>0.15</v>
      </c>
      <c r="D18" s="38">
        <f>4.2</f>
        <v>4.2</v>
      </c>
      <c r="E18" s="38">
        <f>9/3.281</f>
        <v>2.7430661383724475</v>
      </c>
      <c r="F18" s="38">
        <f>16.5/3.281</f>
        <v>5.0289545870161536</v>
      </c>
      <c r="G18" s="39">
        <f>(SQRT(((SUM(D18:F18))/2)*(((SUM(D18:F18))/2)-D18)*(((SUM(D18:F18))/2)-E18)*(((SUM(D18:F18))/2)-F18)))*C18</f>
        <v>0.86405292021268065</v>
      </c>
      <c r="H18" s="40"/>
      <c r="I18" s="40"/>
      <c r="J18" s="40"/>
      <c r="K18" s="21"/>
      <c r="M18" s="25"/>
      <c r="N18" s="1"/>
      <c r="O18" s="1"/>
      <c r="P18" s="1"/>
      <c r="Q18" s="1"/>
      <c r="R18" s="25"/>
      <c r="S18" s="25"/>
    </row>
    <row r="19" spans="1:21" ht="15" customHeight="1" x14ac:dyDescent="0.3">
      <c r="A19" s="18"/>
      <c r="B19" s="37"/>
      <c r="C19" s="38">
        <v>0.15</v>
      </c>
      <c r="D19" s="38">
        <f>16.5/3.281</f>
        <v>5.0289545870161536</v>
      </c>
      <c r="E19" s="38">
        <f>7.5/3.281</f>
        <v>2.2858884486437061</v>
      </c>
      <c r="F19" s="38">
        <f>15.5/3.281</f>
        <v>4.7241694605303257</v>
      </c>
      <c r="G19" s="39">
        <f>(SQRT(((SUM(D19:F19))/2)*(((SUM(D19:F19))/2)-D19)*(((SUM(D19:F19))/2)-E19)*(((SUM(D19:F19))/2)-F19)))*C19</f>
        <v>0.80550184244579115</v>
      </c>
      <c r="H19" s="40"/>
      <c r="I19" s="40"/>
      <c r="J19" s="40"/>
      <c r="K19" s="21"/>
      <c r="M19" s="25"/>
      <c r="N19" s="1"/>
      <c r="O19" s="1"/>
      <c r="P19" s="1"/>
      <c r="Q19" s="1"/>
      <c r="R19" s="25"/>
      <c r="S19" s="25"/>
    </row>
    <row r="20" spans="1:21" ht="15" customHeight="1" x14ac:dyDescent="0.3">
      <c r="A20" s="18"/>
      <c r="B20" s="37" t="s">
        <v>73</v>
      </c>
      <c r="C20" s="47">
        <v>-1</v>
      </c>
      <c r="D20" s="38">
        <f>52/12/3.281</f>
        <v>1.3207355481052523</v>
      </c>
      <c r="E20" s="38">
        <f>22/12/3.281</f>
        <v>0.55877273189068366</v>
      </c>
      <c r="F20" s="38">
        <v>0.15</v>
      </c>
      <c r="G20" s="39">
        <f>PRODUCT(C20:F20)</f>
        <v>-0.11069865154798669</v>
      </c>
      <c r="H20" s="40"/>
      <c r="I20" s="40"/>
      <c r="J20" s="40"/>
      <c r="K20" s="21"/>
      <c r="M20" s="25"/>
      <c r="N20" s="1"/>
      <c r="O20" s="1"/>
      <c r="P20" s="1"/>
      <c r="Q20" s="1"/>
      <c r="R20" s="25"/>
      <c r="S20" s="25"/>
    </row>
    <row r="21" spans="1:21" ht="15" customHeight="1" x14ac:dyDescent="0.3">
      <c r="A21" s="18"/>
      <c r="B21" s="37"/>
      <c r="C21" s="47">
        <v>-1</v>
      </c>
      <c r="D21" s="38">
        <v>0.83</v>
      </c>
      <c r="E21" s="38">
        <v>0.37</v>
      </c>
      <c r="F21" s="38">
        <v>0.15</v>
      </c>
      <c r="G21" s="39">
        <f t="shared" ref="G21:G22" si="4">PRODUCT(C21:F21)</f>
        <v>-4.6064999999999995E-2</v>
      </c>
      <c r="H21" s="40"/>
      <c r="I21" s="40"/>
      <c r="J21" s="40"/>
      <c r="K21" s="21"/>
      <c r="M21" s="25"/>
      <c r="N21" s="1"/>
      <c r="O21" s="1"/>
      <c r="P21" s="1"/>
      <c r="Q21" s="1"/>
      <c r="R21" s="25"/>
      <c r="S21" s="25"/>
    </row>
    <row r="22" spans="1:21" ht="15" customHeight="1" x14ac:dyDescent="0.3">
      <c r="A22" s="18"/>
      <c r="B22" s="37"/>
      <c r="C22" s="47">
        <v>-1</v>
      </c>
      <c r="D22" s="38">
        <f>3.25/3.281</f>
        <v>0.99055166107893933</v>
      </c>
      <c r="E22" s="38">
        <f>2/3.281</f>
        <v>0.6095702529716549</v>
      </c>
      <c r="F22" s="38">
        <v>0.15</v>
      </c>
      <c r="G22" s="39">
        <f t="shared" si="4"/>
        <v>-9.057162399380729E-2</v>
      </c>
      <c r="H22" s="40"/>
      <c r="I22" s="40"/>
      <c r="J22" s="40"/>
      <c r="K22" s="21"/>
      <c r="M22" s="25"/>
      <c r="N22" s="1"/>
      <c r="O22" s="1"/>
      <c r="P22" s="1"/>
      <c r="Q22" s="1"/>
      <c r="R22" s="25"/>
      <c r="S22" s="25"/>
    </row>
    <row r="23" spans="1:21" ht="15" customHeight="1" x14ac:dyDescent="0.3">
      <c r="A23" s="40"/>
      <c r="B23" s="37" t="s">
        <v>40</v>
      </c>
      <c r="C23" s="42"/>
      <c r="D23" s="43"/>
      <c r="E23" s="43"/>
      <c r="F23" s="43"/>
      <c r="G23" s="33">
        <f>SUM(G18:G22)</f>
        <v>1.4222194871166778</v>
      </c>
      <c r="H23" s="33" t="s">
        <v>39</v>
      </c>
      <c r="I23" s="33">
        <v>4434.5200000000004</v>
      </c>
      <c r="J23" s="44">
        <f>G23*I23</f>
        <v>6306.8607600086507</v>
      </c>
      <c r="K23" s="36"/>
    </row>
    <row r="24" spans="1:21" x14ac:dyDescent="0.3">
      <c r="A24" s="40"/>
      <c r="B24" s="37" t="s">
        <v>38</v>
      </c>
      <c r="C24" s="42"/>
      <c r="D24" s="43"/>
      <c r="E24" s="43"/>
      <c r="F24" s="43"/>
      <c r="G24" s="43"/>
      <c r="H24" s="43"/>
      <c r="I24" s="43"/>
      <c r="J24" s="45">
        <f>0.13*G23*(14817.6/5)</f>
        <v>547.92086627980223</v>
      </c>
      <c r="K24" s="36"/>
    </row>
    <row r="25" spans="1:21" x14ac:dyDescent="0.3">
      <c r="A25" s="40"/>
      <c r="B25" s="37"/>
      <c r="C25" s="42"/>
      <c r="D25" s="43"/>
      <c r="E25" s="43"/>
      <c r="F25" s="43"/>
      <c r="G25" s="43"/>
      <c r="H25" s="43"/>
      <c r="I25" s="43"/>
      <c r="J25" s="45"/>
      <c r="K25" s="36"/>
    </row>
    <row r="26" spans="1:21" ht="69" x14ac:dyDescent="0.3">
      <c r="A26" s="18">
        <v>3</v>
      </c>
      <c r="B26" s="30" t="s">
        <v>41</v>
      </c>
      <c r="C26" s="19"/>
      <c r="D26" s="20"/>
      <c r="E26" s="21"/>
      <c r="F26" s="21"/>
      <c r="G26" s="23"/>
      <c r="H26" s="22"/>
      <c r="I26" s="23"/>
      <c r="J26" s="41"/>
      <c r="K26" s="5"/>
      <c r="M26" s="25"/>
      <c r="N26" s="1"/>
      <c r="O26" s="1"/>
      <c r="P26" s="1"/>
      <c r="Q26" s="1"/>
      <c r="R26" s="25"/>
      <c r="S26" s="25"/>
    </row>
    <row r="27" spans="1:21" ht="19.8" x14ac:dyDescent="0.3">
      <c r="A27" s="18"/>
      <c r="B27" s="37" t="str">
        <f>B18</f>
        <v>-For stone masonary</v>
      </c>
      <c r="C27" s="38">
        <v>0.05</v>
      </c>
      <c r="D27" s="38">
        <f>D18</f>
        <v>4.2</v>
      </c>
      <c r="E27" s="38">
        <f>E18</f>
        <v>2.7430661383724475</v>
      </c>
      <c r="F27" s="38">
        <f>F18</f>
        <v>5.0289545870161536</v>
      </c>
      <c r="G27" s="39">
        <f>(SQRT(((SUM(D27:F27))/2)*(((SUM(D27:F27))/2)-D27)*(((SUM(D27:F27))/2)-E27)*(((SUM(D27:F27))/2)-F27)))*C27</f>
        <v>0.28801764007089353</v>
      </c>
      <c r="H27" s="40"/>
      <c r="I27" s="40"/>
      <c r="J27" s="40"/>
      <c r="K27" s="96" t="s">
        <v>70</v>
      </c>
      <c r="M27" s="25"/>
      <c r="N27" s="1"/>
      <c r="O27" s="1"/>
      <c r="P27" s="1"/>
      <c r="Q27" s="1"/>
      <c r="R27" s="25"/>
      <c r="S27" s="25"/>
    </row>
    <row r="28" spans="1:21" ht="19.8" x14ac:dyDescent="0.3">
      <c r="A28" s="18"/>
      <c r="B28" s="37"/>
      <c r="C28" s="38">
        <v>0.05</v>
      </c>
      <c r="D28" s="38">
        <f>D19</f>
        <v>5.0289545870161536</v>
      </c>
      <c r="E28" s="38">
        <f>E19</f>
        <v>2.2858884486437061</v>
      </c>
      <c r="F28" s="38">
        <f>F19</f>
        <v>4.7241694605303257</v>
      </c>
      <c r="G28" s="39">
        <f>(SQRT(((SUM(D28:F28))/2)*(((SUM(D28:F28))/2)-D28)*(((SUM(D28:F28))/2)-E28)*(((SUM(D28:F28))/2)-F28)))*C28</f>
        <v>0.26850061414859705</v>
      </c>
      <c r="H28" s="40"/>
      <c r="I28" s="40"/>
      <c r="J28" s="40"/>
      <c r="K28" s="96"/>
      <c r="M28" s="25"/>
      <c r="N28" s="1"/>
      <c r="O28" s="1"/>
      <c r="P28" s="1"/>
      <c r="Q28" s="1"/>
      <c r="R28" s="25"/>
      <c r="S28" s="25"/>
    </row>
    <row r="29" spans="1:21" ht="15" customHeight="1" x14ac:dyDescent="0.3">
      <c r="A29" s="18"/>
      <c r="B29" s="37" t="str">
        <f>B20</f>
        <v>-deduction for occupied area</v>
      </c>
      <c r="C29" s="47">
        <f>C20</f>
        <v>-1</v>
      </c>
      <c r="D29" s="38">
        <f>D20</f>
        <v>1.3207355481052523</v>
      </c>
      <c r="E29" s="38">
        <f>E20</f>
        <v>0.55877273189068366</v>
      </c>
      <c r="F29" s="38">
        <v>0.05</v>
      </c>
      <c r="G29" s="39">
        <f t="shared" ref="G29" si="5">PRODUCT(C29:F29)</f>
        <v>-3.6899550515995569E-2</v>
      </c>
      <c r="H29" s="40"/>
      <c r="I29" s="40"/>
      <c r="J29" s="40"/>
      <c r="K29" s="21"/>
      <c r="M29" s="25"/>
      <c r="N29" s="1"/>
      <c r="O29" s="1"/>
      <c r="P29" s="1"/>
      <c r="Q29" s="1"/>
      <c r="R29" s="25"/>
      <c r="S29" s="25"/>
    </row>
    <row r="30" spans="1:21" ht="15" customHeight="1" x14ac:dyDescent="0.3">
      <c r="A30" s="18"/>
      <c r="B30" s="37"/>
      <c r="C30" s="47">
        <f t="shared" ref="C30:E30" si="6">C21</f>
        <v>-1</v>
      </c>
      <c r="D30" s="38">
        <f t="shared" si="6"/>
        <v>0.83</v>
      </c>
      <c r="E30" s="38">
        <f t="shared" si="6"/>
        <v>0.37</v>
      </c>
      <c r="F30" s="38">
        <v>0.05</v>
      </c>
      <c r="G30" s="39">
        <f t="shared" ref="G30:G31" si="7">PRODUCT(C30:F30)</f>
        <v>-1.5355000000000001E-2</v>
      </c>
      <c r="H30" s="40"/>
      <c r="I30" s="40"/>
      <c r="J30" s="40"/>
      <c r="K30" s="21"/>
      <c r="M30" s="25"/>
      <c r="N30" s="1"/>
      <c r="O30" s="1"/>
      <c r="P30" s="1"/>
      <c r="Q30" s="1"/>
      <c r="R30" s="25"/>
      <c r="S30" s="25"/>
    </row>
    <row r="31" spans="1:21" ht="15" customHeight="1" x14ac:dyDescent="0.3">
      <c r="A31" s="18"/>
      <c r="B31" s="37"/>
      <c r="C31" s="47">
        <f t="shared" ref="C31:E31" si="8">C22</f>
        <v>-1</v>
      </c>
      <c r="D31" s="38">
        <f t="shared" si="8"/>
        <v>0.99055166107893933</v>
      </c>
      <c r="E31" s="38">
        <f t="shared" si="8"/>
        <v>0.6095702529716549</v>
      </c>
      <c r="F31" s="38">
        <v>0.05</v>
      </c>
      <c r="G31" s="39">
        <f t="shared" si="7"/>
        <v>-3.01905413312691E-2</v>
      </c>
      <c r="H31" s="40"/>
      <c r="I31" s="40"/>
      <c r="J31" s="40"/>
      <c r="K31" s="21"/>
      <c r="M31" s="25"/>
      <c r="N31" s="1"/>
      <c r="O31" s="1"/>
      <c r="P31" s="1"/>
      <c r="Q31" s="1"/>
      <c r="R31" s="25"/>
      <c r="S31" s="25"/>
    </row>
    <row r="32" spans="1:21" ht="15" customHeight="1" x14ac:dyDescent="0.3">
      <c r="A32" s="40"/>
      <c r="B32" s="37" t="s">
        <v>40</v>
      </c>
      <c r="C32" s="42"/>
      <c r="D32" s="43"/>
      <c r="E32" s="43"/>
      <c r="F32" s="43"/>
      <c r="G32" s="33">
        <f>SUM(G27:G31)</f>
        <v>0.47407316237222596</v>
      </c>
      <c r="H32" s="33" t="s">
        <v>39</v>
      </c>
      <c r="I32" s="33">
        <v>10634.5</v>
      </c>
      <c r="J32" s="44">
        <f>G32*I32</f>
        <v>5041.5310452474369</v>
      </c>
      <c r="K32" s="36"/>
    </row>
    <row r="33" spans="1:19" ht="15" customHeight="1" x14ac:dyDescent="0.3">
      <c r="A33" s="40"/>
      <c r="B33" s="37" t="s">
        <v>38</v>
      </c>
      <c r="C33" s="42"/>
      <c r="D33" s="43"/>
      <c r="E33" s="43"/>
      <c r="F33" s="43"/>
      <c r="G33" s="43"/>
      <c r="H33" s="43"/>
      <c r="I33" s="43"/>
      <c r="J33" s="45">
        <f>0.13*G32*((114907.3+6135.3)/15)</f>
        <v>497.31975075255554</v>
      </c>
      <c r="K33" s="36"/>
    </row>
    <row r="34" spans="1:19" ht="15" customHeight="1" x14ac:dyDescent="0.3">
      <c r="A34" s="40"/>
      <c r="B34" s="37"/>
      <c r="C34" s="42"/>
      <c r="D34" s="43"/>
      <c r="E34" s="43"/>
      <c r="F34" s="43"/>
      <c r="G34" s="43"/>
      <c r="H34" s="43"/>
      <c r="I34" s="43"/>
      <c r="J34" s="45"/>
      <c r="K34" s="36"/>
    </row>
    <row r="35" spans="1:19" ht="60.6" customHeight="1" x14ac:dyDescent="0.3">
      <c r="A35" s="18">
        <v>4</v>
      </c>
      <c r="B35" s="95" t="s">
        <v>74</v>
      </c>
      <c r="C35" s="42"/>
      <c r="D35" s="43"/>
      <c r="E35" s="43"/>
      <c r="F35" s="43"/>
      <c r="G35" s="39" t="s">
        <v>76</v>
      </c>
      <c r="H35" s="43"/>
      <c r="I35" s="43"/>
      <c r="J35" s="45"/>
      <c r="K35" s="36"/>
    </row>
    <row r="36" spans="1:19" ht="15" customHeight="1" x14ac:dyDescent="0.3">
      <c r="A36" s="40"/>
      <c r="B36" s="37" t="str">
        <f>B27</f>
        <v>-For stone masonary</v>
      </c>
      <c r="C36" s="42">
        <v>1</v>
      </c>
      <c r="D36" s="43">
        <f>D27</f>
        <v>4.2</v>
      </c>
      <c r="E36" s="43">
        <f t="shared" ref="E36:F37" si="9">E27</f>
        <v>2.7430661383724475</v>
      </c>
      <c r="F36" s="43">
        <f t="shared" si="9"/>
        <v>5.0289545870161536</v>
      </c>
      <c r="G36" s="39">
        <f>(SQRT(((SUM(D36:F36))/2)*(((SUM(D36:F36))/2)-D36)*(((SUM(D36:F36))/2)-E36)*(((SUM(D36:F36))/2)-F36)))*C36</f>
        <v>5.7603528014178709</v>
      </c>
      <c r="H36" s="43"/>
      <c r="I36" s="43"/>
      <c r="J36" s="45"/>
      <c r="K36" s="36"/>
    </row>
    <row r="37" spans="1:19" ht="15" customHeight="1" x14ac:dyDescent="0.3">
      <c r="A37" s="40"/>
      <c r="B37" s="37"/>
      <c r="C37" s="42">
        <v>1</v>
      </c>
      <c r="D37" s="43">
        <f>D28</f>
        <v>5.0289545870161536</v>
      </c>
      <c r="E37" s="43">
        <f t="shared" si="9"/>
        <v>2.2858884486437061</v>
      </c>
      <c r="F37" s="43">
        <f t="shared" si="9"/>
        <v>4.7241694605303257</v>
      </c>
      <c r="G37" s="39">
        <f>(SQRT(((SUM(D37:F37))/2)*(((SUM(D37:F37))/2)-D37)*(((SUM(D37:F37))/2)-E37)*(((SUM(D37:F37))/2)-F37)))*C37</f>
        <v>5.370012282971941</v>
      </c>
      <c r="H37" s="43"/>
      <c r="I37" s="43"/>
      <c r="J37" s="45"/>
      <c r="K37" s="36"/>
    </row>
    <row r="38" spans="1:19" ht="15" customHeight="1" x14ac:dyDescent="0.3">
      <c r="A38" s="40"/>
      <c r="B38" s="37" t="str">
        <f>B29</f>
        <v>-deduction for occupied area</v>
      </c>
      <c r="C38" s="42">
        <f>C29</f>
        <v>-1</v>
      </c>
      <c r="D38" s="43">
        <f>D29</f>
        <v>1.3207355481052523</v>
      </c>
      <c r="E38" s="43">
        <f>E29</f>
        <v>0.55877273189068366</v>
      </c>
      <c r="F38" s="43"/>
      <c r="G38" s="39">
        <f t="shared" ref="G38" si="10">PRODUCT(C38:F38)</f>
        <v>-0.73799101031991132</v>
      </c>
      <c r="H38" s="43"/>
      <c r="I38" s="43"/>
      <c r="J38" s="45"/>
      <c r="K38" s="36"/>
    </row>
    <row r="39" spans="1:19" ht="15" customHeight="1" x14ac:dyDescent="0.3">
      <c r="A39" s="40"/>
      <c r="B39" s="37"/>
      <c r="C39" s="42">
        <f t="shared" ref="C39:E39" si="11">C30</f>
        <v>-1</v>
      </c>
      <c r="D39" s="43">
        <f t="shared" si="11"/>
        <v>0.83</v>
      </c>
      <c r="E39" s="43">
        <f t="shared" si="11"/>
        <v>0.37</v>
      </c>
      <c r="F39" s="43"/>
      <c r="G39" s="39">
        <f t="shared" ref="G39:G40" si="12">PRODUCT(C39:F39)</f>
        <v>-0.30709999999999998</v>
      </c>
      <c r="H39" s="43"/>
      <c r="I39" s="43"/>
      <c r="J39" s="45"/>
      <c r="K39" s="36"/>
    </row>
    <row r="40" spans="1:19" ht="15" customHeight="1" x14ac:dyDescent="0.3">
      <c r="A40" s="40"/>
      <c r="B40" s="37"/>
      <c r="C40" s="42">
        <f t="shared" ref="C40:E40" si="13">C31</f>
        <v>-1</v>
      </c>
      <c r="D40" s="43">
        <f t="shared" si="13"/>
        <v>0.99055166107893933</v>
      </c>
      <c r="E40" s="43">
        <f t="shared" si="13"/>
        <v>0.6095702529716549</v>
      </c>
      <c r="F40" s="43"/>
      <c r="G40" s="39">
        <f t="shared" si="12"/>
        <v>-0.60381082662538199</v>
      </c>
      <c r="H40" s="43"/>
      <c r="I40" s="43"/>
      <c r="J40" s="45"/>
      <c r="K40" s="36"/>
    </row>
    <row r="41" spans="1:19" ht="15" customHeight="1" x14ac:dyDescent="0.3">
      <c r="A41" s="40"/>
      <c r="B41" s="37" t="s">
        <v>40</v>
      </c>
      <c r="C41" s="42"/>
      <c r="D41" s="43"/>
      <c r="E41" s="43"/>
      <c r="F41" s="43"/>
      <c r="G41" s="33">
        <f>SUM(G36:G40)</f>
        <v>9.481463247444518</v>
      </c>
      <c r="H41" s="33" t="s">
        <v>75</v>
      </c>
      <c r="I41" s="33">
        <v>1737.28</v>
      </c>
      <c r="J41" s="44">
        <f>G41*I41</f>
        <v>16471.95647052041</v>
      </c>
      <c r="K41" s="36"/>
    </row>
    <row r="42" spans="1:19" ht="15" customHeight="1" x14ac:dyDescent="0.3">
      <c r="A42" s="40"/>
      <c r="B42" s="37" t="s">
        <v>38</v>
      </c>
      <c r="C42" s="42"/>
      <c r="D42" s="43"/>
      <c r="E42" s="43"/>
      <c r="F42" s="43"/>
      <c r="G42" s="43"/>
      <c r="H42" s="43"/>
      <c r="I42" s="43"/>
      <c r="J42" s="45">
        <f>0.13*G41*(6947.8/10)</f>
        <v>856.37903455773528</v>
      </c>
      <c r="K42" s="36"/>
    </row>
    <row r="43" spans="1:19" ht="15" customHeight="1" x14ac:dyDescent="0.3">
      <c r="A43" s="40"/>
      <c r="B43" s="37"/>
      <c r="C43" s="42"/>
      <c r="D43" s="43"/>
      <c r="E43" s="43"/>
      <c r="F43" s="43"/>
      <c r="G43" s="43"/>
      <c r="H43" s="43"/>
      <c r="I43" s="43"/>
      <c r="J43" s="45"/>
      <c r="K43" s="36"/>
    </row>
    <row r="44" spans="1:19" ht="15" customHeight="1" x14ac:dyDescent="0.3">
      <c r="A44" s="18">
        <v>5</v>
      </c>
      <c r="B44" s="30" t="s">
        <v>30</v>
      </c>
      <c r="C44" s="19">
        <v>1</v>
      </c>
      <c r="D44" s="20"/>
      <c r="E44" s="21"/>
      <c r="F44" s="21"/>
      <c r="G44" s="34">
        <f t="shared" ref="G44" si="14">PRODUCT(C44:F44)</f>
        <v>1</v>
      </c>
      <c r="H44" s="22" t="s">
        <v>31</v>
      </c>
      <c r="I44" s="23">
        <v>500</v>
      </c>
      <c r="J44" s="34">
        <f>G44*I44</f>
        <v>500</v>
      </c>
      <c r="K44" s="21"/>
      <c r="M44" s="25"/>
      <c r="N44" s="1"/>
      <c r="O44" s="1"/>
      <c r="P44" s="1"/>
      <c r="Q44" s="1"/>
      <c r="R44" s="25"/>
      <c r="S44" s="25"/>
    </row>
    <row r="45" spans="1:19" ht="15" customHeight="1" x14ac:dyDescent="0.3">
      <c r="A45" s="18"/>
      <c r="B45" s="24"/>
      <c r="C45" s="19"/>
      <c r="D45" s="20"/>
      <c r="E45" s="21"/>
      <c r="F45" s="21"/>
      <c r="G45" s="23"/>
      <c r="H45" s="22"/>
      <c r="I45" s="23"/>
      <c r="J45" s="41"/>
      <c r="K45" s="21"/>
      <c r="M45" s="25"/>
      <c r="N45" s="1">
        <f>2.4*3.281</f>
        <v>7.8743999999999996</v>
      </c>
      <c r="O45" s="1"/>
      <c r="P45" s="1"/>
      <c r="Q45" s="1"/>
      <c r="R45" s="25"/>
      <c r="S45" s="25"/>
    </row>
    <row r="46" spans="1:19" x14ac:dyDescent="0.3">
      <c r="A46" s="40"/>
      <c r="B46" s="46" t="s">
        <v>17</v>
      </c>
      <c r="C46" s="47"/>
      <c r="D46" s="38"/>
      <c r="E46" s="38"/>
      <c r="F46" s="38"/>
      <c r="G46" s="41"/>
      <c r="H46" s="41"/>
      <c r="I46" s="41"/>
      <c r="J46" s="41">
        <f>SUM(J10:J44)</f>
        <v>31269.973023033126</v>
      </c>
      <c r="K46" s="36"/>
    </row>
    <row r="47" spans="1:19" x14ac:dyDescent="0.3">
      <c r="A47" s="58"/>
      <c r="B47" s="61"/>
      <c r="C47" s="62"/>
      <c r="D47" s="59"/>
      <c r="E47" s="59"/>
      <c r="F47" s="59"/>
      <c r="G47" s="60"/>
      <c r="H47" s="60"/>
      <c r="I47" s="60"/>
      <c r="J47" s="60"/>
      <c r="K47" s="57"/>
    </row>
    <row r="48" spans="1:19" s="1" customFormat="1" x14ac:dyDescent="0.3">
      <c r="A48" s="50"/>
      <c r="B48" s="29" t="s">
        <v>27</v>
      </c>
      <c r="C48" s="79">
        <f>J46</f>
        <v>31269.973023033126</v>
      </c>
      <c r="D48" s="79"/>
      <c r="E48" s="39">
        <v>100</v>
      </c>
      <c r="F48" s="51"/>
      <c r="G48" s="52"/>
      <c r="H48" s="51"/>
      <c r="I48" s="53"/>
      <c r="J48" s="54"/>
      <c r="K48" s="55"/>
    </row>
    <row r="49" spans="1:11" x14ac:dyDescent="0.3">
      <c r="A49" s="56"/>
      <c r="B49" s="29" t="s">
        <v>32</v>
      </c>
      <c r="C49" s="82">
        <v>27500</v>
      </c>
      <c r="D49" s="82"/>
      <c r="E49" s="39"/>
      <c r="F49" s="49"/>
      <c r="G49" s="48"/>
      <c r="H49" s="48"/>
      <c r="I49" s="48"/>
      <c r="J49" s="48"/>
      <c r="K49" s="49"/>
    </row>
    <row r="50" spans="1:11" x14ac:dyDescent="0.3">
      <c r="A50" s="56"/>
      <c r="B50" s="29" t="s">
        <v>33</v>
      </c>
      <c r="C50" s="82">
        <f>C49-C52-C53</f>
        <v>26125</v>
      </c>
      <c r="D50" s="82"/>
      <c r="E50" s="39">
        <f>C50/C48*100</f>
        <v>83.546602297215301</v>
      </c>
      <c r="F50" s="49"/>
      <c r="G50" s="48"/>
      <c r="H50" s="48"/>
      <c r="I50" s="48"/>
      <c r="J50" s="48"/>
      <c r="K50" s="49"/>
    </row>
    <row r="51" spans="1:11" x14ac:dyDescent="0.3">
      <c r="A51" s="56"/>
      <c r="B51" s="29" t="s">
        <v>34</v>
      </c>
      <c r="C51" s="79">
        <f>C48-C50</f>
        <v>5144.9730230331261</v>
      </c>
      <c r="D51" s="79"/>
      <c r="E51" s="39">
        <f>100-E50</f>
        <v>16.453397702784699</v>
      </c>
      <c r="F51" s="49"/>
      <c r="G51" s="48"/>
      <c r="H51" s="48"/>
      <c r="I51" s="48"/>
      <c r="J51" s="48"/>
      <c r="K51" s="49"/>
    </row>
    <row r="52" spans="1:11" x14ac:dyDescent="0.3">
      <c r="A52" s="56"/>
      <c r="B52" s="29" t="s">
        <v>35</v>
      </c>
      <c r="C52" s="79">
        <f>C49*0.03</f>
        <v>825</v>
      </c>
      <c r="D52" s="79"/>
      <c r="E52" s="39">
        <v>3</v>
      </c>
      <c r="F52" s="49"/>
      <c r="G52" s="48"/>
      <c r="H52" s="48"/>
      <c r="I52" s="48"/>
      <c r="J52" s="48"/>
      <c r="K52" s="49"/>
    </row>
    <row r="53" spans="1:11" x14ac:dyDescent="0.3">
      <c r="A53" s="56"/>
      <c r="B53" s="29" t="s">
        <v>36</v>
      </c>
      <c r="C53" s="79">
        <f>C49*0.02</f>
        <v>550</v>
      </c>
      <c r="D53" s="79"/>
      <c r="E53" s="39">
        <v>2</v>
      </c>
      <c r="F53" s="49"/>
      <c r="G53" s="48"/>
      <c r="H53" s="48"/>
      <c r="I53" s="48"/>
      <c r="J53" s="48"/>
      <c r="K53" s="49"/>
    </row>
    <row r="54" spans="1:11" s="35" customFormat="1" x14ac:dyDescent="0.3">
      <c r="A54" s="57"/>
      <c r="B54" s="57"/>
      <c r="C54" s="57"/>
      <c r="D54" s="57"/>
      <c r="E54" s="57"/>
      <c r="F54" s="57"/>
      <c r="G54" s="57"/>
      <c r="H54" s="57"/>
      <c r="I54" s="57"/>
      <c r="J54" s="57"/>
      <c r="K54" s="57"/>
    </row>
    <row r="55" spans="1:11" s="35" customFormat="1" x14ac:dyDescent="0.3"/>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sheetData>
  <mergeCells count="17">
    <mergeCell ref="C52:D52"/>
    <mergeCell ref="C53:D53"/>
    <mergeCell ref="A7:F7"/>
    <mergeCell ref="H7:K7"/>
    <mergeCell ref="C48:D48"/>
    <mergeCell ref="C49:D49"/>
    <mergeCell ref="C50:D50"/>
    <mergeCell ref="C51:D51"/>
    <mergeCell ref="K27:K28"/>
    <mergeCell ref="O17:U17"/>
    <mergeCell ref="A6:F6"/>
    <mergeCell ref="H6:K6"/>
    <mergeCell ref="A1:K1"/>
    <mergeCell ref="A2:K2"/>
    <mergeCell ref="A3:K3"/>
    <mergeCell ref="A4:K4"/>
    <mergeCell ref="A5:K5"/>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4" zoomScaleNormal="100" workbookViewId="0">
      <selection activeCell="M13" sqref="M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8" x14ac:dyDescent="0.35">
      <c r="A5" s="87" t="s">
        <v>18</v>
      </c>
      <c r="B5" s="87"/>
      <c r="C5" s="87"/>
      <c r="D5" s="87"/>
      <c r="E5" s="87"/>
      <c r="F5" s="87"/>
      <c r="G5" s="87"/>
      <c r="H5" s="87"/>
      <c r="I5" s="87"/>
      <c r="J5" s="87"/>
      <c r="K5" s="87"/>
    </row>
    <row r="6" spans="1:11" ht="18" x14ac:dyDescent="0.35">
      <c r="A6" s="8" t="s">
        <v>19</v>
      </c>
      <c r="B6" s="8"/>
      <c r="C6" s="83" t="e">
        <f>F39</f>
        <v>#REF!</v>
      </c>
      <c r="D6" s="84"/>
      <c r="E6" s="9"/>
      <c r="F6" s="8"/>
      <c r="G6" s="8"/>
      <c r="H6" s="8" t="s">
        <v>20</v>
      </c>
      <c r="I6" s="8"/>
      <c r="J6" s="83" t="e">
        <f>I39</f>
        <v>#REF!</v>
      </c>
      <c r="K6" s="84"/>
    </row>
    <row r="7" spans="1:11" x14ac:dyDescent="0.3">
      <c r="A7" s="26" t="s">
        <v>29</v>
      </c>
      <c r="B7" s="10"/>
      <c r="C7" s="10"/>
      <c r="D7" s="10"/>
      <c r="F7" s="90"/>
      <c r="G7" s="90"/>
      <c r="I7" s="91" t="s">
        <v>37</v>
      </c>
      <c r="J7" s="91"/>
      <c r="K7" s="91"/>
    </row>
    <row r="8" spans="1:11" ht="15.6" x14ac:dyDescent="0.3">
      <c r="A8" s="73" t="str">
        <f>estimate!A6</f>
        <v xml:space="preserve">Project:- वडा कार्यालय अगाडी ढलान गरि ब्लक बिछ्याउने कार्य </v>
      </c>
      <c r="B8" s="73"/>
      <c r="C8" s="73"/>
      <c r="D8" s="73"/>
      <c r="E8" s="73"/>
      <c r="F8" s="73"/>
      <c r="I8" s="92" t="s">
        <v>71</v>
      </c>
      <c r="J8" s="92"/>
      <c r="K8" s="92"/>
    </row>
    <row r="9" spans="1:11" x14ac:dyDescent="0.3">
      <c r="A9" s="93" t="str">
        <f>estimate!A7</f>
        <v>Location:- Shankharapur Municipality 9</v>
      </c>
      <c r="B9" s="93"/>
      <c r="C9" s="93"/>
      <c r="D9" s="93"/>
      <c r="E9" s="93"/>
      <c r="F9" s="93"/>
      <c r="I9" s="92" t="s">
        <v>72</v>
      </c>
      <c r="J9" s="92"/>
      <c r="K9" s="92"/>
    </row>
    <row r="11" spans="1:11" x14ac:dyDescent="0.3">
      <c r="A11" s="88" t="s">
        <v>21</v>
      </c>
      <c r="B11" s="88" t="s">
        <v>22</v>
      </c>
      <c r="C11" s="88" t="s">
        <v>12</v>
      </c>
      <c r="D11" s="94" t="s">
        <v>23</v>
      </c>
      <c r="E11" s="94"/>
      <c r="F11" s="94"/>
      <c r="G11" s="94" t="s">
        <v>24</v>
      </c>
      <c r="H11" s="94"/>
      <c r="I11" s="94"/>
      <c r="J11" s="88" t="s">
        <v>25</v>
      </c>
      <c r="K11" s="89" t="s">
        <v>15</v>
      </c>
    </row>
    <row r="12" spans="1:11" x14ac:dyDescent="0.3">
      <c r="A12" s="88"/>
      <c r="B12" s="88"/>
      <c r="C12" s="88"/>
      <c r="D12" s="11" t="s">
        <v>26</v>
      </c>
      <c r="E12" s="11" t="s">
        <v>13</v>
      </c>
      <c r="F12" s="11" t="s">
        <v>14</v>
      </c>
      <c r="G12" s="11" t="s">
        <v>26</v>
      </c>
      <c r="H12" s="11" t="s">
        <v>13</v>
      </c>
      <c r="I12" s="11" t="s">
        <v>14</v>
      </c>
      <c r="J12" s="88"/>
      <c r="K12" s="89"/>
    </row>
    <row r="13" spans="1:11" s="1" customFormat="1" ht="148.19999999999999" customHeight="1" x14ac:dyDescent="0.3">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estimate!H15</f>
        <v>m3</v>
      </c>
      <c r="D13" s="12">
        <f>estimate!G15</f>
        <v>1.4222194871166778</v>
      </c>
      <c r="E13" s="12">
        <f>estimate!I15</f>
        <v>736.88</v>
      </c>
      <c r="F13" s="12">
        <f>D13*E13</f>
        <v>1048.0050956665375</v>
      </c>
      <c r="G13" s="12" t="e">
        <f>#REF!</f>
        <v>#REF!</v>
      </c>
      <c r="H13" s="12" t="e">
        <f>#REF!</f>
        <v>#REF!</v>
      </c>
      <c r="I13" s="12" t="e">
        <f>G13*H13</f>
        <v>#REF!</v>
      </c>
      <c r="J13" s="28" t="e">
        <f>I13-F13</f>
        <v>#REF!</v>
      </c>
      <c r="K13" s="14"/>
    </row>
    <row r="14" spans="1:11" s="1" customFormat="1" ht="15.6" x14ac:dyDescent="0.3">
      <c r="A14" s="27"/>
      <c r="B14" s="70" t="e">
        <f>estimate!#REF!</f>
        <v>#REF!</v>
      </c>
      <c r="C14" s="12"/>
      <c r="D14" s="12"/>
      <c r="E14" s="12"/>
      <c r="F14" s="12" t="e">
        <f>estimate!#REF!</f>
        <v>#REF!</v>
      </c>
      <c r="G14" s="12"/>
      <c r="H14" s="12"/>
      <c r="I14" s="12" t="e">
        <f>#REF!</f>
        <v>#REF!</v>
      </c>
      <c r="J14" s="28" t="e">
        <f>I14-F14</f>
        <v>#REF!</v>
      </c>
      <c r="K14" s="14"/>
    </row>
    <row r="15" spans="1:11" s="1" customFormat="1" x14ac:dyDescent="0.3">
      <c r="A15" s="29"/>
      <c r="B15" s="29"/>
      <c r="C15" s="12"/>
      <c r="D15" s="12"/>
      <c r="E15" s="12"/>
      <c r="F15" s="12"/>
      <c r="G15" s="12"/>
      <c r="H15" s="12"/>
      <c r="I15" s="12"/>
      <c r="J15" s="28"/>
      <c r="K15" s="14"/>
    </row>
    <row r="16" spans="1:11" s="1" customFormat="1" ht="78" x14ac:dyDescent="0.3">
      <c r="A16" s="27">
        <f>estimate!A17</f>
        <v>2</v>
      </c>
      <c r="B16" s="32" t="str">
        <f>estimate!B17</f>
        <v>Providing and laying of hand pack Stone soling with 150 to 200 mm thick stones and packing with smaller stone on prepared surface as per Drawing and Technical Specifications.</v>
      </c>
      <c r="C16" s="12" t="str">
        <f>estimate!H23</f>
        <v>m3</v>
      </c>
      <c r="D16" s="12">
        <f>estimate!G23</f>
        <v>1.4222194871166778</v>
      </c>
      <c r="E16" s="12">
        <f>estimate!I23</f>
        <v>4434.5200000000004</v>
      </c>
      <c r="F16" s="12">
        <f>D16*E16</f>
        <v>6306.8607600086507</v>
      </c>
      <c r="G16" s="12" t="e">
        <f>#REF!</f>
        <v>#REF!</v>
      </c>
      <c r="H16" s="12" t="e">
        <f>#REF!</f>
        <v>#REF!</v>
      </c>
      <c r="I16" s="12" t="e">
        <f>G16*H16</f>
        <v>#REF!</v>
      </c>
      <c r="J16" s="28" t="e">
        <f>I16-F16</f>
        <v>#REF!</v>
      </c>
      <c r="K16" s="14"/>
    </row>
    <row r="17" spans="1:11" s="1" customFormat="1" ht="15.6" x14ac:dyDescent="0.3">
      <c r="A17" s="27"/>
      <c r="B17" s="70" t="str">
        <f>estimate!B24</f>
        <v>VAT calculation</v>
      </c>
      <c r="C17" s="12"/>
      <c r="D17" s="12"/>
      <c r="E17" s="12"/>
      <c r="F17" s="12">
        <f>estimate!J24</f>
        <v>547.92086627980223</v>
      </c>
      <c r="G17" s="12"/>
      <c r="H17" s="12"/>
      <c r="I17" s="12" t="e">
        <f>#REF!</f>
        <v>#REF!</v>
      </c>
      <c r="J17" s="28" t="e">
        <f>I17-F17</f>
        <v>#REF!</v>
      </c>
      <c r="K17" s="14"/>
    </row>
    <row r="18" spans="1:11" s="1" customFormat="1" x14ac:dyDescent="0.3">
      <c r="A18" s="29"/>
      <c r="B18" s="29"/>
      <c r="C18" s="12"/>
      <c r="D18" s="12"/>
      <c r="E18" s="12"/>
      <c r="F18" s="12"/>
      <c r="G18" s="12"/>
      <c r="H18" s="12"/>
      <c r="I18" s="12"/>
      <c r="J18" s="28"/>
      <c r="K18" s="14"/>
    </row>
    <row r="19" spans="1:11" s="1" customFormat="1" ht="78" x14ac:dyDescent="0.3">
      <c r="A19" s="27">
        <f>estimate!A26</f>
        <v>3</v>
      </c>
      <c r="B19" s="32" t="str">
        <f>estimate!B26</f>
        <v>Providing and laying of Plain/Reinforced Cement Concrete in Foundation complete as per Drawing and Technical Specifications, PCC Grade M 15</v>
      </c>
      <c r="C19" s="12" t="str">
        <f>estimate!H32</f>
        <v>m3</v>
      </c>
      <c r="D19" s="12">
        <f>estimate!G32</f>
        <v>0.47407316237222596</v>
      </c>
      <c r="E19" s="12">
        <f>estimate!I32</f>
        <v>10634.5</v>
      </c>
      <c r="F19" s="12">
        <f>D19*E19</f>
        <v>5041.5310452474369</v>
      </c>
      <c r="G19" s="12" t="e">
        <f>#REF!</f>
        <v>#REF!</v>
      </c>
      <c r="H19" s="12" t="e">
        <f>#REF!</f>
        <v>#REF!</v>
      </c>
      <c r="I19" s="12" t="e">
        <f>G19*H19</f>
        <v>#REF!</v>
      </c>
      <c r="J19" s="28" t="e">
        <f>I19-F19</f>
        <v>#REF!</v>
      </c>
      <c r="K19" s="14"/>
    </row>
    <row r="20" spans="1:11" s="1" customFormat="1" ht="15.6" x14ac:dyDescent="0.3">
      <c r="A20" s="27"/>
      <c r="B20" s="32" t="str">
        <f>estimate!B33</f>
        <v>VAT calculation</v>
      </c>
      <c r="C20" s="12"/>
      <c r="D20" s="12"/>
      <c r="E20" s="12"/>
      <c r="F20" s="12">
        <f>estimate!J33</f>
        <v>497.31975075255554</v>
      </c>
      <c r="G20" s="12"/>
      <c r="H20" s="12"/>
      <c r="I20" s="12" t="e">
        <f>#REF!</f>
        <v>#REF!</v>
      </c>
      <c r="J20" s="28" t="e">
        <f>I20-F20</f>
        <v>#REF!</v>
      </c>
      <c r="K20" s="14"/>
    </row>
    <row r="21" spans="1:11" s="1" customFormat="1" x14ac:dyDescent="0.3">
      <c r="A21" s="29"/>
      <c r="B21" s="29"/>
      <c r="C21" s="12"/>
      <c r="D21" s="12"/>
      <c r="E21" s="12"/>
      <c r="F21" s="12"/>
      <c r="G21" s="12"/>
      <c r="H21" s="12"/>
      <c r="I21" s="12"/>
      <c r="J21" s="28"/>
      <c r="K21" s="14"/>
    </row>
    <row r="22" spans="1:11" s="1" customFormat="1" ht="78" x14ac:dyDescent="0.3">
      <c r="A22" s="27" t="e">
        <f>estimate!#REF!</f>
        <v>#REF!</v>
      </c>
      <c r="B22" s="32" t="e">
        <f>estimate!#REF!</f>
        <v>#REF!</v>
      </c>
      <c r="C22" s="12" t="e">
        <f>estimate!#REF!</f>
        <v>#REF!</v>
      </c>
      <c r="D22" s="12" t="e">
        <f>estimate!#REF!</f>
        <v>#REF!</v>
      </c>
      <c r="E22" s="12" t="e">
        <f>estimate!#REF!</f>
        <v>#REF!</v>
      </c>
      <c r="F22" s="12" t="e">
        <f>D22*E22</f>
        <v>#REF!</v>
      </c>
      <c r="G22" s="12" t="e">
        <f>#REF!</f>
        <v>#REF!</v>
      </c>
      <c r="H22" s="12" t="e">
        <f>#REF!</f>
        <v>#REF!</v>
      </c>
      <c r="I22" s="12" t="e">
        <f>G22*H22</f>
        <v>#REF!</v>
      </c>
      <c r="J22" s="28" t="e">
        <f>I22-F22</f>
        <v>#REF!</v>
      </c>
      <c r="K22" s="14"/>
    </row>
    <row r="23" spans="1:11" s="1" customFormat="1" ht="15.6" x14ac:dyDescent="0.3">
      <c r="A23" s="27"/>
      <c r="B23" s="32" t="e">
        <f>estimate!#REF!</f>
        <v>#REF!</v>
      </c>
      <c r="C23" s="12"/>
      <c r="D23" s="12"/>
      <c r="E23" s="12"/>
      <c r="F23" s="12" t="e">
        <f>estimate!#REF!</f>
        <v>#REF!</v>
      </c>
      <c r="G23" s="12"/>
      <c r="H23" s="12"/>
      <c r="I23" s="12" t="e">
        <f>#REF!</f>
        <v>#REF!</v>
      </c>
      <c r="J23" s="28" t="e">
        <f>I23-F23</f>
        <v>#REF!</v>
      </c>
      <c r="K23" s="14"/>
    </row>
    <row r="24" spans="1:11" s="1" customFormat="1" x14ac:dyDescent="0.3">
      <c r="A24" s="29"/>
      <c r="B24" s="29"/>
      <c r="C24" s="12"/>
      <c r="D24" s="12"/>
      <c r="E24" s="12"/>
      <c r="F24" s="12"/>
      <c r="G24" s="12"/>
      <c r="H24" s="12"/>
      <c r="I24" s="12"/>
      <c r="J24" s="28"/>
      <c r="K24" s="14"/>
    </row>
    <row r="25" spans="1:11" s="1" customFormat="1" ht="62.4" x14ac:dyDescent="0.3">
      <c r="A25" s="27" t="e">
        <f>estimate!#REF!</f>
        <v>#REF!</v>
      </c>
      <c r="B25" s="32" t="e">
        <f>estimate!#REF!</f>
        <v>#REF!</v>
      </c>
      <c r="C25" s="12" t="e">
        <f>estimate!#REF!</f>
        <v>#REF!</v>
      </c>
      <c r="D25" s="12" t="e">
        <f>estimate!#REF!</f>
        <v>#REF!</v>
      </c>
      <c r="E25" s="12" t="e">
        <f>estimate!#REF!</f>
        <v>#REF!</v>
      </c>
      <c r="F25" s="12" t="e">
        <f>D25*E25</f>
        <v>#REF!</v>
      </c>
      <c r="G25" s="12" t="e">
        <f>#REF!</f>
        <v>#REF!</v>
      </c>
      <c r="H25" s="12" t="e">
        <f>#REF!</f>
        <v>#REF!</v>
      </c>
      <c r="I25" s="12" t="e">
        <f>G25*H25</f>
        <v>#REF!</v>
      </c>
      <c r="J25" s="28" t="e">
        <f>I25-F25</f>
        <v>#REF!</v>
      </c>
      <c r="K25" s="14"/>
    </row>
    <row r="26" spans="1:11" s="1" customFormat="1" ht="15.6" x14ac:dyDescent="0.3">
      <c r="A26" s="27"/>
      <c r="B26" s="32" t="e">
        <f>estimate!#REF!</f>
        <v>#REF!</v>
      </c>
      <c r="C26" s="12"/>
      <c r="D26" s="12"/>
      <c r="E26" s="12"/>
      <c r="F26" s="12" t="e">
        <f>estimate!#REF!</f>
        <v>#REF!</v>
      </c>
      <c r="G26" s="12"/>
      <c r="H26" s="12"/>
      <c r="I26" s="12" t="e">
        <f>#REF!</f>
        <v>#REF!</v>
      </c>
      <c r="J26" s="28" t="e">
        <f>I26-F26</f>
        <v>#REF!</v>
      </c>
      <c r="K26" s="14"/>
    </row>
    <row r="27" spans="1:11" s="1" customFormat="1" x14ac:dyDescent="0.3">
      <c r="A27" s="29"/>
      <c r="B27" s="29"/>
      <c r="C27" s="12"/>
      <c r="D27" s="12"/>
      <c r="E27" s="12"/>
      <c r="F27" s="12"/>
      <c r="G27" s="12"/>
      <c r="H27" s="12"/>
      <c r="I27" s="12"/>
      <c r="J27" s="28"/>
      <c r="K27" s="14"/>
    </row>
    <row r="28" spans="1:11" s="1" customFormat="1" ht="78" x14ac:dyDescent="0.3">
      <c r="A28" s="27" t="e">
        <f>estimate!#REF!</f>
        <v>#REF!</v>
      </c>
      <c r="B28" s="32" t="e">
        <f>estimate!#REF!</f>
        <v>#REF!</v>
      </c>
      <c r="C28" s="12" t="e">
        <f>estimate!#REF!</f>
        <v>#REF!</v>
      </c>
      <c r="D28" s="12" t="e">
        <f>estimate!#REF!</f>
        <v>#REF!</v>
      </c>
      <c r="E28" s="12" t="e">
        <f>estimate!#REF!</f>
        <v>#REF!</v>
      </c>
      <c r="F28" s="12" t="e">
        <f>D28*E28</f>
        <v>#REF!</v>
      </c>
      <c r="G28" s="12" t="e">
        <f>#REF!</f>
        <v>#REF!</v>
      </c>
      <c r="H28" s="12" t="e">
        <f>#REF!</f>
        <v>#REF!</v>
      </c>
      <c r="I28" s="12" t="e">
        <f>G28*H28</f>
        <v>#REF!</v>
      </c>
      <c r="J28" s="28" t="e">
        <f>I28-F28</f>
        <v>#REF!</v>
      </c>
      <c r="K28" s="14"/>
    </row>
    <row r="29" spans="1:11" s="1" customFormat="1" ht="15.6" x14ac:dyDescent="0.3">
      <c r="A29" s="27"/>
      <c r="B29" s="32" t="e">
        <f>estimate!#REF!</f>
        <v>#REF!</v>
      </c>
      <c r="C29" s="12"/>
      <c r="D29" s="12"/>
      <c r="E29" s="12"/>
      <c r="F29" s="12" t="e">
        <f>estimate!#REF!</f>
        <v>#REF!</v>
      </c>
      <c r="G29" s="12"/>
      <c r="H29" s="12"/>
      <c r="I29" s="12" t="e">
        <f>#REF!</f>
        <v>#REF!</v>
      </c>
      <c r="J29" s="28" t="e">
        <f>I29-F29</f>
        <v>#REF!</v>
      </c>
      <c r="K29" s="14"/>
    </row>
    <row r="30" spans="1:11" s="1" customFormat="1" ht="15.6" x14ac:dyDescent="0.3">
      <c r="A30" s="27"/>
      <c r="B30" s="32"/>
      <c r="C30" s="12"/>
      <c r="D30" s="12"/>
      <c r="E30" s="12"/>
      <c r="F30" s="12"/>
      <c r="G30" s="12"/>
      <c r="H30" s="12"/>
      <c r="I30" s="12"/>
      <c r="J30" s="28"/>
      <c r="K30" s="14"/>
    </row>
    <row r="31" spans="1:11" s="1" customFormat="1" ht="202.8" x14ac:dyDescent="0.3">
      <c r="A31" s="27" t="e">
        <f>estimate!#REF!</f>
        <v>#REF!</v>
      </c>
      <c r="B31" s="32" t="e">
        <f>estimate!#REF!</f>
        <v>#REF!</v>
      </c>
      <c r="C31" s="12" t="e">
        <f>estimate!#REF!</f>
        <v>#REF!</v>
      </c>
      <c r="D31" s="12" t="e">
        <f>estimate!#REF!</f>
        <v>#REF!</v>
      </c>
      <c r="E31" s="12" t="e">
        <f>estimate!#REF!</f>
        <v>#REF!</v>
      </c>
      <c r="F31" s="12" t="e">
        <f>D31*E31</f>
        <v>#REF!</v>
      </c>
      <c r="G31" s="12" t="e">
        <f>#REF!</f>
        <v>#REF!</v>
      </c>
      <c r="H31" s="12" t="e">
        <f>#REF!</f>
        <v>#REF!</v>
      </c>
      <c r="I31" s="12" t="e">
        <f>G31*H31</f>
        <v>#REF!</v>
      </c>
      <c r="J31" s="28" t="e">
        <f>I31-F31</f>
        <v>#REF!</v>
      </c>
      <c r="K31" s="14"/>
    </row>
    <row r="32" spans="1:11" s="1" customFormat="1" ht="15.6" x14ac:dyDescent="0.3">
      <c r="A32" s="27"/>
      <c r="B32" s="32" t="e">
        <f>estimate!#REF!</f>
        <v>#REF!</v>
      </c>
      <c r="C32" s="12"/>
      <c r="D32" s="12"/>
      <c r="E32" s="12"/>
      <c r="F32" s="12" t="e">
        <f>estimate!#REF!</f>
        <v>#REF!</v>
      </c>
      <c r="G32" s="12"/>
      <c r="H32" s="12"/>
      <c r="I32" s="12" t="e">
        <f>#REF!</f>
        <v>#REF!</v>
      </c>
      <c r="J32" s="28" t="e">
        <f>I32-F32</f>
        <v>#REF!</v>
      </c>
      <c r="K32" s="14"/>
    </row>
    <row r="33" spans="1:11" s="1" customFormat="1" ht="15.6" x14ac:dyDescent="0.3">
      <c r="A33" s="27"/>
      <c r="B33" s="32"/>
      <c r="C33" s="12"/>
      <c r="D33" s="12"/>
      <c r="E33" s="12"/>
      <c r="F33" s="12"/>
      <c r="G33" s="12"/>
      <c r="H33" s="12"/>
      <c r="I33" s="12"/>
      <c r="J33" s="28"/>
      <c r="K33" s="14"/>
    </row>
    <row r="34" spans="1:11" s="1" customFormat="1" ht="93.6" x14ac:dyDescent="0.3">
      <c r="A34" s="27" t="e">
        <f>estimate!#REF!</f>
        <v>#REF!</v>
      </c>
      <c r="B34" s="32" t="e">
        <f>estimate!#REF!</f>
        <v>#REF!</v>
      </c>
      <c r="C34" s="12" t="e">
        <f>estimate!#REF!</f>
        <v>#REF!</v>
      </c>
      <c r="D34" s="12" t="e">
        <f>estimate!#REF!</f>
        <v>#REF!</v>
      </c>
      <c r="E34" s="12" t="e">
        <f>estimate!#REF!</f>
        <v>#REF!</v>
      </c>
      <c r="F34" s="12" t="e">
        <f>D34*E34</f>
        <v>#REF!</v>
      </c>
      <c r="G34" s="12" t="e">
        <f>#REF!</f>
        <v>#REF!</v>
      </c>
      <c r="H34" s="12" t="e">
        <f>#REF!</f>
        <v>#REF!</v>
      </c>
      <c r="I34" s="12" t="e">
        <f>G34*H34</f>
        <v>#REF!</v>
      </c>
      <c r="J34" s="28" t="e">
        <f>I34-F34</f>
        <v>#REF!</v>
      </c>
      <c r="K34" s="14"/>
    </row>
    <row r="35" spans="1:11" s="1" customFormat="1" ht="15.6" x14ac:dyDescent="0.3">
      <c r="A35" s="27"/>
      <c r="B35" s="32" t="e">
        <f>estimate!#REF!</f>
        <v>#REF!</v>
      </c>
      <c r="C35" s="12"/>
      <c r="D35" s="12"/>
      <c r="E35" s="12"/>
      <c r="F35" s="12" t="e">
        <f>estimate!#REF!</f>
        <v>#REF!</v>
      </c>
      <c r="G35" s="12"/>
      <c r="H35" s="12"/>
      <c r="I35" s="12" t="e">
        <f>#REF!</f>
        <v>#REF!</v>
      </c>
      <c r="J35" s="28" t="e">
        <f>I35-F35</f>
        <v>#REF!</v>
      </c>
      <c r="K35" s="14"/>
    </row>
    <row r="36" spans="1:11" s="1" customFormat="1" ht="15.6" x14ac:dyDescent="0.3">
      <c r="A36" s="27"/>
      <c r="B36" s="32"/>
      <c r="C36" s="12"/>
      <c r="D36" s="12"/>
      <c r="E36" s="12"/>
      <c r="F36" s="12"/>
      <c r="G36" s="12"/>
      <c r="H36" s="12"/>
      <c r="I36" s="12"/>
      <c r="J36" s="28"/>
      <c r="K36" s="14"/>
    </row>
    <row r="37" spans="1:11" s="1" customFormat="1" x14ac:dyDescent="0.3">
      <c r="A37" s="27">
        <f>estimate!A44</f>
        <v>5</v>
      </c>
      <c r="B37" s="31" t="str">
        <f>estimate!B44</f>
        <v>Information board (सुचना पाटि)</v>
      </c>
      <c r="C37" s="12" t="str">
        <f>estimate!H44</f>
        <v>no.</v>
      </c>
      <c r="D37" s="12">
        <f>estimate!G44</f>
        <v>1</v>
      </c>
      <c r="E37" s="12">
        <f>estimate!I44</f>
        <v>500</v>
      </c>
      <c r="F37" s="12">
        <f>D37*E37</f>
        <v>500</v>
      </c>
      <c r="G37" s="12" t="e">
        <f>#REF!</f>
        <v>#REF!</v>
      </c>
      <c r="H37" s="12" t="e">
        <f>#REF!</f>
        <v>#REF!</v>
      </c>
      <c r="I37" s="12" t="e">
        <f>G37*H37</f>
        <v>#REF!</v>
      </c>
      <c r="J37" s="28" t="e">
        <f>I37-F37</f>
        <v>#REF!</v>
      </c>
      <c r="K37" s="14"/>
    </row>
    <row r="38" spans="1:11" s="1" customFormat="1" x14ac:dyDescent="0.3">
      <c r="A38" s="29"/>
      <c r="B38" s="29"/>
      <c r="C38" s="12"/>
      <c r="D38" s="12"/>
      <c r="E38" s="12"/>
      <c r="F38" s="12"/>
      <c r="G38" s="12"/>
      <c r="H38" s="12"/>
      <c r="I38" s="12"/>
      <c r="J38" s="28"/>
      <c r="K38" s="14"/>
    </row>
    <row r="39" spans="1:11" x14ac:dyDescent="0.3">
      <c r="A39" s="5"/>
      <c r="B39" s="6" t="s">
        <v>16</v>
      </c>
      <c r="C39" s="6"/>
      <c r="D39" s="7"/>
      <c r="E39" s="7"/>
      <c r="F39" s="7" t="e">
        <f>SUM(F13:F37)</f>
        <v>#REF!</v>
      </c>
      <c r="G39" s="7"/>
      <c r="H39" s="7"/>
      <c r="I39" s="7" t="e">
        <f>SUM(I13:I37)</f>
        <v>#REF!</v>
      </c>
      <c r="J39" s="13" t="e">
        <f>I39-F39</f>
        <v>#REF!</v>
      </c>
      <c r="K3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A41" zoomScaleNormal="100" workbookViewId="0">
      <selection activeCell="G45" sqref="G45"/>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5" t="s">
        <v>0</v>
      </c>
      <c r="B1" s="75"/>
      <c r="C1" s="75"/>
      <c r="D1" s="75"/>
      <c r="E1" s="75"/>
      <c r="F1" s="75"/>
      <c r="G1" s="75"/>
      <c r="H1" s="75"/>
      <c r="I1" s="75"/>
      <c r="J1" s="75"/>
      <c r="K1" s="75"/>
    </row>
    <row r="2" spans="1:21" s="1" customFormat="1" ht="22.8" x14ac:dyDescent="0.3">
      <c r="A2" s="76" t="s">
        <v>1</v>
      </c>
      <c r="B2" s="76"/>
      <c r="C2" s="76"/>
      <c r="D2" s="76"/>
      <c r="E2" s="76"/>
      <c r="F2" s="76"/>
      <c r="G2" s="76"/>
      <c r="H2" s="76"/>
      <c r="I2" s="76"/>
      <c r="J2" s="76"/>
      <c r="K2" s="76"/>
    </row>
    <row r="3" spans="1:21" s="1" customFormat="1" x14ac:dyDescent="0.3">
      <c r="A3" s="77" t="s">
        <v>2</v>
      </c>
      <c r="B3" s="77"/>
      <c r="C3" s="77"/>
      <c r="D3" s="77"/>
      <c r="E3" s="77"/>
      <c r="F3" s="77"/>
      <c r="G3" s="77"/>
      <c r="H3" s="77"/>
      <c r="I3" s="77"/>
      <c r="J3" s="77"/>
      <c r="K3" s="77"/>
    </row>
    <row r="4" spans="1:21" s="1" customFormat="1" x14ac:dyDescent="0.3">
      <c r="A4" s="77" t="s">
        <v>3</v>
      </c>
      <c r="B4" s="77"/>
      <c r="C4" s="77"/>
      <c r="D4" s="77"/>
      <c r="E4" s="77"/>
      <c r="F4" s="77"/>
      <c r="G4" s="77"/>
      <c r="H4" s="77"/>
      <c r="I4" s="77"/>
      <c r="J4" s="77"/>
      <c r="K4" s="77"/>
    </row>
    <row r="5" spans="1:21" ht="17.399999999999999" x14ac:dyDescent="0.3">
      <c r="A5" s="78" t="s">
        <v>67</v>
      </c>
      <c r="B5" s="78"/>
      <c r="C5" s="78"/>
      <c r="D5" s="78"/>
      <c r="E5" s="78"/>
      <c r="F5" s="78"/>
      <c r="G5" s="78"/>
      <c r="H5" s="78"/>
      <c r="I5" s="78"/>
      <c r="J5" s="78"/>
      <c r="K5" s="78"/>
    </row>
    <row r="6" spans="1:21" ht="15.6" x14ac:dyDescent="0.3">
      <c r="A6" s="73" t="s">
        <v>66</v>
      </c>
      <c r="B6" s="73"/>
      <c r="C6" s="73"/>
      <c r="D6" s="73"/>
      <c r="E6" s="73"/>
      <c r="F6" s="73"/>
      <c r="G6" s="2"/>
      <c r="H6" s="74" t="s">
        <v>43</v>
      </c>
      <c r="I6" s="74"/>
      <c r="J6" s="74"/>
      <c r="K6" s="74"/>
      <c r="O6" t="s">
        <v>48</v>
      </c>
    </row>
    <row r="7" spans="1:21" ht="15.6" x14ac:dyDescent="0.3">
      <c r="A7" s="80" t="s">
        <v>28</v>
      </c>
      <c r="B7" s="80"/>
      <c r="C7" s="80"/>
      <c r="D7" s="80"/>
      <c r="E7" s="80"/>
      <c r="F7" s="80"/>
      <c r="G7" s="3"/>
      <c r="H7" s="81" t="s">
        <v>68</v>
      </c>
      <c r="I7" s="81"/>
      <c r="J7" s="81"/>
      <c r="K7" s="81"/>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58</v>
      </c>
      <c r="C10" s="36">
        <v>1</v>
      </c>
      <c r="D10" s="38">
        <v>6.5</v>
      </c>
      <c r="E10" s="38">
        <v>5</v>
      </c>
      <c r="F10" s="38">
        <v>0.15</v>
      </c>
      <c r="G10" s="39">
        <f>G16</f>
        <v>27.992944983842065</v>
      </c>
      <c r="H10" s="40"/>
      <c r="I10" s="40"/>
      <c r="J10" s="40"/>
      <c r="K10" s="21"/>
      <c r="M10" s="25"/>
      <c r="N10" s="1"/>
      <c r="O10" s="1"/>
      <c r="P10" s="1"/>
      <c r="S10" s="25"/>
    </row>
    <row r="11" spans="1:21" ht="15" customHeight="1" x14ac:dyDescent="0.3">
      <c r="A11" s="18"/>
      <c r="B11" s="37" t="s">
        <v>65</v>
      </c>
      <c r="C11" s="36">
        <v>1</v>
      </c>
      <c r="D11" s="38">
        <v>3</v>
      </c>
      <c r="E11" s="38">
        <v>1</v>
      </c>
      <c r="F11" s="38">
        <v>1</v>
      </c>
      <c r="G11" s="39">
        <f>PRODUCT(C11:F11)</f>
        <v>3</v>
      </c>
      <c r="H11" s="40"/>
      <c r="I11" s="40"/>
      <c r="J11" s="40"/>
      <c r="K11" s="21"/>
      <c r="M11" s="25"/>
      <c r="N11" s="1"/>
      <c r="O11" s="1"/>
      <c r="P11" s="1"/>
      <c r="S11" s="25"/>
    </row>
    <row r="12" spans="1:21" ht="15" customHeight="1" x14ac:dyDescent="0.3">
      <c r="A12" s="18"/>
      <c r="B12" s="37" t="s">
        <v>40</v>
      </c>
      <c r="C12" s="19"/>
      <c r="D12" s="20"/>
      <c r="E12" s="21"/>
      <c r="F12" s="21"/>
      <c r="G12" s="23">
        <f>SUM(G10:G11)</f>
        <v>30.992944983842065</v>
      </c>
      <c r="H12" s="22" t="s">
        <v>39</v>
      </c>
      <c r="I12" s="23">
        <v>64.63</v>
      </c>
      <c r="J12" s="41">
        <f>G12*I12</f>
        <v>2003.0740343057125</v>
      </c>
      <c r="K12" s="21"/>
      <c r="M12" s="25"/>
      <c r="N12" s="1"/>
      <c r="O12" s="1"/>
      <c r="P12" s="1"/>
      <c r="S12" s="25"/>
    </row>
    <row r="13" spans="1:21" ht="15" customHeight="1" x14ac:dyDescent="0.3">
      <c r="A13" s="18"/>
      <c r="B13" s="37" t="s">
        <v>38</v>
      </c>
      <c r="C13" s="19"/>
      <c r="D13" s="20"/>
      <c r="E13" s="21"/>
      <c r="F13" s="21"/>
      <c r="G13" s="23"/>
      <c r="H13" s="22"/>
      <c r="I13" s="23"/>
      <c r="J13" s="41">
        <f>0.13*G12*19284/360</f>
        <v>215.82453788581486</v>
      </c>
      <c r="K13" s="21"/>
      <c r="M13" s="25"/>
      <c r="N13" s="1"/>
      <c r="O13" s="1"/>
      <c r="P13" s="1"/>
      <c r="S13" s="25"/>
    </row>
    <row r="14" spans="1:21" ht="15" customHeight="1" x14ac:dyDescent="0.3">
      <c r="A14" s="18"/>
      <c r="B14" s="37"/>
      <c r="C14" s="19"/>
      <c r="D14" s="20"/>
      <c r="E14" s="21"/>
      <c r="F14" s="21"/>
      <c r="G14" s="23"/>
      <c r="H14" s="22"/>
      <c r="I14" s="23"/>
      <c r="J14" s="41"/>
      <c r="K14" s="21"/>
      <c r="M14" s="25"/>
      <c r="N14" s="1"/>
      <c r="O14" s="1"/>
      <c r="P14" s="1"/>
      <c r="Q14" s="1"/>
      <c r="R14" s="25"/>
      <c r="S14" s="25"/>
    </row>
    <row r="15" spans="1:21" ht="82.8" x14ac:dyDescent="0.3">
      <c r="A15" s="18">
        <v>2</v>
      </c>
      <c r="B15" s="30" t="s">
        <v>42</v>
      </c>
      <c r="C15" s="19"/>
      <c r="D15" s="20"/>
      <c r="E15" s="21"/>
      <c r="F15" s="21"/>
      <c r="G15" s="23"/>
      <c r="H15" s="22"/>
      <c r="I15" s="23"/>
      <c r="J15" s="41"/>
      <c r="K15" s="21"/>
      <c r="M15" s="25"/>
      <c r="N15" s="1"/>
      <c r="O15" s="72" t="s">
        <v>54</v>
      </c>
      <c r="P15" s="72"/>
      <c r="Q15" s="72"/>
      <c r="R15" s="72"/>
      <c r="S15" s="72"/>
      <c r="T15" s="72"/>
      <c r="U15" s="72"/>
    </row>
    <row r="16" spans="1:21" ht="15" customHeight="1" x14ac:dyDescent="0.3">
      <c r="A16" s="18"/>
      <c r="B16" s="37" t="s">
        <v>69</v>
      </c>
      <c r="C16" s="47">
        <v>1</v>
      </c>
      <c r="D16" s="38">
        <f>D10</f>
        <v>6.5</v>
      </c>
      <c r="E16" s="38">
        <f>E10</f>
        <v>5</v>
      </c>
      <c r="F16" s="38">
        <v>0.15</v>
      </c>
      <c r="G16" s="39">
        <f>G51</f>
        <v>27.992944983842065</v>
      </c>
      <c r="H16" s="40"/>
      <c r="I16" s="40"/>
      <c r="J16" s="40"/>
      <c r="K16" s="21"/>
      <c r="M16" s="25"/>
      <c r="N16" s="1"/>
      <c r="O16" s="1"/>
      <c r="P16" s="1"/>
      <c r="Q16" s="1"/>
      <c r="R16" s="25"/>
      <c r="S16" s="25"/>
    </row>
    <row r="17" spans="1:19" ht="15" customHeight="1" x14ac:dyDescent="0.3">
      <c r="A17" s="40"/>
      <c r="B17" s="37" t="s">
        <v>40</v>
      </c>
      <c r="C17" s="42"/>
      <c r="D17" s="43"/>
      <c r="E17" s="43"/>
      <c r="F17" s="43"/>
      <c r="G17" s="33">
        <f>SUM(G16)</f>
        <v>27.992944983842065</v>
      </c>
      <c r="H17" s="33" t="s">
        <v>39</v>
      </c>
      <c r="I17" s="33">
        <v>4434.5200000000004</v>
      </c>
      <c r="J17" s="44">
        <f>G17*I17</f>
        <v>124135.27438974733</v>
      </c>
      <c r="K17" s="36"/>
    </row>
    <row r="18" spans="1:19" x14ac:dyDescent="0.3">
      <c r="A18" s="40"/>
      <c r="B18" s="37" t="s">
        <v>38</v>
      </c>
      <c r="C18" s="42"/>
      <c r="D18" s="43"/>
      <c r="E18" s="43"/>
      <c r="F18" s="43"/>
      <c r="G18" s="43"/>
      <c r="H18" s="43"/>
      <c r="I18" s="43"/>
      <c r="J18" s="45">
        <f>0.13*G17*(14817.6/5)</f>
        <v>10784.494801407032</v>
      </c>
      <c r="K18" s="36"/>
    </row>
    <row r="19" spans="1:19" x14ac:dyDescent="0.3">
      <c r="A19" s="40"/>
      <c r="B19" s="37"/>
      <c r="C19" s="42"/>
      <c r="D19" s="43"/>
      <c r="E19" s="43"/>
      <c r="F19" s="43"/>
      <c r="G19" s="43"/>
      <c r="H19" s="43"/>
      <c r="I19" s="43"/>
      <c r="J19" s="45"/>
      <c r="K19" s="36"/>
    </row>
    <row r="20" spans="1:19" ht="69" x14ac:dyDescent="0.3">
      <c r="A20" s="18">
        <v>3</v>
      </c>
      <c r="B20" s="30" t="s">
        <v>41</v>
      </c>
      <c r="C20" s="19"/>
      <c r="D20" s="20"/>
      <c r="E20" s="21"/>
      <c r="F20" s="21"/>
      <c r="G20" s="23"/>
      <c r="H20" s="22"/>
      <c r="I20" s="23"/>
      <c r="J20" s="41"/>
      <c r="K20" s="21"/>
      <c r="M20" s="25"/>
      <c r="N20" s="1"/>
      <c r="O20" s="1"/>
      <c r="P20" s="1"/>
      <c r="Q20" s="1"/>
      <c r="R20" s="25"/>
      <c r="S20" s="25"/>
    </row>
    <row r="21" spans="1:19" ht="15" customHeight="1" x14ac:dyDescent="0.3">
      <c r="A21" s="18"/>
      <c r="B21" s="37" t="s">
        <v>53</v>
      </c>
      <c r="C21" s="47">
        <v>1</v>
      </c>
      <c r="D21" s="38">
        <v>1.75</v>
      </c>
      <c r="E21" s="38">
        <v>0.5</v>
      </c>
      <c r="F21" s="38">
        <v>0.05</v>
      </c>
      <c r="G21" s="39">
        <f t="shared" ref="G21:G25" si="0">PRODUCT(C21:F21)</f>
        <v>4.3750000000000004E-2</v>
      </c>
      <c r="H21" s="40"/>
      <c r="I21" s="40"/>
      <c r="J21" s="40"/>
      <c r="K21" s="21"/>
      <c r="M21" s="25"/>
      <c r="N21" s="1"/>
      <c r="O21" s="1"/>
      <c r="P21" s="1"/>
      <c r="Q21" s="1"/>
      <c r="R21" s="25"/>
      <c r="S21" s="25"/>
    </row>
    <row r="22" spans="1:19" ht="15" customHeight="1" x14ac:dyDescent="0.3">
      <c r="A22" s="18"/>
      <c r="B22" s="37"/>
      <c r="C22" s="47">
        <v>1</v>
      </c>
      <c r="D22" s="38">
        <v>1</v>
      </c>
      <c r="E22" s="38">
        <v>0.5</v>
      </c>
      <c r="F22" s="38">
        <v>0.05</v>
      </c>
      <c r="G22" s="39">
        <f t="shared" si="0"/>
        <v>2.5000000000000001E-2</v>
      </c>
      <c r="H22" s="40"/>
      <c r="I22" s="40"/>
      <c r="J22" s="40"/>
      <c r="K22" s="21"/>
      <c r="M22" s="25"/>
      <c r="N22" s="1"/>
      <c r="O22" s="1"/>
      <c r="P22" s="1"/>
      <c r="Q22" s="1"/>
      <c r="R22" s="25"/>
      <c r="S22" s="25"/>
    </row>
    <row r="23" spans="1:19" ht="15" customHeight="1" x14ac:dyDescent="0.3">
      <c r="A23" s="18"/>
      <c r="B23" s="37"/>
      <c r="C23" s="47">
        <v>1</v>
      </c>
      <c r="D23" s="38">
        <v>1</v>
      </c>
      <c r="E23" s="38">
        <f>0.5/2</f>
        <v>0.25</v>
      </c>
      <c r="F23" s="38">
        <v>0.05</v>
      </c>
      <c r="G23" s="39">
        <f t="shared" si="0"/>
        <v>1.2500000000000001E-2</v>
      </c>
      <c r="H23" s="40"/>
      <c r="I23" s="40"/>
      <c r="J23" s="40"/>
      <c r="K23" s="21"/>
      <c r="M23" s="25"/>
      <c r="N23" s="1"/>
      <c r="O23" s="1"/>
      <c r="P23" s="1"/>
      <c r="Q23" s="1"/>
      <c r="R23" s="25"/>
      <c r="S23" s="25"/>
    </row>
    <row r="24" spans="1:19" ht="15" customHeight="1" x14ac:dyDescent="0.3">
      <c r="A24" s="18"/>
      <c r="B24" s="37"/>
      <c r="C24" s="47">
        <v>1</v>
      </c>
      <c r="D24" s="38">
        <v>2.98</v>
      </c>
      <c r="E24" s="38">
        <v>0.5</v>
      </c>
      <c r="F24" s="38">
        <v>0.05</v>
      </c>
      <c r="G24" s="39">
        <f t="shared" si="0"/>
        <v>7.4499999999999997E-2</v>
      </c>
      <c r="H24" s="40"/>
      <c r="I24" s="40"/>
      <c r="J24" s="40"/>
      <c r="K24" s="21"/>
      <c r="M24" s="25"/>
      <c r="N24" s="1"/>
      <c r="O24" s="1"/>
      <c r="P24" s="1"/>
      <c r="Q24" s="1"/>
      <c r="R24" s="25"/>
      <c r="S24" s="25"/>
    </row>
    <row r="25" spans="1:19" ht="15" customHeight="1" x14ac:dyDescent="0.3">
      <c r="A25" s="18"/>
      <c r="B25" s="37"/>
      <c r="C25" s="47">
        <v>1</v>
      </c>
      <c r="D25" s="38">
        <v>2.4</v>
      </c>
      <c r="E25" s="38">
        <v>0.5</v>
      </c>
      <c r="F25" s="38">
        <v>0.05</v>
      </c>
      <c r="G25" s="39">
        <f t="shared" si="0"/>
        <v>0.06</v>
      </c>
      <c r="H25" s="40"/>
      <c r="I25" s="40"/>
      <c r="J25" s="40"/>
      <c r="K25" s="21"/>
      <c r="M25" s="25"/>
      <c r="N25" s="1"/>
      <c r="O25" s="1"/>
      <c r="P25" s="1"/>
      <c r="Q25" s="1"/>
      <c r="R25" s="25"/>
      <c r="S25" s="25"/>
    </row>
    <row r="26" spans="1:19" ht="15" customHeight="1" x14ac:dyDescent="0.3">
      <c r="A26" s="40"/>
      <c r="B26" s="37" t="s">
        <v>40</v>
      </c>
      <c r="C26" s="42"/>
      <c r="D26" s="43"/>
      <c r="E26" s="43"/>
      <c r="F26" s="43"/>
      <c r="G26" s="33">
        <f>SUM(G21:G25)</f>
        <v>0.21575</v>
      </c>
      <c r="H26" s="33" t="s">
        <v>39</v>
      </c>
      <c r="I26" s="33">
        <v>10634.5</v>
      </c>
      <c r="J26" s="44">
        <f>G26*I26</f>
        <v>2294.3933750000001</v>
      </c>
      <c r="K26" s="36"/>
    </row>
    <row r="27" spans="1:19" ht="15" customHeight="1" x14ac:dyDescent="0.3">
      <c r="A27" s="40"/>
      <c r="B27" s="37" t="s">
        <v>38</v>
      </c>
      <c r="C27" s="42"/>
      <c r="D27" s="43"/>
      <c r="E27" s="43"/>
      <c r="F27" s="43"/>
      <c r="G27" s="43"/>
      <c r="H27" s="43"/>
      <c r="I27" s="43"/>
      <c r="J27" s="45">
        <f>0.13*G26*((114907.3+6135.3)/15)</f>
        <v>226.32948823333334</v>
      </c>
      <c r="K27" s="36"/>
    </row>
    <row r="28" spans="1:19" ht="15" customHeight="1" x14ac:dyDescent="0.3">
      <c r="A28" s="40"/>
      <c r="B28" s="37"/>
      <c r="C28" s="42"/>
      <c r="D28" s="43"/>
      <c r="E28" s="43"/>
      <c r="F28" s="43"/>
      <c r="G28" s="43"/>
      <c r="H28" s="43"/>
      <c r="I28" s="43"/>
      <c r="J28" s="45"/>
      <c r="K28" s="36"/>
    </row>
    <row r="29" spans="1:19" s="1" customFormat="1" ht="82.8" x14ac:dyDescent="0.3">
      <c r="A29" s="63">
        <v>4</v>
      </c>
      <c r="B29" s="30" t="s">
        <v>47</v>
      </c>
      <c r="C29" s="64"/>
      <c r="D29" s="39"/>
      <c r="E29" s="39"/>
      <c r="F29" s="39"/>
      <c r="G29" s="39"/>
      <c r="H29" s="39"/>
      <c r="I29" s="39"/>
      <c r="J29" s="45"/>
      <c r="K29" s="29"/>
    </row>
    <row r="30" spans="1:19" ht="15" customHeight="1" x14ac:dyDescent="0.3">
      <c r="A30" s="18"/>
      <c r="B30" s="37" t="s">
        <v>53</v>
      </c>
      <c r="C30" s="47">
        <v>1</v>
      </c>
      <c r="D30" s="38">
        <v>1.75</v>
      </c>
      <c r="E30" s="38">
        <v>0.5</v>
      </c>
      <c r="F30" s="38">
        <f>(0.65+0.5)/2-0.05</f>
        <v>0.52499999999999991</v>
      </c>
      <c r="G30" s="39">
        <f t="shared" ref="G30:G34" si="1">PRODUCT(C30:F30)</f>
        <v>0.45937499999999992</v>
      </c>
      <c r="H30" s="40"/>
      <c r="I30" s="40"/>
      <c r="J30" s="40"/>
      <c r="K30" s="21"/>
      <c r="M30" s="25"/>
      <c r="N30" s="1"/>
      <c r="O30" s="1"/>
      <c r="P30" s="1"/>
      <c r="Q30" s="1"/>
      <c r="R30" s="25"/>
      <c r="S30" s="25"/>
    </row>
    <row r="31" spans="1:19" ht="15" customHeight="1" x14ac:dyDescent="0.3">
      <c r="A31" s="18"/>
      <c r="B31" s="37"/>
      <c r="C31" s="47">
        <v>1</v>
      </c>
      <c r="D31" s="38">
        <v>1</v>
      </c>
      <c r="E31" s="38">
        <v>0.5</v>
      </c>
      <c r="F31" s="38">
        <f>(1.15+1)/2-0.05</f>
        <v>1.0249999999999999</v>
      </c>
      <c r="G31" s="39">
        <f t="shared" si="1"/>
        <v>0.51249999999999996</v>
      </c>
      <c r="H31" s="40"/>
      <c r="I31" s="40"/>
      <c r="J31" s="40"/>
      <c r="K31" s="21"/>
      <c r="M31" s="25"/>
      <c r="N31" s="1"/>
      <c r="O31" s="1"/>
      <c r="P31" s="1"/>
      <c r="Q31" s="1"/>
      <c r="R31" s="25"/>
      <c r="S31" s="25"/>
    </row>
    <row r="32" spans="1:19" ht="15" customHeight="1" x14ac:dyDescent="0.3">
      <c r="A32" s="18"/>
      <c r="B32" s="37"/>
      <c r="C32" s="47">
        <v>1</v>
      </c>
      <c r="D32" s="38">
        <v>1</v>
      </c>
      <c r="E32" s="38">
        <f>0.5/2</f>
        <v>0.25</v>
      </c>
      <c r="F32" s="38">
        <f>(1+0.85)/2-0.05</f>
        <v>0.875</v>
      </c>
      <c r="G32" s="39">
        <f t="shared" si="1"/>
        <v>0.21875</v>
      </c>
      <c r="H32" s="40"/>
      <c r="I32" s="40"/>
      <c r="J32" s="40"/>
      <c r="K32" s="21"/>
      <c r="M32" s="25"/>
      <c r="N32" s="1"/>
      <c r="O32" s="1"/>
      <c r="P32" s="1"/>
      <c r="Q32" s="1"/>
      <c r="R32" s="25"/>
      <c r="S32" s="25"/>
    </row>
    <row r="33" spans="1:19" ht="15" customHeight="1" x14ac:dyDescent="0.3">
      <c r="A33" s="18"/>
      <c r="B33" s="37"/>
      <c r="C33" s="47">
        <v>1</v>
      </c>
      <c r="D33" s="38">
        <v>2.98</v>
      </c>
      <c r="E33" s="38">
        <v>0.5</v>
      </c>
      <c r="F33" s="38">
        <f>(0.6)-0.05</f>
        <v>0.54999999999999993</v>
      </c>
      <c r="G33" s="39">
        <f t="shared" si="1"/>
        <v>0.8194999999999999</v>
      </c>
      <c r="H33" s="40"/>
      <c r="I33" s="40"/>
      <c r="J33" s="40"/>
      <c r="K33" s="21"/>
      <c r="M33" s="25"/>
      <c r="N33" s="1"/>
      <c r="O33" s="1"/>
      <c r="P33" s="1"/>
      <c r="Q33" s="1"/>
      <c r="R33" s="25"/>
      <c r="S33" s="25"/>
    </row>
    <row r="34" spans="1:19" ht="15" customHeight="1" x14ac:dyDescent="0.3">
      <c r="A34" s="18"/>
      <c r="B34" s="37"/>
      <c r="C34" s="47">
        <v>1</v>
      </c>
      <c r="D34" s="38">
        <v>2.4</v>
      </c>
      <c r="E34" s="38">
        <v>0.5</v>
      </c>
      <c r="F34" s="38">
        <f>(0.7+0.75)/2-0.05</f>
        <v>0.67499999999999993</v>
      </c>
      <c r="G34" s="39">
        <f t="shared" si="1"/>
        <v>0.80999999999999994</v>
      </c>
      <c r="H34" s="40"/>
      <c r="I34" s="40"/>
      <c r="J34" s="40"/>
      <c r="K34" s="21"/>
      <c r="M34" s="25"/>
      <c r="N34" s="1"/>
      <c r="O34" s="1"/>
      <c r="P34" s="1"/>
      <c r="Q34" s="1"/>
      <c r="R34" s="25"/>
      <c r="S34" s="25"/>
    </row>
    <row r="35" spans="1:19" ht="15" customHeight="1" x14ac:dyDescent="0.3">
      <c r="A35" s="40"/>
      <c r="B35" s="37" t="s">
        <v>40</v>
      </c>
      <c r="C35" s="42"/>
      <c r="D35" s="43"/>
      <c r="E35" s="43"/>
      <c r="F35" s="43"/>
      <c r="G35" s="33">
        <f>SUM(G30:G34)</f>
        <v>2.8201249999999995</v>
      </c>
      <c r="H35" s="33" t="s">
        <v>39</v>
      </c>
      <c r="I35" s="33">
        <v>9709.43</v>
      </c>
      <c r="J35" s="44">
        <f>G35*I35</f>
        <v>27381.806278749995</v>
      </c>
      <c r="K35" s="36"/>
    </row>
    <row r="36" spans="1:19" ht="15" customHeight="1" x14ac:dyDescent="0.3">
      <c r="A36" s="40"/>
      <c r="B36" s="37" t="s">
        <v>38</v>
      </c>
      <c r="C36" s="42"/>
      <c r="D36" s="43"/>
      <c r="E36" s="43"/>
      <c r="F36" s="43"/>
      <c r="G36" s="43"/>
      <c r="H36" s="43"/>
      <c r="I36" s="43"/>
      <c r="J36" s="45">
        <f>0.13*G35*((27092.1)/5)</f>
        <v>1986.4808213249999</v>
      </c>
      <c r="K36" s="36"/>
    </row>
    <row r="37" spans="1:19" ht="15" customHeight="1" x14ac:dyDescent="0.3">
      <c r="A37" s="40"/>
      <c r="B37" s="37"/>
      <c r="C37" s="42"/>
      <c r="D37" s="43"/>
      <c r="E37" s="43"/>
      <c r="F37" s="43"/>
      <c r="G37" s="33"/>
      <c r="H37" s="33"/>
      <c r="I37" s="33"/>
      <c r="J37" s="44"/>
      <c r="K37" s="36"/>
    </row>
    <row r="38" spans="1:19" ht="69" x14ac:dyDescent="0.3">
      <c r="A38" s="18">
        <v>5</v>
      </c>
      <c r="B38" s="30" t="s">
        <v>63</v>
      </c>
      <c r="C38" s="19" t="s">
        <v>7</v>
      </c>
      <c r="D38" s="65" t="s">
        <v>50</v>
      </c>
      <c r="E38" s="66" t="s">
        <v>55</v>
      </c>
      <c r="F38" s="66" t="s">
        <v>56</v>
      </c>
      <c r="G38" s="66" t="s">
        <v>57</v>
      </c>
      <c r="H38" s="22"/>
      <c r="I38" s="23"/>
      <c r="J38" s="41"/>
      <c r="K38" s="21"/>
    </row>
    <row r="39" spans="1:19" ht="15" customHeight="1" x14ac:dyDescent="0.3">
      <c r="A39" s="18"/>
      <c r="B39" s="37" t="s">
        <v>59</v>
      </c>
      <c r="C39" s="19">
        <v>25</v>
      </c>
      <c r="D39" s="20">
        <f>22.25/3.281</f>
        <v>6.7814690643096611</v>
      </c>
      <c r="E39" s="21">
        <f>10*10/162</f>
        <v>0.61728395061728392</v>
      </c>
      <c r="F39" s="21">
        <f>PRODUCT(C39:E39)</f>
        <v>104.65230037514908</v>
      </c>
      <c r="G39" s="67">
        <f>F39/1000</f>
        <v>0.10465230037514908</v>
      </c>
      <c r="H39" s="22"/>
      <c r="I39" s="23"/>
      <c r="J39" s="41"/>
      <c r="K39" s="21"/>
    </row>
    <row r="40" spans="1:19" ht="15" customHeight="1" x14ac:dyDescent="0.3">
      <c r="A40" s="18"/>
      <c r="B40" s="37"/>
      <c r="C40" s="19">
        <v>42</v>
      </c>
      <c r="D40" s="20">
        <f>12.75/3.281</f>
        <v>3.8860103626943006</v>
      </c>
      <c r="E40" s="21">
        <f>10*10/162</f>
        <v>0.61728395061728392</v>
      </c>
      <c r="F40" s="21">
        <f>PRODUCT(C40:E40)</f>
        <v>100.74841681059297</v>
      </c>
      <c r="G40" s="67">
        <f>F40/1000</f>
        <v>0.10074841681059298</v>
      </c>
      <c r="H40" s="22"/>
      <c r="I40" s="23"/>
      <c r="J40" s="41"/>
      <c r="K40" s="21"/>
    </row>
    <row r="41" spans="1:19" ht="15" customHeight="1" x14ac:dyDescent="0.3">
      <c r="A41" s="18"/>
      <c r="B41" s="37" t="s">
        <v>40</v>
      </c>
      <c r="C41" s="19"/>
      <c r="D41" s="20"/>
      <c r="E41" s="21"/>
      <c r="F41" s="21"/>
      <c r="G41" s="23">
        <f>SUM(G39:G40)</f>
        <v>0.20540071718574204</v>
      </c>
      <c r="H41" s="22" t="s">
        <v>51</v>
      </c>
      <c r="I41" s="23">
        <v>124140</v>
      </c>
      <c r="J41" s="41">
        <f>G41*I41</f>
        <v>25498.445031438016</v>
      </c>
      <c r="K41" s="21"/>
    </row>
    <row r="42" spans="1:19" ht="15" customHeight="1" x14ac:dyDescent="0.3">
      <c r="A42" s="18"/>
      <c r="B42" s="37" t="s">
        <v>38</v>
      </c>
      <c r="C42" s="19"/>
      <c r="D42" s="20"/>
      <c r="E42" s="21"/>
      <c r="F42" s="21"/>
      <c r="G42" s="23"/>
      <c r="H42" s="22"/>
      <c r="I42" s="23"/>
      <c r="J42" s="41">
        <f>0.13*G41*110960</f>
        <v>2962.8642652608919</v>
      </c>
      <c r="K42" s="21"/>
    </row>
    <row r="43" spans="1:19" ht="15" customHeight="1" x14ac:dyDescent="0.3">
      <c r="A43" s="18"/>
      <c r="B43" s="37"/>
      <c r="C43" s="19"/>
      <c r="D43" s="20"/>
      <c r="E43" s="21"/>
      <c r="F43" s="21"/>
      <c r="G43" s="23"/>
      <c r="H43" s="22"/>
      <c r="I43" s="23"/>
      <c r="J43" s="41"/>
      <c r="K43" s="21"/>
    </row>
    <row r="44" spans="1:19" ht="69" x14ac:dyDescent="0.3">
      <c r="A44" s="18">
        <v>6</v>
      </c>
      <c r="B44" s="30" t="s">
        <v>62</v>
      </c>
      <c r="C44" s="19"/>
      <c r="D44" s="20"/>
      <c r="E44" s="21"/>
      <c r="F44" s="21"/>
      <c r="G44" s="71" t="s">
        <v>70</v>
      </c>
      <c r="H44" s="22"/>
      <c r="I44" s="23"/>
      <c r="J44" s="41"/>
      <c r="K44" s="21"/>
    </row>
    <row r="45" spans="1:19" ht="15" customHeight="1" x14ac:dyDescent="0.3">
      <c r="A45" s="18"/>
      <c r="B45" s="37" t="str">
        <f>B10</f>
        <v>-for road</v>
      </c>
      <c r="C45" s="47">
        <v>1</v>
      </c>
      <c r="D45" s="38">
        <v>3.2</v>
      </c>
      <c r="E45" s="38">
        <v>2.2000000000000002</v>
      </c>
      <c r="F45" s="38">
        <v>4.2</v>
      </c>
      <c r="G45" s="39">
        <f>SQRT(((SUM(D45:F45))/2)*(((SUM(D45:F45))/2)-D45)*(((SUM(D45:F45))/2)-E45)*(((SUM(D45:F45))/2)-F45))</f>
        <v>3.4613292244454326</v>
      </c>
      <c r="H45" s="40"/>
      <c r="I45" s="40"/>
      <c r="J45" s="40"/>
      <c r="K45" s="21"/>
      <c r="M45" s="25"/>
      <c r="N45" s="1"/>
      <c r="O45" s="1"/>
      <c r="P45" s="1"/>
      <c r="Q45" s="1"/>
      <c r="R45" s="25"/>
      <c r="S45" s="25"/>
    </row>
    <row r="46" spans="1:19" ht="15" customHeight="1" x14ac:dyDescent="0.3">
      <c r="A46" s="18"/>
      <c r="B46" s="37"/>
      <c r="C46" s="47">
        <v>1</v>
      </c>
      <c r="D46" s="38">
        <v>4.2</v>
      </c>
      <c r="E46" s="38">
        <v>4.5</v>
      </c>
      <c r="F46" s="38">
        <v>4.17</v>
      </c>
      <c r="G46" s="39">
        <f t="shared" ref="G46:G50" si="2">SQRT(((SUM(D46:F46))/2)*(((SUM(D46:F46))/2)-D46)*(((SUM(D46:F46))/2)-E46)*(((SUM(D46:F46))/2)-F46))</f>
        <v>7.939398980676998</v>
      </c>
      <c r="H46" s="40"/>
      <c r="I46" s="40"/>
      <c r="J46" s="40"/>
      <c r="K46" s="21"/>
      <c r="M46" s="25"/>
      <c r="N46" s="1"/>
      <c r="O46" s="1"/>
      <c r="P46" s="1"/>
      <c r="Q46" s="1"/>
      <c r="R46" s="25"/>
      <c r="S46" s="25"/>
    </row>
    <row r="47" spans="1:19" ht="15" customHeight="1" x14ac:dyDescent="0.3">
      <c r="A47" s="18"/>
      <c r="B47" s="37"/>
      <c r="C47" s="47">
        <v>1</v>
      </c>
      <c r="D47" s="38">
        <v>4.5</v>
      </c>
      <c r="E47" s="38">
        <v>4.5</v>
      </c>
      <c r="F47" s="38">
        <v>2.9</v>
      </c>
      <c r="G47" s="39">
        <f t="shared" si="2"/>
        <v>6.176982981197213</v>
      </c>
      <c r="H47" s="40"/>
      <c r="I47" s="40"/>
      <c r="J47" s="40"/>
      <c r="K47" s="21"/>
      <c r="M47" s="25"/>
      <c r="N47" s="1"/>
      <c r="O47" s="1"/>
      <c r="P47" s="1"/>
      <c r="Q47" s="1"/>
      <c r="R47" s="25"/>
      <c r="S47" s="25"/>
    </row>
    <row r="48" spans="1:19" ht="15" customHeight="1" x14ac:dyDescent="0.3">
      <c r="A48" s="18"/>
      <c r="B48" s="37"/>
      <c r="C48" s="47">
        <v>1</v>
      </c>
      <c r="D48" s="38">
        <v>4.5</v>
      </c>
      <c r="E48" s="38">
        <v>4.3499999999999996</v>
      </c>
      <c r="F48" s="38">
        <v>4.2300000000000004</v>
      </c>
      <c r="G48" s="39">
        <f t="shared" si="2"/>
        <v>8.2154622657523042</v>
      </c>
      <c r="H48" s="40"/>
      <c r="I48" s="40"/>
      <c r="J48" s="40"/>
      <c r="K48" s="21"/>
      <c r="M48" s="25"/>
      <c r="N48" s="1"/>
      <c r="O48" s="1"/>
      <c r="P48" s="1"/>
      <c r="Q48" s="1"/>
      <c r="R48" s="25"/>
      <c r="S48" s="25"/>
    </row>
    <row r="49" spans="1:19" ht="15" customHeight="1" x14ac:dyDescent="0.3">
      <c r="A49" s="18"/>
      <c r="B49" s="37"/>
      <c r="C49" s="47">
        <v>1</v>
      </c>
      <c r="D49" s="38">
        <v>4.3499999999999996</v>
      </c>
      <c r="E49" s="38">
        <v>1.42</v>
      </c>
      <c r="F49" s="38">
        <v>2.95</v>
      </c>
      <c r="G49" s="39">
        <f t="shared" si="2"/>
        <v>0.42513461397538072</v>
      </c>
      <c r="H49" s="40"/>
      <c r="I49" s="40"/>
      <c r="J49" s="40"/>
      <c r="K49" s="21"/>
      <c r="M49" s="25"/>
      <c r="N49" s="1"/>
      <c r="O49" s="1"/>
      <c r="P49" s="1"/>
      <c r="Q49" s="1"/>
      <c r="R49" s="25"/>
      <c r="S49" s="25"/>
    </row>
    <row r="50" spans="1:19" ht="15" customHeight="1" x14ac:dyDescent="0.3">
      <c r="A50" s="18"/>
      <c r="B50" s="37"/>
      <c r="C50" s="47">
        <v>1</v>
      </c>
      <c r="D50" s="38">
        <v>1.42</v>
      </c>
      <c r="E50" s="38">
        <v>2.9</v>
      </c>
      <c r="F50" s="38">
        <v>2.5</v>
      </c>
      <c r="G50" s="39">
        <f t="shared" si="2"/>
        <v>1.7746369177947365</v>
      </c>
      <c r="H50" s="40"/>
      <c r="I50" s="40"/>
      <c r="J50" s="40"/>
      <c r="K50" s="21"/>
      <c r="M50" s="25"/>
      <c r="N50" s="1"/>
      <c r="O50" s="1"/>
      <c r="P50" s="1"/>
      <c r="Q50" s="1"/>
      <c r="R50" s="25"/>
      <c r="S50" s="25"/>
    </row>
    <row r="51" spans="1:19" ht="15" customHeight="1" x14ac:dyDescent="0.3">
      <c r="A51" s="40"/>
      <c r="B51" s="37" t="s">
        <v>40</v>
      </c>
      <c r="C51" s="42"/>
      <c r="D51" s="43"/>
      <c r="E51" s="43"/>
      <c r="F51" s="43"/>
      <c r="G51" s="33">
        <f>SUM(G45:G50)</f>
        <v>27.992944983842065</v>
      </c>
      <c r="H51" s="33" t="s">
        <v>39</v>
      </c>
      <c r="I51" s="33">
        <v>11588.17</v>
      </c>
      <c r="J51" s="44">
        <f>G51*I51</f>
        <v>324387.00527340913</v>
      </c>
      <c r="K51" s="36"/>
    </row>
    <row r="52" spans="1:19" ht="15" customHeight="1" x14ac:dyDescent="0.3">
      <c r="A52" s="40"/>
      <c r="B52" s="37" t="s">
        <v>38</v>
      </c>
      <c r="C52" s="42"/>
      <c r="D52" s="43"/>
      <c r="E52" s="43"/>
      <c r="F52" s="43"/>
      <c r="G52" s="43"/>
      <c r="H52" s="43"/>
      <c r="I52" s="43"/>
      <c r="J52" s="45">
        <f>0.13*G51*(128662.2+6685.5)/15</f>
        <v>32836.099571509534</v>
      </c>
      <c r="K52" s="36"/>
    </row>
    <row r="53" spans="1:19" ht="15" customHeight="1" x14ac:dyDescent="0.3">
      <c r="A53" s="40"/>
      <c r="B53" s="37"/>
      <c r="C53" s="42"/>
      <c r="D53" s="43"/>
      <c r="E53" s="43"/>
      <c r="F53" s="43"/>
      <c r="G53" s="33"/>
      <c r="H53" s="33"/>
      <c r="I53" s="33"/>
      <c r="J53" s="44"/>
      <c r="K53" s="36"/>
    </row>
    <row r="54" spans="1:19" ht="193.2" x14ac:dyDescent="0.3">
      <c r="A54" s="18">
        <v>7</v>
      </c>
      <c r="B54" s="30" t="s">
        <v>60</v>
      </c>
      <c r="C54" s="19"/>
      <c r="D54" s="20"/>
      <c r="E54" s="21"/>
      <c r="F54" s="21"/>
      <c r="G54" s="23"/>
      <c r="H54" s="22"/>
      <c r="I54" s="23"/>
      <c r="J54" s="41"/>
      <c r="K54" s="21"/>
    </row>
    <row r="55" spans="1:19" ht="15" customHeight="1" x14ac:dyDescent="0.3">
      <c r="A55" s="18"/>
      <c r="B55" s="37" t="s">
        <v>61</v>
      </c>
      <c r="C55" s="19">
        <v>1</v>
      </c>
      <c r="D55" s="38">
        <v>3</v>
      </c>
      <c r="E55" s="38">
        <v>1</v>
      </c>
      <c r="F55" s="38">
        <v>1</v>
      </c>
      <c r="G55" s="39">
        <f t="shared" ref="G55" si="3">PRODUCT(C55:F55)</f>
        <v>3</v>
      </c>
      <c r="H55" s="40"/>
      <c r="I55" s="40"/>
      <c r="J55" s="40"/>
      <c r="K55" s="21"/>
    </row>
    <row r="56" spans="1:19" ht="15" customHeight="1" x14ac:dyDescent="0.3">
      <c r="A56" s="18"/>
      <c r="B56" s="37" t="s">
        <v>40</v>
      </c>
      <c r="C56" s="19"/>
      <c r="D56" s="20"/>
      <c r="E56" s="21"/>
      <c r="F56" s="21"/>
      <c r="G56" s="23">
        <f>SUM(G55:G55)</f>
        <v>3</v>
      </c>
      <c r="H56" s="22" t="s">
        <v>39</v>
      </c>
      <c r="I56" s="23">
        <v>6152.23</v>
      </c>
      <c r="J56" s="41">
        <f>G56*I56</f>
        <v>18456.689999999999</v>
      </c>
      <c r="K56" s="21"/>
    </row>
    <row r="57" spans="1:19" ht="15" customHeight="1" x14ac:dyDescent="0.3">
      <c r="A57" s="18"/>
      <c r="B57" s="37" t="s">
        <v>38</v>
      </c>
      <c r="C57" s="19"/>
      <c r="D57" s="20"/>
      <c r="E57" s="21"/>
      <c r="F57" s="21"/>
      <c r="G57" s="23"/>
      <c r="H57" s="22"/>
      <c r="I57" s="23"/>
      <c r="J57" s="41">
        <f>0.13*G56*26798.3/6</f>
        <v>1741.8895</v>
      </c>
      <c r="K57" s="21"/>
    </row>
    <row r="58" spans="1:19" ht="15" customHeight="1" x14ac:dyDescent="0.3">
      <c r="A58" s="18"/>
      <c r="B58" s="37"/>
      <c r="C58" s="19"/>
      <c r="D58" s="20"/>
      <c r="E58" s="21"/>
      <c r="F58" s="21"/>
      <c r="G58" s="23"/>
      <c r="H58" s="22"/>
      <c r="I58" s="23"/>
      <c r="J58" s="41"/>
      <c r="K58" s="21"/>
    </row>
    <row r="59" spans="1:19" ht="82.8" x14ac:dyDescent="0.3">
      <c r="A59" s="18">
        <v>8</v>
      </c>
      <c r="B59" s="30" t="s">
        <v>64</v>
      </c>
      <c r="C59" s="19"/>
      <c r="D59" s="20"/>
      <c r="E59" s="21"/>
      <c r="F59" s="21"/>
      <c r="G59" s="23"/>
      <c r="H59" s="22"/>
      <c r="I59" s="23"/>
      <c r="J59" s="41"/>
      <c r="K59" s="21"/>
    </row>
    <row r="60" spans="1:19" ht="15" customHeight="1" x14ac:dyDescent="0.3">
      <c r="A60" s="18"/>
      <c r="B60" s="37" t="s">
        <v>61</v>
      </c>
      <c r="C60" s="19">
        <v>1</v>
      </c>
      <c r="D60" s="38">
        <v>3</v>
      </c>
      <c r="E60" s="38"/>
      <c r="F60" s="38">
        <v>2</v>
      </c>
      <c r="G60" s="39">
        <f t="shared" ref="G60:G61" si="4">PRODUCT(C60:F60)</f>
        <v>6</v>
      </c>
      <c r="H60" s="40"/>
      <c r="I60" s="40"/>
      <c r="J60" s="40"/>
      <c r="K60" s="21"/>
    </row>
    <row r="61" spans="1:19" ht="15" customHeight="1" x14ac:dyDescent="0.3">
      <c r="A61" s="18"/>
      <c r="B61" s="37"/>
      <c r="C61" s="19">
        <v>1</v>
      </c>
      <c r="D61" s="38">
        <v>3</v>
      </c>
      <c r="E61" s="38"/>
      <c r="F61" s="38">
        <v>1</v>
      </c>
      <c r="G61" s="39">
        <f t="shared" si="4"/>
        <v>3</v>
      </c>
      <c r="H61" s="40"/>
      <c r="I61" s="40"/>
      <c r="J61" s="40"/>
      <c r="K61" s="21"/>
    </row>
    <row r="62" spans="1:19" ht="15" customHeight="1" x14ac:dyDescent="0.3">
      <c r="A62" s="18"/>
      <c r="B62" s="37" t="s">
        <v>40</v>
      </c>
      <c r="C62" s="19"/>
      <c r="D62" s="20"/>
      <c r="E62" s="21"/>
      <c r="F62" s="21"/>
      <c r="G62" s="23">
        <f>SUM(G60:G61)</f>
        <v>9</v>
      </c>
      <c r="H62" s="22" t="s">
        <v>52</v>
      </c>
      <c r="I62" s="23">
        <v>161.41999999999999</v>
      </c>
      <c r="J62" s="41">
        <f>G62*I62</f>
        <v>1452.78</v>
      </c>
      <c r="K62" s="21"/>
    </row>
    <row r="63" spans="1:19" ht="15" customHeight="1" x14ac:dyDescent="0.3">
      <c r="A63" s="18"/>
      <c r="B63" s="37" t="s">
        <v>38</v>
      </c>
      <c r="C63" s="19"/>
      <c r="D63" s="20"/>
      <c r="E63" s="21"/>
      <c r="F63" s="21"/>
      <c r="G63" s="23"/>
      <c r="H63" s="22"/>
      <c r="I63" s="23"/>
      <c r="J63" s="41">
        <f>0.13*G62*45360/300</f>
        <v>176.904</v>
      </c>
      <c r="K63" s="21"/>
    </row>
    <row r="64" spans="1:19" ht="15" customHeight="1" x14ac:dyDescent="0.3">
      <c r="A64" s="18"/>
      <c r="B64" s="37"/>
      <c r="C64" s="19"/>
      <c r="D64" s="20"/>
      <c r="E64" s="21"/>
      <c r="F64" s="21"/>
      <c r="G64" s="23"/>
      <c r="H64" s="22"/>
      <c r="I64" s="23"/>
      <c r="J64" s="41"/>
      <c r="K64" s="21"/>
    </row>
    <row r="65" spans="1:19" ht="15" customHeight="1" x14ac:dyDescent="0.3">
      <c r="A65" s="18">
        <v>9</v>
      </c>
      <c r="B65" s="30" t="s">
        <v>30</v>
      </c>
      <c r="C65" s="19">
        <v>1</v>
      </c>
      <c r="D65" s="20"/>
      <c r="E65" s="21"/>
      <c r="F65" s="21"/>
      <c r="G65" s="34">
        <f t="shared" ref="G65" si="5">PRODUCT(C65:F65)</f>
        <v>1</v>
      </c>
      <c r="H65" s="22" t="s">
        <v>31</v>
      </c>
      <c r="I65" s="23">
        <v>500</v>
      </c>
      <c r="J65" s="34">
        <f>G65*I65</f>
        <v>500</v>
      </c>
      <c r="K65" s="21"/>
      <c r="M65" s="25"/>
      <c r="N65" s="1"/>
      <c r="O65" s="1"/>
      <c r="P65" s="1"/>
      <c r="Q65" s="1"/>
      <c r="R65" s="25"/>
      <c r="S65" s="25"/>
    </row>
    <row r="66" spans="1:19" ht="15" customHeight="1" x14ac:dyDescent="0.3">
      <c r="A66" s="18"/>
      <c r="B66" s="24"/>
      <c r="C66" s="19"/>
      <c r="D66" s="20"/>
      <c r="E66" s="21"/>
      <c r="F66" s="21"/>
      <c r="G66" s="23"/>
      <c r="H66" s="22"/>
      <c r="I66" s="23"/>
      <c r="J66" s="41"/>
      <c r="K66" s="21"/>
      <c r="M66" s="25"/>
      <c r="N66" s="1">
        <f>2.4*3.281</f>
        <v>7.8743999999999996</v>
      </c>
      <c r="O66" s="1"/>
      <c r="P66" s="1"/>
      <c r="Q66" s="1"/>
      <c r="R66" s="25"/>
      <c r="S66" s="25"/>
    </row>
    <row r="67" spans="1:19" x14ac:dyDescent="0.3">
      <c r="A67" s="40"/>
      <c r="B67" s="46" t="s">
        <v>17</v>
      </c>
      <c r="C67" s="47"/>
      <c r="D67" s="38"/>
      <c r="E67" s="38"/>
      <c r="F67" s="38"/>
      <c r="G67" s="41"/>
      <c r="H67" s="41"/>
      <c r="I67" s="41"/>
      <c r="J67" s="41">
        <f>SUM(J10:J65)</f>
        <v>577040.35536827182</v>
      </c>
      <c r="K67" s="36"/>
    </row>
    <row r="68" spans="1:19" x14ac:dyDescent="0.3">
      <c r="A68" s="58"/>
      <c r="B68" s="61"/>
      <c r="C68" s="62"/>
      <c r="D68" s="59"/>
      <c r="E68" s="59"/>
      <c r="F68" s="59"/>
      <c r="G68" s="60"/>
      <c r="H68" s="60"/>
      <c r="I68" s="60"/>
      <c r="J68" s="60"/>
      <c r="K68" s="57"/>
    </row>
    <row r="69" spans="1:19" s="1" customFormat="1" x14ac:dyDescent="0.3">
      <c r="A69" s="50"/>
      <c r="B69" s="29" t="s">
        <v>27</v>
      </c>
      <c r="C69" s="79">
        <f>J67</f>
        <v>577040.35536827182</v>
      </c>
      <c r="D69" s="79"/>
      <c r="E69" s="39">
        <v>100</v>
      </c>
      <c r="F69" s="51"/>
      <c r="G69" s="52"/>
      <c r="H69" s="51"/>
      <c r="I69" s="53"/>
      <c r="J69" s="54"/>
      <c r="K69" s="55"/>
    </row>
    <row r="70" spans="1:19" x14ac:dyDescent="0.3">
      <c r="A70" s="56"/>
      <c r="B70" s="29" t="s">
        <v>32</v>
      </c>
      <c r="C70" s="82">
        <v>200000</v>
      </c>
      <c r="D70" s="82"/>
      <c r="E70" s="39"/>
      <c r="F70" s="49"/>
      <c r="G70" s="48"/>
      <c r="H70" s="48"/>
      <c r="I70" s="48"/>
      <c r="J70" s="48"/>
      <c r="K70" s="49"/>
    </row>
    <row r="71" spans="1:19" x14ac:dyDescent="0.3">
      <c r="A71" s="56"/>
      <c r="B71" s="29" t="s">
        <v>33</v>
      </c>
      <c r="C71" s="82">
        <f>C70-C73-C74</f>
        <v>190000</v>
      </c>
      <c r="D71" s="82"/>
      <c r="E71" s="39">
        <f>C71/C69*100</f>
        <v>32.926639919098982</v>
      </c>
      <c r="F71" s="49"/>
      <c r="G71" s="48"/>
      <c r="H71" s="48"/>
      <c r="I71" s="48"/>
      <c r="J71" s="48"/>
      <c r="K71" s="49"/>
    </row>
    <row r="72" spans="1:19" x14ac:dyDescent="0.3">
      <c r="A72" s="56"/>
      <c r="B72" s="29" t="s">
        <v>34</v>
      </c>
      <c r="C72" s="79">
        <f>C69-C71</f>
        <v>387040.35536827182</v>
      </c>
      <c r="D72" s="79"/>
      <c r="E72" s="39">
        <f>100-E71</f>
        <v>67.073360080901011</v>
      </c>
      <c r="F72" s="49"/>
      <c r="G72" s="48"/>
      <c r="H72" s="48"/>
      <c r="I72" s="48"/>
      <c r="J72" s="48"/>
      <c r="K72" s="49"/>
      <c r="R72" s="1">
        <v>3.2</v>
      </c>
      <c r="S72" s="1">
        <f>CONVERT(R72,"m","ft")</f>
        <v>10.498687664041995</v>
      </c>
    </row>
    <row r="73" spans="1:19" x14ac:dyDescent="0.3">
      <c r="A73" s="56"/>
      <c r="B73" s="29" t="s">
        <v>35</v>
      </c>
      <c r="C73" s="79">
        <f>C70*0.03</f>
        <v>6000</v>
      </c>
      <c r="D73" s="79"/>
      <c r="E73" s="39">
        <v>3</v>
      </c>
      <c r="F73" s="49"/>
      <c r="G73" s="48"/>
      <c r="H73" s="48"/>
      <c r="I73" s="48"/>
      <c r="J73" s="48"/>
      <c r="K73" s="49"/>
      <c r="R73" s="1">
        <v>2.2000000000000002</v>
      </c>
      <c r="S73" s="1">
        <f t="shared" ref="S73:S94" si="6">CONVERT(R73,"m","ft")</f>
        <v>7.2178477690288716</v>
      </c>
    </row>
    <row r="74" spans="1:19" x14ac:dyDescent="0.3">
      <c r="A74" s="56"/>
      <c r="B74" s="29" t="s">
        <v>36</v>
      </c>
      <c r="C74" s="79">
        <f>C70*0.02</f>
        <v>4000</v>
      </c>
      <c r="D74" s="79"/>
      <c r="E74" s="39">
        <v>2</v>
      </c>
      <c r="F74" s="49"/>
      <c r="G74" s="48"/>
      <c r="H74" s="48"/>
      <c r="I74" s="48"/>
      <c r="J74" s="48"/>
      <c r="K74" s="49"/>
      <c r="R74" s="1">
        <v>4.2</v>
      </c>
      <c r="S74" s="1">
        <f t="shared" si="6"/>
        <v>13.779527559055119</v>
      </c>
    </row>
    <row r="75" spans="1:19" s="35" customFormat="1" x14ac:dyDescent="0.3">
      <c r="A75" s="57"/>
      <c r="B75" s="57"/>
      <c r="C75" s="57"/>
      <c r="D75" s="57"/>
      <c r="E75" s="57"/>
      <c r="F75" s="57"/>
      <c r="G75" s="57"/>
      <c r="H75" s="57"/>
      <c r="I75" s="57"/>
      <c r="J75" s="57"/>
      <c r="K75" s="57"/>
      <c r="R75"/>
      <c r="S75"/>
    </row>
    <row r="76" spans="1:19" s="35" customFormat="1" x14ac:dyDescent="0.3">
      <c r="R76" s="1">
        <v>4.2</v>
      </c>
      <c r="S76" s="1">
        <f t="shared" si="6"/>
        <v>13.779527559055119</v>
      </c>
    </row>
    <row r="77" spans="1:19" s="35" customFormat="1" x14ac:dyDescent="0.3">
      <c r="R77" s="1">
        <v>4.5</v>
      </c>
      <c r="S77" s="1">
        <f t="shared" si="6"/>
        <v>14.763779527559056</v>
      </c>
    </row>
    <row r="78" spans="1:19" s="35" customFormat="1" x14ac:dyDescent="0.3">
      <c r="R78" s="1">
        <v>4.17</v>
      </c>
      <c r="S78" s="1">
        <f t="shared" si="6"/>
        <v>13.681102362204724</v>
      </c>
    </row>
    <row r="79" spans="1:19" s="35" customFormat="1" x14ac:dyDescent="0.3">
      <c r="R79"/>
      <c r="S79" s="1"/>
    </row>
    <row r="80" spans="1:19" s="35" customFormat="1" x14ac:dyDescent="0.3">
      <c r="R80" s="1">
        <v>4.5</v>
      </c>
      <c r="S80" s="1">
        <f t="shared" si="6"/>
        <v>14.763779527559056</v>
      </c>
    </row>
    <row r="81" spans="18:19" s="35" customFormat="1" x14ac:dyDescent="0.3">
      <c r="R81" s="1">
        <v>4.5</v>
      </c>
      <c r="S81" s="1">
        <f t="shared" si="6"/>
        <v>14.763779527559056</v>
      </c>
    </row>
    <row r="82" spans="18:19" s="35" customFormat="1" x14ac:dyDescent="0.3">
      <c r="R82" s="1">
        <v>2.9</v>
      </c>
      <c r="S82" s="1">
        <f t="shared" si="6"/>
        <v>9.514435695538058</v>
      </c>
    </row>
    <row r="83" spans="18:19" s="35" customFormat="1" x14ac:dyDescent="0.3"/>
    <row r="84" spans="18:19" s="35" customFormat="1" x14ac:dyDescent="0.3">
      <c r="R84" s="68">
        <v>4.5</v>
      </c>
      <c r="S84" s="1">
        <f t="shared" si="6"/>
        <v>14.763779527559056</v>
      </c>
    </row>
    <row r="85" spans="18:19" s="35" customFormat="1" x14ac:dyDescent="0.3">
      <c r="R85" s="69">
        <v>4.3499999999999996</v>
      </c>
      <c r="S85" s="1">
        <f t="shared" si="6"/>
        <v>14.271653543307087</v>
      </c>
    </row>
    <row r="86" spans="18:19" s="35" customFormat="1" x14ac:dyDescent="0.3">
      <c r="R86" s="69">
        <v>4.2300000000000004</v>
      </c>
      <c r="S86" s="1">
        <f t="shared" si="6"/>
        <v>13.877952755905515</v>
      </c>
    </row>
    <row r="87" spans="18:19" s="35" customFormat="1" x14ac:dyDescent="0.3"/>
    <row r="88" spans="18:19" s="35" customFormat="1" x14ac:dyDescent="0.3">
      <c r="R88" s="69">
        <v>4.3499999999999996</v>
      </c>
      <c r="S88" s="1">
        <f t="shared" si="6"/>
        <v>14.271653543307087</v>
      </c>
    </row>
    <row r="89" spans="18:19" s="35" customFormat="1" x14ac:dyDescent="0.3">
      <c r="R89" s="69">
        <v>1.42</v>
      </c>
      <c r="S89" s="1">
        <f t="shared" si="6"/>
        <v>4.6587926509186355</v>
      </c>
    </row>
    <row r="90" spans="18:19" s="35" customFormat="1" x14ac:dyDescent="0.3">
      <c r="R90" s="69">
        <v>2.95</v>
      </c>
      <c r="S90" s="1">
        <f t="shared" si="6"/>
        <v>9.6784776902887142</v>
      </c>
    </row>
    <row r="91" spans="18:19" s="35" customFormat="1" x14ac:dyDescent="0.3"/>
    <row r="92" spans="18:19" s="35" customFormat="1" x14ac:dyDescent="0.3">
      <c r="R92" s="69">
        <v>1.42</v>
      </c>
      <c r="S92" s="1">
        <f t="shared" si="6"/>
        <v>4.6587926509186355</v>
      </c>
    </row>
    <row r="93" spans="18:19" s="35" customFormat="1" x14ac:dyDescent="0.3">
      <c r="R93" s="69">
        <v>2.9</v>
      </c>
      <c r="S93" s="1">
        <f t="shared" si="6"/>
        <v>9.514435695538058</v>
      </c>
    </row>
    <row r="94" spans="18:19" s="35" customFormat="1" x14ac:dyDescent="0.3">
      <c r="R94" s="69">
        <v>2.5</v>
      </c>
      <c r="S94" s="1">
        <f t="shared" si="6"/>
        <v>8.2020997375328086</v>
      </c>
    </row>
    <row r="95" spans="18:19" s="35" customFormat="1" x14ac:dyDescent="0.3"/>
    <row r="96" spans="18: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sheetData>
  <mergeCells count="16">
    <mergeCell ref="O15:U15"/>
    <mergeCell ref="C69:D69"/>
    <mergeCell ref="C70:D70"/>
    <mergeCell ref="C71:D71"/>
    <mergeCell ref="A1:K1"/>
    <mergeCell ref="A2:K2"/>
    <mergeCell ref="A3:K3"/>
    <mergeCell ref="A4:K4"/>
    <mergeCell ref="A5:K5"/>
    <mergeCell ref="A6:F6"/>
    <mergeCell ref="H6:K6"/>
    <mergeCell ref="C72:D72"/>
    <mergeCell ref="C73:D73"/>
    <mergeCell ref="C74:D74"/>
    <mergeCell ref="A7:F7"/>
    <mergeCell ref="H7:K7"/>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M</vt:lpstr>
      <vt:lpstr>estimate!Print_Area</vt:lpstr>
      <vt:lpstr>M!Print_Area</vt:lpstr>
      <vt:lpstr>estimate!Print_Titles</vt:lpstr>
      <vt:lpstr>M!Print_Titles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2025-02-09T08:07:45Z</cp:lastPrinted>
  <dcterms:created xsi:type="dcterms:W3CDTF">2015-06-05T18:17:20Z</dcterms:created>
  <dcterms:modified xsi:type="dcterms:W3CDTF">2025-06-01T07:14:27Z</dcterms:modified>
</cp:coreProperties>
</file>