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पशु शाखा इस्तिमेट\Kamal\"/>
    </mc:Choice>
  </mc:AlternateContent>
  <bookViews>
    <workbookView xWindow="-120" yWindow="-120" windowWidth="20736" windowHeight="11160" firstSheet="1" activeTab="4"/>
  </bookViews>
  <sheets>
    <sheet name="field" sheetId="19" state="hidden" r:id="rId1"/>
    <sheet name="as per mistry (2)" sheetId="21" r:id="rId2"/>
    <sheet name="WCR" sheetId="22" r:id="rId3"/>
    <sheet name="V" sheetId="23" r:id="rId4"/>
    <sheet name="M" sheetId="24" r:id="rId5"/>
    <sheet name="Sheet1" sheetId="20"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03">[4]Abstract!$B$16</definedName>
    <definedName name="description_124" localSheetId="2">#REF!</definedName>
    <definedName name="description_124">[5]Abstract!$B$18</definedName>
    <definedName name="description_2">[3]Abstract!$B$168</definedName>
    <definedName name="description_247">[4]Abstract!$B$22</definedName>
    <definedName name="description_248">[4]Abstract!$B$23</definedName>
    <definedName name="description_261">[6]Abstract!$B$33</definedName>
    <definedName name="description_262" localSheetId="2">[4]Abstract!$B$34</definedName>
    <definedName name="description_262">[7]Abstract!$B$34</definedName>
    <definedName name="description_3">[4]Abstract!$B$169</definedName>
    <definedName name="description_310">[8]Abstract!$B$60</definedName>
    <definedName name="description_312">[9]Abstract!$B$61</definedName>
    <definedName name="description_5">[4]Abstract!$B$171</definedName>
    <definedName name="description_6" localSheetId="2">[8]Abstract!$B$172</definedName>
    <definedName name="description_6">[3]Abstract!$B$172</definedName>
    <definedName name="description_759">[4]Abstract!$B$278</definedName>
    <definedName name="description_781">[10]Abstract!$B$299</definedName>
    <definedName name="description_783">[4]Abstract!$B$301</definedName>
    <definedName name="description_784">[3]Abstract!$B$300</definedName>
    <definedName name="excavator">[2]Equipment_Rate!$J$19</definedName>
    <definedName name="generator">[2]Equipment_Rate!$J$20</definedName>
    <definedName name="_xlnm.Print_Area" localSheetId="1">'as per mistry (2)'!$A$1:$K$51</definedName>
    <definedName name="_xlnm.Print_Area" localSheetId="0">field!$A$1:$K$50</definedName>
    <definedName name="_xlnm.Print_Area" localSheetId="4">M!$A$1:$K$52</definedName>
    <definedName name="_xlnm.Print_Area" localSheetId="3">V!$A$1:$K$52</definedName>
    <definedName name="_xlnm.Print_Area" localSheetId="2">WCR!$A$1:$K$29</definedName>
    <definedName name="_xlnm.Print_Titles" localSheetId="1">'as per mistry (2)'!$1:$8</definedName>
    <definedName name="_xlnm.Print_Titles" localSheetId="0">field!$1:$8</definedName>
    <definedName name="_xlnm.Print_Titles" localSheetId="4">M!$1:$8</definedName>
    <definedName name="_xlnm.Print_Titles" localSheetId="3">V!$1:$8</definedName>
    <definedName name="_xlnm.Print_Titles" localSheetId="2">WCR!$1:$12</definedName>
    <definedName name="skilled">[2]District_Rate!$D$148</definedName>
    <definedName name="skilled_blacksmith">[2]District_Rate!$D$149</definedName>
    <definedName name="unskilled">[2]District_Rate!$D$156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24" l="1"/>
  <c r="C51" i="24"/>
  <c r="J42" i="24"/>
  <c r="G42" i="24"/>
  <c r="N38" i="24"/>
  <c r="M38" i="24"/>
  <c r="G38" i="24"/>
  <c r="E38" i="24"/>
  <c r="N37" i="24"/>
  <c r="M37" i="24"/>
  <c r="G37" i="24"/>
  <c r="G36" i="24"/>
  <c r="G39" i="24" s="1"/>
  <c r="N33" i="24"/>
  <c r="M33" i="24"/>
  <c r="O33" i="24" s="1"/>
  <c r="G31" i="24"/>
  <c r="G32" i="24" s="1"/>
  <c r="B31" i="24"/>
  <c r="G27" i="24"/>
  <c r="G28" i="24" s="1"/>
  <c r="J28" i="24" s="1"/>
  <c r="E27" i="24"/>
  <c r="D27" i="24"/>
  <c r="I23" i="24"/>
  <c r="G23" i="24"/>
  <c r="J24" i="24" s="1"/>
  <c r="O22" i="24"/>
  <c r="N22" i="24"/>
  <c r="G22" i="24"/>
  <c r="E22" i="24"/>
  <c r="D22" i="24"/>
  <c r="F17" i="24"/>
  <c r="G17" i="24" s="1"/>
  <c r="D17" i="24"/>
  <c r="F16" i="24"/>
  <c r="G16" i="24" s="1"/>
  <c r="D16" i="24"/>
  <c r="F15" i="24"/>
  <c r="G15" i="24" s="1"/>
  <c r="D15" i="24"/>
  <c r="G14" i="24"/>
  <c r="F14" i="24"/>
  <c r="D14" i="24"/>
  <c r="D13" i="24"/>
  <c r="F13" i="24" s="1"/>
  <c r="G13" i="24" s="1"/>
  <c r="C12" i="24"/>
  <c r="F12" i="24" s="1"/>
  <c r="G12" i="24" s="1"/>
  <c r="D11" i="24"/>
  <c r="F11" i="24" s="1"/>
  <c r="G11" i="24" s="1"/>
  <c r="F10" i="24"/>
  <c r="G10" i="24" s="1"/>
  <c r="G39" i="23"/>
  <c r="G32" i="23"/>
  <c r="G28" i="23"/>
  <c r="G18" i="23"/>
  <c r="N38" i="23"/>
  <c r="M38" i="23"/>
  <c r="N37" i="23"/>
  <c r="M37" i="23"/>
  <c r="E22" i="23"/>
  <c r="D22" i="23"/>
  <c r="F17" i="23"/>
  <c r="G17" i="23"/>
  <c r="D17" i="23"/>
  <c r="D16" i="23"/>
  <c r="D15" i="23"/>
  <c r="G18" i="24" l="1"/>
  <c r="J33" i="24"/>
  <c r="J32" i="24"/>
  <c r="J40" i="24"/>
  <c r="J39" i="24"/>
  <c r="J23" i="24"/>
  <c r="J19" i="24" l="1"/>
  <c r="J18" i="24"/>
  <c r="J44" i="24" s="1"/>
  <c r="C47" i="24" l="1"/>
  <c r="C46" i="24"/>
  <c r="C50" i="24" l="1"/>
  <c r="E49" i="24"/>
  <c r="E50" i="24" s="1"/>
  <c r="H26" i="22" l="1"/>
  <c r="E26" i="22"/>
  <c r="C26" i="22"/>
  <c r="B26" i="22"/>
  <c r="A26" i="22"/>
  <c r="H23" i="22"/>
  <c r="E23" i="22"/>
  <c r="C23" i="22"/>
  <c r="B24" i="22"/>
  <c r="B23" i="22"/>
  <c r="A23" i="22"/>
  <c r="H20" i="22"/>
  <c r="E20" i="22"/>
  <c r="C20" i="22"/>
  <c r="B21" i="22"/>
  <c r="B20" i="22"/>
  <c r="A20" i="22"/>
  <c r="H18" i="22"/>
  <c r="E18" i="22"/>
  <c r="C18" i="22"/>
  <c r="B18" i="22"/>
  <c r="A18" i="22"/>
  <c r="C16" i="22"/>
  <c r="B16" i="22"/>
  <c r="A16" i="22"/>
  <c r="H13" i="22"/>
  <c r="E13" i="22"/>
  <c r="C13" i="22"/>
  <c r="B14" i="22"/>
  <c r="B13" i="22"/>
  <c r="A13" i="22"/>
  <c r="A9" i="22"/>
  <c r="A8" i="22"/>
  <c r="C52" i="23"/>
  <c r="C51" i="23"/>
  <c r="G42" i="23"/>
  <c r="G26" i="22" s="1"/>
  <c r="I26" i="22" s="1"/>
  <c r="E38" i="23"/>
  <c r="G38" i="23" s="1"/>
  <c r="G37" i="23"/>
  <c r="G36" i="23"/>
  <c r="N33" i="23"/>
  <c r="O33" i="23" s="1"/>
  <c r="M33" i="23"/>
  <c r="G31" i="23"/>
  <c r="G20" i="22" s="1"/>
  <c r="I20" i="22" s="1"/>
  <c r="B31" i="23"/>
  <c r="E27" i="23"/>
  <c r="D27" i="23"/>
  <c r="O22" i="23"/>
  <c r="N22" i="23"/>
  <c r="G22" i="23"/>
  <c r="G23" i="23" s="1"/>
  <c r="G16" i="22" s="1"/>
  <c r="F16" i="23"/>
  <c r="G16" i="23" s="1"/>
  <c r="F15" i="23"/>
  <c r="G15" i="23" s="1"/>
  <c r="D14" i="23"/>
  <c r="F14" i="23" s="1"/>
  <c r="G14" i="23" s="1"/>
  <c r="D13" i="23"/>
  <c r="F13" i="23" s="1"/>
  <c r="G13" i="23" s="1"/>
  <c r="C12" i="23"/>
  <c r="F12" i="23" s="1"/>
  <c r="G12" i="23" s="1"/>
  <c r="D11" i="23"/>
  <c r="F11" i="23" s="1"/>
  <c r="G11" i="23" s="1"/>
  <c r="F10" i="23"/>
  <c r="G10" i="23" s="1"/>
  <c r="L33" i="22"/>
  <c r="M33" i="22" s="1"/>
  <c r="J42" i="23" l="1"/>
  <c r="G23" i="22"/>
  <c r="I23" i="22" s="1"/>
  <c r="G27" i="23"/>
  <c r="J33" i="23"/>
  <c r="I21" i="22" s="1"/>
  <c r="J32" i="23"/>
  <c r="G13" i="22"/>
  <c r="I13" i="22" s="1"/>
  <c r="J24" i="23"/>
  <c r="J40" i="23"/>
  <c r="I24" i="22" s="1"/>
  <c r="J39" i="23"/>
  <c r="E21" i="21"/>
  <c r="C51" i="21"/>
  <c r="C50" i="21"/>
  <c r="G41" i="21"/>
  <c r="G37" i="21"/>
  <c r="E37" i="21"/>
  <c r="G36" i="21"/>
  <c r="G35" i="21"/>
  <c r="N32" i="21"/>
  <c r="O32" i="21" s="1"/>
  <c r="M32" i="21"/>
  <c r="G30" i="21"/>
  <c r="G31" i="21" s="1"/>
  <c r="B30" i="21"/>
  <c r="E26" i="21"/>
  <c r="D26" i="21"/>
  <c r="G26" i="21" s="1"/>
  <c r="G27" i="21" s="1"/>
  <c r="O21" i="21"/>
  <c r="N21" i="21"/>
  <c r="G21" i="21"/>
  <c r="G22" i="21" s="1"/>
  <c r="D16" i="22" s="1"/>
  <c r="D16" i="21"/>
  <c r="F16" i="21" s="1"/>
  <c r="G16" i="21" s="1"/>
  <c r="D15" i="21"/>
  <c r="F15" i="21" s="1"/>
  <c r="G15" i="21" s="1"/>
  <c r="D14" i="21"/>
  <c r="F14" i="21" s="1"/>
  <c r="G14" i="21" s="1"/>
  <c r="D13" i="21"/>
  <c r="F13" i="21" s="1"/>
  <c r="G13" i="21" s="1"/>
  <c r="D12" i="21"/>
  <c r="C12" i="21"/>
  <c r="F12" i="21" s="1"/>
  <c r="G12" i="21" s="1"/>
  <c r="D11" i="21"/>
  <c r="F11" i="21" s="1"/>
  <c r="G11" i="21" s="1"/>
  <c r="F10" i="21"/>
  <c r="G10" i="21" s="1"/>
  <c r="E21" i="19"/>
  <c r="O21" i="19"/>
  <c r="N21" i="19"/>
  <c r="D15" i="19"/>
  <c r="D16" i="19"/>
  <c r="F16" i="19" s="1"/>
  <c r="G16" i="19" s="1"/>
  <c r="F15" i="19"/>
  <c r="G15" i="19" s="1"/>
  <c r="D20" i="22" l="1"/>
  <c r="F20" i="22" s="1"/>
  <c r="J32" i="21"/>
  <c r="F21" i="22" s="1"/>
  <c r="M21" i="22" s="1"/>
  <c r="J31" i="21"/>
  <c r="G17" i="21"/>
  <c r="D13" i="22" s="1"/>
  <c r="F13" i="22" s="1"/>
  <c r="M13" i="22" s="1"/>
  <c r="J41" i="21"/>
  <c r="D26" i="22"/>
  <c r="F26" i="22" s="1"/>
  <c r="M26" i="22" s="1"/>
  <c r="J27" i="21"/>
  <c r="D18" i="22"/>
  <c r="F18" i="22" s="1"/>
  <c r="M18" i="22" s="1"/>
  <c r="J21" i="22"/>
  <c r="J28" i="23"/>
  <c r="G18" i="22"/>
  <c r="I18" i="22" s="1"/>
  <c r="J18" i="22" s="1"/>
  <c r="J18" i="23"/>
  <c r="J19" i="23"/>
  <c r="I14" i="22" s="1"/>
  <c r="J23" i="21"/>
  <c r="G38" i="21"/>
  <c r="D23" i="22" s="1"/>
  <c r="F23" i="22" s="1"/>
  <c r="M23" i="22" s="1"/>
  <c r="E37" i="19"/>
  <c r="D37" i="19"/>
  <c r="D26" i="19" s="1"/>
  <c r="E36" i="19"/>
  <c r="J26" i="22" l="1"/>
  <c r="J23" i="22"/>
  <c r="J13" i="22"/>
  <c r="M20" i="22"/>
  <c r="J20" i="22"/>
  <c r="J39" i="21"/>
  <c r="F24" i="22" s="1"/>
  <c r="J38" i="21"/>
  <c r="J18" i="21"/>
  <c r="F14" i="22" s="1"/>
  <c r="M14" i="22" s="1"/>
  <c r="J17" i="21"/>
  <c r="F13" i="19"/>
  <c r="G13" i="19" s="1"/>
  <c r="F14" i="19"/>
  <c r="G14" i="19" s="1"/>
  <c r="D14" i="19"/>
  <c r="D13" i="19"/>
  <c r="M24" i="22" l="1"/>
  <c r="J24" i="22"/>
  <c r="J14" i="22"/>
  <c r="E35" i="19"/>
  <c r="D35" i="19"/>
  <c r="M32" i="19"/>
  <c r="E26" i="19"/>
  <c r="G26" i="19" s="1"/>
  <c r="D12" i="19"/>
  <c r="C12" i="19"/>
  <c r="D11" i="19"/>
  <c r="G36" i="19" l="1"/>
  <c r="G30" i="19"/>
  <c r="G27" i="19"/>
  <c r="G37" i="19"/>
  <c r="B30" i="19"/>
  <c r="F6" i="20"/>
  <c r="G6" i="20" s="1"/>
  <c r="F9" i="20"/>
  <c r="G9" i="20" s="1"/>
  <c r="F8" i="20"/>
  <c r="G8" i="20" s="1"/>
  <c r="H9" i="20" s="1"/>
  <c r="G7" i="20"/>
  <c r="G5" i="20"/>
  <c r="G4" i="20"/>
  <c r="A1" i="20"/>
  <c r="G31" i="19" l="1"/>
  <c r="J32" i="19" s="1"/>
  <c r="H5" i="20"/>
  <c r="H10" i="20" s="1"/>
  <c r="I23" i="23" s="1"/>
  <c r="H16" i="22" l="1"/>
  <c r="I16" i="22" s="1"/>
  <c r="J23" i="23"/>
  <c r="J44" i="23" s="1"/>
  <c r="I22" i="19"/>
  <c r="I22" i="21"/>
  <c r="H11" i="20"/>
  <c r="H12" i="20" s="1"/>
  <c r="B12" i="20" s="1"/>
  <c r="D12" i="20" s="1"/>
  <c r="J22" i="21" l="1"/>
  <c r="E16" i="22"/>
  <c r="F16" i="22" s="1"/>
  <c r="C47" i="23"/>
  <c r="C46" i="23"/>
  <c r="J16" i="22"/>
  <c r="I28" i="22"/>
  <c r="J43" i="21"/>
  <c r="C45" i="21" s="1"/>
  <c r="N32" i="19"/>
  <c r="O32" i="19" s="1"/>
  <c r="C50" i="19"/>
  <c r="C49" i="19"/>
  <c r="G41" i="19"/>
  <c r="J41" i="19" s="1"/>
  <c r="G35" i="19"/>
  <c r="G38" i="19" s="1"/>
  <c r="G21" i="19"/>
  <c r="G22" i="19" s="1"/>
  <c r="J23" i="19" s="1"/>
  <c r="F12" i="19"/>
  <c r="G12" i="19" s="1"/>
  <c r="F11" i="19"/>
  <c r="G11" i="19" s="1"/>
  <c r="F10" i="19"/>
  <c r="G10" i="19" s="1"/>
  <c r="G17" i="19" s="1"/>
  <c r="J6" i="22" l="1"/>
  <c r="E49" i="23"/>
  <c r="E50" i="23" s="1"/>
  <c r="C50" i="23"/>
  <c r="M16" i="22"/>
  <c r="F28" i="22"/>
  <c r="C6" i="22" s="1"/>
  <c r="C46" i="21"/>
  <c r="J18" i="19"/>
  <c r="J27" i="19"/>
  <c r="J39" i="19"/>
  <c r="J38" i="19"/>
  <c r="J22" i="19"/>
  <c r="J28" i="22" l="1"/>
  <c r="E48" i="21"/>
  <c r="E49" i="21" s="1"/>
  <c r="C49" i="21"/>
  <c r="J31" i="19"/>
  <c r="J17" i="19"/>
  <c r="J43" i="19" l="1"/>
  <c r="C45" i="19" s="1"/>
  <c r="C48" i="19" s="1"/>
  <c r="E47" i="19" l="1"/>
  <c r="E48" i="19" s="1"/>
</calcChain>
</file>

<file path=xl/sharedStrings.xml><?xml version="1.0" encoding="utf-8"?>
<sst xmlns="http://schemas.openxmlformats.org/spreadsheetml/2006/main" count="281" uniqueCount="94">
  <si>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</si>
  <si>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</si>
  <si>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</si>
  <si>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</si>
  <si>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</si>
  <si>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</si>
  <si>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</si>
  <si>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</si>
  <si>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</si>
  <si>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</si>
  <si>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</si>
  <si>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</si>
  <si>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</si>
  <si>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</si>
  <si>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</si>
  <si>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</si>
  <si>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</si>
  <si>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</si>
  <si>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</si>
  <si>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</si>
  <si>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</si>
  <si>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</si>
  <si>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</si>
  <si>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</si>
  <si>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</si>
  <si>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</si>
  <si>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</si>
  <si>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</si>
  <si>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</si>
  <si>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</si>
  <si>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</si>
  <si>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sqm</t>
  </si>
  <si>
    <t>Information board</t>
  </si>
  <si>
    <t>-VAT 13% for materials</t>
  </si>
  <si>
    <t xml:space="preserve">g/d k|sf/sf] Sn] / l;N6L df6f]df ;j} lsl;dsf] vGg] sfd </t>
  </si>
  <si>
    <t>;-for footing</t>
  </si>
  <si>
    <t>cum</t>
  </si>
  <si>
    <t xml:space="preserve">hu leQf kvf{ndf l;d]G6 s+lqm6 ug]{ sfd -lk=;L=;L= !M@M$_  </t>
  </si>
  <si>
    <t>no.</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</si>
  <si>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</si>
  <si>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</si>
  <si>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</si>
  <si>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</si>
  <si>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</si>
  <si>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</si>
  <si>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</si>
  <si>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</si>
  <si>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</si>
  <si>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</si>
  <si>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</si>
  <si>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</si>
  <si>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</si>
  <si>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</si>
  <si>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</si>
  <si>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</si>
  <si>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</si>
  <si>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</si>
  <si>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</si>
  <si>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</si>
  <si>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</si>
  <si>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</si>
  <si>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</si>
  <si>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</si>
  <si>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</si>
  <si>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</si>
  <si>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t xml:space="preserve">)=@$ dL=dL= afSnf] ;L=hL=cfO{= 5fgf 5fpg] sfd </t>
  </si>
  <si>
    <t>-for passage flooring</t>
  </si>
  <si>
    <t>Project:- फ्रेंश कृषि तथा पशुपालन</t>
  </si>
  <si>
    <t xml:space="preserve">Date: 2082/02/05  </t>
  </si>
  <si>
    <t>husf] vf8ndf 9'+uf eg]{ / n]en ug]{ sfddf</t>
  </si>
  <si>
    <t>-MS square pipe of 1.5"*1.5" of 1.6mm thickness</t>
  </si>
  <si>
    <t>Project:- इन्द्रायणी एग्रो फर्म प्रा. लि .</t>
  </si>
  <si>
    <t xml:space="preserve">Date:                     </t>
  </si>
  <si>
    <t>dfn;fdfg pknAw u/L )=१७ dL=dL= afSnf] ;L=hL=cfO{= zL6 -h:tf kftfsf]_ 5fgf 5fpg] sfd k'/f .</t>
  </si>
  <si>
    <r>
      <t>CGI</t>
    </r>
    <r>
      <rPr>
        <sz val="13"/>
        <rFont val="Preeti"/>
      </rPr>
      <t xml:space="preserve"> </t>
    </r>
    <r>
      <rPr>
        <sz val="10"/>
        <rFont val="Preeti"/>
      </rPr>
      <t xml:space="preserve">kftf #) u]h </t>
    </r>
    <r>
      <rPr>
        <sz val="8"/>
        <rFont val="Arial"/>
        <family val="2"/>
      </rPr>
      <t>(0.१७mm)</t>
    </r>
  </si>
  <si>
    <t xml:space="preserve">;L=hL=cfO{= 5fgf 5fpg] sfd </t>
  </si>
  <si>
    <t>Work Completion Report</t>
  </si>
  <si>
    <t>Total Estimated Amount:</t>
  </si>
  <si>
    <t>Total Valuated Amount :</t>
  </si>
  <si>
    <t xml:space="preserve">Work Started : </t>
  </si>
  <si>
    <t xml:space="preserve">Work Finished:           </t>
  </si>
  <si>
    <t xml:space="preserve">F.Y:2081/2082             </t>
  </si>
  <si>
    <t xml:space="preserve">Date:                              </t>
  </si>
  <si>
    <t>S.No.</t>
  </si>
  <si>
    <t>Description</t>
  </si>
  <si>
    <t>Estimated</t>
  </si>
  <si>
    <t>Valuated</t>
  </si>
  <si>
    <t>Difference</t>
  </si>
  <si>
    <t xml:space="preserve">Quantity </t>
  </si>
  <si>
    <t>Total</t>
  </si>
  <si>
    <t>-inclined member</t>
  </si>
  <si>
    <t>Total Valuated</t>
  </si>
  <si>
    <t>Detail Valuated Sheet</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</si>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</sst>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3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color theme="1"/>
      <name val="Preeti"/>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130">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0" fontId="0" fillId="0" borderId="5" xfId="0" applyBorder="1" applyAlignment="1">
      <alignment vertical="center"/>
    </xf>
    <xf numFmtId="2" fontId="0" fillId="0" borderId="5" xfId="0" applyNumberFormat="1" applyBorder="1" applyAlignment="1">
      <alignment vertical="center"/>
    </xf>
    <xf numFmtId="0" fontId="6" fillId="0" borderId="0" xfId="0" applyFont="1" applyAlignment="1">
      <alignment horizontal="right"/>
    </xf>
    <xf numFmtId="0" fontId="28" fillId="0" borderId="0" xfId="0" applyFont="1"/>
    <xf numFmtId="0" fontId="29" fillId="0" borderId="0" xfId="0" applyFont="1" applyAlignment="1">
      <alignment horizontal="center"/>
    </xf>
    <xf numFmtId="0" fontId="0" fillId="0" borderId="0" xfId="0" applyAlignment="1">
      <alignment horizontal="left"/>
    </xf>
    <xf numFmtId="0" fontId="0" fillId="3" borderId="1" xfId="0" applyFill="1" applyBorder="1"/>
    <xf numFmtId="1" fontId="3" fillId="0" borderId="1" xfId="0" applyNumberFormat="1" applyFont="1" applyBorder="1" applyAlignment="1">
      <alignment vertical="center"/>
    </xf>
    <xf numFmtId="164" fontId="2" fillId="0" borderId="1" xfId="1" applyFont="1" applyBorder="1" applyAlignment="1">
      <alignment vertical="center"/>
    </xf>
    <xf numFmtId="0" fontId="0" fillId="0" borderId="1" xfId="0" applyBorder="1" applyAlignment="1">
      <alignment vertical="center" wrapText="1"/>
    </xf>
    <xf numFmtId="2" fontId="0" fillId="0" borderId="0" xfId="0" applyNumberFormat="1" applyAlignment="1">
      <alignment vertical="center"/>
    </xf>
    <xf numFmtId="1" fontId="6" fillId="0" borderId="1" xfId="0" applyNumberFormat="1" applyFont="1" applyFill="1" applyBorder="1" applyAlignment="1">
      <alignment horizontal="right" vertical="center" wrapText="1"/>
    </xf>
    <xf numFmtId="0" fontId="3" fillId="0" borderId="1" xfId="0" applyFont="1" applyBorder="1" applyAlignment="1">
      <alignment vertical="center"/>
    </xf>
    <xf numFmtId="0" fontId="10" fillId="0" borderId="1" xfId="0" applyFont="1" applyBorder="1" applyAlignment="1">
      <alignment vertical="center"/>
    </xf>
    <xf numFmtId="1" fontId="30" fillId="0" borderId="1" xfId="0" applyNumberFormat="1" applyFont="1" applyBorder="1" applyAlignment="1">
      <alignment vertical="center" wrapText="1"/>
    </xf>
    <xf numFmtId="1" fontId="10" fillId="0" borderId="1" xfId="0" applyNumberFormat="1" applyFont="1" applyBorder="1" applyAlignment="1">
      <alignment vertical="center" wrapText="1"/>
    </xf>
    <xf numFmtId="0" fontId="2" fillId="0" borderId="1" xfId="0" applyFont="1" applyBorder="1" applyAlignment="1">
      <alignment horizontal="right"/>
    </xf>
    <xf numFmtId="164" fontId="2" fillId="0" borderId="1" xfId="1" applyFont="1" applyBorder="1"/>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6" xfId="0" applyNumberFormat="1" applyBorder="1" applyAlignment="1">
      <alignment horizontal="center" vertical="center"/>
    </xf>
    <xf numFmtId="2" fontId="0" fillId="0" borderId="10" xfId="0" applyNumberFormat="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0" borderId="0" xfId="0" applyAlignment="1">
      <alignment horizontal="left"/>
    </xf>
    <xf numFmtId="0" fontId="3"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164" fontId="28" fillId="0" borderId="0" xfId="0" applyNumberFormat="1" applyFont="1" applyAlignment="1">
      <alignment horizontal="center"/>
    </xf>
    <xf numFmtId="0" fontId="28" fillId="0" borderId="0" xfId="0" applyFont="1" applyAlignment="1">
      <alignment horizont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6" fillId="0" borderId="0" xfId="0" applyFont="1" applyAlignment="1"/>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ew%20folder\081-082\ofc\ofc\Rate%20analysis\for-all-Civil-rate-analysis-81-82-shankharapur-Municipality.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opLeftCell="A30" zoomScaleNormal="100" zoomScaleSheetLayoutView="80" workbookViewId="0">
      <selection activeCell="E35" sqref="E35"/>
    </sheetView>
  </sheetViews>
  <sheetFormatPr defaultRowHeight="14.4"/>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9.332031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c r="A1" s="95" t="s">
        <v>0</v>
      </c>
      <c r="B1" s="95"/>
      <c r="C1" s="95"/>
      <c r="D1" s="95"/>
      <c r="E1" s="95"/>
      <c r="F1" s="95"/>
      <c r="G1" s="95"/>
      <c r="H1" s="95"/>
      <c r="I1" s="95"/>
      <c r="J1" s="95"/>
      <c r="K1" s="95"/>
    </row>
    <row r="2" spans="1:13" s="1" customFormat="1" ht="22.8">
      <c r="A2" s="96" t="s">
        <v>1</v>
      </c>
      <c r="B2" s="96"/>
      <c r="C2" s="96"/>
      <c r="D2" s="96"/>
      <c r="E2" s="96"/>
      <c r="F2" s="96"/>
      <c r="G2" s="96"/>
      <c r="H2" s="96"/>
      <c r="I2" s="96"/>
      <c r="J2" s="96"/>
      <c r="K2" s="96"/>
    </row>
    <row r="3" spans="1:13" s="1" customFormat="1">
      <c r="A3" s="97" t="s">
        <v>2</v>
      </c>
      <c r="B3" s="97"/>
      <c r="C3" s="97"/>
      <c r="D3" s="97"/>
      <c r="E3" s="97"/>
      <c r="F3" s="97"/>
      <c r="G3" s="97"/>
      <c r="H3" s="97"/>
      <c r="I3" s="97"/>
      <c r="J3" s="97"/>
      <c r="K3" s="97"/>
    </row>
    <row r="4" spans="1:13" s="1" customFormat="1">
      <c r="A4" s="97" t="s">
        <v>3</v>
      </c>
      <c r="B4" s="97"/>
      <c r="C4" s="97"/>
      <c r="D4" s="97"/>
      <c r="E4" s="97"/>
      <c r="F4" s="97"/>
      <c r="G4" s="97"/>
      <c r="H4" s="97"/>
      <c r="I4" s="97"/>
      <c r="J4" s="97"/>
      <c r="K4" s="97"/>
    </row>
    <row r="5" spans="1:13" ht="17.399999999999999">
      <c r="A5" s="98" t="s">
        <v>4</v>
      </c>
      <c r="B5" s="98"/>
      <c r="C5" s="98"/>
      <c r="D5" s="98"/>
      <c r="E5" s="98"/>
      <c r="F5" s="98"/>
      <c r="G5" s="98"/>
      <c r="H5" s="98"/>
      <c r="I5" s="98"/>
      <c r="J5" s="98"/>
      <c r="K5" s="98"/>
    </row>
    <row r="6" spans="1:13" ht="18">
      <c r="A6" s="93" t="s">
        <v>67</v>
      </c>
      <c r="B6" s="93"/>
      <c r="C6" s="93"/>
      <c r="D6" s="93"/>
      <c r="E6" s="93"/>
      <c r="F6" s="93"/>
      <c r="G6" s="93"/>
      <c r="H6" s="94" t="s">
        <v>24</v>
      </c>
      <c r="I6" s="94"/>
      <c r="J6" s="94"/>
      <c r="K6" s="94"/>
    </row>
    <row r="7" spans="1:13" ht="15.6">
      <c r="A7" s="101" t="s">
        <v>23</v>
      </c>
      <c r="B7" s="101"/>
      <c r="C7" s="101"/>
      <c r="D7" s="101"/>
      <c r="E7" s="101"/>
      <c r="F7" s="101"/>
      <c r="G7" s="2"/>
      <c r="H7" s="94" t="s">
        <v>68</v>
      </c>
      <c r="I7" s="94"/>
      <c r="J7" s="94"/>
      <c r="K7" s="94"/>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1.4">
      <c r="A9" s="21">
        <v>1</v>
      </c>
      <c r="B9" s="37" t="s">
        <v>29</v>
      </c>
      <c r="C9" s="22" t="s">
        <v>7</v>
      </c>
      <c r="D9" s="34" t="s">
        <v>26</v>
      </c>
      <c r="E9" s="35" t="s">
        <v>28</v>
      </c>
      <c r="F9" s="35" t="s">
        <v>27</v>
      </c>
      <c r="G9" s="35"/>
      <c r="H9" s="25"/>
      <c r="I9" s="26"/>
      <c r="J9" s="27"/>
      <c r="K9" s="24"/>
    </row>
    <row r="10" spans="1:13" s="1" customFormat="1" ht="27.6">
      <c r="A10" s="38"/>
      <c r="B10" s="39" t="s">
        <v>70</v>
      </c>
      <c r="C10" s="40">
        <v>3</v>
      </c>
      <c r="D10" s="10">
        <v>2.5299999999999998</v>
      </c>
      <c r="E10" s="10">
        <v>1.83</v>
      </c>
      <c r="F10" s="10">
        <f t="shared" ref="F10:F12" si="0">PRODUCT(C10:E10)</f>
        <v>13.889699999999999</v>
      </c>
      <c r="G10" s="36">
        <f t="shared" ref="G10:G12"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ref="F13:F14" si="2">PRODUCT(C13:E13)</f>
        <v>16.73270344407193</v>
      </c>
      <c r="G13" s="36">
        <f t="shared" ref="G13:G14" si="3">F13</f>
        <v>16.73270344407193</v>
      </c>
      <c r="H13" s="27"/>
      <c r="I13" s="27"/>
      <c r="J13" s="27"/>
      <c r="K13" s="11"/>
      <c r="M13" s="12"/>
    </row>
    <row r="14" spans="1:13" s="1" customFormat="1">
      <c r="A14" s="38"/>
      <c r="B14" s="39"/>
      <c r="C14" s="40">
        <v>3</v>
      </c>
      <c r="D14" s="10">
        <f>7.5/3.281</f>
        <v>2.2858884486437061</v>
      </c>
      <c r="E14" s="10">
        <v>1.83</v>
      </c>
      <c r="F14" s="10">
        <f t="shared" si="2"/>
        <v>12.549527583053948</v>
      </c>
      <c r="G14" s="36">
        <f t="shared" si="3"/>
        <v>12.549527583053948</v>
      </c>
      <c r="H14" s="27"/>
      <c r="I14" s="27"/>
      <c r="J14" s="27"/>
      <c r="K14" s="11"/>
      <c r="M14" s="12"/>
    </row>
    <row r="15" spans="1:13" s="1" customFormat="1">
      <c r="A15" s="38"/>
      <c r="B15" s="39"/>
      <c r="C15" s="40">
        <v>3</v>
      </c>
      <c r="D15" s="10">
        <f>7/3.281</f>
        <v>2.1334958854007922</v>
      </c>
      <c r="E15" s="10">
        <v>1.83</v>
      </c>
      <c r="F15" s="10">
        <f t="shared" ref="F15" si="4">PRODUCT(C15:E15)</f>
        <v>11.712892410850349</v>
      </c>
      <c r="G15" s="36">
        <f t="shared" ref="G15" si="5">F15</f>
        <v>11.712892410850349</v>
      </c>
      <c r="H15" s="27"/>
      <c r="I15" s="27"/>
      <c r="J15" s="27"/>
      <c r="K15" s="11"/>
      <c r="M15" s="12"/>
    </row>
    <row r="16" spans="1:13" s="1" customFormat="1">
      <c r="A16" s="38"/>
      <c r="B16" s="39"/>
      <c r="C16" s="40">
        <v>2</v>
      </c>
      <c r="D16" s="10">
        <f>4.5</f>
        <v>4.5</v>
      </c>
      <c r="E16" s="10">
        <v>1.83</v>
      </c>
      <c r="F16" s="10">
        <f t="shared" ref="F16" si="6">PRODUCT(C16:E16)</f>
        <v>16.47</v>
      </c>
      <c r="G16" s="36">
        <f t="shared" ref="G16" si="7">F16</f>
        <v>16.47</v>
      </c>
      <c r="H16" s="27"/>
      <c r="I16" s="27"/>
      <c r="J16" s="27"/>
      <c r="K16" s="11"/>
      <c r="M16" s="12"/>
    </row>
    <row r="17" spans="1:15" s="1" customFormat="1">
      <c r="A17" s="21"/>
      <c r="B17" s="39" t="s">
        <v>25</v>
      </c>
      <c r="C17" s="22"/>
      <c r="D17" s="23"/>
      <c r="E17" s="24"/>
      <c r="F17" s="24"/>
      <c r="G17" s="27">
        <f>SUM(G10:G16)</f>
        <v>76.011218744285287</v>
      </c>
      <c r="H17" s="25" t="s">
        <v>30</v>
      </c>
      <c r="I17" s="26">
        <v>181.17</v>
      </c>
      <c r="J17" s="27">
        <f>G17*I17</f>
        <v>13770.952499902165</v>
      </c>
      <c r="K17" s="24"/>
    </row>
    <row r="18" spans="1:15" s="1" customFormat="1">
      <c r="A18" s="21"/>
      <c r="B18" s="39" t="s">
        <v>33</v>
      </c>
      <c r="C18" s="22"/>
      <c r="D18" s="23"/>
      <c r="E18" s="24"/>
      <c r="F18" s="24"/>
      <c r="G18" s="27"/>
      <c r="H18" s="25"/>
      <c r="I18" s="26"/>
      <c r="J18" s="27">
        <f>0.13*G17*(1871.42/18.94)</f>
        <v>976.36530874952211</v>
      </c>
      <c r="K18" s="24"/>
    </row>
    <row r="19" spans="1:15" s="1" customFormat="1" ht="15">
      <c r="A19" s="21"/>
      <c r="B19" s="37"/>
      <c r="C19" s="22"/>
      <c r="D19" s="23"/>
      <c r="E19" s="24"/>
      <c r="F19" s="24"/>
      <c r="G19" s="28"/>
      <c r="H19" s="25"/>
      <c r="I19" s="26"/>
      <c r="J19" s="27"/>
      <c r="K19" s="24"/>
    </row>
    <row r="20" spans="1:15" s="1" customFormat="1" ht="30">
      <c r="A20" s="38">
        <v>2</v>
      </c>
      <c r="B20" s="74" t="s">
        <v>65</v>
      </c>
      <c r="C20" s="40"/>
      <c r="D20" s="10"/>
      <c r="E20" s="10"/>
      <c r="F20" s="10"/>
      <c r="G20" s="36"/>
      <c r="H20" s="27"/>
      <c r="I20" s="27"/>
      <c r="J20" s="27"/>
      <c r="K20" s="11"/>
      <c r="M20" s="12"/>
    </row>
    <row r="21" spans="1:15" s="1" customFormat="1">
      <c r="A21" s="38"/>
      <c r="B21" s="39"/>
      <c r="C21" s="40">
        <v>1</v>
      </c>
      <c r="D21" s="10">
        <v>4</v>
      </c>
      <c r="E21" s="10">
        <f>7/3.281</f>
        <v>2.1334958854007922</v>
      </c>
      <c r="F21" s="10"/>
      <c r="G21" s="36">
        <f>PRODUCT(C21:F21)</f>
        <v>8.5339835416031686</v>
      </c>
      <c r="H21" s="27"/>
      <c r="I21" s="27"/>
      <c r="J21" s="27"/>
      <c r="K21" s="11"/>
      <c r="M21" s="12"/>
      <c r="N21" s="1">
        <f>D21*5</f>
        <v>20</v>
      </c>
      <c r="O21" s="1">
        <f>4.5</f>
        <v>4.5</v>
      </c>
    </row>
    <row r="22" spans="1:15" s="1" customFormat="1">
      <c r="A22" s="21"/>
      <c r="B22" s="39" t="s">
        <v>25</v>
      </c>
      <c r="C22" s="22"/>
      <c r="D22" s="23"/>
      <c r="E22" s="24"/>
      <c r="F22" s="24"/>
      <c r="G22" s="27">
        <f>SUM(G21:G21)</f>
        <v>8.5339835416031686</v>
      </c>
      <c r="H22" s="25" t="s">
        <v>31</v>
      </c>
      <c r="I22" s="26">
        <f>Sheet1!H10/10</f>
        <v>249.75</v>
      </c>
      <c r="J22" s="27">
        <f>G22*I22</f>
        <v>2131.3623895153914</v>
      </c>
      <c r="K22" s="24"/>
    </row>
    <row r="23" spans="1:15" s="1" customFormat="1" hidden="1">
      <c r="A23" s="21"/>
      <c r="B23" s="39" t="s">
        <v>33</v>
      </c>
      <c r="C23" s="22"/>
      <c r="D23" s="23"/>
      <c r="E23" s="24"/>
      <c r="F23" s="24"/>
      <c r="G23" s="27"/>
      <c r="H23" s="25"/>
      <c r="I23" s="26"/>
      <c r="J23" s="27">
        <f>0*0.13*G22*5298.54/10</f>
        <v>0</v>
      </c>
      <c r="K23" s="24"/>
    </row>
    <row r="24" spans="1:15" s="1" customFormat="1">
      <c r="A24" s="21"/>
      <c r="B24" s="39"/>
      <c r="C24" s="22"/>
      <c r="D24" s="23"/>
      <c r="E24" s="24"/>
      <c r="F24" s="24"/>
      <c r="G24" s="27"/>
      <c r="H24" s="25"/>
      <c r="I24" s="26"/>
      <c r="J24" s="27"/>
      <c r="K24" s="24"/>
    </row>
    <row r="25" spans="1:15" s="1" customFormat="1" ht="30">
      <c r="A25" s="21">
        <v>3</v>
      </c>
      <c r="B25" s="37" t="s">
        <v>34</v>
      </c>
      <c r="C25" s="22"/>
      <c r="D25" s="23"/>
      <c r="E25" s="24"/>
      <c r="F25" s="24"/>
      <c r="G25" s="27"/>
      <c r="H25" s="25"/>
      <c r="I25" s="26"/>
      <c r="J25" s="27"/>
      <c r="K25" s="24"/>
    </row>
    <row r="26" spans="1:15" s="1" customFormat="1">
      <c r="A26" s="21"/>
      <c r="B26" s="39" t="s">
        <v>66</v>
      </c>
      <c r="C26" s="22">
        <v>1</v>
      </c>
      <c r="D26" s="23">
        <f>D37</f>
        <v>4.8765620237732392</v>
      </c>
      <c r="E26" s="24">
        <f>10/3.281</f>
        <v>3.047851264858275</v>
      </c>
      <c r="F26" s="24">
        <v>0.15</v>
      </c>
      <c r="G26" s="36">
        <f t="shared" ref="G26" si="8">PRODUCT(C26:F26)</f>
        <v>2.2294553598475644</v>
      </c>
      <c r="H26" s="25"/>
      <c r="I26" s="26"/>
      <c r="J26" s="27"/>
      <c r="K26" s="24"/>
    </row>
    <row r="27" spans="1:15" s="1" customFormat="1">
      <c r="A27" s="21"/>
      <c r="B27" s="39" t="s">
        <v>25</v>
      </c>
      <c r="C27" s="22"/>
      <c r="D27" s="23"/>
      <c r="E27" s="24"/>
      <c r="F27" s="24"/>
      <c r="G27" s="27">
        <f>SUM(G26:G26)</f>
        <v>2.2294553598475644</v>
      </c>
      <c r="H27" s="25" t="s">
        <v>36</v>
      </c>
      <c r="I27" s="26">
        <v>663.31</v>
      </c>
      <c r="J27" s="27">
        <f>G27*I27</f>
        <v>1478.8200347404877</v>
      </c>
      <c r="K27" s="24"/>
    </row>
    <row r="28" spans="1:15" s="1" customFormat="1">
      <c r="A28" s="21"/>
      <c r="B28" s="39"/>
      <c r="C28" s="22"/>
      <c r="D28" s="23"/>
      <c r="E28" s="24"/>
      <c r="F28" s="24"/>
      <c r="G28" s="27"/>
      <c r="H28" s="25"/>
      <c r="I28" s="26"/>
      <c r="J28" s="27"/>
      <c r="K28" s="24"/>
    </row>
    <row r="29" spans="1:15" s="1" customFormat="1" ht="30">
      <c r="A29" s="21">
        <v>4</v>
      </c>
      <c r="B29" s="74" t="s">
        <v>69</v>
      </c>
      <c r="C29" s="22"/>
      <c r="D29" s="23"/>
      <c r="E29" s="24"/>
      <c r="F29" s="24"/>
      <c r="G29" s="27"/>
      <c r="H29" s="25"/>
      <c r="I29" s="26"/>
      <c r="J29" s="27"/>
      <c r="K29" s="24"/>
    </row>
    <row r="30" spans="1:15" s="1" customFormat="1">
      <c r="A30" s="21"/>
      <c r="B30" s="39" t="str">
        <f>B26</f>
        <v>-for passage flooring</v>
      </c>
      <c r="C30" s="22">
        <v>1</v>
      </c>
      <c r="D30" s="23">
        <v>4</v>
      </c>
      <c r="E30" s="24">
        <v>1.5</v>
      </c>
      <c r="F30" s="24">
        <v>0.15</v>
      </c>
      <c r="G30" s="36">
        <f t="shared" ref="G30" si="9">PRODUCT(C30:F30)</f>
        <v>0.89999999999999991</v>
      </c>
      <c r="H30" s="25"/>
      <c r="I30" s="26"/>
      <c r="J30" s="27"/>
      <c r="K30" s="24"/>
    </row>
    <row r="31" spans="1:15" s="1" customFormat="1">
      <c r="A31" s="21"/>
      <c r="B31" s="39" t="s">
        <v>25</v>
      </c>
      <c r="C31" s="22"/>
      <c r="D31" s="23"/>
      <c r="E31" s="24"/>
      <c r="F31" s="24"/>
      <c r="G31" s="27">
        <f>SUM(G30:G30)</f>
        <v>0.89999999999999991</v>
      </c>
      <c r="H31" s="25" t="s">
        <v>31</v>
      </c>
      <c r="I31" s="26">
        <v>4473.1499999999996</v>
      </c>
      <c r="J31" s="27">
        <f>G31*I31</f>
        <v>4025.8349999999991</v>
      </c>
      <c r="K31" s="24"/>
    </row>
    <row r="32" spans="1:15" s="1" customFormat="1">
      <c r="A32" s="21"/>
      <c r="B32" s="39" t="s">
        <v>33</v>
      </c>
      <c r="C32" s="22"/>
      <c r="D32" s="23"/>
      <c r="E32" s="24"/>
      <c r="F32" s="24"/>
      <c r="G32" s="27"/>
      <c r="H32" s="25"/>
      <c r="I32" s="26"/>
      <c r="J32" s="27">
        <f>0.13*G31*3093.15</f>
        <v>361.89855</v>
      </c>
      <c r="K32" s="24"/>
      <c r="M32" s="1">
        <f>4434</f>
        <v>4434</v>
      </c>
      <c r="N32" s="1" t="e">
        <f>(PRODUCT(#REF!))*0.15+(PRODUCT(#REF!))*0.15+(PRODUCT(C30:E30))*0.15</f>
        <v>#REF!</v>
      </c>
      <c r="O32" s="1" t="e">
        <f>N32*M32</f>
        <v>#REF!</v>
      </c>
    </row>
    <row r="33" spans="1:31" s="1" customFormat="1">
      <c r="A33" s="21"/>
      <c r="B33" s="39"/>
      <c r="C33" s="22"/>
      <c r="D33" s="23"/>
      <c r="E33" s="24"/>
      <c r="F33" s="24"/>
      <c r="G33" s="27"/>
      <c r="H33" s="25"/>
      <c r="I33" s="26"/>
      <c r="J33" s="27"/>
      <c r="K33" s="24"/>
    </row>
    <row r="34" spans="1:31" s="1" customFormat="1" ht="30">
      <c r="A34" s="21">
        <v>5</v>
      </c>
      <c r="B34" s="37" t="s">
        <v>37</v>
      </c>
      <c r="C34" s="22"/>
      <c r="D34" s="23"/>
      <c r="E34" s="24"/>
      <c r="F34" s="24"/>
      <c r="G34" s="27"/>
      <c r="H34" s="25"/>
      <c r="I34" s="26"/>
      <c r="J34" s="27"/>
      <c r="K34" s="24"/>
    </row>
    <row r="35" spans="1:31" s="1" customFormat="1">
      <c r="A35" s="21"/>
      <c r="B35" s="39" t="s">
        <v>35</v>
      </c>
      <c r="C35" s="22">
        <v>1</v>
      </c>
      <c r="D35" s="23">
        <f>11/3.281</f>
        <v>3.3526363913441024</v>
      </c>
      <c r="E35" s="24">
        <f>8.25/3.281</f>
        <v>2.5144772935080768</v>
      </c>
      <c r="F35" s="24">
        <v>0.05</v>
      </c>
      <c r="G35" s="36">
        <f>PRODUCT(C35:F35)</f>
        <v>0.42150640397118022</v>
      </c>
      <c r="H35" s="25"/>
      <c r="I35" s="26"/>
      <c r="J35" s="27"/>
      <c r="K35" s="24"/>
    </row>
    <row r="36" spans="1:31" s="1" customFormat="1">
      <c r="A36" s="21"/>
      <c r="B36" s="39"/>
      <c r="C36" s="22">
        <v>1</v>
      </c>
      <c r="D36" s="23">
        <v>4.7</v>
      </c>
      <c r="E36" s="24">
        <f>2.58</f>
        <v>2.58</v>
      </c>
      <c r="F36" s="24">
        <v>0.1</v>
      </c>
      <c r="G36" s="36">
        <f t="shared" ref="G36:G37" si="10">PRODUCT(C36:F36)</f>
        <v>1.2126000000000001</v>
      </c>
      <c r="H36" s="25"/>
      <c r="I36" s="26"/>
      <c r="J36" s="27"/>
      <c r="K36" s="24"/>
    </row>
    <row r="37" spans="1:31" s="1" customFormat="1">
      <c r="A37" s="21"/>
      <c r="B37" s="39"/>
      <c r="C37" s="22">
        <v>1</v>
      </c>
      <c r="D37" s="23">
        <f>16/3.281</f>
        <v>4.8765620237732392</v>
      </c>
      <c r="E37" s="24">
        <f>(2.8+2.2)/2</f>
        <v>2.5</v>
      </c>
      <c r="F37" s="24">
        <v>0.1</v>
      </c>
      <c r="G37" s="36">
        <f t="shared" si="10"/>
        <v>1.2191405059433098</v>
      </c>
      <c r="H37" s="25"/>
      <c r="I37" s="26"/>
      <c r="J37" s="27"/>
      <c r="K37" s="24"/>
    </row>
    <row r="38" spans="1:31" s="1" customFormat="1">
      <c r="A38" s="21"/>
      <c r="B38" s="39" t="s">
        <v>25</v>
      </c>
      <c r="C38" s="22"/>
      <c r="D38" s="23"/>
      <c r="E38" s="24"/>
      <c r="F38" s="24"/>
      <c r="G38" s="27">
        <f>SUM(G35:G37)</f>
        <v>2.8532469099144899</v>
      </c>
      <c r="H38" s="25" t="s">
        <v>36</v>
      </c>
      <c r="I38" s="26">
        <v>12983.1</v>
      </c>
      <c r="J38" s="27">
        <f>G38*I38</f>
        <v>37043.989956110818</v>
      </c>
      <c r="K38" s="24"/>
    </row>
    <row r="39" spans="1:31" s="1" customFormat="1">
      <c r="A39" s="21"/>
      <c r="B39" s="39" t="s">
        <v>33</v>
      </c>
      <c r="C39" s="22"/>
      <c r="D39" s="23"/>
      <c r="E39" s="24"/>
      <c r="F39" s="24"/>
      <c r="G39" s="27"/>
      <c r="H39" s="25"/>
      <c r="I39" s="26"/>
      <c r="J39" s="27">
        <f>0.13*G38*8078.11</f>
        <v>2996.3495114084144</v>
      </c>
      <c r="K39" s="24"/>
    </row>
    <row r="40" spans="1:31" s="1" customFormat="1">
      <c r="A40" s="21"/>
      <c r="B40" s="39"/>
      <c r="C40" s="22"/>
      <c r="D40" s="23"/>
      <c r="E40" s="24"/>
      <c r="F40" s="24"/>
      <c r="G40" s="27"/>
      <c r="H40" s="25"/>
      <c r="I40" s="26"/>
      <c r="J40" s="27"/>
      <c r="K40" s="24"/>
    </row>
    <row r="41" spans="1:31" s="1" customFormat="1">
      <c r="A41" s="21">
        <v>6</v>
      </c>
      <c r="B41" s="41" t="s">
        <v>32</v>
      </c>
      <c r="C41" s="22">
        <v>1</v>
      </c>
      <c r="D41" s="23"/>
      <c r="E41" s="24"/>
      <c r="F41" s="24"/>
      <c r="G41" s="36">
        <f>PRODUCT(C41:F41)</f>
        <v>1</v>
      </c>
      <c r="H41" s="25" t="s">
        <v>38</v>
      </c>
      <c r="I41" s="26">
        <v>500</v>
      </c>
      <c r="J41" s="27">
        <f>G41*I41</f>
        <v>500</v>
      </c>
      <c r="K41" s="24"/>
    </row>
    <row r="42" spans="1:31" s="1" customFormat="1">
      <c r="A42" s="21"/>
      <c r="B42" s="39"/>
      <c r="C42" s="22"/>
      <c r="D42" s="23"/>
      <c r="E42" s="24"/>
      <c r="F42" s="24"/>
      <c r="G42" s="27"/>
      <c r="H42" s="25"/>
      <c r="I42" s="26"/>
      <c r="J42" s="27"/>
      <c r="K42" s="24"/>
    </row>
    <row r="43" spans="1:31">
      <c r="A43" s="9"/>
      <c r="B43" s="20" t="s">
        <v>16</v>
      </c>
      <c r="C43" s="8"/>
      <c r="D43" s="6"/>
      <c r="E43" s="6"/>
      <c r="F43" s="6"/>
      <c r="G43" s="33"/>
      <c r="H43" s="7"/>
      <c r="I43" s="7"/>
      <c r="J43" s="7">
        <f>SUM(J10:J42)</f>
        <v>63285.573250426802</v>
      </c>
      <c r="K43" s="4"/>
      <c r="M43" s="29"/>
      <c r="P43" s="32"/>
      <c r="Q43" s="32"/>
    </row>
    <row r="44" spans="1:31">
      <c r="M44" s="29"/>
      <c r="N44" s="30"/>
      <c r="O44" s="30"/>
      <c r="P44" s="31"/>
      <c r="R44" s="30"/>
      <c r="S44" s="30"/>
      <c r="T44" s="30"/>
      <c r="U44" s="29"/>
      <c r="V44" s="29"/>
      <c r="W44" s="29"/>
      <c r="X44" s="29"/>
      <c r="Y44" s="29"/>
      <c r="Z44" s="29"/>
      <c r="AA44" s="29"/>
      <c r="AB44" s="29"/>
      <c r="AC44" s="29"/>
      <c r="AD44" s="29"/>
      <c r="AE44" s="29"/>
    </row>
    <row r="45" spans="1:31" s="1" customFormat="1">
      <c r="B45" s="11" t="s">
        <v>22</v>
      </c>
      <c r="C45" s="99">
        <f>J43</f>
        <v>63285.573250426802</v>
      </c>
      <c r="D45" s="100"/>
      <c r="E45" s="10">
        <v>100</v>
      </c>
      <c r="F45" s="12"/>
      <c r="G45" s="13"/>
      <c r="H45" s="12"/>
      <c r="I45" s="14"/>
      <c r="J45" s="15"/>
      <c r="K45" s="16"/>
      <c r="M45" s="12"/>
      <c r="N45" s="30"/>
      <c r="O45" s="30"/>
      <c r="P45" s="30"/>
      <c r="Q45" s="30"/>
      <c r="R45" s="30"/>
      <c r="S45" s="30"/>
      <c r="T45" s="30"/>
      <c r="U45" s="12"/>
      <c r="V45" s="12"/>
      <c r="W45" s="12"/>
      <c r="X45" s="12"/>
      <c r="Y45" s="12"/>
      <c r="Z45" s="12"/>
      <c r="AA45" s="12"/>
      <c r="AB45" s="12"/>
      <c r="AC45" s="12"/>
      <c r="AD45" s="12"/>
      <c r="AE45" s="12"/>
    </row>
    <row r="46" spans="1:31">
      <c r="B46" s="11" t="s">
        <v>17</v>
      </c>
      <c r="C46" s="102">
        <v>60000</v>
      </c>
      <c r="D46" s="103"/>
      <c r="E46" s="10"/>
      <c r="M46" s="29"/>
      <c r="N46" s="30"/>
      <c r="O46" s="30"/>
      <c r="P46" s="30"/>
      <c r="Q46" s="30"/>
      <c r="R46" s="30"/>
      <c r="S46" s="30"/>
      <c r="T46" s="30"/>
      <c r="U46" s="29"/>
      <c r="V46" s="29"/>
      <c r="W46" s="29"/>
      <c r="X46" s="29"/>
      <c r="Y46" s="29"/>
      <c r="Z46" s="29"/>
      <c r="AA46" s="29"/>
      <c r="AB46" s="29"/>
      <c r="AC46" s="29"/>
      <c r="AD46" s="29"/>
      <c r="AE46" s="29"/>
    </row>
    <row r="47" spans="1:31">
      <c r="B47" s="11" t="s">
        <v>18</v>
      </c>
      <c r="C47" s="102">
        <v>30000</v>
      </c>
      <c r="D47" s="103"/>
      <c r="E47" s="10">
        <f>C47/C45*100</f>
        <v>47.404168847909865</v>
      </c>
      <c r="M47" s="29"/>
      <c r="N47" s="29"/>
      <c r="O47" s="29"/>
      <c r="P47" s="29"/>
      <c r="Q47" s="29"/>
      <c r="R47" s="29"/>
      <c r="S47" s="29"/>
      <c r="T47" s="29"/>
      <c r="U47" s="29"/>
      <c r="V47" s="29"/>
      <c r="W47" s="29"/>
      <c r="X47" s="29"/>
      <c r="Y47" s="29"/>
      <c r="Z47" s="29"/>
      <c r="AA47" s="29"/>
      <c r="AB47" s="29"/>
      <c r="AC47" s="29"/>
      <c r="AD47" s="29"/>
      <c r="AE47" s="29"/>
    </row>
    <row r="48" spans="1:31">
      <c r="B48" s="11" t="s">
        <v>19</v>
      </c>
      <c r="C48" s="104">
        <f>C45-C47</f>
        <v>33285.573250426802</v>
      </c>
      <c r="D48" s="104"/>
      <c r="E48" s="10">
        <f>100-E47</f>
        <v>52.595831152090135</v>
      </c>
      <c r="M48" s="29"/>
      <c r="N48" s="29"/>
      <c r="O48" s="29"/>
      <c r="P48" s="29"/>
      <c r="Q48" s="29"/>
      <c r="R48" s="29"/>
      <c r="S48" s="29"/>
      <c r="T48" s="29"/>
      <c r="U48" s="29"/>
      <c r="V48" s="29"/>
      <c r="W48" s="29"/>
      <c r="X48" s="29"/>
      <c r="Y48" s="29"/>
      <c r="Z48" s="29"/>
      <c r="AA48" s="29"/>
      <c r="AB48" s="29"/>
      <c r="AC48" s="29"/>
      <c r="AD48" s="29"/>
      <c r="AE48" s="29"/>
    </row>
    <row r="49" spans="2:31">
      <c r="B49" s="11" t="s">
        <v>20</v>
      </c>
      <c r="C49" s="99">
        <f>C46*0.03</f>
        <v>1800</v>
      </c>
      <c r="D49" s="100"/>
      <c r="E49" s="10">
        <v>3</v>
      </c>
      <c r="M49" s="29"/>
      <c r="N49" s="29"/>
      <c r="O49" s="29"/>
      <c r="P49" s="29"/>
      <c r="Q49" s="29"/>
      <c r="R49" s="29"/>
      <c r="S49" s="29"/>
      <c r="T49" s="29"/>
      <c r="U49" s="29"/>
      <c r="V49" s="29"/>
      <c r="W49" s="29"/>
      <c r="X49" s="29"/>
      <c r="Y49" s="29"/>
      <c r="Z49" s="29"/>
      <c r="AA49" s="29"/>
      <c r="AB49" s="29"/>
      <c r="AC49" s="29"/>
      <c r="AD49" s="29"/>
      <c r="AE49" s="29"/>
    </row>
    <row r="50" spans="2:31">
      <c r="B50" s="11" t="s">
        <v>21</v>
      </c>
      <c r="C50" s="99">
        <f>C46*0.02</f>
        <v>1200</v>
      </c>
      <c r="D50" s="100"/>
      <c r="E50" s="10">
        <v>2</v>
      </c>
      <c r="M50" s="29"/>
      <c r="N50" s="29"/>
      <c r="O50" s="29"/>
      <c r="P50" s="29"/>
      <c r="Q50" s="29"/>
      <c r="R50" s="29"/>
      <c r="S50" s="29"/>
      <c r="T50" s="29"/>
      <c r="U50" s="29"/>
      <c r="V50" s="29"/>
      <c r="W50" s="29"/>
      <c r="X50" s="29"/>
      <c r="Y50" s="29"/>
      <c r="Z50" s="29"/>
      <c r="AA50" s="29"/>
      <c r="AB50" s="29"/>
      <c r="AC50" s="29"/>
      <c r="AD50" s="29"/>
      <c r="AE50" s="29"/>
    </row>
  </sheetData>
  <mergeCells count="15">
    <mergeCell ref="C49:D49"/>
    <mergeCell ref="C50:D50"/>
    <mergeCell ref="A7:F7"/>
    <mergeCell ref="H7:K7"/>
    <mergeCell ref="C45:D45"/>
    <mergeCell ref="C46:D46"/>
    <mergeCell ref="C47:D47"/>
    <mergeCell ref="C48:D48"/>
    <mergeCell ref="A6:G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
  <sheetViews>
    <sheetView topLeftCell="A7" zoomScaleNormal="100" zoomScaleSheetLayoutView="80" workbookViewId="0">
      <selection activeCell="F33" sqref="F33"/>
    </sheetView>
  </sheetViews>
  <sheetFormatPr defaultRowHeight="14.4"/>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9.332031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c r="A1" s="95" t="s">
        <v>0</v>
      </c>
      <c r="B1" s="95"/>
      <c r="C1" s="95"/>
      <c r="D1" s="95"/>
      <c r="E1" s="95"/>
      <c r="F1" s="95"/>
      <c r="G1" s="95"/>
      <c r="H1" s="95"/>
      <c r="I1" s="95"/>
      <c r="J1" s="95"/>
      <c r="K1" s="95"/>
    </row>
    <row r="2" spans="1:13" s="1" customFormat="1" ht="22.8">
      <c r="A2" s="96" t="s">
        <v>1</v>
      </c>
      <c r="B2" s="96"/>
      <c r="C2" s="96"/>
      <c r="D2" s="96"/>
      <c r="E2" s="96"/>
      <c r="F2" s="96"/>
      <c r="G2" s="96"/>
      <c r="H2" s="96"/>
      <c r="I2" s="96"/>
      <c r="J2" s="96"/>
      <c r="K2" s="96"/>
    </row>
    <row r="3" spans="1:13" s="1" customFormat="1">
      <c r="A3" s="97" t="s">
        <v>2</v>
      </c>
      <c r="B3" s="97"/>
      <c r="C3" s="97"/>
      <c r="D3" s="97"/>
      <c r="E3" s="97"/>
      <c r="F3" s="97"/>
      <c r="G3" s="97"/>
      <c r="H3" s="97"/>
      <c r="I3" s="97"/>
      <c r="J3" s="97"/>
      <c r="K3" s="97"/>
    </row>
    <row r="4" spans="1:13" s="1" customFormat="1">
      <c r="A4" s="97" t="s">
        <v>3</v>
      </c>
      <c r="B4" s="97"/>
      <c r="C4" s="97"/>
      <c r="D4" s="97"/>
      <c r="E4" s="97"/>
      <c r="F4" s="97"/>
      <c r="G4" s="97"/>
      <c r="H4" s="97"/>
      <c r="I4" s="97"/>
      <c r="J4" s="97"/>
      <c r="K4" s="97"/>
    </row>
    <row r="5" spans="1:13" ht="17.399999999999999">
      <c r="A5" s="98" t="s">
        <v>4</v>
      </c>
      <c r="B5" s="98"/>
      <c r="C5" s="98"/>
      <c r="D5" s="98"/>
      <c r="E5" s="98"/>
      <c r="F5" s="98"/>
      <c r="G5" s="98"/>
      <c r="H5" s="98"/>
      <c r="I5" s="98"/>
      <c r="J5" s="98"/>
      <c r="K5" s="98"/>
    </row>
    <row r="6" spans="1:13" ht="18">
      <c r="A6" s="93" t="s">
        <v>71</v>
      </c>
      <c r="B6" s="93"/>
      <c r="C6" s="93"/>
      <c r="D6" s="93"/>
      <c r="E6" s="93"/>
      <c r="F6" s="93"/>
      <c r="G6" s="93"/>
      <c r="H6" s="94" t="s">
        <v>24</v>
      </c>
      <c r="I6" s="94"/>
      <c r="J6" s="94"/>
      <c r="K6" s="94"/>
    </row>
    <row r="7" spans="1:13" ht="15.6">
      <c r="A7" s="101" t="s">
        <v>23</v>
      </c>
      <c r="B7" s="101"/>
      <c r="C7" s="101"/>
      <c r="D7" s="101"/>
      <c r="E7" s="101"/>
      <c r="F7" s="101"/>
      <c r="G7" s="2"/>
      <c r="H7" s="94" t="s">
        <v>72</v>
      </c>
      <c r="I7" s="94"/>
      <c r="J7" s="94"/>
      <c r="K7" s="94"/>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1.4">
      <c r="A9" s="21">
        <v>1</v>
      </c>
      <c r="B9" s="37" t="s">
        <v>29</v>
      </c>
      <c r="C9" s="22" t="s">
        <v>7</v>
      </c>
      <c r="D9" s="34" t="s">
        <v>26</v>
      </c>
      <c r="E9" s="35" t="s">
        <v>28</v>
      </c>
      <c r="F9" s="35" t="s">
        <v>27</v>
      </c>
      <c r="G9" s="35"/>
      <c r="H9" s="25"/>
      <c r="I9" s="26"/>
      <c r="J9" s="27"/>
      <c r="K9" s="24"/>
    </row>
    <row r="10" spans="1:13" s="1" customFormat="1" ht="27.6">
      <c r="A10" s="38"/>
      <c r="B10" s="39" t="s">
        <v>70</v>
      </c>
      <c r="C10" s="40">
        <v>3</v>
      </c>
      <c r="D10" s="10">
        <v>2.5299999999999998</v>
      </c>
      <c r="E10" s="10">
        <v>1.83</v>
      </c>
      <c r="F10" s="10">
        <f t="shared" ref="F10:F16" si="0">PRODUCT(C10:E10)</f>
        <v>13.889699999999999</v>
      </c>
      <c r="G10" s="36">
        <f t="shared" ref="G10:G16"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si="0"/>
        <v>16.73270344407193</v>
      </c>
      <c r="G13" s="36">
        <f t="shared" si="1"/>
        <v>16.73270344407193</v>
      </c>
      <c r="H13" s="27"/>
      <c r="I13" s="27"/>
      <c r="J13" s="27"/>
      <c r="K13" s="11"/>
      <c r="M13" s="12"/>
    </row>
    <row r="14" spans="1:13" s="1" customFormat="1">
      <c r="A14" s="38"/>
      <c r="B14" s="39"/>
      <c r="C14" s="40">
        <v>3</v>
      </c>
      <c r="D14" s="10">
        <f>7.5/3.281</f>
        <v>2.2858884486437061</v>
      </c>
      <c r="E14" s="10">
        <v>1.83</v>
      </c>
      <c r="F14" s="10">
        <f t="shared" si="0"/>
        <v>12.549527583053948</v>
      </c>
      <c r="G14" s="36">
        <f t="shared" si="1"/>
        <v>12.549527583053948</v>
      </c>
      <c r="H14" s="27"/>
      <c r="I14" s="27"/>
      <c r="J14" s="27"/>
      <c r="K14" s="11"/>
      <c r="M14" s="12"/>
    </row>
    <row r="15" spans="1:13" s="1" customFormat="1">
      <c r="A15" s="38"/>
      <c r="B15" s="39"/>
      <c r="C15" s="40">
        <v>3</v>
      </c>
      <c r="D15" s="10">
        <f>7/3.281</f>
        <v>2.1334958854007922</v>
      </c>
      <c r="E15" s="10">
        <v>1.83</v>
      </c>
      <c r="F15" s="10">
        <f t="shared" si="0"/>
        <v>11.712892410850349</v>
      </c>
      <c r="G15" s="36">
        <f t="shared" si="1"/>
        <v>11.712892410850349</v>
      </c>
      <c r="H15" s="27"/>
      <c r="I15" s="27"/>
      <c r="J15" s="27"/>
      <c r="K15" s="11"/>
      <c r="M15" s="12"/>
    </row>
    <row r="16" spans="1:13" s="1" customFormat="1">
      <c r="A16" s="38"/>
      <c r="B16" s="39"/>
      <c r="C16" s="40">
        <v>2</v>
      </c>
      <c r="D16" s="10">
        <f>4.5</f>
        <v>4.5</v>
      </c>
      <c r="E16" s="10">
        <v>1.83</v>
      </c>
      <c r="F16" s="10">
        <f t="shared" si="0"/>
        <v>16.47</v>
      </c>
      <c r="G16" s="36">
        <f t="shared" si="1"/>
        <v>16.47</v>
      </c>
      <c r="H16" s="27"/>
      <c r="I16" s="27"/>
      <c r="J16" s="27"/>
      <c r="K16" s="11"/>
      <c r="M16" s="12"/>
    </row>
    <row r="17" spans="1:15" s="1" customFormat="1">
      <c r="A17" s="21"/>
      <c r="B17" s="39" t="s">
        <v>25</v>
      </c>
      <c r="C17" s="22"/>
      <c r="D17" s="23"/>
      <c r="E17" s="24"/>
      <c r="F17" s="24"/>
      <c r="G17" s="27">
        <f>SUM(G10:G16)</f>
        <v>76.011218744285287</v>
      </c>
      <c r="H17" s="25" t="s">
        <v>30</v>
      </c>
      <c r="I17" s="26">
        <v>181.17</v>
      </c>
      <c r="J17" s="27">
        <f>G17*I17</f>
        <v>13770.952499902165</v>
      </c>
      <c r="K17" s="24"/>
    </row>
    <row r="18" spans="1:15" s="1" customFormat="1">
      <c r="A18" s="21"/>
      <c r="B18" s="39" t="s">
        <v>33</v>
      </c>
      <c r="C18" s="22"/>
      <c r="D18" s="23"/>
      <c r="E18" s="24"/>
      <c r="F18" s="24"/>
      <c r="G18" s="27"/>
      <c r="H18" s="25"/>
      <c r="I18" s="26"/>
      <c r="J18" s="27">
        <f>0.13*G17*(1871.42/18.94)</f>
        <v>976.36530874952211</v>
      </c>
      <c r="K18" s="24"/>
    </row>
    <row r="19" spans="1:15" s="1" customFormat="1" ht="15">
      <c r="A19" s="21"/>
      <c r="B19" s="37"/>
      <c r="C19" s="22"/>
      <c r="D19" s="23"/>
      <c r="E19" s="24"/>
      <c r="F19" s="24"/>
      <c r="G19" s="28"/>
      <c r="H19" s="25"/>
      <c r="I19" s="26"/>
      <c r="J19" s="27"/>
      <c r="K19" s="24"/>
    </row>
    <row r="20" spans="1:15" s="1" customFormat="1" ht="15">
      <c r="A20" s="38">
        <v>2</v>
      </c>
      <c r="B20" s="74" t="s">
        <v>75</v>
      </c>
      <c r="C20" s="40"/>
      <c r="D20" s="10"/>
      <c r="E20" s="10"/>
      <c r="F20" s="10"/>
      <c r="G20" s="36"/>
      <c r="H20" s="27"/>
      <c r="I20" s="27"/>
      <c r="J20" s="27"/>
      <c r="K20" s="11"/>
      <c r="M20" s="12"/>
    </row>
    <row r="21" spans="1:15" s="1" customFormat="1">
      <c r="A21" s="38"/>
      <c r="B21" s="39"/>
      <c r="C21" s="40">
        <v>1</v>
      </c>
      <c r="D21" s="10">
        <v>4</v>
      </c>
      <c r="E21" s="10">
        <f>7.5/3.281</f>
        <v>2.2858884486437061</v>
      </c>
      <c r="F21" s="10"/>
      <c r="G21" s="36">
        <f>PRODUCT(C21:F21)</f>
        <v>9.1435537945748244</v>
      </c>
      <c r="H21" s="27"/>
      <c r="I21" s="27"/>
      <c r="J21" s="27"/>
      <c r="K21" s="11"/>
      <c r="M21" s="12"/>
      <c r="N21" s="1">
        <f>D21*5</f>
        <v>20</v>
      </c>
      <c r="O21" s="1">
        <f>4.5</f>
        <v>4.5</v>
      </c>
    </row>
    <row r="22" spans="1:15" s="1" customFormat="1">
      <c r="A22" s="21"/>
      <c r="B22" s="39" t="s">
        <v>25</v>
      </c>
      <c r="C22" s="22"/>
      <c r="D22" s="23"/>
      <c r="E22" s="24"/>
      <c r="F22" s="24"/>
      <c r="G22" s="27">
        <f>SUM(G21:G21)</f>
        <v>9.1435537945748244</v>
      </c>
      <c r="H22" s="25" t="s">
        <v>31</v>
      </c>
      <c r="I22" s="26">
        <f>Sheet1!H10/10</f>
        <v>249.75</v>
      </c>
      <c r="J22" s="27">
        <f>G22*I22</f>
        <v>2283.6025601950623</v>
      </c>
      <c r="K22" s="24"/>
    </row>
    <row r="23" spans="1:15" s="1" customFormat="1" hidden="1">
      <c r="A23" s="21"/>
      <c r="B23" s="39" t="s">
        <v>33</v>
      </c>
      <c r="C23" s="22"/>
      <c r="D23" s="23"/>
      <c r="E23" s="24"/>
      <c r="F23" s="24"/>
      <c r="G23" s="27"/>
      <c r="H23" s="25"/>
      <c r="I23" s="26"/>
      <c r="J23" s="27">
        <f>0*0.13*G22*5298.54/10</f>
        <v>0</v>
      </c>
      <c r="K23" s="24"/>
    </row>
    <row r="24" spans="1:15" s="1" customFormat="1">
      <c r="A24" s="21"/>
      <c r="B24" s="39"/>
      <c r="C24" s="22"/>
      <c r="D24" s="23"/>
      <c r="E24" s="24"/>
      <c r="F24" s="24"/>
      <c r="G24" s="27"/>
      <c r="H24" s="25"/>
      <c r="I24" s="26"/>
      <c r="J24" s="27"/>
      <c r="K24" s="24"/>
    </row>
    <row r="25" spans="1:15" s="1" customFormat="1" ht="30">
      <c r="A25" s="21">
        <v>3</v>
      </c>
      <c r="B25" s="37" t="s">
        <v>34</v>
      </c>
      <c r="C25" s="22"/>
      <c r="D25" s="23"/>
      <c r="E25" s="24"/>
      <c r="F25" s="24"/>
      <c r="G25" s="27"/>
      <c r="H25" s="25"/>
      <c r="I25" s="26"/>
      <c r="J25" s="27"/>
      <c r="K25" s="24"/>
    </row>
    <row r="26" spans="1:15" s="1" customFormat="1">
      <c r="A26" s="21"/>
      <c r="B26" s="39" t="s">
        <v>66</v>
      </c>
      <c r="C26" s="22">
        <v>1</v>
      </c>
      <c r="D26" s="23">
        <f>D37</f>
        <v>4.5</v>
      </c>
      <c r="E26" s="24">
        <f>10/3.281</f>
        <v>3.047851264858275</v>
      </c>
      <c r="F26" s="24">
        <v>0.15</v>
      </c>
      <c r="G26" s="36">
        <f t="shared" ref="G26" si="2">PRODUCT(C26:F26)</f>
        <v>2.0572996037793354</v>
      </c>
      <c r="H26" s="25"/>
      <c r="I26" s="26"/>
      <c r="J26" s="27"/>
      <c r="K26" s="24"/>
    </row>
    <row r="27" spans="1:15" s="1" customFormat="1">
      <c r="A27" s="21"/>
      <c r="B27" s="39" t="s">
        <v>25</v>
      </c>
      <c r="C27" s="22"/>
      <c r="D27" s="23"/>
      <c r="E27" s="24"/>
      <c r="F27" s="24"/>
      <c r="G27" s="27">
        <f>SUM(G26:G26)</f>
        <v>2.0572996037793354</v>
      </c>
      <c r="H27" s="25" t="s">
        <v>36</v>
      </c>
      <c r="I27" s="26">
        <v>663.31</v>
      </c>
      <c r="J27" s="27">
        <f>G27*I27</f>
        <v>1364.6274001828708</v>
      </c>
      <c r="K27" s="24"/>
    </row>
    <row r="28" spans="1:15" s="1" customFormat="1">
      <c r="A28" s="21"/>
      <c r="B28" s="39"/>
      <c r="C28" s="22"/>
      <c r="D28" s="23"/>
      <c r="E28" s="24"/>
      <c r="F28" s="24"/>
      <c r="G28" s="27"/>
      <c r="H28" s="25"/>
      <c r="I28" s="26"/>
      <c r="J28" s="27"/>
      <c r="K28" s="24"/>
    </row>
    <row r="29" spans="1:15" s="1" customFormat="1" ht="30">
      <c r="A29" s="21">
        <v>4</v>
      </c>
      <c r="B29" s="74" t="s">
        <v>69</v>
      </c>
      <c r="C29" s="22"/>
      <c r="D29" s="23"/>
      <c r="E29" s="24"/>
      <c r="F29" s="24"/>
      <c r="G29" s="27"/>
      <c r="H29" s="25"/>
      <c r="I29" s="26"/>
      <c r="J29" s="27"/>
      <c r="K29" s="24"/>
    </row>
    <row r="30" spans="1:15" s="1" customFormat="1">
      <c r="A30" s="21"/>
      <c r="B30" s="39" t="str">
        <f>B26</f>
        <v>-for passage flooring</v>
      </c>
      <c r="C30" s="22">
        <v>1</v>
      </c>
      <c r="D30" s="23">
        <v>4</v>
      </c>
      <c r="E30" s="24">
        <v>1.5</v>
      </c>
      <c r="F30" s="24">
        <v>0.15</v>
      </c>
      <c r="G30" s="36">
        <f t="shared" ref="G30" si="3">PRODUCT(C30:F30)</f>
        <v>0.89999999999999991</v>
      </c>
      <c r="H30" s="25"/>
      <c r="I30" s="26"/>
      <c r="J30" s="27"/>
      <c r="K30" s="24"/>
    </row>
    <row r="31" spans="1:15" s="1" customFormat="1">
      <c r="A31" s="21"/>
      <c r="B31" s="39" t="s">
        <v>25</v>
      </c>
      <c r="C31" s="22"/>
      <c r="D31" s="23"/>
      <c r="E31" s="24"/>
      <c r="F31" s="24"/>
      <c r="G31" s="27">
        <f>SUM(G30:G30)</f>
        <v>0.89999999999999991</v>
      </c>
      <c r="H31" s="25" t="s">
        <v>31</v>
      </c>
      <c r="I31" s="26">
        <v>4473.1499999999996</v>
      </c>
      <c r="J31" s="27">
        <f>G31*I31</f>
        <v>4025.8349999999991</v>
      </c>
      <c r="K31" s="24"/>
    </row>
    <row r="32" spans="1:15" s="1" customFormat="1">
      <c r="A32" s="21"/>
      <c r="B32" s="39" t="s">
        <v>33</v>
      </c>
      <c r="C32" s="22"/>
      <c r="D32" s="23"/>
      <c r="E32" s="24"/>
      <c r="F32" s="24"/>
      <c r="G32" s="27"/>
      <c r="H32" s="25"/>
      <c r="I32" s="26"/>
      <c r="J32" s="27">
        <f>0.13*G31*3093.15</f>
        <v>361.89855</v>
      </c>
      <c r="K32" s="24"/>
      <c r="M32" s="1">
        <f>4434</f>
        <v>4434</v>
      </c>
      <c r="N32" s="1" t="e">
        <f>(PRODUCT(#REF!))*0.15+(PRODUCT(#REF!))*0.15+(PRODUCT(C30:E30))*0.15</f>
        <v>#REF!</v>
      </c>
      <c r="O32" s="1" t="e">
        <f>N32*M32</f>
        <v>#REF!</v>
      </c>
    </row>
    <row r="33" spans="1:31" s="1" customFormat="1">
      <c r="A33" s="21"/>
      <c r="B33" s="39"/>
      <c r="C33" s="22"/>
      <c r="D33" s="23"/>
      <c r="E33" s="24"/>
      <c r="F33" s="24"/>
      <c r="G33" s="27"/>
      <c r="H33" s="25"/>
      <c r="I33" s="26"/>
      <c r="J33" s="27"/>
      <c r="K33" s="24"/>
    </row>
    <row r="34" spans="1:31" s="1" customFormat="1" ht="30">
      <c r="A34" s="21">
        <v>5</v>
      </c>
      <c r="B34" s="37" t="s">
        <v>37</v>
      </c>
      <c r="C34" s="22"/>
      <c r="D34" s="23"/>
      <c r="E34" s="24"/>
      <c r="F34" s="24"/>
      <c r="G34" s="27"/>
      <c r="H34" s="25"/>
      <c r="I34" s="26"/>
      <c r="J34" s="27"/>
      <c r="K34" s="24"/>
    </row>
    <row r="35" spans="1:31" s="1" customFormat="1">
      <c r="A35" s="21"/>
      <c r="B35" s="39" t="s">
        <v>35</v>
      </c>
      <c r="C35" s="22">
        <v>1</v>
      </c>
      <c r="D35" s="23">
        <v>3</v>
      </c>
      <c r="E35" s="24">
        <v>2.5</v>
      </c>
      <c r="F35" s="24">
        <v>0.05</v>
      </c>
      <c r="G35" s="36">
        <f>PRODUCT(C35:F35)</f>
        <v>0.375</v>
      </c>
      <c r="H35" s="25"/>
      <c r="I35" s="26"/>
      <c r="J35" s="27"/>
      <c r="K35" s="24"/>
    </row>
    <row r="36" spans="1:31" s="1" customFormat="1">
      <c r="A36" s="21"/>
      <c r="B36" s="39"/>
      <c r="C36" s="22">
        <v>1</v>
      </c>
      <c r="D36" s="23">
        <v>4.5</v>
      </c>
      <c r="E36" s="24">
        <v>2.5</v>
      </c>
      <c r="F36" s="24">
        <v>0.1</v>
      </c>
      <c r="G36" s="36">
        <f t="shared" ref="G36:G37" si="4">PRODUCT(C36:F36)</f>
        <v>1.125</v>
      </c>
      <c r="H36" s="25"/>
      <c r="I36" s="26"/>
      <c r="J36" s="27"/>
      <c r="K36" s="24"/>
    </row>
    <row r="37" spans="1:31" s="1" customFormat="1">
      <c r="A37" s="21"/>
      <c r="B37" s="39"/>
      <c r="C37" s="22">
        <v>1</v>
      </c>
      <c r="D37" s="23">
        <v>4.5</v>
      </c>
      <c r="E37" s="24">
        <f>(2.8+2.2)/2</f>
        <v>2.5</v>
      </c>
      <c r="F37" s="24">
        <v>0.1</v>
      </c>
      <c r="G37" s="36">
        <f t="shared" si="4"/>
        <v>1.125</v>
      </c>
      <c r="H37" s="25"/>
      <c r="I37" s="26"/>
      <c r="J37" s="27"/>
      <c r="K37" s="24"/>
    </row>
    <row r="38" spans="1:31" s="1" customFormat="1">
      <c r="A38" s="21"/>
      <c r="B38" s="39" t="s">
        <v>25</v>
      </c>
      <c r="C38" s="22"/>
      <c r="D38" s="23"/>
      <c r="E38" s="24"/>
      <c r="F38" s="24"/>
      <c r="G38" s="27">
        <f>SUM(G35:G37)</f>
        <v>2.625</v>
      </c>
      <c r="H38" s="25" t="s">
        <v>36</v>
      </c>
      <c r="I38" s="26">
        <v>12983.1</v>
      </c>
      <c r="J38" s="27">
        <f>G38*I38</f>
        <v>34080.637500000004</v>
      </c>
      <c r="K38" s="24"/>
    </row>
    <row r="39" spans="1:31" s="1" customFormat="1">
      <c r="A39" s="21"/>
      <c r="B39" s="39" t="s">
        <v>33</v>
      </c>
      <c r="C39" s="22"/>
      <c r="D39" s="23"/>
      <c r="E39" s="24"/>
      <c r="F39" s="24"/>
      <c r="G39" s="27"/>
      <c r="H39" s="25"/>
      <c r="I39" s="26"/>
      <c r="J39" s="27">
        <f>0.13*G38*8078.11</f>
        <v>2756.6550374999997</v>
      </c>
      <c r="K39" s="24"/>
    </row>
    <row r="40" spans="1:31" s="1" customFormat="1">
      <c r="A40" s="21"/>
      <c r="B40" s="39"/>
      <c r="C40" s="22"/>
      <c r="D40" s="23"/>
      <c r="E40" s="24"/>
      <c r="F40" s="24"/>
      <c r="G40" s="27"/>
      <c r="H40" s="25"/>
      <c r="I40" s="26"/>
      <c r="J40" s="27"/>
      <c r="K40" s="24"/>
    </row>
    <row r="41" spans="1:31" s="1" customFormat="1">
      <c r="A41" s="21">
        <v>6</v>
      </c>
      <c r="B41" s="41" t="s">
        <v>32</v>
      </c>
      <c r="C41" s="22">
        <v>1</v>
      </c>
      <c r="D41" s="23"/>
      <c r="E41" s="24"/>
      <c r="F41" s="24"/>
      <c r="G41" s="36">
        <f>PRODUCT(C41:F41)</f>
        <v>1</v>
      </c>
      <c r="H41" s="25" t="s">
        <v>38</v>
      </c>
      <c r="I41" s="26">
        <v>500</v>
      </c>
      <c r="J41" s="27">
        <f>G41*I41</f>
        <v>500</v>
      </c>
      <c r="K41" s="24"/>
    </row>
    <row r="42" spans="1:31" s="1" customFormat="1">
      <c r="A42" s="21"/>
      <c r="B42" s="39"/>
      <c r="C42" s="22"/>
      <c r="D42" s="23"/>
      <c r="E42" s="24"/>
      <c r="F42" s="24"/>
      <c r="G42" s="27"/>
      <c r="H42" s="25"/>
      <c r="I42" s="26"/>
      <c r="J42" s="27"/>
      <c r="K42" s="24"/>
    </row>
    <row r="43" spans="1:31">
      <c r="A43" s="9"/>
      <c r="B43" s="20" t="s">
        <v>16</v>
      </c>
      <c r="C43" s="8"/>
      <c r="D43" s="6"/>
      <c r="E43" s="6"/>
      <c r="F43" s="6"/>
      <c r="G43" s="33"/>
      <c r="H43" s="7"/>
      <c r="I43" s="7"/>
      <c r="J43" s="7">
        <f>SUM(J10:J41)</f>
        <v>60120.573856529627</v>
      </c>
      <c r="K43" s="4"/>
      <c r="M43" s="29"/>
      <c r="P43" s="32"/>
      <c r="Q43" s="32"/>
    </row>
    <row r="44" spans="1:31">
      <c r="M44" s="29"/>
      <c r="N44" s="30"/>
      <c r="O44" s="30"/>
      <c r="P44" s="31"/>
      <c r="R44" s="30"/>
      <c r="S44" s="30"/>
      <c r="T44" s="30"/>
      <c r="U44" s="29"/>
      <c r="V44" s="29"/>
      <c r="W44" s="29"/>
      <c r="X44" s="29"/>
      <c r="Y44" s="29"/>
      <c r="Z44" s="29"/>
      <c r="AA44" s="29"/>
      <c r="AB44" s="29"/>
      <c r="AC44" s="29"/>
      <c r="AD44" s="29"/>
      <c r="AE44" s="29"/>
    </row>
    <row r="45" spans="1:31" s="1" customFormat="1">
      <c r="B45" s="11" t="s">
        <v>22</v>
      </c>
      <c r="C45" s="104">
        <f>J43</f>
        <v>60120.573856529627</v>
      </c>
      <c r="D45" s="104"/>
      <c r="E45" s="13"/>
      <c r="F45" s="12"/>
      <c r="G45" s="13"/>
      <c r="H45" s="12"/>
      <c r="I45" s="14"/>
      <c r="J45" s="15"/>
      <c r="K45" s="16"/>
      <c r="M45" s="12"/>
      <c r="N45" s="30"/>
      <c r="O45" s="30"/>
      <c r="P45" s="30"/>
      <c r="Q45" s="30"/>
      <c r="R45" s="30"/>
      <c r="S45" s="30"/>
      <c r="T45" s="30"/>
      <c r="U45" s="12"/>
      <c r="V45" s="12"/>
      <c r="W45" s="12"/>
      <c r="X45" s="12"/>
      <c r="Y45" s="12"/>
      <c r="Z45" s="12"/>
      <c r="AA45" s="12"/>
      <c r="AB45" s="12"/>
      <c r="AC45" s="12"/>
      <c r="AD45" s="12"/>
      <c r="AE45" s="12"/>
    </row>
    <row r="46" spans="1:31" s="1" customFormat="1" hidden="1">
      <c r="B46" s="75" t="s">
        <v>22</v>
      </c>
      <c r="C46" s="105">
        <f>J43</f>
        <v>60120.573856529627</v>
      </c>
      <c r="D46" s="106"/>
      <c r="E46" s="76">
        <v>100</v>
      </c>
      <c r="F46" s="12"/>
      <c r="G46" s="13"/>
      <c r="H46" s="12"/>
      <c r="I46" s="14"/>
      <c r="J46" s="15"/>
      <c r="K46" s="16"/>
      <c r="M46" s="12"/>
      <c r="N46" s="30"/>
      <c r="O46" s="30"/>
      <c r="P46" s="30"/>
      <c r="Q46" s="30"/>
      <c r="R46" s="30"/>
      <c r="S46" s="30"/>
      <c r="T46" s="30"/>
      <c r="U46" s="12"/>
      <c r="V46" s="12"/>
      <c r="W46" s="12"/>
      <c r="X46" s="12"/>
      <c r="Y46" s="12"/>
      <c r="Z46" s="12"/>
      <c r="AA46" s="12"/>
      <c r="AB46" s="12"/>
      <c r="AC46" s="12"/>
      <c r="AD46" s="12"/>
      <c r="AE46" s="12"/>
    </row>
    <row r="47" spans="1:31" hidden="1">
      <c r="B47" s="11" t="s">
        <v>17</v>
      </c>
      <c r="C47" s="102">
        <v>60000</v>
      </c>
      <c r="D47" s="103"/>
      <c r="E47" s="10"/>
      <c r="M47" s="29"/>
      <c r="N47" s="30"/>
      <c r="O47" s="30"/>
      <c r="P47" s="30"/>
      <c r="Q47" s="30"/>
      <c r="R47" s="30"/>
      <c r="S47" s="30"/>
      <c r="T47" s="30"/>
      <c r="U47" s="29"/>
      <c r="V47" s="29"/>
      <c r="W47" s="29"/>
      <c r="X47" s="29"/>
      <c r="Y47" s="29"/>
      <c r="Z47" s="29"/>
      <c r="AA47" s="29"/>
      <c r="AB47" s="29"/>
      <c r="AC47" s="29"/>
      <c r="AD47" s="29"/>
      <c r="AE47" s="29"/>
    </row>
    <row r="48" spans="1:31" hidden="1">
      <c r="B48" s="11" t="s">
        <v>18</v>
      </c>
      <c r="C48" s="102">
        <v>30000</v>
      </c>
      <c r="D48" s="103"/>
      <c r="E48" s="10">
        <f>C48/C46*100</f>
        <v>49.8997232987019</v>
      </c>
      <c r="M48" s="29"/>
      <c r="N48" s="29"/>
      <c r="O48" s="29"/>
      <c r="P48" s="29"/>
      <c r="Q48" s="29"/>
      <c r="R48" s="29"/>
      <c r="S48" s="29"/>
      <c r="T48" s="29"/>
      <c r="U48" s="29"/>
      <c r="V48" s="29"/>
      <c r="W48" s="29"/>
      <c r="X48" s="29"/>
      <c r="Y48" s="29"/>
      <c r="Z48" s="29"/>
      <c r="AA48" s="29"/>
      <c r="AB48" s="29"/>
      <c r="AC48" s="29"/>
      <c r="AD48" s="29"/>
      <c r="AE48" s="29"/>
    </row>
    <row r="49" spans="2:31" hidden="1">
      <c r="B49" s="11" t="s">
        <v>19</v>
      </c>
      <c r="C49" s="104">
        <f>C46-C48</f>
        <v>30120.573856529627</v>
      </c>
      <c r="D49" s="104"/>
      <c r="E49" s="10">
        <f>100-E48</f>
        <v>50.1002767012981</v>
      </c>
      <c r="M49" s="29"/>
      <c r="N49" s="29"/>
      <c r="O49" s="29"/>
      <c r="P49" s="29"/>
      <c r="Q49" s="29"/>
      <c r="R49" s="29"/>
      <c r="S49" s="29"/>
      <c r="T49" s="29"/>
      <c r="U49" s="29"/>
      <c r="V49" s="29"/>
      <c r="W49" s="29"/>
      <c r="X49" s="29"/>
      <c r="Y49" s="29"/>
      <c r="Z49" s="29"/>
      <c r="AA49" s="29"/>
      <c r="AB49" s="29"/>
      <c r="AC49" s="29"/>
      <c r="AD49" s="29"/>
      <c r="AE49" s="29"/>
    </row>
    <row r="50" spans="2:31" hidden="1">
      <c r="B50" s="11" t="s">
        <v>20</v>
      </c>
      <c r="C50" s="99">
        <f>C47*0.03</f>
        <v>1800</v>
      </c>
      <c r="D50" s="100"/>
      <c r="E50" s="10">
        <v>3</v>
      </c>
      <c r="M50" s="29"/>
      <c r="N50" s="29"/>
      <c r="O50" s="29"/>
      <c r="P50" s="29"/>
      <c r="Q50" s="29"/>
      <c r="R50" s="29"/>
      <c r="S50" s="29"/>
      <c r="T50" s="29"/>
      <c r="U50" s="29"/>
      <c r="V50" s="29"/>
      <c r="W50" s="29"/>
      <c r="X50" s="29"/>
      <c r="Y50" s="29"/>
      <c r="Z50" s="29"/>
      <c r="AA50" s="29"/>
      <c r="AB50" s="29"/>
      <c r="AC50" s="29"/>
      <c r="AD50" s="29"/>
      <c r="AE50" s="29"/>
    </row>
    <row r="51" spans="2:31" hidden="1">
      <c r="B51" s="11" t="s">
        <v>21</v>
      </c>
      <c r="C51" s="99">
        <f>C47*0.02</f>
        <v>1200</v>
      </c>
      <c r="D51" s="100"/>
      <c r="E51" s="10">
        <v>2</v>
      </c>
      <c r="M51" s="29"/>
      <c r="N51" s="29"/>
      <c r="O51" s="29"/>
      <c r="P51" s="29"/>
      <c r="Q51" s="29"/>
      <c r="R51" s="29"/>
      <c r="S51" s="29"/>
      <c r="T51" s="29"/>
      <c r="U51" s="29"/>
      <c r="V51" s="29"/>
      <c r="W51" s="29"/>
      <c r="X51" s="29"/>
      <c r="Y51" s="29"/>
      <c r="Z51" s="29"/>
      <c r="AA51" s="29"/>
      <c r="AB51" s="29"/>
      <c r="AC51" s="29"/>
      <c r="AD51" s="29"/>
      <c r="AE51" s="29"/>
    </row>
  </sheetData>
  <mergeCells count="16">
    <mergeCell ref="A6:G6"/>
    <mergeCell ref="H6:K6"/>
    <mergeCell ref="C45:D45"/>
    <mergeCell ref="A1:K1"/>
    <mergeCell ref="A2:K2"/>
    <mergeCell ref="A3:K3"/>
    <mergeCell ref="A4:K4"/>
    <mergeCell ref="A5:K5"/>
    <mergeCell ref="C50:D50"/>
    <mergeCell ref="C51:D51"/>
    <mergeCell ref="A7:F7"/>
    <mergeCell ref="H7:K7"/>
    <mergeCell ref="C46:D46"/>
    <mergeCell ref="C47:D47"/>
    <mergeCell ref="C48:D48"/>
    <mergeCell ref="C49:D49"/>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4" zoomScaleNormal="100" workbookViewId="0">
      <selection activeCell="H26" sqref="H26"/>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3">
      <c r="A1" s="115" t="s">
        <v>0</v>
      </c>
      <c r="B1" s="115"/>
      <c r="C1" s="115"/>
      <c r="D1" s="115"/>
      <c r="E1" s="115"/>
      <c r="F1" s="115"/>
      <c r="G1" s="115"/>
      <c r="H1" s="115"/>
      <c r="I1" s="115"/>
      <c r="J1" s="115"/>
      <c r="K1" s="115"/>
    </row>
    <row r="2" spans="1:13" ht="24.6">
      <c r="A2" s="116" t="s">
        <v>1</v>
      </c>
      <c r="B2" s="116"/>
      <c r="C2" s="116"/>
      <c r="D2" s="116"/>
      <c r="E2" s="116"/>
      <c r="F2" s="116"/>
      <c r="G2" s="116"/>
      <c r="H2" s="116"/>
      <c r="I2" s="116"/>
      <c r="J2" s="116"/>
      <c r="K2" s="116"/>
    </row>
    <row r="3" spans="1:13" s="1" customFormat="1">
      <c r="A3" s="97" t="s">
        <v>2</v>
      </c>
      <c r="B3" s="97"/>
      <c r="C3" s="97"/>
      <c r="D3" s="97"/>
      <c r="E3" s="97"/>
      <c r="F3" s="97"/>
      <c r="G3" s="97"/>
      <c r="H3" s="97"/>
      <c r="I3" s="97"/>
      <c r="J3" s="97"/>
      <c r="K3" s="97"/>
    </row>
    <row r="4" spans="1:13" s="1" customFormat="1">
      <c r="A4" s="97" t="s">
        <v>3</v>
      </c>
      <c r="B4" s="97"/>
      <c r="C4" s="97"/>
      <c r="D4" s="97"/>
      <c r="E4" s="97"/>
      <c r="F4" s="97"/>
      <c r="G4" s="97"/>
      <c r="H4" s="97"/>
      <c r="I4" s="97"/>
      <c r="J4" s="97"/>
      <c r="K4" s="97"/>
    </row>
    <row r="5" spans="1:13" ht="18">
      <c r="A5" s="117" t="s">
        <v>76</v>
      </c>
      <c r="B5" s="117"/>
      <c r="C5" s="117"/>
      <c r="D5" s="117"/>
      <c r="E5" s="117"/>
      <c r="F5" s="117"/>
      <c r="G5" s="117"/>
      <c r="H5" s="117"/>
      <c r="I5" s="117"/>
      <c r="J5" s="117"/>
      <c r="K5" s="117"/>
    </row>
    <row r="6" spans="1:13" ht="18">
      <c r="A6" s="78" t="s">
        <v>77</v>
      </c>
      <c r="B6" s="78"/>
      <c r="C6" s="118">
        <f>F28</f>
        <v>60120.573856529627</v>
      </c>
      <c r="D6" s="119"/>
      <c r="E6" s="79"/>
      <c r="F6" s="78"/>
      <c r="G6" s="78"/>
      <c r="H6" s="78" t="s">
        <v>78</v>
      </c>
      <c r="I6" s="78"/>
      <c r="J6" s="118">
        <f>I28</f>
        <v>63359.604927400476</v>
      </c>
      <c r="K6" s="119"/>
    </row>
    <row r="7" spans="1:13">
      <c r="A7" s="80" t="s">
        <v>79</v>
      </c>
      <c r="B7" s="80"/>
      <c r="C7" s="80"/>
      <c r="D7" s="80"/>
      <c r="F7" s="110"/>
      <c r="G7" s="110"/>
      <c r="I7" s="111" t="s">
        <v>80</v>
      </c>
      <c r="J7" s="111"/>
      <c r="K7" s="111"/>
    </row>
    <row r="8" spans="1:13" ht="15.6">
      <c r="A8" s="112" t="str">
        <f>'as per mistry (2)'!A6:G6</f>
        <v>Project:- इन्द्रायणी एग्रो फर्म प्रा. लि .</v>
      </c>
      <c r="B8" s="112"/>
      <c r="C8" s="112"/>
      <c r="D8" s="112"/>
      <c r="E8" s="112"/>
      <c r="F8" s="112"/>
      <c r="I8" s="113" t="s">
        <v>81</v>
      </c>
      <c r="J8" s="113"/>
      <c r="K8" s="113"/>
    </row>
    <row r="9" spans="1:13">
      <c r="A9" s="114" t="str">
        <f>'as per mistry (2)'!A7:F7</f>
        <v>Location:- Shankharapur Municipality 9</v>
      </c>
      <c r="B9" s="114"/>
      <c r="C9" s="114"/>
      <c r="D9" s="114"/>
      <c r="E9" s="114"/>
      <c r="F9" s="114"/>
      <c r="I9" s="113" t="s">
        <v>82</v>
      </c>
      <c r="J9" s="113"/>
      <c r="K9" s="113"/>
    </row>
    <row r="11" spans="1:13">
      <c r="A11" s="108" t="s">
        <v>83</v>
      </c>
      <c r="B11" s="108" t="s">
        <v>84</v>
      </c>
      <c r="C11" s="108" t="s">
        <v>12</v>
      </c>
      <c r="D11" s="109" t="s">
        <v>85</v>
      </c>
      <c r="E11" s="109"/>
      <c r="F11" s="109"/>
      <c r="G11" s="109" t="s">
        <v>86</v>
      </c>
      <c r="H11" s="109"/>
      <c r="I11" s="109"/>
      <c r="J11" s="108" t="s">
        <v>87</v>
      </c>
      <c r="K11" s="107" t="s">
        <v>15</v>
      </c>
    </row>
    <row r="12" spans="1:13">
      <c r="A12" s="108"/>
      <c r="B12" s="108"/>
      <c r="C12" s="108"/>
      <c r="D12" s="81" t="s">
        <v>88</v>
      </c>
      <c r="E12" s="81" t="s">
        <v>13</v>
      </c>
      <c r="F12" s="81" t="s">
        <v>14</v>
      </c>
      <c r="G12" s="81" t="s">
        <v>88</v>
      </c>
      <c r="H12" s="81" t="s">
        <v>13</v>
      </c>
      <c r="I12" s="81" t="s">
        <v>14</v>
      </c>
      <c r="J12" s="108"/>
      <c r="K12" s="107"/>
    </row>
    <row r="13" spans="1:13" s="1" customFormat="1" ht="30">
      <c r="A13" s="82">
        <f>'as per mistry (2)'!A9</f>
        <v>1</v>
      </c>
      <c r="B13" s="74" t="str">
        <f>'as per mistry (2)'!B9</f>
        <v>sfnf] kmnfd] kfO{ksf] 6«; agfO{ h8fg ug]{ sfd</v>
      </c>
      <c r="C13" s="10" t="str">
        <f>'as per mistry (2)'!H17</f>
        <v>Kg</v>
      </c>
      <c r="D13" s="10">
        <f>'as per mistry (2)'!G17</f>
        <v>76.011218744285287</v>
      </c>
      <c r="E13" s="10">
        <f>'as per mistry (2)'!I17</f>
        <v>181.17</v>
      </c>
      <c r="F13" s="10">
        <f>D13*E13</f>
        <v>13770.952499902165</v>
      </c>
      <c r="G13" s="10">
        <f>V!G18</f>
        <v>91.273742883267289</v>
      </c>
      <c r="H13" s="10">
        <f>V!I18</f>
        <v>181.17</v>
      </c>
      <c r="I13" s="10">
        <f>G13*H13</f>
        <v>16536.063998161535</v>
      </c>
      <c r="J13" s="83">
        <f>I13-F13</f>
        <v>2765.1114982593699</v>
      </c>
      <c r="K13" s="84"/>
      <c r="M13" s="85">
        <f>1.25*F13</f>
        <v>17213.690624877705</v>
      </c>
    </row>
    <row r="14" spans="1:13" s="1" customFormat="1" ht="15.6">
      <c r="A14" s="82"/>
      <c r="B14" s="86" t="str">
        <f>'as per mistry (2)'!B18</f>
        <v>-VAT 13% for materials</v>
      </c>
      <c r="C14" s="10"/>
      <c r="D14" s="10"/>
      <c r="E14" s="10"/>
      <c r="F14" s="10">
        <f>'as per mistry (2)'!J18</f>
        <v>976.36530874952211</v>
      </c>
      <c r="G14" s="10"/>
      <c r="H14" s="10"/>
      <c r="I14" s="10">
        <f>V!J19</f>
        <v>1172.4126730653923</v>
      </c>
      <c r="J14" s="83">
        <f>I14-F14</f>
        <v>196.04736431587014</v>
      </c>
      <c r="K14" s="84"/>
      <c r="M14" s="85">
        <f t="shared" ref="M14" si="0">1.25*F14</f>
        <v>1220.4566359369026</v>
      </c>
    </row>
    <row r="15" spans="1:13" s="1" customFormat="1">
      <c r="A15" s="87"/>
      <c r="B15" s="88"/>
      <c r="C15" s="10"/>
      <c r="D15" s="10"/>
      <c r="E15" s="10"/>
      <c r="F15" s="10"/>
      <c r="G15" s="10"/>
      <c r="H15" s="10"/>
      <c r="I15" s="10"/>
      <c r="J15" s="83"/>
      <c r="K15" s="84"/>
      <c r="M15" s="85"/>
    </row>
    <row r="16" spans="1:13" s="1" customFormat="1" ht="15">
      <c r="A16" s="82">
        <f>'as per mistry (2)'!A20</f>
        <v>2</v>
      </c>
      <c r="B16" s="89" t="str">
        <f>'as per mistry (2)'!B20</f>
        <v xml:space="preserve">;L=hL=cfO{= 5fgf 5fpg] sfd </v>
      </c>
      <c r="C16" s="10" t="str">
        <f>'as per mistry (2)'!H22</f>
        <v>sqm</v>
      </c>
      <c r="D16" s="10">
        <f>'as per mistry (2)'!G22</f>
        <v>9.1435537945748244</v>
      </c>
      <c r="E16" s="10">
        <f>'as per mistry (2)'!I22</f>
        <v>249.75</v>
      </c>
      <c r="F16" s="10">
        <f>D16*E16</f>
        <v>2283.6025601950623</v>
      </c>
      <c r="G16" s="10">
        <f>V!G23</f>
        <v>18.114324798761462</v>
      </c>
      <c r="H16" s="10">
        <f>V!I23</f>
        <v>249.75</v>
      </c>
      <c r="I16" s="10">
        <f>G16*H16</f>
        <v>4524.0526184906748</v>
      </c>
      <c r="J16" s="83">
        <f>I16-F16</f>
        <v>2240.4500582956125</v>
      </c>
      <c r="K16" s="84"/>
      <c r="M16" s="85">
        <f t="shared" ref="M16:M26" si="1">1.25*F16</f>
        <v>2854.5032002438279</v>
      </c>
    </row>
    <row r="17" spans="1:13" s="1" customFormat="1">
      <c r="A17" s="87"/>
      <c r="B17" s="88"/>
      <c r="C17" s="10"/>
      <c r="D17" s="10"/>
      <c r="E17" s="10"/>
      <c r="F17" s="10"/>
      <c r="G17" s="10"/>
      <c r="H17" s="10"/>
      <c r="I17" s="10"/>
      <c r="J17" s="83"/>
      <c r="K17" s="84"/>
      <c r="M17" s="85"/>
    </row>
    <row r="18" spans="1:13" s="1" customFormat="1" ht="30">
      <c r="A18" s="82">
        <f>'as per mistry (2)'!A25</f>
        <v>3</v>
      </c>
      <c r="B18" s="89" t="str">
        <f>'as per mistry (2)'!B25</f>
        <v xml:space="preserve">g/d k|sf/sf] Sn] / l;N6L df6f]df ;j} lsl;dsf] vGg] sfd </v>
      </c>
      <c r="C18" s="10" t="str">
        <f>'as per mistry (2)'!H27</f>
        <v>cum</v>
      </c>
      <c r="D18" s="10">
        <f>'as per mistry (2)'!G27</f>
        <v>2.0572996037793354</v>
      </c>
      <c r="E18" s="10">
        <f>'as per mistry (2)'!I27</f>
        <v>663.31</v>
      </c>
      <c r="F18" s="10">
        <f>D18*E18</f>
        <v>1364.6274001828708</v>
      </c>
      <c r="G18" s="10">
        <f>V!G28</f>
        <v>2.0572996037793354</v>
      </c>
      <c r="H18" s="10">
        <f>V!I28</f>
        <v>663.31</v>
      </c>
      <c r="I18" s="10">
        <f>G18*H18</f>
        <v>1364.6274001828708</v>
      </c>
      <c r="J18" s="83">
        <f>I18-F18</f>
        <v>0</v>
      </c>
      <c r="K18" s="84"/>
      <c r="M18" s="85">
        <f t="shared" si="1"/>
        <v>1705.7842502285885</v>
      </c>
    </row>
    <row r="19" spans="1:13" s="1" customFormat="1">
      <c r="A19" s="87"/>
      <c r="B19" s="88"/>
      <c r="C19" s="10"/>
      <c r="D19" s="10"/>
      <c r="E19" s="10"/>
      <c r="F19" s="10"/>
      <c r="G19" s="10"/>
      <c r="H19" s="10"/>
      <c r="I19" s="10"/>
      <c r="J19" s="83"/>
      <c r="K19" s="84"/>
      <c r="M19" s="85"/>
    </row>
    <row r="20" spans="1:13" s="1" customFormat="1" ht="15">
      <c r="A20" s="82">
        <f>'as per mistry (2)'!A29</f>
        <v>4</v>
      </c>
      <c r="B20" s="89" t="str">
        <f>'as per mistry (2)'!B29</f>
        <v>husf] vf8ndf 9'+uf eg]{ / n]en ug]{ sfddf</v>
      </c>
      <c r="C20" s="10" t="str">
        <f>'as per mistry (2)'!H31</f>
        <v>sqm</v>
      </c>
      <c r="D20" s="10">
        <f>'as per mistry (2)'!G31</f>
        <v>0.89999999999999991</v>
      </c>
      <c r="E20" s="10">
        <f>'as per mistry (2)'!I31</f>
        <v>4473.1499999999996</v>
      </c>
      <c r="F20" s="10">
        <f>D20*E20</f>
        <v>4025.8349999999991</v>
      </c>
      <c r="G20" s="10">
        <f>V!G32</f>
        <v>0.60000000000000009</v>
      </c>
      <c r="H20" s="10">
        <f>V!I32</f>
        <v>4473.1499999999996</v>
      </c>
      <c r="I20" s="10">
        <f>G20*H20</f>
        <v>2683.8900000000003</v>
      </c>
      <c r="J20" s="83">
        <f>I20-F20</f>
        <v>-1341.9449999999988</v>
      </c>
      <c r="K20" s="84"/>
      <c r="M20" s="85">
        <f t="shared" ref="M20:M21" si="2">1.25*F20</f>
        <v>5032.2937499999989</v>
      </c>
    </row>
    <row r="21" spans="1:13" s="1" customFormat="1" ht="15.6">
      <c r="A21" s="82"/>
      <c r="B21" s="86" t="str">
        <f>'as per mistry (2)'!B32</f>
        <v>-VAT 13% for materials</v>
      </c>
      <c r="C21" s="10"/>
      <c r="D21" s="10"/>
      <c r="E21" s="10"/>
      <c r="F21" s="10">
        <f>'as per mistry (2)'!J32</f>
        <v>361.89855</v>
      </c>
      <c r="G21" s="10"/>
      <c r="H21" s="10"/>
      <c r="I21" s="10">
        <f>V!J33</f>
        <v>241.26570000000004</v>
      </c>
      <c r="J21" s="83">
        <f>I21-F21</f>
        <v>-120.63284999999996</v>
      </c>
      <c r="K21" s="84"/>
      <c r="M21" s="85">
        <f t="shared" si="2"/>
        <v>452.37318749999997</v>
      </c>
    </row>
    <row r="22" spans="1:13" s="1" customFormat="1">
      <c r="A22" s="87"/>
      <c r="B22" s="88"/>
      <c r="C22" s="10"/>
      <c r="D22" s="10"/>
      <c r="E22" s="10"/>
      <c r="F22" s="10"/>
      <c r="G22" s="10"/>
      <c r="H22" s="10"/>
      <c r="I22" s="10"/>
      <c r="J22" s="83"/>
      <c r="K22" s="84"/>
      <c r="M22" s="85"/>
    </row>
    <row r="23" spans="1:13" s="1" customFormat="1" ht="30">
      <c r="A23" s="82">
        <f>'as per mistry (2)'!A34</f>
        <v>5</v>
      </c>
      <c r="B23" s="89" t="str">
        <f>'as per mistry (2)'!B34</f>
        <v xml:space="preserve">hu leQf kvf{ndf l;d]G6 s+lqm6 ug]{ sfd -lk=;L=;L= !M@M$_  </v>
      </c>
      <c r="C23" s="10" t="str">
        <f>'as per mistry (2)'!H38</f>
        <v>cum</v>
      </c>
      <c r="D23" s="10">
        <f>'as per mistry (2)'!G38</f>
        <v>2.625</v>
      </c>
      <c r="E23" s="10">
        <f>'as per mistry (2)'!I38</f>
        <v>12983.1</v>
      </c>
      <c r="F23" s="10">
        <f>D23*E23</f>
        <v>34080.637500000004</v>
      </c>
      <c r="G23" s="10">
        <f>V!G39</f>
        <v>2.625</v>
      </c>
      <c r="H23" s="10">
        <f>V!I39</f>
        <v>12983.1</v>
      </c>
      <c r="I23" s="10">
        <f>G23*H23</f>
        <v>34080.637500000004</v>
      </c>
      <c r="J23" s="83">
        <f>I23-F23</f>
        <v>0</v>
      </c>
      <c r="K23" s="84"/>
      <c r="M23" s="85">
        <f t="shared" ref="M23:M24" si="3">1.25*F23</f>
        <v>42600.796875000007</v>
      </c>
    </row>
    <row r="24" spans="1:13" s="1" customFormat="1" ht="15.6">
      <c r="A24" s="82"/>
      <c r="B24" s="86" t="str">
        <f>'as per mistry (2)'!B39</f>
        <v>-VAT 13% for materials</v>
      </c>
      <c r="C24" s="10"/>
      <c r="D24" s="10"/>
      <c r="E24" s="10"/>
      <c r="F24" s="10">
        <f>'as per mistry (2)'!J39</f>
        <v>2756.6550374999997</v>
      </c>
      <c r="G24" s="10"/>
      <c r="H24" s="10"/>
      <c r="I24" s="10">
        <f>V!J40</f>
        <v>2756.6550374999997</v>
      </c>
      <c r="J24" s="83">
        <f>I24-F24</f>
        <v>0</v>
      </c>
      <c r="K24" s="84"/>
      <c r="M24" s="85">
        <f t="shared" si="3"/>
        <v>3445.8187968749999</v>
      </c>
    </row>
    <row r="25" spans="1:13" s="1" customFormat="1">
      <c r="A25" s="87"/>
      <c r="B25" s="88"/>
      <c r="C25" s="10"/>
      <c r="D25" s="10"/>
      <c r="E25" s="10"/>
      <c r="F25" s="10"/>
      <c r="G25" s="10"/>
      <c r="H25" s="10"/>
      <c r="I25" s="10"/>
      <c r="J25" s="83"/>
      <c r="K25" s="84"/>
      <c r="M25" s="85"/>
    </row>
    <row r="26" spans="1:13" s="1" customFormat="1">
      <c r="A26" s="82">
        <f>'as per mistry (2)'!A41</f>
        <v>6</v>
      </c>
      <c r="B26" s="90" t="str">
        <f>'as per mistry (2)'!B41</f>
        <v>Information board</v>
      </c>
      <c r="C26" s="10" t="str">
        <f>'as per mistry (2)'!H41</f>
        <v>no.</v>
      </c>
      <c r="D26" s="10">
        <f>'as per mistry (2)'!G41</f>
        <v>1</v>
      </c>
      <c r="E26" s="10">
        <f>'as per mistry (2)'!I41</f>
        <v>500</v>
      </c>
      <c r="F26" s="10">
        <f>D26*E26</f>
        <v>500</v>
      </c>
      <c r="G26" s="10">
        <f>V!G42</f>
        <v>0</v>
      </c>
      <c r="H26" s="10">
        <f>V!I42</f>
        <v>500</v>
      </c>
      <c r="I26" s="10">
        <f>G26*H26</f>
        <v>0</v>
      </c>
      <c r="J26" s="83">
        <f>I26-F26</f>
        <v>-500</v>
      </c>
      <c r="K26" s="84"/>
      <c r="M26" s="85">
        <f t="shared" si="1"/>
        <v>625</v>
      </c>
    </row>
    <row r="27" spans="1:13" s="1" customFormat="1">
      <c r="A27" s="88"/>
      <c r="B27" s="88"/>
      <c r="C27" s="10"/>
      <c r="D27" s="10"/>
      <c r="E27" s="10"/>
      <c r="F27" s="10"/>
      <c r="G27" s="10"/>
      <c r="H27" s="10"/>
      <c r="I27" s="10"/>
      <c r="J27" s="83"/>
      <c r="K27" s="84"/>
    </row>
    <row r="28" spans="1:13">
      <c r="A28" s="4"/>
      <c r="B28" s="91" t="s">
        <v>89</v>
      </c>
      <c r="C28" s="91"/>
      <c r="D28" s="7"/>
      <c r="E28" s="7"/>
      <c r="F28" s="7">
        <f>SUM(F13:F26)</f>
        <v>60120.573856529627</v>
      </c>
      <c r="G28" s="7"/>
      <c r="H28" s="7"/>
      <c r="I28" s="7">
        <f>SUM(I13:I26)</f>
        <v>63359.604927400476</v>
      </c>
      <c r="J28" s="92">
        <f>I28-F28</f>
        <v>3239.0310708708494</v>
      </c>
      <c r="K28" s="4"/>
    </row>
    <row r="33" spans="11:13">
      <c r="K33">
        <v>1070</v>
      </c>
      <c r="L33">
        <f>(21/3.281)*(36/3.281)</f>
        <v>70.227843835198286</v>
      </c>
      <c r="M33">
        <f>L33*K33</f>
        <v>75143.792903662164</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2"/>
  <sheetViews>
    <sheetView topLeftCell="A13" zoomScaleNormal="100" zoomScaleSheetLayoutView="80" workbookViewId="0">
      <selection activeCell="C43" sqref="C43"/>
    </sheetView>
  </sheetViews>
  <sheetFormatPr defaultRowHeight="14.4"/>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9.332031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c r="A1" s="95" t="s">
        <v>0</v>
      </c>
      <c r="B1" s="95"/>
      <c r="C1" s="95"/>
      <c r="D1" s="95"/>
      <c r="E1" s="95"/>
      <c r="F1" s="95"/>
      <c r="G1" s="95"/>
      <c r="H1" s="95"/>
      <c r="I1" s="95"/>
      <c r="J1" s="95"/>
      <c r="K1" s="95"/>
    </row>
    <row r="2" spans="1:13" s="1" customFormat="1" ht="22.8">
      <c r="A2" s="96" t="s">
        <v>1</v>
      </c>
      <c r="B2" s="96"/>
      <c r="C2" s="96"/>
      <c r="D2" s="96"/>
      <c r="E2" s="96"/>
      <c r="F2" s="96"/>
      <c r="G2" s="96"/>
      <c r="H2" s="96"/>
      <c r="I2" s="96"/>
      <c r="J2" s="96"/>
      <c r="K2" s="96"/>
    </row>
    <row r="3" spans="1:13" s="1" customFormat="1">
      <c r="A3" s="97" t="s">
        <v>2</v>
      </c>
      <c r="B3" s="97"/>
      <c r="C3" s="97"/>
      <c r="D3" s="97"/>
      <c r="E3" s="97"/>
      <c r="F3" s="97"/>
      <c r="G3" s="97"/>
      <c r="H3" s="97"/>
      <c r="I3" s="97"/>
      <c r="J3" s="97"/>
      <c r="K3" s="97"/>
    </row>
    <row r="4" spans="1:13" s="1" customFormat="1">
      <c r="A4" s="97" t="s">
        <v>3</v>
      </c>
      <c r="B4" s="97"/>
      <c r="C4" s="97"/>
      <c r="D4" s="97"/>
      <c r="E4" s="97"/>
      <c r="F4" s="97"/>
      <c r="G4" s="97"/>
      <c r="H4" s="97"/>
      <c r="I4" s="97"/>
      <c r="J4" s="97"/>
      <c r="K4" s="97"/>
    </row>
    <row r="5" spans="1:13" ht="17.399999999999999">
      <c r="A5" s="98" t="s">
        <v>92</v>
      </c>
      <c r="B5" s="98"/>
      <c r="C5" s="98"/>
      <c r="D5" s="98"/>
      <c r="E5" s="98"/>
      <c r="F5" s="98"/>
      <c r="G5" s="98"/>
      <c r="H5" s="98"/>
      <c r="I5" s="98"/>
      <c r="J5" s="98"/>
      <c r="K5" s="98"/>
    </row>
    <row r="6" spans="1:13" ht="18">
      <c r="A6" s="93" t="s">
        <v>71</v>
      </c>
      <c r="B6" s="93"/>
      <c r="C6" s="93"/>
      <c r="D6" s="93"/>
      <c r="E6" s="93"/>
      <c r="F6" s="93"/>
      <c r="G6" s="93"/>
      <c r="H6" s="94" t="s">
        <v>24</v>
      </c>
      <c r="I6" s="94"/>
      <c r="J6" s="94"/>
      <c r="K6" s="94"/>
    </row>
    <row r="7" spans="1:13" ht="15.6">
      <c r="A7" s="101" t="s">
        <v>23</v>
      </c>
      <c r="B7" s="101"/>
      <c r="C7" s="101"/>
      <c r="D7" s="101"/>
      <c r="E7" s="101"/>
      <c r="F7" s="101"/>
      <c r="G7" s="2"/>
      <c r="H7" s="94" t="s">
        <v>72</v>
      </c>
      <c r="I7" s="94"/>
      <c r="J7" s="94"/>
      <c r="K7" s="94"/>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1.4">
      <c r="A9" s="21">
        <v>1</v>
      </c>
      <c r="B9" s="37" t="s">
        <v>29</v>
      </c>
      <c r="C9" s="22" t="s">
        <v>7</v>
      </c>
      <c r="D9" s="34" t="s">
        <v>26</v>
      </c>
      <c r="E9" s="35" t="s">
        <v>28</v>
      </c>
      <c r="F9" s="35" t="s">
        <v>27</v>
      </c>
      <c r="G9" s="35"/>
      <c r="H9" s="25"/>
      <c r="I9" s="26"/>
      <c r="J9" s="27"/>
      <c r="K9" s="24"/>
    </row>
    <row r="10" spans="1:13" s="1" customFormat="1" ht="27.6">
      <c r="A10" s="38"/>
      <c r="B10" s="39" t="s">
        <v>70</v>
      </c>
      <c r="C10" s="40">
        <v>3</v>
      </c>
      <c r="D10" s="10">
        <v>2.5299999999999998</v>
      </c>
      <c r="E10" s="10">
        <v>1.83</v>
      </c>
      <c r="F10" s="10">
        <f t="shared" ref="F10:F16" si="0">PRODUCT(C10:E10)</f>
        <v>13.889699999999999</v>
      </c>
      <c r="G10" s="36">
        <f t="shared" ref="G10:G16"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v>0.63</v>
      </c>
      <c r="E12" s="10">
        <v>1.83</v>
      </c>
      <c r="F12" s="10">
        <f t="shared" si="0"/>
        <v>3.4587000000000003</v>
      </c>
      <c r="G12" s="36">
        <f t="shared" si="1"/>
        <v>3.4587000000000003</v>
      </c>
      <c r="H12" s="27"/>
      <c r="I12" s="27"/>
      <c r="J12" s="27"/>
      <c r="K12" s="11"/>
      <c r="M12" s="12"/>
    </row>
    <row r="13" spans="1:13" s="1" customFormat="1">
      <c r="A13" s="38"/>
      <c r="B13" s="39"/>
      <c r="C13" s="40">
        <v>3</v>
      </c>
      <c r="D13" s="10">
        <f>10/3.281</f>
        <v>3.047851264858275</v>
      </c>
      <c r="E13" s="10">
        <v>1.83</v>
      </c>
      <c r="F13" s="10">
        <f t="shared" si="0"/>
        <v>16.73270344407193</v>
      </c>
      <c r="G13" s="36">
        <f t="shared" si="1"/>
        <v>16.73270344407193</v>
      </c>
      <c r="H13" s="27"/>
      <c r="I13" s="27"/>
      <c r="J13" s="27"/>
      <c r="K13" s="11"/>
      <c r="M13" s="12"/>
    </row>
    <row r="14" spans="1:13" s="1" customFormat="1">
      <c r="A14" s="38"/>
      <c r="B14" s="39"/>
      <c r="C14" s="40">
        <v>3</v>
      </c>
      <c r="D14" s="10">
        <f>7.5/3.281</f>
        <v>2.2858884486437061</v>
      </c>
      <c r="E14" s="10">
        <v>1.83</v>
      </c>
      <c r="F14" s="10">
        <f t="shared" si="0"/>
        <v>12.549527583053948</v>
      </c>
      <c r="G14" s="36">
        <f t="shared" si="1"/>
        <v>12.549527583053948</v>
      </c>
      <c r="H14" s="27"/>
      <c r="I14" s="27"/>
      <c r="J14" s="27"/>
      <c r="K14" s="11"/>
      <c r="M14" s="12"/>
    </row>
    <row r="15" spans="1:13" s="1" customFormat="1">
      <c r="A15" s="38"/>
      <c r="B15" s="39"/>
      <c r="C15" s="40">
        <v>3</v>
      </c>
      <c r="D15" s="10">
        <f>(0.5+7.75+7.25+1)/3.281</f>
        <v>5.0289545870161536</v>
      </c>
      <c r="E15" s="10">
        <v>1.83</v>
      </c>
      <c r="F15" s="10">
        <f t="shared" si="0"/>
        <v>27.608960682718685</v>
      </c>
      <c r="G15" s="36">
        <f t="shared" si="1"/>
        <v>27.608960682718685</v>
      </c>
      <c r="H15" s="27"/>
      <c r="I15" s="27"/>
      <c r="J15" s="27"/>
      <c r="K15" s="11"/>
      <c r="M15" s="12"/>
    </row>
    <row r="16" spans="1:13" s="1" customFormat="1">
      <c r="A16" s="38"/>
      <c r="B16" s="39"/>
      <c r="C16" s="40">
        <v>2</v>
      </c>
      <c r="D16" s="10">
        <f>(6.667+1.5)/3.281</f>
        <v>2.4891801280097527</v>
      </c>
      <c r="E16" s="10">
        <v>1.83</v>
      </c>
      <c r="F16" s="10">
        <f t="shared" si="0"/>
        <v>9.110399268515696</v>
      </c>
      <c r="G16" s="36">
        <f t="shared" si="1"/>
        <v>9.110399268515696</v>
      </c>
      <c r="H16" s="27"/>
      <c r="I16" s="27"/>
      <c r="J16" s="27"/>
      <c r="K16" s="11"/>
      <c r="M16" s="12"/>
    </row>
    <row r="17" spans="1:15" s="1" customFormat="1">
      <c r="A17" s="38"/>
      <c r="B17" s="39" t="s">
        <v>90</v>
      </c>
      <c r="C17" s="40">
        <v>3</v>
      </c>
      <c r="D17" s="10">
        <f>(2.667)/3.281</f>
        <v>0.81286193233770188</v>
      </c>
      <c r="E17" s="10">
        <v>2.83</v>
      </c>
      <c r="F17" s="10">
        <f t="shared" ref="F17" si="2">PRODUCT(C17:E17)</f>
        <v>6.9011978055470884</v>
      </c>
      <c r="G17" s="36">
        <f t="shared" ref="G17" si="3">F17</f>
        <v>6.9011978055470884</v>
      </c>
      <c r="H17" s="27"/>
      <c r="I17" s="27"/>
      <c r="J17" s="27"/>
      <c r="K17" s="11"/>
      <c r="M17" s="12"/>
    </row>
    <row r="18" spans="1:15" s="1" customFormat="1">
      <c r="A18" s="21"/>
      <c r="B18" s="39" t="s">
        <v>25</v>
      </c>
      <c r="C18" s="22"/>
      <c r="D18" s="23"/>
      <c r="E18" s="24"/>
      <c r="F18" s="24"/>
      <c r="G18" s="27">
        <f>SUM(G10:G17)</f>
        <v>91.273742883267289</v>
      </c>
      <c r="H18" s="25" t="s">
        <v>30</v>
      </c>
      <c r="I18" s="26">
        <v>181.17</v>
      </c>
      <c r="J18" s="27">
        <f>G18*I18</f>
        <v>16536.063998161535</v>
      </c>
      <c r="K18" s="24"/>
    </row>
    <row r="19" spans="1:15" s="1" customFormat="1">
      <c r="A19" s="21"/>
      <c r="B19" s="39" t="s">
        <v>33</v>
      </c>
      <c r="C19" s="22"/>
      <c r="D19" s="23"/>
      <c r="E19" s="24"/>
      <c r="F19" s="24"/>
      <c r="G19" s="27"/>
      <c r="H19" s="25"/>
      <c r="I19" s="26"/>
      <c r="J19" s="27">
        <f>0.13*G18*(1871.42/18.94)</f>
        <v>1172.4126730653923</v>
      </c>
      <c r="K19" s="24"/>
    </row>
    <row r="20" spans="1:15" s="1" customFormat="1" ht="15">
      <c r="A20" s="21"/>
      <c r="B20" s="37"/>
      <c r="C20" s="22"/>
      <c r="D20" s="23"/>
      <c r="E20" s="24"/>
      <c r="F20" s="24"/>
      <c r="G20" s="28"/>
      <c r="H20" s="25"/>
      <c r="I20" s="26"/>
      <c r="J20" s="27"/>
      <c r="K20" s="24"/>
    </row>
    <row r="21" spans="1:15" s="1" customFormat="1" ht="15">
      <c r="A21" s="38">
        <v>2</v>
      </c>
      <c r="B21" s="74" t="s">
        <v>75</v>
      </c>
      <c r="C21" s="40"/>
      <c r="D21" s="10"/>
      <c r="E21" s="10"/>
      <c r="F21" s="10"/>
      <c r="G21" s="36"/>
      <c r="H21" s="27"/>
      <c r="I21" s="27"/>
      <c r="J21" s="27"/>
      <c r="K21" s="11"/>
      <c r="M21" s="12"/>
    </row>
    <row r="22" spans="1:15" s="1" customFormat="1">
      <c r="A22" s="38"/>
      <c r="B22" s="39"/>
      <c r="C22" s="40">
        <v>1</v>
      </c>
      <c r="D22" s="10">
        <f>(0.5+7.5+7.5+0.75)/3.281</f>
        <v>4.9527583053946964</v>
      </c>
      <c r="E22" s="10">
        <f>12/3.281</f>
        <v>3.6574215178299299</v>
      </c>
      <c r="F22" s="10"/>
      <c r="G22" s="36">
        <f>PRODUCT(C22:F22)</f>
        <v>18.114324798761462</v>
      </c>
      <c r="H22" s="27"/>
      <c r="I22" s="27"/>
      <c r="J22" s="27"/>
      <c r="K22" s="11"/>
      <c r="M22" s="12"/>
      <c r="N22" s="1">
        <f>D22*5</f>
        <v>24.763791526973481</v>
      </c>
      <c r="O22" s="1">
        <f>4.5</f>
        <v>4.5</v>
      </c>
    </row>
    <row r="23" spans="1:15" s="1" customFormat="1">
      <c r="A23" s="21"/>
      <c r="B23" s="39" t="s">
        <v>25</v>
      </c>
      <c r="C23" s="22"/>
      <c r="D23" s="23"/>
      <c r="E23" s="24"/>
      <c r="F23" s="24"/>
      <c r="G23" s="27">
        <f>SUM(G22:G22)</f>
        <v>18.114324798761462</v>
      </c>
      <c r="H23" s="25" t="s">
        <v>31</v>
      </c>
      <c r="I23" s="26">
        <f>Sheet1!H10/10</f>
        <v>249.75</v>
      </c>
      <c r="J23" s="27">
        <f>G23*I23</f>
        <v>4524.0526184906748</v>
      </c>
      <c r="K23" s="24"/>
    </row>
    <row r="24" spans="1:15" s="1" customFormat="1" hidden="1">
      <c r="A24" s="21"/>
      <c r="B24" s="39" t="s">
        <v>33</v>
      </c>
      <c r="C24" s="22"/>
      <c r="D24" s="23"/>
      <c r="E24" s="24"/>
      <c r="F24" s="24"/>
      <c r="G24" s="27"/>
      <c r="H24" s="25"/>
      <c r="I24" s="26"/>
      <c r="J24" s="27">
        <f>0*0.13*G23*5298.54/10</f>
        <v>0</v>
      </c>
      <c r="K24" s="24"/>
    </row>
    <row r="25" spans="1:15" s="1" customFormat="1">
      <c r="A25" s="21"/>
      <c r="B25" s="39"/>
      <c r="C25" s="22"/>
      <c r="D25" s="23"/>
      <c r="E25" s="24"/>
      <c r="F25" s="24"/>
      <c r="G25" s="27"/>
      <c r="H25" s="25"/>
      <c r="I25" s="26"/>
      <c r="J25" s="27"/>
      <c r="K25" s="24"/>
    </row>
    <row r="26" spans="1:15" s="1" customFormat="1" ht="30">
      <c r="A26" s="21">
        <v>3</v>
      </c>
      <c r="B26" s="37" t="s">
        <v>34</v>
      </c>
      <c r="C26" s="22"/>
      <c r="D26" s="23"/>
      <c r="E26" s="24"/>
      <c r="F26" s="24"/>
      <c r="G26" s="27"/>
      <c r="H26" s="25"/>
      <c r="I26" s="26"/>
      <c r="J26" s="27"/>
      <c r="K26" s="24"/>
    </row>
    <row r="27" spans="1:15" s="1" customFormat="1">
      <c r="A27" s="21"/>
      <c r="B27" s="39" t="s">
        <v>66</v>
      </c>
      <c r="C27" s="22">
        <v>1</v>
      </c>
      <c r="D27" s="23">
        <f>D38</f>
        <v>4.5</v>
      </c>
      <c r="E27" s="24">
        <f>10/3.281</f>
        <v>3.047851264858275</v>
      </c>
      <c r="F27" s="24">
        <v>0.15</v>
      </c>
      <c r="G27" s="36">
        <f t="shared" ref="G27" si="4">PRODUCT(C27:F27)</f>
        <v>2.0572996037793354</v>
      </c>
      <c r="H27" s="25"/>
      <c r="I27" s="26"/>
      <c r="J27" s="27"/>
      <c r="K27" s="24"/>
    </row>
    <row r="28" spans="1:15" s="1" customFormat="1">
      <c r="A28" s="21"/>
      <c r="B28" s="39" t="s">
        <v>25</v>
      </c>
      <c r="C28" s="22"/>
      <c r="D28" s="23"/>
      <c r="E28" s="24"/>
      <c r="F28" s="24"/>
      <c r="G28" s="27">
        <f>SUM(G27:G27)</f>
        <v>2.0572996037793354</v>
      </c>
      <c r="H28" s="25" t="s">
        <v>36</v>
      </c>
      <c r="I28" s="26">
        <v>663.31</v>
      </c>
      <c r="J28" s="27">
        <f>G28*I28</f>
        <v>1364.6274001828708</v>
      </c>
      <c r="K28" s="24"/>
    </row>
    <row r="29" spans="1:15" s="1" customFormat="1">
      <c r="A29" s="21"/>
      <c r="B29" s="39"/>
      <c r="C29" s="22"/>
      <c r="D29" s="23"/>
      <c r="E29" s="24"/>
      <c r="F29" s="24"/>
      <c r="G29" s="27"/>
      <c r="H29" s="25"/>
      <c r="I29" s="26"/>
      <c r="J29" s="27"/>
      <c r="K29" s="24"/>
    </row>
    <row r="30" spans="1:15" s="1" customFormat="1" ht="30">
      <c r="A30" s="21">
        <v>4</v>
      </c>
      <c r="B30" s="74" t="s">
        <v>69</v>
      </c>
      <c r="C30" s="22"/>
      <c r="D30" s="23"/>
      <c r="E30" s="24"/>
      <c r="F30" s="24"/>
      <c r="G30" s="27"/>
      <c r="H30" s="25"/>
      <c r="I30" s="26"/>
      <c r="J30" s="27"/>
      <c r="K30" s="24"/>
    </row>
    <row r="31" spans="1:15" s="1" customFormat="1">
      <c r="A31" s="21"/>
      <c r="B31" s="39" t="str">
        <f>B27</f>
        <v>-for passage flooring</v>
      </c>
      <c r="C31" s="22">
        <v>1</v>
      </c>
      <c r="D31" s="23">
        <v>4</v>
      </c>
      <c r="E31" s="24">
        <v>1.5</v>
      </c>
      <c r="F31" s="24">
        <v>0.1</v>
      </c>
      <c r="G31" s="36">
        <f t="shared" ref="G31" si="5">PRODUCT(C31:F31)</f>
        <v>0.60000000000000009</v>
      </c>
      <c r="H31" s="25"/>
      <c r="I31" s="26"/>
      <c r="J31" s="27"/>
      <c r="K31" s="24"/>
    </row>
    <row r="32" spans="1:15" s="1" customFormat="1">
      <c r="A32" s="21"/>
      <c r="B32" s="39" t="s">
        <v>25</v>
      </c>
      <c r="C32" s="22"/>
      <c r="D32" s="23"/>
      <c r="E32" s="24"/>
      <c r="F32" s="24"/>
      <c r="G32" s="27">
        <f>SUM(G31:G31)</f>
        <v>0.60000000000000009</v>
      </c>
      <c r="H32" s="25" t="s">
        <v>36</v>
      </c>
      <c r="I32" s="26">
        <v>4473.1499999999996</v>
      </c>
      <c r="J32" s="27">
        <f>G32*I32</f>
        <v>2683.8900000000003</v>
      </c>
      <c r="K32" s="24"/>
    </row>
    <row r="33" spans="1:31" s="1" customFormat="1">
      <c r="A33" s="21"/>
      <c r="B33" s="39" t="s">
        <v>33</v>
      </c>
      <c r="C33" s="22"/>
      <c r="D33" s="23"/>
      <c r="E33" s="24"/>
      <c r="F33" s="24"/>
      <c r="G33" s="27"/>
      <c r="H33" s="25"/>
      <c r="I33" s="26"/>
      <c r="J33" s="27">
        <f>0.13*G32*3093.15</f>
        <v>241.26570000000004</v>
      </c>
      <c r="K33" s="24"/>
      <c r="M33" s="1">
        <f>4434</f>
        <v>4434</v>
      </c>
      <c r="N33" s="1" t="e">
        <f>(PRODUCT(#REF!))*0.15+(PRODUCT(#REF!))*0.15+(PRODUCT(C31:E31))*0.15</f>
        <v>#REF!</v>
      </c>
      <c r="O33" s="1" t="e">
        <f>N33*M33</f>
        <v>#REF!</v>
      </c>
    </row>
    <row r="34" spans="1:31" s="1" customFormat="1">
      <c r="A34" s="21"/>
      <c r="B34" s="39"/>
      <c r="C34" s="22"/>
      <c r="D34" s="23"/>
      <c r="E34" s="24"/>
      <c r="F34" s="24"/>
      <c r="G34" s="27"/>
      <c r="H34" s="25"/>
      <c r="I34" s="26"/>
      <c r="J34" s="27"/>
      <c r="K34" s="24"/>
    </row>
    <row r="35" spans="1:31" s="1" customFormat="1" ht="30">
      <c r="A35" s="21">
        <v>5</v>
      </c>
      <c r="B35" s="37" t="s">
        <v>37</v>
      </c>
      <c r="C35" s="22"/>
      <c r="D35" s="23"/>
      <c r="E35" s="24"/>
      <c r="F35" s="24"/>
      <c r="G35" s="27"/>
      <c r="H35" s="25"/>
      <c r="I35" s="26"/>
      <c r="J35" s="27"/>
      <c r="K35" s="24"/>
    </row>
    <row r="36" spans="1:31" s="1" customFormat="1">
      <c r="A36" s="21"/>
      <c r="B36" s="39" t="s">
        <v>35</v>
      </c>
      <c r="C36" s="22">
        <v>1</v>
      </c>
      <c r="D36" s="23">
        <v>3</v>
      </c>
      <c r="E36" s="24">
        <v>2.5</v>
      </c>
      <c r="F36" s="24">
        <v>0.05</v>
      </c>
      <c r="G36" s="36">
        <f>PRODUCT(C36:F36)</f>
        <v>0.375</v>
      </c>
      <c r="H36" s="25"/>
      <c r="I36" s="26"/>
      <c r="J36" s="27"/>
      <c r="K36" s="24"/>
    </row>
    <row r="37" spans="1:31" s="1" customFormat="1">
      <c r="A37" s="21"/>
      <c r="B37" s="39"/>
      <c r="C37" s="22">
        <v>1</v>
      </c>
      <c r="D37" s="23">
        <v>4.5</v>
      </c>
      <c r="E37" s="24">
        <v>2.5</v>
      </c>
      <c r="F37" s="24">
        <v>0.1</v>
      </c>
      <c r="G37" s="36">
        <f t="shared" ref="G37:G38" si="6">PRODUCT(C37:F37)</f>
        <v>1.125</v>
      </c>
      <c r="H37" s="25"/>
      <c r="I37" s="26"/>
      <c r="J37" s="27"/>
      <c r="K37" s="24"/>
      <c r="M37" s="1">
        <f>16/3.281</f>
        <v>4.8765620237732392</v>
      </c>
      <c r="N37" s="1">
        <f>(7.667+9.25)/2</f>
        <v>8.4585000000000008</v>
      </c>
    </row>
    <row r="38" spans="1:31" s="1" customFormat="1">
      <c r="A38" s="21"/>
      <c r="B38" s="39"/>
      <c r="C38" s="22">
        <v>1</v>
      </c>
      <c r="D38" s="23">
        <v>4.5</v>
      </c>
      <c r="E38" s="24">
        <f>(2.8+2.2)/2</f>
        <v>2.5</v>
      </c>
      <c r="F38" s="24">
        <v>0.1</v>
      </c>
      <c r="G38" s="36">
        <f t="shared" si="6"/>
        <v>1.125</v>
      </c>
      <c r="H38" s="25"/>
      <c r="I38" s="26"/>
      <c r="J38" s="27"/>
      <c r="K38" s="24"/>
      <c r="M38" s="1">
        <f>(15.5/3.281)</f>
        <v>4.7241694605303257</v>
      </c>
      <c r="N38" s="1">
        <f>8.5/3.281</f>
        <v>2.5906735751295336</v>
      </c>
    </row>
    <row r="39" spans="1:31" s="1" customFormat="1">
      <c r="A39" s="21"/>
      <c r="B39" s="39" t="s">
        <v>25</v>
      </c>
      <c r="C39" s="22"/>
      <c r="D39" s="23"/>
      <c r="E39" s="24"/>
      <c r="F39" s="24"/>
      <c r="G39" s="27">
        <f>SUM(G36:G38)</f>
        <v>2.625</v>
      </c>
      <c r="H39" s="25" t="s">
        <v>36</v>
      </c>
      <c r="I39" s="26">
        <v>12983.1</v>
      </c>
      <c r="J39" s="27">
        <f>G39*I39</f>
        <v>34080.637500000004</v>
      </c>
      <c r="K39" s="24"/>
    </row>
    <row r="40" spans="1:31" s="1" customFormat="1">
      <c r="A40" s="21"/>
      <c r="B40" s="39" t="s">
        <v>33</v>
      </c>
      <c r="C40" s="22"/>
      <c r="D40" s="23"/>
      <c r="E40" s="24"/>
      <c r="F40" s="24"/>
      <c r="G40" s="27"/>
      <c r="H40" s="25"/>
      <c r="I40" s="26"/>
      <c r="J40" s="27">
        <f>0.13*G39*8078.11</f>
        <v>2756.6550374999997</v>
      </c>
      <c r="K40" s="24"/>
    </row>
    <row r="41" spans="1:31" s="1" customFormat="1">
      <c r="A41" s="21"/>
      <c r="B41" s="39"/>
      <c r="C41" s="22"/>
      <c r="D41" s="23"/>
      <c r="E41" s="24"/>
      <c r="F41" s="24"/>
      <c r="G41" s="27"/>
      <c r="H41" s="25"/>
      <c r="I41" s="26"/>
      <c r="J41" s="27"/>
      <c r="K41" s="24"/>
    </row>
    <row r="42" spans="1:31" s="1" customFormat="1">
      <c r="A42" s="21">
        <v>6</v>
      </c>
      <c r="B42" s="41" t="s">
        <v>32</v>
      </c>
      <c r="C42" s="22">
        <v>0</v>
      </c>
      <c r="D42" s="23"/>
      <c r="E42" s="24"/>
      <c r="F42" s="24"/>
      <c r="G42" s="36">
        <f>PRODUCT(C42:F42)</f>
        <v>0</v>
      </c>
      <c r="H42" s="25" t="s">
        <v>38</v>
      </c>
      <c r="I42" s="26">
        <v>500</v>
      </c>
      <c r="J42" s="27">
        <f>G42*I42</f>
        <v>0</v>
      </c>
      <c r="K42" s="24"/>
    </row>
    <row r="43" spans="1:31" s="1" customFormat="1">
      <c r="A43" s="21"/>
      <c r="B43" s="39"/>
      <c r="C43" s="22"/>
      <c r="D43" s="23"/>
      <c r="E43" s="24"/>
      <c r="F43" s="24"/>
      <c r="G43" s="27"/>
      <c r="H43" s="25"/>
      <c r="I43" s="26"/>
      <c r="J43" s="27"/>
      <c r="K43" s="24"/>
    </row>
    <row r="44" spans="1:31">
      <c r="A44" s="9"/>
      <c r="B44" s="20" t="s">
        <v>16</v>
      </c>
      <c r="C44" s="8"/>
      <c r="D44" s="6"/>
      <c r="E44" s="6"/>
      <c r="F44" s="6"/>
      <c r="G44" s="33"/>
      <c r="H44" s="7"/>
      <c r="I44" s="7"/>
      <c r="J44" s="7">
        <f>SUM(J10:J42)</f>
        <v>63359.604927400476</v>
      </c>
      <c r="K44" s="4"/>
      <c r="M44" s="29"/>
      <c r="P44" s="32"/>
      <c r="Q44" s="32"/>
    </row>
    <row r="45" spans="1:31">
      <c r="M45" s="29"/>
      <c r="N45" s="30"/>
      <c r="O45" s="30"/>
      <c r="P45" s="31"/>
      <c r="R45" s="30"/>
      <c r="S45" s="30"/>
      <c r="T45" s="30"/>
      <c r="U45" s="29"/>
      <c r="V45" s="29"/>
      <c r="W45" s="29"/>
      <c r="X45" s="29"/>
      <c r="Y45" s="29"/>
      <c r="Z45" s="29"/>
      <c r="AA45" s="29"/>
      <c r="AB45" s="29"/>
      <c r="AC45" s="29"/>
      <c r="AD45" s="29"/>
      <c r="AE45" s="29"/>
    </row>
    <row r="46" spans="1:31" s="1" customFormat="1">
      <c r="B46" s="11" t="s">
        <v>91</v>
      </c>
      <c r="C46" s="104">
        <f>J44</f>
        <v>63359.604927400476</v>
      </c>
      <c r="D46" s="104"/>
      <c r="E46" s="13"/>
      <c r="F46" s="12"/>
      <c r="G46" s="13"/>
      <c r="H46" s="12"/>
      <c r="I46" s="14"/>
      <c r="J46" s="15"/>
      <c r="K46" s="16"/>
      <c r="M46" s="12"/>
      <c r="N46" s="30"/>
      <c r="O46" s="30"/>
      <c r="P46" s="30"/>
      <c r="Q46" s="30"/>
      <c r="R46" s="30"/>
      <c r="S46" s="30"/>
      <c r="T46" s="30"/>
      <c r="U46" s="12"/>
      <c r="V46" s="12"/>
      <c r="W46" s="12"/>
      <c r="X46" s="12"/>
      <c r="Y46" s="12"/>
      <c r="Z46" s="12"/>
      <c r="AA46" s="12"/>
      <c r="AB46" s="12"/>
      <c r="AC46" s="12"/>
      <c r="AD46" s="12"/>
      <c r="AE46" s="12"/>
    </row>
    <row r="47" spans="1:31" s="1" customFormat="1" hidden="1">
      <c r="B47" s="75" t="s">
        <v>22</v>
      </c>
      <c r="C47" s="105">
        <f>J44</f>
        <v>63359.604927400476</v>
      </c>
      <c r="D47" s="106"/>
      <c r="E47" s="76">
        <v>100</v>
      </c>
      <c r="F47" s="12"/>
      <c r="G47" s="13"/>
      <c r="H47" s="12"/>
      <c r="I47" s="14"/>
      <c r="J47" s="15"/>
      <c r="K47" s="16"/>
      <c r="M47" s="12"/>
      <c r="N47" s="30"/>
      <c r="O47" s="30"/>
      <c r="P47" s="30"/>
      <c r="Q47" s="30"/>
      <c r="R47" s="30"/>
      <c r="S47" s="30"/>
      <c r="T47" s="30"/>
      <c r="U47" s="12"/>
      <c r="V47" s="12"/>
      <c r="W47" s="12"/>
      <c r="X47" s="12"/>
      <c r="Y47" s="12"/>
      <c r="Z47" s="12"/>
      <c r="AA47" s="12"/>
      <c r="AB47" s="12"/>
      <c r="AC47" s="12"/>
      <c r="AD47" s="12"/>
      <c r="AE47" s="12"/>
    </row>
    <row r="48" spans="1:31" hidden="1">
      <c r="B48" s="11" t="s">
        <v>17</v>
      </c>
      <c r="C48" s="102">
        <v>60000</v>
      </c>
      <c r="D48" s="103"/>
      <c r="E48" s="10"/>
      <c r="M48" s="29"/>
      <c r="N48" s="30"/>
      <c r="O48" s="30"/>
      <c r="P48" s="30"/>
      <c r="Q48" s="30"/>
      <c r="R48" s="30"/>
      <c r="S48" s="30"/>
      <c r="T48" s="30"/>
      <c r="U48" s="29"/>
      <c r="V48" s="29"/>
      <c r="W48" s="29"/>
      <c r="X48" s="29"/>
      <c r="Y48" s="29"/>
      <c r="Z48" s="29"/>
      <c r="AA48" s="29"/>
      <c r="AB48" s="29"/>
      <c r="AC48" s="29"/>
      <c r="AD48" s="29"/>
      <c r="AE48" s="29"/>
    </row>
    <row r="49" spans="2:31" hidden="1">
      <c r="B49" s="11" t="s">
        <v>18</v>
      </c>
      <c r="C49" s="102">
        <v>30000</v>
      </c>
      <c r="D49" s="103"/>
      <c r="E49" s="10">
        <f>C49/C47*100</f>
        <v>47.348780085316172</v>
      </c>
      <c r="M49" s="29"/>
      <c r="N49" s="29"/>
      <c r="O49" s="29"/>
      <c r="P49" s="29"/>
      <c r="Q49" s="29"/>
      <c r="R49" s="29"/>
      <c r="S49" s="29"/>
      <c r="T49" s="29"/>
      <c r="U49" s="29"/>
      <c r="V49" s="29"/>
      <c r="W49" s="29"/>
      <c r="X49" s="29"/>
      <c r="Y49" s="29"/>
      <c r="Z49" s="29"/>
      <c r="AA49" s="29"/>
      <c r="AB49" s="29"/>
      <c r="AC49" s="29"/>
      <c r="AD49" s="29"/>
      <c r="AE49" s="29"/>
    </row>
    <row r="50" spans="2:31" hidden="1">
      <c r="B50" s="11" t="s">
        <v>19</v>
      </c>
      <c r="C50" s="104">
        <f>C47-C49</f>
        <v>33359.604927400476</v>
      </c>
      <c r="D50" s="104"/>
      <c r="E50" s="10">
        <f>100-E49</f>
        <v>52.651219914683828</v>
      </c>
      <c r="M50" s="29"/>
      <c r="N50" s="29"/>
      <c r="O50" s="29"/>
      <c r="P50" s="29"/>
      <c r="Q50" s="29"/>
      <c r="R50" s="29"/>
      <c r="S50" s="29"/>
      <c r="T50" s="29"/>
      <c r="U50" s="29"/>
      <c r="V50" s="29"/>
      <c r="W50" s="29"/>
      <c r="X50" s="29"/>
      <c r="Y50" s="29"/>
      <c r="Z50" s="29"/>
      <c r="AA50" s="29"/>
      <c r="AB50" s="29"/>
      <c r="AC50" s="29"/>
      <c r="AD50" s="29"/>
      <c r="AE50" s="29"/>
    </row>
    <row r="51" spans="2:31" hidden="1">
      <c r="B51" s="11" t="s">
        <v>20</v>
      </c>
      <c r="C51" s="99">
        <f>C48*0.03</f>
        <v>1800</v>
      </c>
      <c r="D51" s="100"/>
      <c r="E51" s="10">
        <v>3</v>
      </c>
      <c r="M51" s="29"/>
      <c r="N51" s="29"/>
      <c r="O51" s="29"/>
      <c r="P51" s="29"/>
      <c r="Q51" s="29"/>
      <c r="R51" s="29"/>
      <c r="S51" s="29"/>
      <c r="T51" s="29"/>
      <c r="U51" s="29"/>
      <c r="V51" s="29"/>
      <c r="W51" s="29"/>
      <c r="X51" s="29"/>
      <c r="Y51" s="29"/>
      <c r="Z51" s="29"/>
      <c r="AA51" s="29"/>
      <c r="AB51" s="29"/>
      <c r="AC51" s="29"/>
      <c r="AD51" s="29"/>
      <c r="AE51" s="29"/>
    </row>
    <row r="52" spans="2:31" hidden="1">
      <c r="B52" s="11" t="s">
        <v>21</v>
      </c>
      <c r="C52" s="99">
        <f>C48*0.02</f>
        <v>1200</v>
      </c>
      <c r="D52" s="100"/>
      <c r="E52" s="10">
        <v>2</v>
      </c>
      <c r="M52" s="29"/>
      <c r="N52" s="29"/>
      <c r="O52" s="29"/>
      <c r="P52" s="29"/>
      <c r="Q52" s="29"/>
      <c r="R52" s="29"/>
      <c r="S52" s="29"/>
      <c r="T52" s="29"/>
      <c r="U52" s="29"/>
      <c r="V52" s="29"/>
      <c r="W52" s="29"/>
      <c r="X52" s="29"/>
      <c r="Y52" s="29"/>
      <c r="Z52" s="29"/>
      <c r="AA52" s="29"/>
      <c r="AB52" s="29"/>
      <c r="AC52" s="29"/>
      <c r="AD52" s="29"/>
      <c r="AE52" s="29"/>
    </row>
  </sheetData>
  <mergeCells count="16">
    <mergeCell ref="A6:G6"/>
    <mergeCell ref="H6:K6"/>
    <mergeCell ref="A1:K1"/>
    <mergeCell ref="A2:K2"/>
    <mergeCell ref="A3:K3"/>
    <mergeCell ref="A4:K4"/>
    <mergeCell ref="A5:K5"/>
    <mergeCell ref="C50:D50"/>
    <mergeCell ref="C51:D51"/>
    <mergeCell ref="C52:D52"/>
    <mergeCell ref="A7:F7"/>
    <mergeCell ref="H7:K7"/>
    <mergeCell ref="C46:D46"/>
    <mergeCell ref="C47:D47"/>
    <mergeCell ref="C48:D48"/>
    <mergeCell ref="C49:D49"/>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2"/>
  <sheetViews>
    <sheetView tabSelected="1" zoomScaleNormal="100" zoomScaleSheetLayoutView="80" workbookViewId="0">
      <selection activeCell="M6" sqref="M6"/>
    </sheetView>
  </sheetViews>
  <sheetFormatPr defaultRowHeight="14.4"/>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7" style="5" customWidth="1"/>
    <col min="9" max="9" width="9.33203125" style="5" hidden="1" customWidth="1"/>
    <col min="10" max="10" width="10.5546875" style="5" hidden="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c r="A1" s="95" t="s">
        <v>0</v>
      </c>
      <c r="B1" s="95"/>
      <c r="C1" s="95"/>
      <c r="D1" s="95"/>
      <c r="E1" s="95"/>
      <c r="F1" s="95"/>
      <c r="G1" s="95"/>
      <c r="H1" s="95"/>
      <c r="I1" s="95"/>
      <c r="J1" s="95"/>
      <c r="K1" s="95"/>
    </row>
    <row r="2" spans="1:13" s="1" customFormat="1" ht="22.8">
      <c r="A2" s="96" t="s">
        <v>1</v>
      </c>
      <c r="B2" s="96"/>
      <c r="C2" s="96"/>
      <c r="D2" s="96"/>
      <c r="E2" s="96"/>
      <c r="F2" s="96"/>
      <c r="G2" s="96"/>
      <c r="H2" s="96"/>
      <c r="I2" s="96"/>
      <c r="J2" s="96"/>
      <c r="K2" s="96"/>
    </row>
    <row r="3" spans="1:13" s="1" customFormat="1">
      <c r="A3" s="97" t="s">
        <v>2</v>
      </c>
      <c r="B3" s="97"/>
      <c r="C3" s="97"/>
      <c r="D3" s="97"/>
      <c r="E3" s="97"/>
      <c r="F3" s="97"/>
      <c r="G3" s="97"/>
      <c r="H3" s="97"/>
      <c r="I3" s="97"/>
      <c r="J3" s="97"/>
      <c r="K3" s="97"/>
    </row>
    <row r="4" spans="1:13" s="1" customFormat="1">
      <c r="A4" s="97" t="s">
        <v>3</v>
      </c>
      <c r="B4" s="97"/>
      <c r="C4" s="97"/>
      <c r="D4" s="97"/>
      <c r="E4" s="97"/>
      <c r="F4" s="97"/>
      <c r="G4" s="97"/>
      <c r="H4" s="97"/>
      <c r="I4" s="97"/>
      <c r="J4" s="97"/>
      <c r="K4" s="97"/>
    </row>
    <row r="5" spans="1:13" ht="17.399999999999999">
      <c r="A5" s="98" t="s">
        <v>93</v>
      </c>
      <c r="B5" s="98"/>
      <c r="C5" s="98"/>
      <c r="D5" s="98"/>
      <c r="E5" s="98"/>
      <c r="F5" s="98"/>
      <c r="G5" s="98"/>
      <c r="H5" s="98"/>
      <c r="I5" s="98"/>
      <c r="J5" s="98"/>
      <c r="K5" s="98"/>
    </row>
    <row r="6" spans="1:13" ht="18">
      <c r="A6" s="93" t="s">
        <v>71</v>
      </c>
      <c r="B6" s="93"/>
      <c r="C6" s="93"/>
      <c r="D6" s="93"/>
      <c r="E6" s="93"/>
      <c r="F6" s="93"/>
      <c r="G6" s="93"/>
      <c r="I6" s="129"/>
      <c r="J6" s="129"/>
      <c r="K6" s="77" t="s">
        <v>24</v>
      </c>
    </row>
    <row r="7" spans="1:13" ht="15.6">
      <c r="A7" s="101" t="s">
        <v>23</v>
      </c>
      <c r="B7" s="101"/>
      <c r="C7" s="101"/>
      <c r="D7" s="101"/>
      <c r="E7" s="101"/>
      <c r="F7" s="101"/>
      <c r="G7" s="2"/>
      <c r="I7" s="129"/>
      <c r="J7" s="129"/>
      <c r="K7" s="77" t="s">
        <v>72</v>
      </c>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1.4">
      <c r="A9" s="21">
        <v>1</v>
      </c>
      <c r="B9" s="37" t="s">
        <v>29</v>
      </c>
      <c r="C9" s="22" t="s">
        <v>7</v>
      </c>
      <c r="D9" s="34" t="s">
        <v>26</v>
      </c>
      <c r="E9" s="35" t="s">
        <v>28</v>
      </c>
      <c r="F9" s="35" t="s">
        <v>27</v>
      </c>
      <c r="G9" s="35"/>
      <c r="H9" s="25"/>
      <c r="I9" s="26"/>
      <c r="J9" s="27"/>
      <c r="K9" s="24"/>
    </row>
    <row r="10" spans="1:13" s="1" customFormat="1" ht="27.6">
      <c r="A10" s="38"/>
      <c r="B10" s="39" t="s">
        <v>70</v>
      </c>
      <c r="C10" s="40">
        <v>3</v>
      </c>
      <c r="D10" s="10">
        <v>2.5299999999999998</v>
      </c>
      <c r="E10" s="10">
        <v>1.83</v>
      </c>
      <c r="F10" s="10">
        <f t="shared" ref="F10:F17" si="0">PRODUCT(C10:E10)</f>
        <v>13.889699999999999</v>
      </c>
      <c r="G10" s="36">
        <f t="shared" ref="G10:G17"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v>0.63</v>
      </c>
      <c r="E12" s="10">
        <v>1.83</v>
      </c>
      <c r="F12" s="10">
        <f t="shared" si="0"/>
        <v>3.4587000000000003</v>
      </c>
      <c r="G12" s="36">
        <f t="shared" si="1"/>
        <v>3.4587000000000003</v>
      </c>
      <c r="H12" s="27"/>
      <c r="I12" s="27"/>
      <c r="J12" s="27"/>
      <c r="K12" s="11"/>
      <c r="M12" s="12"/>
    </row>
    <row r="13" spans="1:13" s="1" customFormat="1">
      <c r="A13" s="38"/>
      <c r="B13" s="39"/>
      <c r="C13" s="40">
        <v>3</v>
      </c>
      <c r="D13" s="10">
        <f>10/3.281</f>
        <v>3.047851264858275</v>
      </c>
      <c r="E13" s="10">
        <v>1.83</v>
      </c>
      <c r="F13" s="10">
        <f t="shared" si="0"/>
        <v>16.73270344407193</v>
      </c>
      <c r="G13" s="36">
        <f t="shared" si="1"/>
        <v>16.73270344407193</v>
      </c>
      <c r="H13" s="27"/>
      <c r="I13" s="27"/>
      <c r="J13" s="27"/>
      <c r="K13" s="11"/>
      <c r="M13" s="12"/>
    </row>
    <row r="14" spans="1:13" s="1" customFormat="1">
      <c r="A14" s="38"/>
      <c r="B14" s="39"/>
      <c r="C14" s="40">
        <v>3</v>
      </c>
      <c r="D14" s="10">
        <f>7.5/3.281</f>
        <v>2.2858884486437061</v>
      </c>
      <c r="E14" s="10">
        <v>1.83</v>
      </c>
      <c r="F14" s="10">
        <f t="shared" si="0"/>
        <v>12.549527583053948</v>
      </c>
      <c r="G14" s="36">
        <f t="shared" si="1"/>
        <v>12.549527583053948</v>
      </c>
      <c r="H14" s="27"/>
      <c r="I14" s="27"/>
      <c r="J14" s="27"/>
      <c r="K14" s="11"/>
      <c r="M14" s="12"/>
    </row>
    <row r="15" spans="1:13" s="1" customFormat="1">
      <c r="A15" s="38"/>
      <c r="B15" s="39"/>
      <c r="C15" s="40">
        <v>3</v>
      </c>
      <c r="D15" s="10">
        <f>(0.5+7.75+7.25+1)/3.281</f>
        <v>5.0289545870161536</v>
      </c>
      <c r="E15" s="10">
        <v>1.83</v>
      </c>
      <c r="F15" s="10">
        <f t="shared" si="0"/>
        <v>27.608960682718685</v>
      </c>
      <c r="G15" s="36">
        <f t="shared" si="1"/>
        <v>27.608960682718685</v>
      </c>
      <c r="H15" s="27"/>
      <c r="I15" s="27"/>
      <c r="J15" s="27"/>
      <c r="K15" s="11"/>
      <c r="M15" s="12"/>
    </row>
    <row r="16" spans="1:13" s="1" customFormat="1">
      <c r="A16" s="38"/>
      <c r="B16" s="39"/>
      <c r="C16" s="40">
        <v>2</v>
      </c>
      <c r="D16" s="10">
        <f>(6.667+1.5)/3.281</f>
        <v>2.4891801280097527</v>
      </c>
      <c r="E16" s="10">
        <v>1.83</v>
      </c>
      <c r="F16" s="10">
        <f t="shared" si="0"/>
        <v>9.110399268515696</v>
      </c>
      <c r="G16" s="36">
        <f t="shared" si="1"/>
        <v>9.110399268515696</v>
      </c>
      <c r="H16" s="27"/>
      <c r="I16" s="27"/>
      <c r="J16" s="27"/>
      <c r="K16" s="11"/>
      <c r="M16" s="12"/>
    </row>
    <row r="17" spans="1:15" s="1" customFormat="1">
      <c r="A17" s="38"/>
      <c r="B17" s="39" t="s">
        <v>90</v>
      </c>
      <c r="C17" s="40">
        <v>3</v>
      </c>
      <c r="D17" s="10">
        <f>(2.667)/3.281</f>
        <v>0.81286193233770188</v>
      </c>
      <c r="E17" s="10">
        <v>2.83</v>
      </c>
      <c r="F17" s="10">
        <f t="shared" si="0"/>
        <v>6.9011978055470884</v>
      </c>
      <c r="G17" s="36">
        <f t="shared" si="1"/>
        <v>6.9011978055470884</v>
      </c>
      <c r="H17" s="27"/>
      <c r="I17" s="27"/>
      <c r="J17" s="27"/>
      <c r="K17" s="11"/>
      <c r="M17" s="12"/>
    </row>
    <row r="18" spans="1:15" s="1" customFormat="1">
      <c r="A18" s="21"/>
      <c r="B18" s="39" t="s">
        <v>25</v>
      </c>
      <c r="C18" s="22"/>
      <c r="D18" s="23"/>
      <c r="E18" s="24"/>
      <c r="F18" s="24"/>
      <c r="G18" s="27">
        <f>SUM(G10:G17)</f>
        <v>91.273742883267289</v>
      </c>
      <c r="H18" s="25" t="s">
        <v>30</v>
      </c>
      <c r="I18" s="26">
        <v>181.17</v>
      </c>
      <c r="J18" s="27">
        <f>G18*I18</f>
        <v>16536.063998161535</v>
      </c>
      <c r="K18" s="24"/>
    </row>
    <row r="19" spans="1:15" s="1" customFormat="1" hidden="1">
      <c r="A19" s="21"/>
      <c r="B19" s="39" t="s">
        <v>33</v>
      </c>
      <c r="C19" s="22"/>
      <c r="D19" s="23"/>
      <c r="E19" s="24"/>
      <c r="F19" s="24"/>
      <c r="G19" s="27"/>
      <c r="H19" s="25"/>
      <c r="I19" s="26"/>
      <c r="J19" s="27">
        <f>0.13*G18*(1871.42/18.94)</f>
        <v>1172.4126730653923</v>
      </c>
      <c r="K19" s="24"/>
    </row>
    <row r="20" spans="1:15" s="1" customFormat="1" ht="15">
      <c r="A20" s="21"/>
      <c r="B20" s="37"/>
      <c r="C20" s="22"/>
      <c r="D20" s="23"/>
      <c r="E20" s="24"/>
      <c r="F20" s="24"/>
      <c r="G20" s="28"/>
      <c r="H20" s="25"/>
      <c r="I20" s="26"/>
      <c r="J20" s="27"/>
      <c r="K20" s="24"/>
    </row>
    <row r="21" spans="1:15" s="1" customFormat="1" ht="15">
      <c r="A21" s="38">
        <v>2</v>
      </c>
      <c r="B21" s="74" t="s">
        <v>75</v>
      </c>
      <c r="C21" s="40"/>
      <c r="D21" s="10"/>
      <c r="E21" s="10"/>
      <c r="F21" s="10"/>
      <c r="G21" s="36"/>
      <c r="H21" s="27"/>
      <c r="I21" s="27"/>
      <c r="J21" s="27"/>
      <c r="K21" s="11"/>
      <c r="M21" s="12"/>
    </row>
    <row r="22" spans="1:15" s="1" customFormat="1">
      <c r="A22" s="38"/>
      <c r="B22" s="39"/>
      <c r="C22" s="40">
        <v>1</v>
      </c>
      <c r="D22" s="10">
        <f>(0.5+7.5+7.5+0.75)/3.281</f>
        <v>4.9527583053946964</v>
      </c>
      <c r="E22" s="10">
        <f>12/3.281</f>
        <v>3.6574215178299299</v>
      </c>
      <c r="F22" s="10"/>
      <c r="G22" s="36">
        <f>PRODUCT(C22:F22)</f>
        <v>18.114324798761462</v>
      </c>
      <c r="H22" s="27"/>
      <c r="I22" s="27"/>
      <c r="J22" s="27"/>
      <c r="K22" s="11"/>
      <c r="M22" s="12"/>
      <c r="N22" s="1">
        <f>D22*5</f>
        <v>24.763791526973481</v>
      </c>
      <c r="O22" s="1">
        <f>4.5</f>
        <v>4.5</v>
      </c>
    </row>
    <row r="23" spans="1:15" s="1" customFormat="1">
      <c r="A23" s="21"/>
      <c r="B23" s="39" t="s">
        <v>25</v>
      </c>
      <c r="C23" s="22"/>
      <c r="D23" s="23"/>
      <c r="E23" s="24"/>
      <c r="F23" s="24"/>
      <c r="G23" s="27">
        <f>SUM(G22:G22)</f>
        <v>18.114324798761462</v>
      </c>
      <c r="H23" s="25" t="s">
        <v>31</v>
      </c>
      <c r="I23" s="26">
        <f>Sheet1!H10/10</f>
        <v>249.75</v>
      </c>
      <c r="J23" s="27">
        <f>G23*I23</f>
        <v>4524.0526184906748</v>
      </c>
      <c r="K23" s="24"/>
    </row>
    <row r="24" spans="1:15" s="1" customFormat="1" hidden="1">
      <c r="A24" s="21"/>
      <c r="B24" s="39" t="s">
        <v>33</v>
      </c>
      <c r="C24" s="22"/>
      <c r="D24" s="23"/>
      <c r="E24" s="24"/>
      <c r="F24" s="24"/>
      <c r="G24" s="27"/>
      <c r="H24" s="25"/>
      <c r="I24" s="26"/>
      <c r="J24" s="27">
        <f>0*0.13*G23*5298.54/10</f>
        <v>0</v>
      </c>
      <c r="K24" s="24"/>
    </row>
    <row r="25" spans="1:15" s="1" customFormat="1">
      <c r="A25" s="21"/>
      <c r="B25" s="39"/>
      <c r="C25" s="22"/>
      <c r="D25" s="23"/>
      <c r="E25" s="24"/>
      <c r="F25" s="24"/>
      <c r="G25" s="27"/>
      <c r="H25" s="25"/>
      <c r="I25" s="26"/>
      <c r="J25" s="27"/>
      <c r="K25" s="24"/>
    </row>
    <row r="26" spans="1:15" s="1" customFormat="1" ht="30">
      <c r="A26" s="21">
        <v>3</v>
      </c>
      <c r="B26" s="37" t="s">
        <v>34</v>
      </c>
      <c r="C26" s="22"/>
      <c r="D26" s="23"/>
      <c r="E26" s="24"/>
      <c r="F26" s="24"/>
      <c r="G26" s="27"/>
      <c r="H26" s="25"/>
      <c r="I26" s="26"/>
      <c r="J26" s="27"/>
      <c r="K26" s="24"/>
    </row>
    <row r="27" spans="1:15" s="1" customFormat="1">
      <c r="A27" s="21"/>
      <c r="B27" s="39" t="s">
        <v>66</v>
      </c>
      <c r="C27" s="22">
        <v>1</v>
      </c>
      <c r="D27" s="23">
        <f>D38</f>
        <v>4.5</v>
      </c>
      <c r="E27" s="24">
        <f>10/3.281</f>
        <v>3.047851264858275</v>
      </c>
      <c r="F27" s="24">
        <v>0.15</v>
      </c>
      <c r="G27" s="36">
        <f t="shared" ref="G27" si="2">PRODUCT(C27:F27)</f>
        <v>2.0572996037793354</v>
      </c>
      <c r="H27" s="25"/>
      <c r="I27" s="26"/>
      <c r="J27" s="27"/>
      <c r="K27" s="24"/>
    </row>
    <row r="28" spans="1:15" s="1" customFormat="1">
      <c r="A28" s="21"/>
      <c r="B28" s="39" t="s">
        <v>25</v>
      </c>
      <c r="C28" s="22"/>
      <c r="D28" s="23"/>
      <c r="E28" s="24"/>
      <c r="F28" s="24"/>
      <c r="G28" s="27">
        <f>SUM(G27:G27)</f>
        <v>2.0572996037793354</v>
      </c>
      <c r="H28" s="25" t="s">
        <v>36</v>
      </c>
      <c r="I28" s="26">
        <v>663.31</v>
      </c>
      <c r="J28" s="27">
        <f>G28*I28</f>
        <v>1364.6274001828708</v>
      </c>
      <c r="K28" s="24"/>
    </row>
    <row r="29" spans="1:15" s="1" customFormat="1">
      <c r="A29" s="21"/>
      <c r="B29" s="39"/>
      <c r="C29" s="22"/>
      <c r="D29" s="23"/>
      <c r="E29" s="24"/>
      <c r="F29" s="24"/>
      <c r="G29" s="27"/>
      <c r="H29" s="25"/>
      <c r="I29" s="26"/>
      <c r="J29" s="27"/>
      <c r="K29" s="24"/>
    </row>
    <row r="30" spans="1:15" s="1" customFormat="1" ht="30">
      <c r="A30" s="21">
        <v>4</v>
      </c>
      <c r="B30" s="74" t="s">
        <v>69</v>
      </c>
      <c r="C30" s="22"/>
      <c r="D30" s="23"/>
      <c r="E30" s="24"/>
      <c r="F30" s="24"/>
      <c r="G30" s="27"/>
      <c r="H30" s="25"/>
      <c r="I30" s="26"/>
      <c r="J30" s="27"/>
      <c r="K30" s="24"/>
    </row>
    <row r="31" spans="1:15" s="1" customFormat="1">
      <c r="A31" s="21"/>
      <c r="B31" s="39" t="str">
        <f>B27</f>
        <v>-for passage flooring</v>
      </c>
      <c r="C31" s="22">
        <v>1</v>
      </c>
      <c r="D31" s="23">
        <v>4</v>
      </c>
      <c r="E31" s="24">
        <v>1.5</v>
      </c>
      <c r="F31" s="24">
        <v>0.1</v>
      </c>
      <c r="G31" s="36">
        <f t="shared" ref="G31" si="3">PRODUCT(C31:F31)</f>
        <v>0.60000000000000009</v>
      </c>
      <c r="H31" s="25"/>
      <c r="I31" s="26"/>
      <c r="J31" s="27"/>
      <c r="K31" s="24"/>
    </row>
    <row r="32" spans="1:15" s="1" customFormat="1">
      <c r="A32" s="21"/>
      <c r="B32" s="39" t="s">
        <v>25</v>
      </c>
      <c r="C32" s="22"/>
      <c r="D32" s="23"/>
      <c r="E32" s="24"/>
      <c r="F32" s="24"/>
      <c r="G32" s="27">
        <f>SUM(G31:G31)</f>
        <v>0.60000000000000009</v>
      </c>
      <c r="H32" s="25" t="s">
        <v>36</v>
      </c>
      <c r="I32" s="26">
        <v>4473.1499999999996</v>
      </c>
      <c r="J32" s="27">
        <f>G32*I32</f>
        <v>2683.8900000000003</v>
      </c>
      <c r="K32" s="24"/>
    </row>
    <row r="33" spans="1:31" s="1" customFormat="1" hidden="1">
      <c r="A33" s="21"/>
      <c r="B33" s="39" t="s">
        <v>33</v>
      </c>
      <c r="C33" s="22"/>
      <c r="D33" s="23"/>
      <c r="E33" s="24"/>
      <c r="F33" s="24"/>
      <c r="G33" s="27"/>
      <c r="H33" s="25"/>
      <c r="I33" s="26"/>
      <c r="J33" s="27">
        <f>0.13*G32*3093.15</f>
        <v>241.26570000000004</v>
      </c>
      <c r="K33" s="24"/>
      <c r="M33" s="1">
        <f>4434</f>
        <v>4434</v>
      </c>
      <c r="N33" s="1" t="e">
        <f>(PRODUCT(#REF!))*0.15+(PRODUCT(#REF!))*0.15+(PRODUCT(C31:E31))*0.15</f>
        <v>#REF!</v>
      </c>
      <c r="O33" s="1" t="e">
        <f>N33*M33</f>
        <v>#REF!</v>
      </c>
    </row>
    <row r="34" spans="1:31" s="1" customFormat="1">
      <c r="A34" s="21"/>
      <c r="B34" s="39"/>
      <c r="C34" s="22"/>
      <c r="D34" s="23"/>
      <c r="E34" s="24"/>
      <c r="F34" s="24"/>
      <c r="G34" s="27"/>
      <c r="H34" s="25"/>
      <c r="I34" s="26"/>
      <c r="J34" s="27"/>
      <c r="K34" s="24"/>
    </row>
    <row r="35" spans="1:31" s="1" customFormat="1" ht="30">
      <c r="A35" s="21">
        <v>5</v>
      </c>
      <c r="B35" s="37" t="s">
        <v>37</v>
      </c>
      <c r="C35" s="22"/>
      <c r="D35" s="23"/>
      <c r="E35" s="24"/>
      <c r="F35" s="24"/>
      <c r="G35" s="27"/>
      <c r="H35" s="25"/>
      <c r="I35" s="26"/>
      <c r="J35" s="27"/>
      <c r="K35" s="24"/>
    </row>
    <row r="36" spans="1:31" s="1" customFormat="1">
      <c r="A36" s="21"/>
      <c r="B36" s="39" t="s">
        <v>35</v>
      </c>
      <c r="C36" s="22">
        <v>1</v>
      </c>
      <c r="D36" s="23">
        <v>3</v>
      </c>
      <c r="E36" s="24">
        <v>2.5</v>
      </c>
      <c r="F36" s="24">
        <v>0.05</v>
      </c>
      <c r="G36" s="36">
        <f>PRODUCT(C36:F36)</f>
        <v>0.375</v>
      </c>
      <c r="H36" s="25"/>
      <c r="I36" s="26"/>
      <c r="J36" s="27"/>
      <c r="K36" s="24"/>
    </row>
    <row r="37" spans="1:31" s="1" customFormat="1">
      <c r="A37" s="21"/>
      <c r="B37" s="39"/>
      <c r="C37" s="22">
        <v>1</v>
      </c>
      <c r="D37" s="23">
        <v>4.5</v>
      </c>
      <c r="E37" s="24">
        <v>2.5</v>
      </c>
      <c r="F37" s="24">
        <v>0.1</v>
      </c>
      <c r="G37" s="36">
        <f t="shared" ref="G37:G38" si="4">PRODUCT(C37:F37)</f>
        <v>1.125</v>
      </c>
      <c r="H37" s="25"/>
      <c r="I37" s="26"/>
      <c r="J37" s="27"/>
      <c r="K37" s="24"/>
      <c r="M37" s="1">
        <f>16/3.281</f>
        <v>4.8765620237732392</v>
      </c>
      <c r="N37" s="1">
        <f>(7.667+9.25)/2</f>
        <v>8.4585000000000008</v>
      </c>
    </row>
    <row r="38" spans="1:31" s="1" customFormat="1">
      <c r="A38" s="21"/>
      <c r="B38" s="39"/>
      <c r="C38" s="22">
        <v>1</v>
      </c>
      <c r="D38" s="23">
        <v>4.5</v>
      </c>
      <c r="E38" s="24">
        <f>(2.8+2.2)/2</f>
        <v>2.5</v>
      </c>
      <c r="F38" s="24">
        <v>0.1</v>
      </c>
      <c r="G38" s="36">
        <f t="shared" si="4"/>
        <v>1.125</v>
      </c>
      <c r="H38" s="25"/>
      <c r="I38" s="26"/>
      <c r="J38" s="27"/>
      <c r="K38" s="24"/>
      <c r="M38" s="1">
        <f>(15.5/3.281)</f>
        <v>4.7241694605303257</v>
      </c>
      <c r="N38" s="1">
        <f>8.5/3.281</f>
        <v>2.5906735751295336</v>
      </c>
    </row>
    <row r="39" spans="1:31" s="1" customFormat="1">
      <c r="A39" s="21"/>
      <c r="B39" s="39" t="s">
        <v>25</v>
      </c>
      <c r="C39" s="22"/>
      <c r="D39" s="23"/>
      <c r="E39" s="24"/>
      <c r="F39" s="24"/>
      <c r="G39" s="27">
        <f>SUM(G36:G38)</f>
        <v>2.625</v>
      </c>
      <c r="H39" s="25" t="s">
        <v>36</v>
      </c>
      <c r="I39" s="26">
        <v>12983.1</v>
      </c>
      <c r="J39" s="27">
        <f>G39*I39</f>
        <v>34080.637500000004</v>
      </c>
      <c r="K39" s="24"/>
    </row>
    <row r="40" spans="1:31" s="1" customFormat="1" hidden="1">
      <c r="A40" s="21"/>
      <c r="B40" s="39" t="s">
        <v>33</v>
      </c>
      <c r="C40" s="22"/>
      <c r="D40" s="23"/>
      <c r="E40" s="24"/>
      <c r="F40" s="24"/>
      <c r="G40" s="27"/>
      <c r="H40" s="25"/>
      <c r="I40" s="26"/>
      <c r="J40" s="27">
        <f>0.13*G39*8078.11</f>
        <v>2756.6550374999997</v>
      </c>
      <c r="K40" s="24"/>
    </row>
    <row r="41" spans="1:31" s="1" customFormat="1">
      <c r="A41" s="21"/>
      <c r="B41" s="39"/>
      <c r="C41" s="22"/>
      <c r="D41" s="23"/>
      <c r="E41" s="24"/>
      <c r="F41" s="24"/>
      <c r="G41" s="27"/>
      <c r="H41" s="25"/>
      <c r="I41" s="26"/>
      <c r="J41" s="27"/>
      <c r="K41" s="24"/>
    </row>
    <row r="42" spans="1:31" s="1" customFormat="1">
      <c r="A42" s="21">
        <v>6</v>
      </c>
      <c r="B42" s="41" t="s">
        <v>32</v>
      </c>
      <c r="C42" s="22">
        <v>0</v>
      </c>
      <c r="D42" s="23"/>
      <c r="E42" s="24"/>
      <c r="F42" s="24"/>
      <c r="G42" s="36">
        <f>PRODUCT(C42:F42)</f>
        <v>0</v>
      </c>
      <c r="H42" s="25" t="s">
        <v>38</v>
      </c>
      <c r="I42" s="26">
        <v>500</v>
      </c>
      <c r="J42" s="27">
        <f>G42*I42</f>
        <v>0</v>
      </c>
      <c r="K42" s="24"/>
    </row>
    <row r="43" spans="1:31" s="1" customFormat="1">
      <c r="A43" s="21"/>
      <c r="B43" s="39"/>
      <c r="C43" s="22"/>
      <c r="D43" s="23"/>
      <c r="E43" s="24"/>
      <c r="F43" s="24"/>
      <c r="G43" s="27"/>
      <c r="H43" s="25"/>
      <c r="I43" s="26"/>
      <c r="J43" s="27"/>
      <c r="K43" s="24"/>
    </row>
    <row r="44" spans="1:31">
      <c r="A44" s="9"/>
      <c r="B44" s="20" t="s">
        <v>16</v>
      </c>
      <c r="C44" s="8"/>
      <c r="D44" s="6"/>
      <c r="E44" s="6"/>
      <c r="F44" s="6"/>
      <c r="G44" s="33"/>
      <c r="H44" s="7"/>
      <c r="I44" s="7"/>
      <c r="J44" s="7">
        <f>SUM(J10:J42)</f>
        <v>63359.604927400476</v>
      </c>
      <c r="K44" s="4"/>
      <c r="M44" s="29"/>
      <c r="P44" s="32"/>
      <c r="Q44" s="32"/>
    </row>
    <row r="45" spans="1:31">
      <c r="M45" s="29"/>
      <c r="N45" s="30"/>
      <c r="O45" s="30"/>
      <c r="P45" s="31"/>
      <c r="R45" s="30"/>
      <c r="S45" s="30"/>
      <c r="T45" s="30"/>
      <c r="U45" s="29"/>
      <c r="V45" s="29"/>
      <c r="W45" s="29"/>
      <c r="X45" s="29"/>
      <c r="Y45" s="29"/>
      <c r="Z45" s="29"/>
      <c r="AA45" s="29"/>
      <c r="AB45" s="29"/>
      <c r="AC45" s="29"/>
      <c r="AD45" s="29"/>
      <c r="AE45" s="29"/>
    </row>
    <row r="46" spans="1:31" s="1" customFormat="1" hidden="1">
      <c r="B46" s="11" t="s">
        <v>91</v>
      </c>
      <c r="C46" s="104">
        <f>J44</f>
        <v>63359.604927400476</v>
      </c>
      <c r="D46" s="104"/>
      <c r="E46" s="13"/>
      <c r="F46" s="12"/>
      <c r="G46" s="13"/>
      <c r="H46" s="12"/>
      <c r="I46" s="14"/>
      <c r="J46" s="15"/>
      <c r="K46" s="16"/>
      <c r="M46" s="12"/>
      <c r="N46" s="30"/>
      <c r="O46" s="30"/>
      <c r="P46" s="30"/>
      <c r="Q46" s="30"/>
      <c r="R46" s="30"/>
      <c r="S46" s="30"/>
      <c r="T46" s="30"/>
      <c r="U46" s="12"/>
      <c r="V46" s="12"/>
      <c r="W46" s="12"/>
      <c r="X46" s="12"/>
      <c r="Y46" s="12"/>
      <c r="Z46" s="12"/>
      <c r="AA46" s="12"/>
      <c r="AB46" s="12"/>
      <c r="AC46" s="12"/>
      <c r="AD46" s="12"/>
      <c r="AE46" s="12"/>
    </row>
    <row r="47" spans="1:31" s="1" customFormat="1" hidden="1">
      <c r="B47" s="75" t="s">
        <v>22</v>
      </c>
      <c r="C47" s="105">
        <f>J44</f>
        <v>63359.604927400476</v>
      </c>
      <c r="D47" s="106"/>
      <c r="E47" s="76">
        <v>100</v>
      </c>
      <c r="F47" s="12"/>
      <c r="G47" s="13"/>
      <c r="H47" s="12"/>
      <c r="I47" s="14"/>
      <c r="J47" s="15"/>
      <c r="K47" s="16"/>
      <c r="M47" s="12"/>
      <c r="N47" s="30"/>
      <c r="O47" s="30"/>
      <c r="P47" s="30"/>
      <c r="Q47" s="30"/>
      <c r="R47" s="30"/>
      <c r="S47" s="30"/>
      <c r="T47" s="30"/>
      <c r="U47" s="12"/>
      <c r="V47" s="12"/>
      <c r="W47" s="12"/>
      <c r="X47" s="12"/>
      <c r="Y47" s="12"/>
      <c r="Z47" s="12"/>
      <c r="AA47" s="12"/>
      <c r="AB47" s="12"/>
      <c r="AC47" s="12"/>
      <c r="AD47" s="12"/>
      <c r="AE47" s="12"/>
    </row>
    <row r="48" spans="1:31" hidden="1">
      <c r="B48" s="11" t="s">
        <v>17</v>
      </c>
      <c r="C48" s="102">
        <v>60000</v>
      </c>
      <c r="D48" s="103"/>
      <c r="E48" s="10"/>
      <c r="M48" s="29"/>
      <c r="N48" s="30"/>
      <c r="O48" s="30"/>
      <c r="P48" s="30"/>
      <c r="Q48" s="30"/>
      <c r="R48" s="30"/>
      <c r="S48" s="30"/>
      <c r="T48" s="30"/>
      <c r="U48" s="29"/>
      <c r="V48" s="29"/>
      <c r="W48" s="29"/>
      <c r="X48" s="29"/>
      <c r="Y48" s="29"/>
      <c r="Z48" s="29"/>
      <c r="AA48" s="29"/>
      <c r="AB48" s="29"/>
      <c r="AC48" s="29"/>
      <c r="AD48" s="29"/>
      <c r="AE48" s="29"/>
    </row>
    <row r="49" spans="2:31" hidden="1">
      <c r="B49" s="11" t="s">
        <v>18</v>
      </c>
      <c r="C49" s="102">
        <v>30000</v>
      </c>
      <c r="D49" s="103"/>
      <c r="E49" s="10">
        <f>C49/C47*100</f>
        <v>47.348780085316172</v>
      </c>
      <c r="M49" s="29"/>
      <c r="N49" s="29"/>
      <c r="O49" s="29"/>
      <c r="P49" s="29"/>
      <c r="Q49" s="29"/>
      <c r="R49" s="29"/>
      <c r="S49" s="29"/>
      <c r="T49" s="29"/>
      <c r="U49" s="29"/>
      <c r="V49" s="29"/>
      <c r="W49" s="29"/>
      <c r="X49" s="29"/>
      <c r="Y49" s="29"/>
      <c r="Z49" s="29"/>
      <c r="AA49" s="29"/>
      <c r="AB49" s="29"/>
      <c r="AC49" s="29"/>
      <c r="AD49" s="29"/>
      <c r="AE49" s="29"/>
    </row>
    <row r="50" spans="2:31" hidden="1">
      <c r="B50" s="11" t="s">
        <v>19</v>
      </c>
      <c r="C50" s="104">
        <f>C47-C49</f>
        <v>33359.604927400476</v>
      </c>
      <c r="D50" s="104"/>
      <c r="E50" s="10">
        <f>100-E49</f>
        <v>52.651219914683828</v>
      </c>
      <c r="M50" s="29"/>
      <c r="N50" s="29"/>
      <c r="O50" s="29"/>
      <c r="P50" s="29"/>
      <c r="Q50" s="29"/>
      <c r="R50" s="29"/>
      <c r="S50" s="29"/>
      <c r="T50" s="29"/>
      <c r="U50" s="29"/>
      <c r="V50" s="29"/>
      <c r="W50" s="29"/>
      <c r="X50" s="29"/>
      <c r="Y50" s="29"/>
      <c r="Z50" s="29"/>
      <c r="AA50" s="29"/>
      <c r="AB50" s="29"/>
      <c r="AC50" s="29"/>
      <c r="AD50" s="29"/>
      <c r="AE50" s="29"/>
    </row>
    <row r="51" spans="2:31" hidden="1">
      <c r="B51" s="11" t="s">
        <v>20</v>
      </c>
      <c r="C51" s="99">
        <f>C48*0.03</f>
        <v>1800</v>
      </c>
      <c r="D51" s="100"/>
      <c r="E51" s="10">
        <v>3</v>
      </c>
      <c r="M51" s="29"/>
      <c r="N51" s="29"/>
      <c r="O51" s="29"/>
      <c r="P51" s="29"/>
      <c r="Q51" s="29"/>
      <c r="R51" s="29"/>
      <c r="S51" s="29"/>
      <c r="T51" s="29"/>
      <c r="U51" s="29"/>
      <c r="V51" s="29"/>
      <c r="W51" s="29"/>
      <c r="X51" s="29"/>
      <c r="Y51" s="29"/>
      <c r="Z51" s="29"/>
      <c r="AA51" s="29"/>
      <c r="AB51" s="29"/>
      <c r="AC51" s="29"/>
      <c r="AD51" s="29"/>
      <c r="AE51" s="29"/>
    </row>
    <row r="52" spans="2:31" hidden="1">
      <c r="B52" s="11" t="s">
        <v>21</v>
      </c>
      <c r="C52" s="99">
        <f>C48*0.02</f>
        <v>1200</v>
      </c>
      <c r="D52" s="100"/>
      <c r="E52" s="10">
        <v>2</v>
      </c>
      <c r="M52" s="29"/>
      <c r="N52" s="29"/>
      <c r="O52" s="29"/>
      <c r="P52" s="29"/>
      <c r="Q52" s="29"/>
      <c r="R52" s="29"/>
      <c r="S52" s="29"/>
      <c r="T52" s="29"/>
      <c r="U52" s="29"/>
      <c r="V52" s="29"/>
      <c r="W52" s="29"/>
      <c r="X52" s="29"/>
      <c r="Y52" s="29"/>
      <c r="Z52" s="29"/>
      <c r="AA52" s="29"/>
      <c r="AB52" s="29"/>
      <c r="AC52" s="29"/>
      <c r="AD52" s="29"/>
      <c r="AE52" s="29"/>
    </row>
  </sheetData>
  <mergeCells count="14">
    <mergeCell ref="C50:D50"/>
    <mergeCell ref="C51:D51"/>
    <mergeCell ref="C52:D52"/>
    <mergeCell ref="A7:F7"/>
    <mergeCell ref="C46:D46"/>
    <mergeCell ref="C47:D47"/>
    <mergeCell ref="C48:D48"/>
    <mergeCell ref="C49:D49"/>
    <mergeCell ref="A1:K1"/>
    <mergeCell ref="A2:K2"/>
    <mergeCell ref="A3:K3"/>
    <mergeCell ref="A4:K4"/>
    <mergeCell ref="A5:K5"/>
    <mergeCell ref="A6:G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8" sqref="C8"/>
    </sheetView>
  </sheetViews>
  <sheetFormatPr defaultColWidth="9.109375" defaultRowHeight="14.4"/>
  <cols>
    <col min="1" max="1" width="7.33203125" customWidth="1"/>
    <col min="2" max="2" width="13" customWidth="1"/>
    <col min="3" max="3" width="20.33203125" customWidth="1"/>
    <col min="4" max="4" width="10.5546875" customWidth="1"/>
    <col min="5" max="5" width="12" customWidth="1"/>
    <col min="6" max="6" width="14.33203125" customWidth="1"/>
    <col min="7" max="7" width="16.33203125" customWidth="1"/>
    <col min="8" max="8" width="15" customWidth="1"/>
    <col min="9" max="9" width="0" hidden="1" customWidth="1"/>
    <col min="12" max="12" width="16.6640625" customWidth="1"/>
  </cols>
  <sheetData>
    <row r="1" spans="1:8" s="43" customFormat="1" ht="20.100000000000001" customHeight="1">
      <c r="A1" s="42" t="e">
        <f>#REF!+1</f>
        <v>#REF!</v>
      </c>
      <c r="B1" s="120" t="s">
        <v>73</v>
      </c>
      <c r="C1" s="121"/>
      <c r="D1" s="121"/>
      <c r="E1" s="121"/>
      <c r="F1" s="121"/>
      <c r="G1" s="121"/>
      <c r="H1" s="121"/>
    </row>
    <row r="2" spans="1:8" s="43" customFormat="1" ht="20.100000000000001" customHeight="1">
      <c r="A2" s="44" t="s">
        <v>39</v>
      </c>
      <c r="B2" s="122" t="s">
        <v>40</v>
      </c>
      <c r="C2" s="123"/>
      <c r="D2" s="123"/>
      <c r="E2" s="123"/>
      <c r="F2" s="123"/>
      <c r="G2" s="123"/>
      <c r="H2" s="123"/>
    </row>
    <row r="3" spans="1:8" s="43" customFormat="1" ht="33" customHeight="1">
      <c r="B3" s="45" t="s">
        <v>41</v>
      </c>
      <c r="C3" s="45" t="s">
        <v>42</v>
      </c>
      <c r="D3" s="45" t="s">
        <v>43</v>
      </c>
      <c r="E3" s="45" t="s">
        <v>44</v>
      </c>
      <c r="F3" s="45" t="s">
        <v>45</v>
      </c>
      <c r="G3" s="45" t="s">
        <v>46</v>
      </c>
      <c r="H3" s="45" t="s">
        <v>47</v>
      </c>
    </row>
    <row r="4" spans="1:8" s="43" customFormat="1" ht="20.100000000000001" customHeight="1">
      <c r="B4" s="124" t="s">
        <v>48</v>
      </c>
      <c r="C4" s="46" t="s">
        <v>49</v>
      </c>
      <c r="D4" s="47">
        <v>1.1000000000000001</v>
      </c>
      <c r="E4" s="48" t="s">
        <v>50</v>
      </c>
      <c r="F4" s="49">
        <v>1225</v>
      </c>
      <c r="G4" s="49">
        <f t="shared" ref="G4:G9" si="0">FLOOR(D4*F4,0.01)</f>
        <v>1347.5</v>
      </c>
      <c r="H4" s="50"/>
    </row>
    <row r="5" spans="1:8" s="43" customFormat="1" ht="20.100000000000001" customHeight="1">
      <c r="B5" s="125"/>
      <c r="C5" s="51" t="s">
        <v>51</v>
      </c>
      <c r="D5" s="52">
        <v>1.25</v>
      </c>
      <c r="E5" s="51" t="s">
        <v>50</v>
      </c>
      <c r="F5" s="53">
        <v>920</v>
      </c>
      <c r="G5" s="53">
        <f t="shared" si="0"/>
        <v>1150</v>
      </c>
      <c r="H5" s="54">
        <f>SUM(G4+G5)</f>
        <v>2497.5</v>
      </c>
    </row>
    <row r="6" spans="1:8" s="43" customFormat="1" ht="16.2">
      <c r="B6" s="126" t="s">
        <v>52</v>
      </c>
      <c r="C6" s="55" t="s">
        <v>74</v>
      </c>
      <c r="D6" s="56">
        <v>12</v>
      </c>
      <c r="E6" s="57" t="s">
        <v>53</v>
      </c>
      <c r="F6" s="58">
        <f>313.4529148</f>
        <v>313.45291479999997</v>
      </c>
      <c r="G6" s="58">
        <f t="shared" si="0"/>
        <v>3761.4300000000003</v>
      </c>
      <c r="H6" s="59"/>
    </row>
    <row r="7" spans="1:8" s="43" customFormat="1" ht="16.2">
      <c r="B7" s="127"/>
      <c r="C7" s="57" t="s">
        <v>54</v>
      </c>
      <c r="D7" s="56">
        <v>30</v>
      </c>
      <c r="E7" s="57" t="s">
        <v>55</v>
      </c>
      <c r="F7" s="58">
        <v>34.130000000000003</v>
      </c>
      <c r="G7" s="58">
        <f t="shared" si="0"/>
        <v>1023.9</v>
      </c>
      <c r="H7" s="60"/>
    </row>
    <row r="8" spans="1:8" s="43" customFormat="1" ht="20.100000000000001" customHeight="1">
      <c r="B8" s="127"/>
      <c r="C8" s="57" t="s">
        <v>56</v>
      </c>
      <c r="D8" s="56">
        <v>25</v>
      </c>
      <c r="E8" s="57" t="s">
        <v>55</v>
      </c>
      <c r="F8" s="58">
        <f>'[1]update Rate'!$N$131</f>
        <v>13.928571428571429</v>
      </c>
      <c r="G8" s="58">
        <f t="shared" si="0"/>
        <v>348.21</v>
      </c>
      <c r="H8" s="60"/>
    </row>
    <row r="9" spans="1:8" s="61" customFormat="1" ht="20.100000000000001" customHeight="1">
      <c r="B9" s="128"/>
      <c r="C9" s="62" t="s">
        <v>57</v>
      </c>
      <c r="D9" s="63">
        <v>55</v>
      </c>
      <c r="E9" s="62" t="s">
        <v>55</v>
      </c>
      <c r="F9" s="64">
        <f>'[1]update Rate'!$N$132</f>
        <v>3</v>
      </c>
      <c r="G9" s="64">
        <f t="shared" si="0"/>
        <v>165</v>
      </c>
      <c r="H9" s="65">
        <f>0*SUM(G6+G7+G8+G9)</f>
        <v>0</v>
      </c>
    </row>
    <row r="10" spans="1:8" s="43" customFormat="1" ht="20.100000000000001" customHeight="1">
      <c r="F10" s="43" t="s">
        <v>58</v>
      </c>
      <c r="G10" s="66"/>
      <c r="H10" s="53">
        <f>SUM(H5:H9)</f>
        <v>2497.5</v>
      </c>
    </row>
    <row r="11" spans="1:8" s="43" customFormat="1" ht="20.100000000000001" customHeight="1">
      <c r="B11" s="67" t="s">
        <v>59</v>
      </c>
      <c r="F11" s="43" t="s">
        <v>60</v>
      </c>
      <c r="G11" s="66"/>
      <c r="H11" s="68">
        <f>FLOOR(H10*0.15,0.01)</f>
        <v>374.62</v>
      </c>
    </row>
    <row r="12" spans="1:8" s="43" customFormat="1" ht="20.100000000000001" customHeight="1">
      <c r="A12" s="69"/>
      <c r="B12" s="70">
        <f>+H12</f>
        <v>2872.12</v>
      </c>
      <c r="C12" s="69" t="s">
        <v>61</v>
      </c>
      <c r="D12" s="71">
        <f>INT(B12/B13*100)/100</f>
        <v>287.20999999999998</v>
      </c>
      <c r="E12" s="43" t="s">
        <v>62</v>
      </c>
      <c r="F12" s="43" t="s">
        <v>63</v>
      </c>
      <c r="G12" s="66"/>
      <c r="H12" s="71">
        <f>SUM(H10:H11)</f>
        <v>2872.12</v>
      </c>
    </row>
    <row r="13" spans="1:8" s="43" customFormat="1" ht="20.100000000000001" customHeight="1">
      <c r="B13" s="72">
        <v>10</v>
      </c>
    </row>
    <row r="14" spans="1:8" s="43" customFormat="1" ht="15">
      <c r="A14" s="73" t="s">
        <v>64</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field</vt:lpstr>
      <vt:lpstr>as per mistry (2)</vt:lpstr>
      <vt:lpstr>WCR</vt:lpstr>
      <vt:lpstr>V</vt:lpstr>
      <vt:lpstr>M</vt:lpstr>
      <vt:lpstr>Sheet1</vt:lpstr>
      <vt:lpstr>'as per mistry (2)'!Print_Area</vt:lpstr>
      <vt:lpstr>field!Print_Area</vt:lpstr>
      <vt:lpstr>M!Print_Area</vt:lpstr>
      <vt:lpstr>V!Print_Area</vt:lpstr>
      <vt:lpstr>WCR!Print_Area</vt:lpstr>
      <vt:lpstr>'as per mistry (2)'!Print_Titles</vt:lpstr>
      <vt:lpstr>field!Print_Titles</vt:lpstr>
      <vt:lpstr>M!Print_Titles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2025-01-13T05:40:48Z</cp:lastPrinted>
  <dcterms:created xsi:type="dcterms:W3CDTF">2015-06-05T18:17:20Z</dcterms:created>
  <dcterms:modified xsi:type="dcterms:W3CDTF">2025-07-03T03:31:33Z</dcterms:modified>
</cp:coreProperties>
</file>