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sadak\"/>
    </mc:Choice>
  </mc:AlternateContent>
  <bookViews>
    <workbookView xWindow="-120" yWindow="-120" windowWidth="20736" windowHeight="11160"/>
  </bookViews>
  <sheets>
    <sheet name="kurthali final" sheetId="17" r:id="rId1"/>
    <sheet name="WCR" sheetId="6" r:id="rId2"/>
    <sheet name="V" sheetId="20" r:id="rId3"/>
    <sheet name="M"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'kurthali final'!$A$1:$K$55</definedName>
    <definedName name="_xlnm.Print_Area" localSheetId="3">M!$A$1:$K$62</definedName>
    <definedName name="_xlnm.Print_Area" localSheetId="2">V!$A$1:$K$62</definedName>
    <definedName name="_xlnm.Print_Titles" localSheetId="0">'kurthali final'!$1:$8</definedName>
    <definedName name="_xlnm.Print_Titles" localSheetId="3">M!$1:$8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3" i="21" l="1"/>
  <c r="G45" i="21" s="1"/>
  <c r="G45" i="20"/>
  <c r="G43" i="20"/>
  <c r="E42" i="17" l="1"/>
  <c r="A9" i="6" l="1"/>
  <c r="A8" i="6"/>
  <c r="C62" i="21"/>
  <c r="C61" i="21"/>
  <c r="C59" i="21" s="1"/>
  <c r="G53" i="21"/>
  <c r="J53" i="21" s="1"/>
  <c r="D49" i="21"/>
  <c r="G49" i="21" s="1"/>
  <c r="G50" i="21" s="1"/>
  <c r="E44" i="21"/>
  <c r="G44" i="21" s="1"/>
  <c r="E42" i="21"/>
  <c r="G42" i="21" s="1"/>
  <c r="E41" i="21"/>
  <c r="E36" i="21"/>
  <c r="F36" i="21" s="1"/>
  <c r="G36" i="21" s="1"/>
  <c r="E35" i="21"/>
  <c r="F35" i="21" s="1"/>
  <c r="G35" i="21" s="1"/>
  <c r="E34" i="21"/>
  <c r="F34" i="21" s="1"/>
  <c r="G34" i="21" s="1"/>
  <c r="G37" i="21" s="1"/>
  <c r="E33" i="21"/>
  <c r="F33" i="21" s="1"/>
  <c r="G33" i="21" s="1"/>
  <c r="E32" i="21"/>
  <c r="F32" i="21" s="1"/>
  <c r="G32" i="21" s="1"/>
  <c r="E31" i="21"/>
  <c r="F31" i="21" s="1"/>
  <c r="G31" i="21" s="1"/>
  <c r="F26" i="21"/>
  <c r="E26" i="21"/>
  <c r="D26" i="21"/>
  <c r="C26" i="21"/>
  <c r="B26" i="21"/>
  <c r="G21" i="21"/>
  <c r="E20" i="21"/>
  <c r="D20" i="21"/>
  <c r="C20" i="21"/>
  <c r="C41" i="21" s="1"/>
  <c r="G16" i="21"/>
  <c r="G17" i="21" s="1"/>
  <c r="J17" i="21" s="1"/>
  <c r="G11" i="21"/>
  <c r="F10" i="21"/>
  <c r="G10" i="21" s="1"/>
  <c r="G12" i="21" s="1"/>
  <c r="G21" i="20"/>
  <c r="E20" i="20"/>
  <c r="D20" i="20"/>
  <c r="C20" i="20"/>
  <c r="G20" i="20" s="1"/>
  <c r="G22" i="20" s="1"/>
  <c r="B31" i="17"/>
  <c r="E31" i="17"/>
  <c r="E32" i="17"/>
  <c r="G11" i="20"/>
  <c r="F10" i="20"/>
  <c r="G10" i="20" s="1"/>
  <c r="G20" i="21" l="1"/>
  <c r="G22" i="21" s="1"/>
  <c r="J23" i="21" s="1"/>
  <c r="G12" i="20"/>
  <c r="G26" i="21"/>
  <c r="G27" i="21" s="1"/>
  <c r="J28" i="21" s="1"/>
  <c r="G41" i="21"/>
  <c r="J38" i="21"/>
  <c r="J37" i="21"/>
  <c r="J22" i="21"/>
  <c r="J51" i="21"/>
  <c r="J50" i="21"/>
  <c r="J13" i="21"/>
  <c r="J12" i="21"/>
  <c r="F10" i="17"/>
  <c r="F26" i="17"/>
  <c r="G21" i="17"/>
  <c r="J27" i="21" l="1"/>
  <c r="J45" i="21"/>
  <c r="J46" i="21"/>
  <c r="G46" i="17"/>
  <c r="J46" i="17" s="1"/>
  <c r="F26" i="20"/>
  <c r="E44" i="20"/>
  <c r="G44" i="20" s="1"/>
  <c r="E42" i="20"/>
  <c r="G42" i="20" s="1"/>
  <c r="E41" i="20"/>
  <c r="E32" i="20"/>
  <c r="F32" i="20" s="1"/>
  <c r="G32" i="20" s="1"/>
  <c r="E33" i="20"/>
  <c r="F33" i="20" s="1"/>
  <c r="G33" i="20" s="1"/>
  <c r="E34" i="20"/>
  <c r="F34" i="20" s="1"/>
  <c r="G34" i="20" s="1"/>
  <c r="E35" i="20"/>
  <c r="F35" i="20" s="1"/>
  <c r="G35" i="20" s="1"/>
  <c r="E36" i="20"/>
  <c r="F36" i="20" s="1"/>
  <c r="G36" i="20" s="1"/>
  <c r="E31" i="20"/>
  <c r="J55" i="21" l="1"/>
  <c r="C57" i="21" s="1"/>
  <c r="E59" i="21" s="1"/>
  <c r="E60" i="21" s="1"/>
  <c r="E30" i="6"/>
  <c r="C60" i="21" l="1"/>
  <c r="H30" i="6"/>
  <c r="H33" i="6"/>
  <c r="E33" i="6"/>
  <c r="C33" i="6"/>
  <c r="B33" i="6"/>
  <c r="A33" i="6"/>
  <c r="C30" i="6"/>
  <c r="B31" i="6"/>
  <c r="B30" i="6"/>
  <c r="A30" i="6"/>
  <c r="H27" i="6"/>
  <c r="E27" i="6"/>
  <c r="C27" i="6"/>
  <c r="B28" i="6"/>
  <c r="B27" i="6"/>
  <c r="A27" i="6"/>
  <c r="H24" i="6"/>
  <c r="E24" i="6"/>
  <c r="C24" i="6"/>
  <c r="B25" i="6"/>
  <c r="B24" i="6"/>
  <c r="A24" i="6"/>
  <c r="H21" i="6"/>
  <c r="E21" i="6"/>
  <c r="C21" i="6"/>
  <c r="B22" i="6"/>
  <c r="B21" i="6"/>
  <c r="A21" i="6"/>
  <c r="H18" i="6"/>
  <c r="E18" i="6"/>
  <c r="C18" i="6"/>
  <c r="B19" i="6"/>
  <c r="B18" i="6"/>
  <c r="A18" i="6"/>
  <c r="H16" i="6"/>
  <c r="E16" i="6"/>
  <c r="C16" i="6"/>
  <c r="B16" i="6"/>
  <c r="A16" i="6"/>
  <c r="H13" i="6"/>
  <c r="E13" i="6"/>
  <c r="C13" i="6"/>
  <c r="B14" i="6"/>
  <c r="B13" i="6"/>
  <c r="A13" i="6"/>
  <c r="C62" i="20"/>
  <c r="C61" i="20"/>
  <c r="G53" i="20"/>
  <c r="J53" i="20" s="1"/>
  <c r="D49" i="20"/>
  <c r="G49" i="20" s="1"/>
  <c r="G50" i="20" s="1"/>
  <c r="G30" i="6" s="1"/>
  <c r="E26" i="20"/>
  <c r="D26" i="20"/>
  <c r="C26" i="20"/>
  <c r="B26" i="20"/>
  <c r="C41" i="20"/>
  <c r="G26" i="20" l="1"/>
  <c r="G27" i="20" s="1"/>
  <c r="G21" i="6" s="1"/>
  <c r="I21" i="6" s="1"/>
  <c r="C59" i="20"/>
  <c r="G33" i="6"/>
  <c r="G13" i="6"/>
  <c r="I30" i="6"/>
  <c r="F31" i="20"/>
  <c r="G31" i="20" s="1"/>
  <c r="G37" i="20" s="1"/>
  <c r="G41" i="20"/>
  <c r="J51" i="20"/>
  <c r="I31" i="6" s="1"/>
  <c r="J50" i="20"/>
  <c r="G16" i="20"/>
  <c r="G17" i="20" s="1"/>
  <c r="G27" i="6" l="1"/>
  <c r="I27" i="6" s="1"/>
  <c r="G18" i="6"/>
  <c r="I18" i="6" s="1"/>
  <c r="J27" i="20"/>
  <c r="J28" i="20"/>
  <c r="I22" i="6" s="1"/>
  <c r="J13" i="20"/>
  <c r="I14" i="6" s="1"/>
  <c r="J12" i="20"/>
  <c r="J17" i="20"/>
  <c r="G16" i="6"/>
  <c r="I16" i="6" s="1"/>
  <c r="J23" i="20"/>
  <c r="I19" i="6" s="1"/>
  <c r="G24" i="6"/>
  <c r="I24" i="6" s="1"/>
  <c r="J46" i="20" l="1"/>
  <c r="I28" i="6" s="1"/>
  <c r="J45" i="20"/>
  <c r="J22" i="20"/>
  <c r="J38" i="20"/>
  <c r="I25" i="6" s="1"/>
  <c r="J37" i="20"/>
  <c r="D42" i="17"/>
  <c r="J55" i="20" l="1"/>
  <c r="C57" i="20" s="1"/>
  <c r="C60" i="20" s="1"/>
  <c r="G42" i="17"/>
  <c r="G43" i="17" s="1"/>
  <c r="E59" i="20" l="1"/>
  <c r="E60" i="20" s="1"/>
  <c r="J44" i="17"/>
  <c r="F31" i="6" s="1"/>
  <c r="J43" i="17"/>
  <c r="D30" i="6"/>
  <c r="F30" i="6" s="1"/>
  <c r="D16" i="17"/>
  <c r="E26" i="17"/>
  <c r="D26" i="17"/>
  <c r="C26" i="17"/>
  <c r="B26" i="17"/>
  <c r="E20" i="17"/>
  <c r="D31" i="17" s="1"/>
  <c r="C32" i="17" s="1"/>
  <c r="M31" i="6" l="1"/>
  <c r="J31" i="6"/>
  <c r="J30" i="6"/>
  <c r="M30" i="6"/>
  <c r="G16" i="17"/>
  <c r="G17" i="17" s="1"/>
  <c r="D20" i="17"/>
  <c r="D32" i="17" s="1"/>
  <c r="C31" i="17" s="1"/>
  <c r="F31" i="17" s="1"/>
  <c r="G31" i="17" s="1"/>
  <c r="G26" i="17"/>
  <c r="G11" i="17"/>
  <c r="E37" i="17"/>
  <c r="F32" i="17" l="1"/>
  <c r="G32" i="17" s="1"/>
  <c r="J17" i="17"/>
  <c r="D16" i="6"/>
  <c r="F16" i="6" s="1"/>
  <c r="G33" i="17" l="1"/>
  <c r="D24" i="6" s="1"/>
  <c r="F24" i="6" s="1"/>
  <c r="J16" i="6"/>
  <c r="M16" i="6"/>
  <c r="J34" i="17"/>
  <c r="F25" i="6" s="1"/>
  <c r="J33" i="17"/>
  <c r="M25" i="6" l="1"/>
  <c r="J25" i="6"/>
  <c r="J24" i="6"/>
  <c r="M24" i="6"/>
  <c r="C55" i="17"/>
  <c r="C54" i="17"/>
  <c r="C20" i="17"/>
  <c r="G10" i="17"/>
  <c r="G12" i="17" s="1"/>
  <c r="D33" i="6" l="1"/>
  <c r="B37" i="17"/>
  <c r="C37" i="17"/>
  <c r="G37" i="17" s="1"/>
  <c r="G38" i="17" s="1"/>
  <c r="D27" i="6" s="1"/>
  <c r="F27" i="6" s="1"/>
  <c r="G20" i="17"/>
  <c r="G22" i="17" s="1"/>
  <c r="C52" i="17"/>
  <c r="J27" i="6" l="1"/>
  <c r="M27" i="6"/>
  <c r="J13" i="17"/>
  <c r="F14" i="6" s="1"/>
  <c r="D13" i="6"/>
  <c r="J23" i="17"/>
  <c r="F19" i="6" s="1"/>
  <c r="D18" i="6"/>
  <c r="F18" i="6" s="1"/>
  <c r="G27" i="17"/>
  <c r="J39" i="17"/>
  <c r="F28" i="6" s="1"/>
  <c r="J38" i="17"/>
  <c r="J22" i="17"/>
  <c r="J12" i="17"/>
  <c r="M19" i="6" l="1"/>
  <c r="J19" i="6"/>
  <c r="M28" i="6"/>
  <c r="J28" i="6"/>
  <c r="M14" i="6"/>
  <c r="J14" i="6"/>
  <c r="J18" i="6"/>
  <c r="M18" i="6"/>
  <c r="J27" i="17"/>
  <c r="D21" i="6"/>
  <c r="F21" i="6" s="1"/>
  <c r="J28" i="17"/>
  <c r="J21" i="6" l="1"/>
  <c r="M21" i="6"/>
  <c r="J48" i="17"/>
  <c r="F22" i="6"/>
  <c r="M22" i="6" l="1"/>
  <c r="J22" i="6"/>
  <c r="C50" i="17"/>
  <c r="I33" i="6"/>
  <c r="F33" i="6"/>
  <c r="M33" i="6" s="1"/>
  <c r="E52" i="17" l="1"/>
  <c r="E53" i="17" s="1"/>
  <c r="C53" i="17"/>
  <c r="J33" i="6"/>
  <c r="I13" i="6"/>
  <c r="I35" i="6" s="1"/>
  <c r="F13" i="6" l="1"/>
  <c r="J13" i="6" l="1"/>
  <c r="M13" i="6"/>
  <c r="F35" i="6"/>
  <c r="J6" i="6" l="1"/>
  <c r="J35" i="6" l="1"/>
  <c r="C6" i="6" l="1"/>
</calcChain>
</file>

<file path=xl/sharedStrings.xml><?xml version="1.0" encoding="utf-8"?>
<sst xmlns="http://schemas.openxmlformats.org/spreadsheetml/2006/main" count="237" uniqueCount="69">
  <si>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</si>
  <si>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</si>
  <si>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</si>
  <si>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</si>
  <si>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</si>
  <si>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</si>
  <si>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</si>
  <si>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</si>
  <si>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</si>
  <si>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</si>
  <si>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</si>
  <si>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</si>
  <si>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</si>
  <si>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</si>
  <si>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</si>
  <si>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</si>
  <si>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</si>
  <si>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</si>
  <si>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</si>
  <si>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</si>
  <si>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</si>
  <si>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</si>
  <si>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</si>
  <si>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</si>
  <si>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</si>
  <si>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</si>
  <si>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</si>
  <si>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</si>
  <si>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</si>
  <si>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</si>
  <si>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</si>
  <si>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</si>
  <si>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</si>
  <si>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</si>
  <si>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</si>
  <si>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</si>
  <si>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</si>
  <si>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</si>
  <si>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</si>
  <si>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</si>
  <si>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</si>
  <si>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</si>
  <si>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</si>
  <si>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</si>
  <si>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</si>
  <si>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</si>
  <si>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</si>
  <si>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</si>
  <si>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</si>
  <si>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</si>
  <si>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45m</t>
  </si>
  <si>
    <t>13m</t>
  </si>
  <si>
    <t>ht=3'9"</t>
  </si>
  <si>
    <t>-For wall</t>
  </si>
  <si>
    <t>Unit Weight (kg/m)</t>
  </si>
  <si>
    <t>Total Weight (Kg)</t>
  </si>
  <si>
    <t>Providing suitable material and Back filling behind abutment, wing wall and return wall complete as per Drawing and Technical Specifications., locally available material including compaction by tamping rod</t>
  </si>
  <si>
    <t xml:space="preserve">Project:- मनोहरा झोलुङ्गे पुल निस्किने बाटो निर्माण </t>
  </si>
  <si>
    <t>Random Rubble Masonry, Providing and laying of Stone Masonry Work in Cement Mortar 1:6 in Foundation complete as per Drawing and Technical Specifications.</t>
  </si>
  <si>
    <t>-for road</t>
  </si>
  <si>
    <t>-for wall</t>
  </si>
  <si>
    <t>Total Valuated</t>
  </si>
  <si>
    <t>Detail Valuated Sheet</t>
  </si>
  <si>
    <t>Date: 2082/03/09</t>
  </si>
  <si>
    <t xml:space="preserve">F.Y.: 2081/2082 </t>
  </si>
  <si>
    <t>Detail Quantity Measurement Sheet</t>
  </si>
  <si>
    <t xml:space="preserve">F.Y:2081/82                  </t>
  </si>
  <si>
    <t xml:space="preserve">Date:2082/03/09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</si>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</sst>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1" fontId="6" fillId="0" borderId="1" xfId="0" applyNumberFormat="1" applyFont="1" applyFill="1" applyBorder="1" applyAlignment="1">
      <alignment horizontal="right" vertical="center" wrapText="1"/>
    </xf>
    <xf numFmtId="0" fontId="6" fillId="0" borderId="0" xfId="0" applyFont="1" applyAlignment="1">
      <alignment horizontal="right"/>
    </xf>
    <xf numFmtId="0" fontId="6" fillId="0" borderId="2" xfId="0" applyFont="1" applyBorder="1" applyAlignment="1">
      <alignment horizontal="right"/>
    </xf>
    <xf numFmtId="1" fontId="13" fillId="0" borderId="1" xfId="0" quotePrefix="1" applyNumberFormat="1" applyFont="1" applyFill="1" applyBorder="1" applyAlignment="1">
      <alignment horizontal="right" vertical="center" wrapText="1"/>
    </xf>
    <xf numFmtId="2" fontId="3" fillId="0" borderId="0" xfId="0" applyNumberFormat="1" applyFont="1"/>
    <xf numFmtId="0" fontId="6" fillId="0" borderId="0" xfId="0" applyFont="1" applyAlignment="1"/>
    <xf numFmtId="0" fontId="6" fillId="0" borderId="2"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zoomScaleNormal="100" workbookViewId="0">
      <selection activeCell="L9" sqref="L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4</v>
      </c>
      <c r="B5" s="80"/>
      <c r="C5" s="80"/>
      <c r="D5" s="80"/>
      <c r="E5" s="80"/>
      <c r="F5" s="80"/>
      <c r="G5" s="80"/>
      <c r="H5" s="80"/>
      <c r="I5" s="80"/>
      <c r="J5" s="80"/>
      <c r="K5" s="80"/>
    </row>
    <row r="6" spans="1:19" ht="15.6" x14ac:dyDescent="0.3">
      <c r="A6" s="75" t="s">
        <v>57</v>
      </c>
      <c r="B6" s="75"/>
      <c r="C6" s="75"/>
      <c r="D6" s="75"/>
      <c r="E6" s="75"/>
      <c r="F6" s="75"/>
      <c r="G6" s="2"/>
      <c r="H6" s="76" t="s">
        <v>48</v>
      </c>
      <c r="I6" s="76"/>
      <c r="J6" s="76"/>
      <c r="K6" s="76"/>
    </row>
    <row r="7" spans="1:19" ht="15.6" x14ac:dyDescent="0.3">
      <c r="A7" s="82" t="s">
        <v>28</v>
      </c>
      <c r="B7" s="82"/>
      <c r="C7" s="82"/>
      <c r="D7" s="82"/>
      <c r="E7" s="82"/>
      <c r="F7" s="82"/>
      <c r="G7" s="3"/>
      <c r="H7" s="83" t="s">
        <v>49</v>
      </c>
      <c r="I7" s="83"/>
      <c r="J7" s="83"/>
      <c r="K7" s="83"/>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64">
        <v>1</v>
      </c>
      <c r="B9" s="31" t="s">
        <v>47</v>
      </c>
      <c r="C9" s="37"/>
      <c r="D9" s="37"/>
      <c r="E9" s="37"/>
      <c r="F9" s="37"/>
      <c r="G9" s="37"/>
      <c r="H9" s="37"/>
      <c r="I9" s="37"/>
      <c r="J9" s="37"/>
      <c r="K9" s="37"/>
      <c r="N9" t="s">
        <v>51</v>
      </c>
      <c r="O9" t="s">
        <v>52</v>
      </c>
    </row>
    <row r="10" spans="1:19" ht="15" customHeight="1" x14ac:dyDescent="0.3">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3">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3">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3">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3">
      <c r="A14" s="19"/>
      <c r="B14" s="38"/>
      <c r="C14" s="20"/>
      <c r="D14" s="21"/>
      <c r="E14" s="22"/>
      <c r="F14" s="22"/>
      <c r="G14" s="24"/>
      <c r="H14" s="23"/>
      <c r="I14" s="24"/>
      <c r="J14" s="42"/>
      <c r="K14" s="22"/>
      <c r="M14" s="26"/>
      <c r="N14" s="1"/>
      <c r="O14" s="1"/>
      <c r="P14" s="1"/>
      <c r="Q14" s="1"/>
      <c r="R14" s="26"/>
      <c r="S14" s="26"/>
    </row>
    <row r="15" spans="1:19" ht="96.6" x14ac:dyDescent="0.3">
      <c r="A15" s="19">
        <v>2</v>
      </c>
      <c r="B15" s="31" t="s">
        <v>56</v>
      </c>
      <c r="C15" s="20"/>
      <c r="D15" s="21"/>
      <c r="E15" s="22"/>
      <c r="F15" s="22"/>
      <c r="G15" s="24"/>
      <c r="H15" s="23"/>
      <c r="I15" s="24"/>
      <c r="J15" s="42"/>
      <c r="K15" s="22"/>
      <c r="M15" s="26"/>
      <c r="N15" s="1"/>
      <c r="O15" s="1"/>
      <c r="P15" s="1"/>
      <c r="Q15" s="1"/>
      <c r="R15" s="26"/>
      <c r="S15" s="26"/>
    </row>
    <row r="16" spans="1:19" ht="15" customHeight="1" x14ac:dyDescent="0.3">
      <c r="A16" s="19"/>
      <c r="B16" s="38" t="s">
        <v>41</v>
      </c>
      <c r="C16" s="37">
        <v>1</v>
      </c>
      <c r="D16" s="39">
        <f>D11</f>
        <v>12</v>
      </c>
      <c r="E16" s="39">
        <v>4</v>
      </c>
      <c r="F16" s="39">
        <v>0.3</v>
      </c>
      <c r="G16" s="40">
        <f>PRODUCT(C16:F16)</f>
        <v>14.399999999999999</v>
      </c>
      <c r="H16" s="41"/>
      <c r="I16" s="41"/>
      <c r="J16" s="41"/>
      <c r="K16" s="22"/>
      <c r="M16" s="26"/>
      <c r="N16" s="1"/>
      <c r="O16" s="1"/>
      <c r="P16" s="1"/>
      <c r="Q16" s="1"/>
      <c r="R16" s="26"/>
      <c r="S16" s="26"/>
    </row>
    <row r="17" spans="1:19" ht="15" customHeight="1" x14ac:dyDescent="0.3">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3">
      <c r="A18" s="19"/>
      <c r="B18" s="38"/>
      <c r="C18" s="20"/>
      <c r="D18" s="21"/>
      <c r="E18" s="22"/>
      <c r="F18" s="22"/>
      <c r="G18" s="24"/>
      <c r="H18" s="23"/>
      <c r="I18" s="24"/>
      <c r="J18" s="42"/>
      <c r="K18" s="22"/>
      <c r="M18" s="26"/>
      <c r="N18" s="1"/>
      <c r="O18" s="1"/>
      <c r="P18" s="1"/>
      <c r="Q18" s="1"/>
      <c r="R18" s="26"/>
      <c r="S18" s="26"/>
    </row>
    <row r="19" spans="1:19" ht="82.8" x14ac:dyDescent="0.3">
      <c r="A19" s="19">
        <v>3</v>
      </c>
      <c r="B19" s="31" t="s">
        <v>44</v>
      </c>
      <c r="C19" s="20"/>
      <c r="D19" s="21"/>
      <c r="E19" s="22"/>
      <c r="F19" s="22"/>
      <c r="G19" s="24"/>
      <c r="H19" s="23"/>
      <c r="I19" s="24"/>
      <c r="J19" s="42"/>
      <c r="K19" s="22"/>
      <c r="M19" s="26"/>
      <c r="N19" s="1"/>
      <c r="O19" s="1"/>
      <c r="P19" s="1"/>
      <c r="Q19" s="1"/>
      <c r="R19" s="26"/>
      <c r="S19" s="26"/>
    </row>
    <row r="20" spans="1:19" ht="15" customHeight="1" x14ac:dyDescent="0.3">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3">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3">
      <c r="A22" s="41"/>
      <c r="B22" s="38" t="s">
        <v>40</v>
      </c>
      <c r="C22" s="43"/>
      <c r="D22" s="44"/>
      <c r="E22" s="44"/>
      <c r="F22" s="44"/>
      <c r="G22" s="34">
        <f>SUM(G20:G21)</f>
        <v>8.1</v>
      </c>
      <c r="H22" s="34" t="s">
        <v>39</v>
      </c>
      <c r="I22" s="34">
        <v>4561.53</v>
      </c>
      <c r="J22" s="45">
        <f>G22*I22</f>
        <v>36948.392999999996</v>
      </c>
      <c r="K22" s="37"/>
    </row>
    <row r="23" spans="1:19" x14ac:dyDescent="0.3">
      <c r="A23" s="41"/>
      <c r="B23" s="38" t="s">
        <v>38</v>
      </c>
      <c r="C23" s="43"/>
      <c r="D23" s="44"/>
      <c r="E23" s="44"/>
      <c r="F23" s="44"/>
      <c r="G23" s="44"/>
      <c r="H23" s="44"/>
      <c r="I23" s="44"/>
      <c r="J23" s="46">
        <f>0.13*G22*(15452.6/5)</f>
        <v>3254.31756</v>
      </c>
      <c r="K23" s="37"/>
    </row>
    <row r="24" spans="1:19" x14ac:dyDescent="0.3">
      <c r="A24" s="41"/>
      <c r="B24" s="38"/>
      <c r="C24" s="43"/>
      <c r="D24" s="44"/>
      <c r="E24" s="44"/>
      <c r="F24" s="44"/>
      <c r="G24" s="44"/>
      <c r="H24" s="44"/>
      <c r="I24" s="44"/>
      <c r="J24" s="46"/>
      <c r="K24" s="37"/>
    </row>
    <row r="25" spans="1:19" ht="69" x14ac:dyDescent="0.3">
      <c r="A25" s="19">
        <v>4</v>
      </c>
      <c r="B25" s="31" t="s">
        <v>42</v>
      </c>
      <c r="C25" s="20"/>
      <c r="D25" s="21"/>
      <c r="E25" s="22"/>
      <c r="F25" s="22"/>
      <c r="G25" s="24"/>
      <c r="H25" s="23"/>
      <c r="I25" s="24"/>
      <c r="J25" s="42"/>
      <c r="K25" s="22"/>
      <c r="M25" s="26"/>
      <c r="N25" s="1"/>
      <c r="O25" s="1"/>
      <c r="P25" s="1"/>
      <c r="Q25" s="1"/>
      <c r="R25" s="26"/>
      <c r="S25" s="26"/>
    </row>
    <row r="26" spans="1:19" ht="15" customHeight="1" x14ac:dyDescent="0.3">
      <c r="A26" s="19"/>
      <c r="B26" s="38" t="str">
        <f>B10</f>
        <v>-For wall</v>
      </c>
      <c r="C26" s="37">
        <f>C10</f>
        <v>2</v>
      </c>
      <c r="D26" s="39">
        <f>D10</f>
        <v>12</v>
      </c>
      <c r="E26" s="39">
        <f>E10</f>
        <v>0.5</v>
      </c>
      <c r="F26" s="39">
        <f>3/12/3.281</f>
        <v>7.6196281621456863E-2</v>
      </c>
      <c r="G26" s="40">
        <f>PRODUCT(C26:F26)</f>
        <v>0.91435537945748235</v>
      </c>
      <c r="H26" s="41"/>
      <c r="I26" s="41"/>
      <c r="J26" s="41"/>
      <c r="K26" s="22"/>
      <c r="M26" s="26"/>
      <c r="N26" s="1"/>
      <c r="O26" s="1"/>
      <c r="P26" s="1"/>
      <c r="Q26" s="1"/>
      <c r="R26" s="26"/>
      <c r="S26" s="26"/>
    </row>
    <row r="27" spans="1:19" ht="15" customHeight="1" x14ac:dyDescent="0.3">
      <c r="A27" s="41"/>
      <c r="B27" s="38" t="s">
        <v>40</v>
      </c>
      <c r="C27" s="43"/>
      <c r="D27" s="44"/>
      <c r="E27" s="44"/>
      <c r="F27" s="44"/>
      <c r="G27" s="34">
        <f>SUM(G26:G26)</f>
        <v>0.91435537945748235</v>
      </c>
      <c r="H27" s="34" t="s">
        <v>39</v>
      </c>
      <c r="I27" s="34">
        <v>10634.5</v>
      </c>
      <c r="J27" s="45">
        <f>G27*I27</f>
        <v>9723.7122828405954</v>
      </c>
      <c r="K27" s="37"/>
    </row>
    <row r="28" spans="1:19" ht="15" customHeight="1" x14ac:dyDescent="0.3">
      <c r="A28" s="41"/>
      <c r="B28" s="38" t="s">
        <v>38</v>
      </c>
      <c r="C28" s="43"/>
      <c r="D28" s="44"/>
      <c r="E28" s="44"/>
      <c r="F28" s="44"/>
      <c r="G28" s="44"/>
      <c r="H28" s="44"/>
      <c r="I28" s="44"/>
      <c r="J28" s="46">
        <f>0.13*G27*((114907.3+6135.3)/15)</f>
        <v>959.19158793050894</v>
      </c>
      <c r="K28" s="37"/>
    </row>
    <row r="29" spans="1:19" ht="15" customHeight="1" x14ac:dyDescent="0.3">
      <c r="A29" s="41"/>
      <c r="B29" s="38"/>
      <c r="C29" s="43"/>
      <c r="D29" s="44"/>
      <c r="E29" s="44"/>
      <c r="F29" s="44"/>
      <c r="G29" s="44"/>
      <c r="H29" s="44"/>
      <c r="I29" s="44"/>
      <c r="J29" s="46"/>
      <c r="K29" s="37"/>
    </row>
    <row r="30" spans="1:19" s="1" customFormat="1" ht="69" x14ac:dyDescent="0.3">
      <c r="A30" s="64">
        <v>5</v>
      </c>
      <c r="B30" s="31" t="s">
        <v>43</v>
      </c>
      <c r="C30" s="65" t="s">
        <v>7</v>
      </c>
      <c r="D30" s="66" t="s">
        <v>46</v>
      </c>
      <c r="E30" s="66" t="s">
        <v>54</v>
      </c>
      <c r="F30" s="66" t="s">
        <v>55</v>
      </c>
      <c r="G30" s="40"/>
      <c r="H30" s="40"/>
      <c r="I30" s="40"/>
      <c r="J30" s="46"/>
      <c r="K30" s="30"/>
    </row>
    <row r="31" spans="1:19" ht="15" customHeight="1" x14ac:dyDescent="0.3">
      <c r="A31" s="41"/>
      <c r="B31" s="38" t="str">
        <f>B20</f>
        <v>-for road</v>
      </c>
      <c r="C31" s="43">
        <f>TRUNC(D32/0.15,0)+1</f>
        <v>80</v>
      </c>
      <c r="D31" s="44">
        <f>E20-0.1</f>
        <v>3.9</v>
      </c>
      <c r="E31" s="44">
        <f>8*8/162</f>
        <v>0.39506172839506171</v>
      </c>
      <c r="F31" s="44">
        <f>PRODUCT(C31:E31)</f>
        <v>123.25925925925925</v>
      </c>
      <c r="G31" s="44">
        <f>F31/1000</f>
        <v>0.12325925925925925</v>
      </c>
      <c r="H31" s="44"/>
      <c r="I31" s="44"/>
      <c r="J31" s="46"/>
      <c r="K31" s="37"/>
    </row>
    <row r="32" spans="1:19" x14ac:dyDescent="0.3">
      <c r="A32" s="5"/>
      <c r="B32" s="5"/>
      <c r="C32" s="43">
        <f>TRUNC(D31/0.15,0)+1</f>
        <v>27</v>
      </c>
      <c r="D32" s="7">
        <f>D20-0.1</f>
        <v>11.9</v>
      </c>
      <c r="E32" s="44">
        <f>8*8/162</f>
        <v>0.39506172839506171</v>
      </c>
      <c r="F32" s="44">
        <f>PRODUCT(C32:E32)</f>
        <v>126.93333333333334</v>
      </c>
      <c r="G32" s="44">
        <f>F32/1000</f>
        <v>0.12693333333333334</v>
      </c>
      <c r="H32" s="5"/>
      <c r="I32" s="5"/>
      <c r="J32" s="5"/>
      <c r="K32" s="5"/>
      <c r="M32" s="67"/>
      <c r="N32" s="67"/>
    </row>
    <row r="33" spans="1:19" ht="15" customHeight="1" x14ac:dyDescent="0.3">
      <c r="A33" s="41"/>
      <c r="B33" s="38" t="s">
        <v>40</v>
      </c>
      <c r="C33" s="43"/>
      <c r="D33" s="44"/>
      <c r="E33" s="44"/>
      <c r="F33" s="44"/>
      <c r="G33" s="34">
        <f>SUM(G31:G32)</f>
        <v>0.25019259259259258</v>
      </c>
      <c r="H33" s="34" t="s">
        <v>39</v>
      </c>
      <c r="I33" s="34">
        <v>124140</v>
      </c>
      <c r="J33" s="45">
        <f>G33*I33</f>
        <v>31058.908444444442</v>
      </c>
      <c r="K33" s="37"/>
    </row>
    <row r="34" spans="1:19" ht="15" customHeight="1" x14ac:dyDescent="0.3">
      <c r="A34" s="41"/>
      <c r="B34" s="38" t="s">
        <v>38</v>
      </c>
      <c r="C34" s="43"/>
      <c r="D34" s="44"/>
      <c r="E34" s="44"/>
      <c r="F34" s="44"/>
      <c r="G34" s="44"/>
      <c r="H34" s="44"/>
      <c r="I34" s="44"/>
      <c r="J34" s="46">
        <f>0.13*G33*110960</f>
        <v>3608.9781096296292</v>
      </c>
      <c r="K34" s="37"/>
    </row>
    <row r="35" spans="1:19" x14ac:dyDescent="0.3">
      <c r="A35" s="5"/>
      <c r="B35" s="5"/>
      <c r="C35" s="5"/>
      <c r="D35" s="5"/>
      <c r="E35" s="5"/>
      <c r="F35" s="5"/>
      <c r="G35" s="5"/>
      <c r="H35" s="5"/>
      <c r="I35" s="5"/>
      <c r="J35" s="5"/>
      <c r="K35" s="5"/>
    </row>
    <row r="36" spans="1:19" s="1" customFormat="1" ht="69" x14ac:dyDescent="0.3">
      <c r="A36" s="64">
        <v>6</v>
      </c>
      <c r="B36" s="31" t="s">
        <v>45</v>
      </c>
      <c r="C36" s="65"/>
      <c r="D36" s="40"/>
      <c r="E36" s="40"/>
      <c r="F36" s="40"/>
      <c r="G36" s="40"/>
      <c r="H36" s="40"/>
      <c r="I36" s="40"/>
      <c r="J36" s="46"/>
      <c r="K36" s="30"/>
    </row>
    <row r="37" spans="1:19" x14ac:dyDescent="0.3">
      <c r="A37" s="41"/>
      <c r="B37" s="25" t="str">
        <f>B20</f>
        <v>-for road</v>
      </c>
      <c r="C37" s="43">
        <f>C20</f>
        <v>1</v>
      </c>
      <c r="D37" s="44">
        <v>14</v>
      </c>
      <c r="E37" s="44">
        <f>E20</f>
        <v>4</v>
      </c>
      <c r="F37" s="44">
        <v>0.15</v>
      </c>
      <c r="G37" s="40">
        <f>PRODUCT(C37:F37)</f>
        <v>8.4</v>
      </c>
      <c r="H37" s="44"/>
      <c r="I37" s="44"/>
      <c r="J37" s="46"/>
      <c r="K37" s="37"/>
    </row>
    <row r="38" spans="1:19" ht="15" customHeight="1" x14ac:dyDescent="0.3">
      <c r="A38" s="41"/>
      <c r="B38" s="38" t="s">
        <v>40</v>
      </c>
      <c r="C38" s="43"/>
      <c r="D38" s="44"/>
      <c r="E38" s="44"/>
      <c r="F38" s="44"/>
      <c r="G38" s="34">
        <f>SUM(G37:G37)</f>
        <v>8.4</v>
      </c>
      <c r="H38" s="34" t="s">
        <v>39</v>
      </c>
      <c r="I38" s="34">
        <v>11588.17</v>
      </c>
      <c r="J38" s="45">
        <f>G38*I38</f>
        <v>97340.628000000012</v>
      </c>
      <c r="K38" s="37"/>
    </row>
    <row r="39" spans="1:19" ht="15" customHeight="1" x14ac:dyDescent="0.3">
      <c r="A39" s="41"/>
      <c r="B39" s="38" t="s">
        <v>38</v>
      </c>
      <c r="C39" s="43"/>
      <c r="D39" s="44"/>
      <c r="E39" s="44"/>
      <c r="F39" s="44"/>
      <c r="G39" s="44"/>
      <c r="H39" s="44"/>
      <c r="I39" s="44"/>
      <c r="J39" s="46">
        <f>0.13*G38*((128662.2+6685.5)/15)</f>
        <v>9853.3125600000003</v>
      </c>
      <c r="K39" s="37"/>
    </row>
    <row r="40" spans="1:19" ht="15" customHeight="1" x14ac:dyDescent="0.3">
      <c r="A40" s="41"/>
      <c r="B40" s="38"/>
      <c r="C40" s="43"/>
      <c r="D40" s="44"/>
      <c r="E40" s="44"/>
      <c r="F40" s="44"/>
      <c r="G40" s="44"/>
      <c r="H40" s="44"/>
      <c r="I40" s="44"/>
      <c r="J40" s="46"/>
      <c r="K40" s="37"/>
    </row>
    <row r="41" spans="1:19" s="1" customFormat="1" ht="82.8" x14ac:dyDescent="0.3">
      <c r="A41" s="64">
        <v>7</v>
      </c>
      <c r="B41" s="31" t="s">
        <v>58</v>
      </c>
      <c r="C41" s="65"/>
      <c r="D41" s="40"/>
      <c r="E41" s="40"/>
      <c r="F41" s="40"/>
      <c r="G41" s="40" t="s">
        <v>68</v>
      </c>
      <c r="H41" s="40"/>
      <c r="I41" s="40"/>
      <c r="J41" s="46"/>
      <c r="K41" s="30"/>
    </row>
    <row r="42" spans="1:19" ht="15" customHeight="1" x14ac:dyDescent="0.3">
      <c r="A42" s="19"/>
      <c r="B42" s="38" t="s">
        <v>53</v>
      </c>
      <c r="C42" s="37">
        <v>2</v>
      </c>
      <c r="D42" s="39">
        <f>D10</f>
        <v>12</v>
      </c>
      <c r="E42" s="39">
        <f>0.5*0.99077235</f>
        <v>0.49538617499999998</v>
      </c>
      <c r="F42" s="39">
        <v>1.2</v>
      </c>
      <c r="G42" s="40">
        <f>PRODUCT(C42:F42)</f>
        <v>14.26712184</v>
      </c>
      <c r="H42" s="41"/>
      <c r="I42" s="41"/>
      <c r="J42" s="41"/>
      <c r="K42" s="22"/>
      <c r="M42" s="26"/>
      <c r="N42" s="1"/>
      <c r="O42" s="1"/>
      <c r="P42" s="1"/>
      <c r="Q42" s="1"/>
      <c r="R42" s="26"/>
      <c r="S42" s="26"/>
    </row>
    <row r="43" spans="1:19" ht="15" customHeight="1" x14ac:dyDescent="0.3">
      <c r="A43" s="41"/>
      <c r="B43" s="38" t="s">
        <v>40</v>
      </c>
      <c r="C43" s="43"/>
      <c r="D43" s="44"/>
      <c r="E43" s="44"/>
      <c r="F43" s="44"/>
      <c r="G43" s="34">
        <f>SUM(G42:G42)</f>
        <v>14.26712184</v>
      </c>
      <c r="H43" s="34" t="s">
        <v>39</v>
      </c>
      <c r="I43" s="34">
        <v>9709.43</v>
      </c>
      <c r="J43" s="45">
        <f>G43*I43</f>
        <v>138525.62080695119</v>
      </c>
      <c r="K43" s="37"/>
    </row>
    <row r="44" spans="1:19" ht="15" customHeight="1" x14ac:dyDescent="0.3">
      <c r="A44" s="41"/>
      <c r="B44" s="38" t="s">
        <v>38</v>
      </c>
      <c r="C44" s="43"/>
      <c r="D44" s="44"/>
      <c r="E44" s="44"/>
      <c r="F44" s="44"/>
      <c r="G44" s="44"/>
      <c r="H44" s="44"/>
      <c r="I44" s="44"/>
      <c r="J44" s="46">
        <f>0.13*G43*((28040.8)/5)</f>
        <v>10401.599262367872</v>
      </c>
      <c r="K44" s="37"/>
    </row>
    <row r="45" spans="1:19" x14ac:dyDescent="0.3">
      <c r="A45" s="41"/>
      <c r="B45" s="31"/>
      <c r="C45" s="43"/>
      <c r="D45" s="44"/>
      <c r="E45" s="44"/>
      <c r="F45" s="44"/>
      <c r="G45" s="44"/>
      <c r="H45" s="44"/>
      <c r="I45" s="44"/>
      <c r="J45" s="46"/>
      <c r="K45" s="37"/>
    </row>
    <row r="46" spans="1:19" ht="15" customHeight="1" x14ac:dyDescent="0.3">
      <c r="A46" s="19">
        <v>8</v>
      </c>
      <c r="B46" s="31" t="s">
        <v>30</v>
      </c>
      <c r="C46" s="20">
        <v>1</v>
      </c>
      <c r="D46" s="21"/>
      <c r="E46" s="22"/>
      <c r="F46" s="22"/>
      <c r="G46" s="35">
        <f t="shared" ref="G46" si="0">PRODUCT(C46:F46)</f>
        <v>1</v>
      </c>
      <c r="H46" s="23" t="s">
        <v>31</v>
      </c>
      <c r="I46" s="24">
        <v>500</v>
      </c>
      <c r="J46" s="35">
        <f>G46*I46</f>
        <v>500</v>
      </c>
      <c r="K46" s="22"/>
      <c r="M46" s="26"/>
      <c r="N46" s="1"/>
      <c r="O46" s="1"/>
      <c r="P46" s="1"/>
      <c r="Q46" s="1"/>
      <c r="R46" s="26"/>
      <c r="S46" s="26"/>
    </row>
    <row r="47" spans="1:19" ht="15" customHeight="1" x14ac:dyDescent="0.3">
      <c r="A47" s="19"/>
      <c r="B47" s="25"/>
      <c r="C47" s="20"/>
      <c r="D47" s="21"/>
      <c r="E47" s="22"/>
      <c r="F47" s="22"/>
      <c r="G47" s="24"/>
      <c r="H47" s="23"/>
      <c r="I47" s="24"/>
      <c r="J47" s="42"/>
      <c r="K47" s="22"/>
      <c r="M47" s="26"/>
      <c r="N47" s="1"/>
      <c r="O47" s="1"/>
      <c r="P47" s="1"/>
      <c r="Q47" s="1"/>
      <c r="R47" s="26"/>
      <c r="S47" s="26"/>
    </row>
    <row r="48" spans="1:19" x14ac:dyDescent="0.3">
      <c r="A48" s="41"/>
      <c r="B48" s="47" t="s">
        <v>17</v>
      </c>
      <c r="C48" s="48"/>
      <c r="D48" s="39"/>
      <c r="E48" s="39"/>
      <c r="F48" s="39"/>
      <c r="G48" s="42"/>
      <c r="H48" s="42"/>
      <c r="I48" s="42"/>
      <c r="J48" s="42">
        <f>SUM(J10:J46)</f>
        <v>349203.17823117127</v>
      </c>
      <c r="K48" s="37"/>
    </row>
    <row r="49" spans="1:11" x14ac:dyDescent="0.3">
      <c r="A49" s="59"/>
      <c r="B49" s="62"/>
      <c r="C49" s="63"/>
      <c r="D49" s="60"/>
      <c r="E49" s="60"/>
      <c r="F49" s="60"/>
      <c r="G49" s="61"/>
      <c r="H49" s="61"/>
      <c r="I49" s="61"/>
      <c r="J49" s="61"/>
      <c r="K49" s="58"/>
    </row>
    <row r="50" spans="1:11" s="1" customFormat="1" x14ac:dyDescent="0.3">
      <c r="A50" s="51"/>
      <c r="B50" s="30" t="s">
        <v>27</v>
      </c>
      <c r="C50" s="81">
        <f>J48</f>
        <v>349203.17823117127</v>
      </c>
      <c r="D50" s="81"/>
      <c r="E50" s="40">
        <v>100</v>
      </c>
      <c r="F50" s="52"/>
      <c r="G50" s="53"/>
      <c r="H50" s="52"/>
      <c r="I50" s="54"/>
      <c r="J50" s="55"/>
      <c r="K50" s="56"/>
    </row>
    <row r="51" spans="1:11" x14ac:dyDescent="0.3">
      <c r="A51" s="57"/>
      <c r="B51" s="30" t="s">
        <v>32</v>
      </c>
      <c r="C51" s="84">
        <v>300000</v>
      </c>
      <c r="D51" s="84"/>
      <c r="E51" s="40"/>
      <c r="F51" s="50"/>
      <c r="G51" s="49"/>
      <c r="H51" s="49"/>
      <c r="I51" s="49"/>
      <c r="J51" s="49"/>
      <c r="K51" s="50"/>
    </row>
    <row r="52" spans="1:11" x14ac:dyDescent="0.3">
      <c r="A52" s="57"/>
      <c r="B52" s="30" t="s">
        <v>33</v>
      </c>
      <c r="C52" s="84">
        <f>C51-C54-C55</f>
        <v>285000</v>
      </c>
      <c r="D52" s="84"/>
      <c r="E52" s="40">
        <f>C52/C50*100</f>
        <v>81.614377464609163</v>
      </c>
      <c r="F52" s="50"/>
      <c r="G52" s="49"/>
      <c r="H52" s="49"/>
      <c r="I52" s="72"/>
      <c r="J52" s="49"/>
      <c r="K52" s="50"/>
    </row>
    <row r="53" spans="1:11" x14ac:dyDescent="0.3">
      <c r="A53" s="57"/>
      <c r="B53" s="30" t="s">
        <v>34</v>
      </c>
      <c r="C53" s="81">
        <f>C50-C52</f>
        <v>64203.178231171274</v>
      </c>
      <c r="D53" s="81"/>
      <c r="E53" s="40">
        <f>100-E52</f>
        <v>18.385622535390837</v>
      </c>
      <c r="F53" s="50"/>
      <c r="G53" s="49"/>
      <c r="H53" s="49"/>
      <c r="I53" s="49"/>
      <c r="J53" s="49"/>
      <c r="K53" s="50"/>
    </row>
    <row r="54" spans="1:11" x14ac:dyDescent="0.3">
      <c r="A54" s="57"/>
      <c r="B54" s="30" t="s">
        <v>35</v>
      </c>
      <c r="C54" s="81">
        <f>C51*0.03</f>
        <v>9000</v>
      </c>
      <c r="D54" s="81"/>
      <c r="E54" s="40">
        <v>3</v>
      </c>
      <c r="F54" s="50"/>
      <c r="G54" s="49"/>
      <c r="H54" s="49"/>
      <c r="I54" s="49"/>
      <c r="J54" s="49"/>
      <c r="K54" s="50"/>
    </row>
    <row r="55" spans="1:11" x14ac:dyDescent="0.3">
      <c r="A55" s="57"/>
      <c r="B55" s="30" t="s">
        <v>36</v>
      </c>
      <c r="C55" s="81">
        <f>C51*0.02</f>
        <v>6000</v>
      </c>
      <c r="D55" s="81"/>
      <c r="E55" s="40">
        <v>2</v>
      </c>
      <c r="F55" s="50"/>
      <c r="G55" s="49"/>
      <c r="H55" s="49"/>
      <c r="I55" s="49"/>
      <c r="J55" s="49"/>
      <c r="K55" s="50"/>
    </row>
    <row r="56" spans="1:11" s="36" customFormat="1" x14ac:dyDescent="0.3">
      <c r="A56" s="58"/>
      <c r="B56" s="58"/>
      <c r="C56" s="58"/>
      <c r="D56" s="58"/>
      <c r="E56" s="58"/>
      <c r="F56" s="58"/>
      <c r="G56" s="58"/>
      <c r="H56" s="58"/>
      <c r="I56" s="58"/>
      <c r="J56" s="58"/>
      <c r="K56" s="58"/>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zoomScaleNormal="100" workbookViewId="0">
      <selection activeCell="J13" sqref="J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87" t="s">
        <v>0</v>
      </c>
      <c r="B1" s="87"/>
      <c r="C1" s="87"/>
      <c r="D1" s="87"/>
      <c r="E1" s="87"/>
      <c r="F1" s="87"/>
      <c r="G1" s="87"/>
      <c r="H1" s="87"/>
      <c r="I1" s="87"/>
      <c r="J1" s="87"/>
      <c r="K1" s="87"/>
    </row>
    <row r="2" spans="1:13" ht="24.6" x14ac:dyDescent="0.4">
      <c r="A2" s="88" t="s">
        <v>1</v>
      </c>
      <c r="B2" s="88"/>
      <c r="C2" s="88"/>
      <c r="D2" s="88"/>
      <c r="E2" s="88"/>
      <c r="F2" s="88"/>
      <c r="G2" s="88"/>
      <c r="H2" s="88"/>
      <c r="I2" s="88"/>
      <c r="J2" s="88"/>
      <c r="K2" s="88"/>
    </row>
    <row r="3" spans="1:13" s="1" customFormat="1" x14ac:dyDescent="0.3">
      <c r="A3" s="79" t="s">
        <v>2</v>
      </c>
      <c r="B3" s="79"/>
      <c r="C3" s="79"/>
      <c r="D3" s="79"/>
      <c r="E3" s="79"/>
      <c r="F3" s="79"/>
      <c r="G3" s="79"/>
      <c r="H3" s="79"/>
      <c r="I3" s="79"/>
      <c r="J3" s="79"/>
      <c r="K3" s="79"/>
    </row>
    <row r="4" spans="1:13" s="1" customFormat="1" x14ac:dyDescent="0.3">
      <c r="A4" s="79" t="s">
        <v>3</v>
      </c>
      <c r="B4" s="79"/>
      <c r="C4" s="79"/>
      <c r="D4" s="79"/>
      <c r="E4" s="79"/>
      <c r="F4" s="79"/>
      <c r="G4" s="79"/>
      <c r="H4" s="79"/>
      <c r="I4" s="79"/>
      <c r="J4" s="79"/>
      <c r="K4" s="79"/>
    </row>
    <row r="5" spans="1:13" ht="18" x14ac:dyDescent="0.35">
      <c r="A5" s="89" t="s">
        <v>18</v>
      </c>
      <c r="B5" s="89"/>
      <c r="C5" s="89"/>
      <c r="D5" s="89"/>
      <c r="E5" s="89"/>
      <c r="F5" s="89"/>
      <c r="G5" s="89"/>
      <c r="H5" s="89"/>
      <c r="I5" s="89"/>
      <c r="J5" s="89"/>
      <c r="K5" s="89"/>
    </row>
    <row r="6" spans="1:13" ht="18" x14ac:dyDescent="0.35">
      <c r="A6" s="9" t="s">
        <v>19</v>
      </c>
      <c r="B6" s="9"/>
      <c r="C6" s="85">
        <f>F35</f>
        <v>349203.17823117127</v>
      </c>
      <c r="D6" s="86"/>
      <c r="E6" s="10"/>
      <c r="F6" s="9"/>
      <c r="G6" s="9"/>
      <c r="H6" s="9" t="s">
        <v>20</v>
      </c>
      <c r="I6" s="9"/>
      <c r="J6" s="85">
        <f>I35</f>
        <v>352833.72318211879</v>
      </c>
      <c r="K6" s="86"/>
    </row>
    <row r="7" spans="1:13" x14ac:dyDescent="0.3">
      <c r="A7" s="27" t="s">
        <v>29</v>
      </c>
      <c r="B7" s="11"/>
      <c r="C7" s="11"/>
      <c r="D7" s="11"/>
      <c r="F7" s="92"/>
      <c r="G7" s="92"/>
      <c r="I7" s="93" t="s">
        <v>37</v>
      </c>
      <c r="J7" s="93"/>
      <c r="K7" s="93"/>
    </row>
    <row r="8" spans="1:13" ht="15.6" x14ac:dyDescent="0.3">
      <c r="A8" s="75" t="str">
        <f>'kurthali final'!A6:F6</f>
        <v xml:space="preserve">Project:- मनोहरा झोलुङ्गे पुल निस्किने बाटो निर्माण </v>
      </c>
      <c r="B8" s="75"/>
      <c r="C8" s="75"/>
      <c r="D8" s="75"/>
      <c r="E8" s="75"/>
      <c r="F8" s="75"/>
      <c r="I8" s="94" t="s">
        <v>66</v>
      </c>
      <c r="J8" s="94"/>
      <c r="K8" s="94"/>
    </row>
    <row r="9" spans="1:13" x14ac:dyDescent="0.3">
      <c r="A9" s="95" t="str">
        <f>'kurthali final'!A7:F7</f>
        <v>Location:- Shankharapur Municipality 9</v>
      </c>
      <c r="B9" s="95"/>
      <c r="C9" s="95"/>
      <c r="D9" s="95"/>
      <c r="E9" s="95"/>
      <c r="F9" s="95"/>
      <c r="I9" s="94" t="s">
        <v>67</v>
      </c>
      <c r="J9" s="94"/>
      <c r="K9" s="94"/>
    </row>
    <row r="11" spans="1:13" x14ac:dyDescent="0.3">
      <c r="A11" s="90" t="s">
        <v>21</v>
      </c>
      <c r="B11" s="90" t="s">
        <v>22</v>
      </c>
      <c r="C11" s="90" t="s">
        <v>12</v>
      </c>
      <c r="D11" s="96" t="s">
        <v>23</v>
      </c>
      <c r="E11" s="96"/>
      <c r="F11" s="96"/>
      <c r="G11" s="96" t="s">
        <v>24</v>
      </c>
      <c r="H11" s="96"/>
      <c r="I11" s="96"/>
      <c r="J11" s="90" t="s">
        <v>25</v>
      </c>
      <c r="K11" s="91" t="s">
        <v>15</v>
      </c>
    </row>
    <row r="12" spans="1:13" x14ac:dyDescent="0.3">
      <c r="A12" s="90"/>
      <c r="B12" s="90"/>
      <c r="C12" s="90"/>
      <c r="D12" s="12" t="s">
        <v>26</v>
      </c>
      <c r="E12" s="12" t="s">
        <v>13</v>
      </c>
      <c r="F12" s="12" t="s">
        <v>14</v>
      </c>
      <c r="G12" s="12" t="s">
        <v>26</v>
      </c>
      <c r="H12" s="12" t="s">
        <v>13</v>
      </c>
      <c r="I12" s="12" t="s">
        <v>14</v>
      </c>
      <c r="J12" s="90"/>
      <c r="K12" s="91"/>
    </row>
    <row r="13" spans="1:13" s="1" customFormat="1" ht="140.4" x14ac:dyDescent="0.3">
      <c r="A13" s="28">
        <f>'kurthali final'!A9</f>
        <v>1</v>
      </c>
      <c r="B13" s="33" t="str">
        <f>'kurthali final'!B9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'kurthali final'!H12</f>
        <v>m3</v>
      </c>
      <c r="D13" s="13">
        <f>'kurthali final'!G12</f>
        <v>16.857421517829927</v>
      </c>
      <c r="E13" s="13">
        <f>'kurthali final'!I12</f>
        <v>64.63</v>
      </c>
      <c r="F13" s="13">
        <f>D13*E13</f>
        <v>1089.4951526973482</v>
      </c>
      <c r="G13" s="13">
        <f>V!G12</f>
        <v>16.857421517829927</v>
      </c>
      <c r="H13" s="13">
        <f>V!I12</f>
        <v>64.63</v>
      </c>
      <c r="I13" s="13">
        <f>G13*H13</f>
        <v>1089.4951526973482</v>
      </c>
      <c r="J13" s="29">
        <f>I13-F13</f>
        <v>0</v>
      </c>
      <c r="K13" s="15"/>
      <c r="M13" s="1">
        <f>F13*1.25</f>
        <v>1361.8689408716853</v>
      </c>
    </row>
    <row r="14" spans="1:13" s="1" customFormat="1" ht="15.6" x14ac:dyDescent="0.3">
      <c r="A14" s="28"/>
      <c r="B14" s="68" t="str">
        <f>'kurthali final'!B13</f>
        <v>VAT calculation</v>
      </c>
      <c r="C14" s="13"/>
      <c r="D14" s="13"/>
      <c r="E14" s="13"/>
      <c r="F14" s="13">
        <f>'kurthali final'!J13</f>
        <v>117.38946430966169</v>
      </c>
      <c r="G14" s="13"/>
      <c r="H14" s="13"/>
      <c r="I14" s="13">
        <f>V!J13</f>
        <v>117.38946430966169</v>
      </c>
      <c r="J14" s="29">
        <f>I14-F14</f>
        <v>0</v>
      </c>
      <c r="K14" s="15"/>
      <c r="M14" s="1">
        <f>F14*1.25</f>
        <v>146.73683038707711</v>
      </c>
    </row>
    <row r="15" spans="1:13" s="1" customFormat="1" x14ac:dyDescent="0.3">
      <c r="A15" s="30"/>
      <c r="B15" s="30"/>
      <c r="C15" s="13"/>
      <c r="D15" s="13"/>
      <c r="E15" s="13"/>
      <c r="F15" s="13"/>
      <c r="G15" s="13"/>
      <c r="H15" s="13"/>
      <c r="I15" s="13"/>
      <c r="J15" s="29"/>
      <c r="K15" s="15"/>
    </row>
    <row r="16" spans="1:13" s="1" customFormat="1" ht="93.6" x14ac:dyDescent="0.3">
      <c r="A16" s="28">
        <f>'kurthali final'!A15</f>
        <v>2</v>
      </c>
      <c r="B16" s="33" t="str">
        <f>'kurthali final'!B15</f>
        <v>Providing suitable material and Back filling behind abutment, wing wall and return wall complete as per Drawing and Technical Specifications., locally available material including compaction by tamping rod</v>
      </c>
      <c r="C16" s="13" t="str">
        <f>'kurthali final'!H17</f>
        <v>m3</v>
      </c>
      <c r="D16" s="13">
        <f>'kurthali final'!G17</f>
        <v>14.399999999999999</v>
      </c>
      <c r="E16" s="13">
        <f>'kurthali final'!I17</f>
        <v>404.28</v>
      </c>
      <c r="F16" s="13">
        <f>D16*E16</f>
        <v>5821.6319999999987</v>
      </c>
      <c r="G16" s="13">
        <f>V!G17</f>
        <v>14.399999999999999</v>
      </c>
      <c r="H16" s="13">
        <f>V!I17</f>
        <v>404.28</v>
      </c>
      <c r="I16" s="13">
        <f>G16*H16</f>
        <v>5821.6319999999987</v>
      </c>
      <c r="J16" s="29">
        <f>I16-F16</f>
        <v>0</v>
      </c>
      <c r="K16" s="15"/>
      <c r="M16" s="1">
        <f>F16*1.25</f>
        <v>7277.0399999999981</v>
      </c>
    </row>
    <row r="17" spans="1:13" s="1" customFormat="1" x14ac:dyDescent="0.3">
      <c r="A17" s="30"/>
      <c r="B17" s="30"/>
      <c r="C17" s="13"/>
      <c r="D17" s="13"/>
      <c r="E17" s="13"/>
      <c r="F17" s="13"/>
      <c r="G17" s="13"/>
      <c r="H17" s="13"/>
      <c r="I17" s="13"/>
      <c r="J17" s="29"/>
      <c r="K17" s="15"/>
    </row>
    <row r="18" spans="1:13" s="1" customFormat="1" ht="78" x14ac:dyDescent="0.3">
      <c r="A18" s="28">
        <f>'kurthali final'!A19</f>
        <v>3</v>
      </c>
      <c r="B18" s="33" t="str">
        <f>'kurthali final'!B19</f>
        <v>Providing and laying of hand pack Stone soling with 150 to 200 mm thick stones and packing with smaller stone on prepared surface as per Drawing and Technical Specifications.</v>
      </c>
      <c r="C18" s="13" t="str">
        <f>'kurthali final'!H22</f>
        <v>m3</v>
      </c>
      <c r="D18" s="13">
        <f>'kurthali final'!G22</f>
        <v>8.1</v>
      </c>
      <c r="E18" s="13">
        <f>'kurthali final'!I22</f>
        <v>4561.53</v>
      </c>
      <c r="F18" s="13">
        <f>D18*E18</f>
        <v>36948.392999999996</v>
      </c>
      <c r="G18" s="13">
        <f>V!G22</f>
        <v>8.1</v>
      </c>
      <c r="H18" s="13">
        <f>V!I22</f>
        <v>4561.53</v>
      </c>
      <c r="I18" s="13">
        <f>G18*H18</f>
        <v>36948.392999999996</v>
      </c>
      <c r="J18" s="29">
        <f>I18-F18</f>
        <v>0</v>
      </c>
      <c r="K18" s="15"/>
      <c r="M18" s="1">
        <f>F18*1.25</f>
        <v>46185.491249999992</v>
      </c>
    </row>
    <row r="19" spans="1:13" s="1" customFormat="1" ht="15.6" x14ac:dyDescent="0.3">
      <c r="A19" s="28"/>
      <c r="B19" s="68" t="str">
        <f>'kurthali final'!B23</f>
        <v>VAT calculation</v>
      </c>
      <c r="C19" s="13"/>
      <c r="D19" s="13"/>
      <c r="E19" s="13"/>
      <c r="F19" s="13">
        <f>'kurthali final'!J23</f>
        <v>3254.31756</v>
      </c>
      <c r="G19" s="13"/>
      <c r="H19" s="13"/>
      <c r="I19" s="13">
        <f>V!J23</f>
        <v>3254.31756</v>
      </c>
      <c r="J19" s="29">
        <f>I19-F19</f>
        <v>0</v>
      </c>
      <c r="K19" s="15"/>
      <c r="M19" s="1">
        <f>F19*1.25</f>
        <v>4067.8969499999998</v>
      </c>
    </row>
    <row r="20" spans="1:13" s="1" customFormat="1" x14ac:dyDescent="0.3">
      <c r="A20" s="30"/>
      <c r="B20" s="30"/>
      <c r="C20" s="13"/>
      <c r="D20" s="13"/>
      <c r="E20" s="13"/>
      <c r="F20" s="13"/>
      <c r="G20" s="13"/>
      <c r="H20" s="13"/>
      <c r="I20" s="13"/>
      <c r="J20" s="29"/>
      <c r="K20" s="15"/>
    </row>
    <row r="21" spans="1:13" s="1" customFormat="1" ht="78" x14ac:dyDescent="0.3">
      <c r="A21" s="28">
        <f>'kurthali final'!A25</f>
        <v>4</v>
      </c>
      <c r="B21" s="33" t="str">
        <f>'kurthali final'!B25</f>
        <v>Providing and laying of Plain/Reinforced Cement Concrete in Foundation complete as per Drawing and Technical Specifications, PCC Grade M 15</v>
      </c>
      <c r="C21" s="13" t="str">
        <f>'kurthali final'!H27</f>
        <v>m3</v>
      </c>
      <c r="D21" s="13">
        <f>'kurthali final'!G27</f>
        <v>0.91435537945748235</v>
      </c>
      <c r="E21" s="13">
        <f>'kurthali final'!I27</f>
        <v>10634.5</v>
      </c>
      <c r="F21" s="13">
        <f>D21*E21</f>
        <v>9723.7122828405954</v>
      </c>
      <c r="G21" s="13">
        <f>V!G27</f>
        <v>0.76196281621456885</v>
      </c>
      <c r="H21" s="13">
        <f>V!I27</f>
        <v>10634.5</v>
      </c>
      <c r="I21" s="13">
        <f>G21*H21</f>
        <v>8103.0935690338329</v>
      </c>
      <c r="J21" s="29">
        <f>I21-F21</f>
        <v>-1620.6187138067626</v>
      </c>
      <c r="K21" s="15"/>
      <c r="M21" s="1">
        <f>F21*1.25</f>
        <v>12154.640353550745</v>
      </c>
    </row>
    <row r="22" spans="1:13" s="1" customFormat="1" ht="15.6" x14ac:dyDescent="0.3">
      <c r="A22" s="28"/>
      <c r="B22" s="68" t="str">
        <f>'kurthali final'!B28</f>
        <v>VAT calculation</v>
      </c>
      <c r="C22" s="13"/>
      <c r="D22" s="13"/>
      <c r="E22" s="13"/>
      <c r="F22" s="13">
        <f>'kurthali final'!J28</f>
        <v>959.19158793050894</v>
      </c>
      <c r="G22" s="13"/>
      <c r="H22" s="13"/>
      <c r="I22" s="13">
        <f>V!J28</f>
        <v>799.32632327542444</v>
      </c>
      <c r="J22" s="29">
        <f>I22-F22</f>
        <v>-159.8652646550845</v>
      </c>
      <c r="K22" s="15"/>
      <c r="M22" s="1">
        <f>F22*1.25</f>
        <v>1198.9894849131363</v>
      </c>
    </row>
    <row r="23" spans="1:13" s="1" customFormat="1" x14ac:dyDescent="0.3">
      <c r="A23" s="30"/>
      <c r="B23" s="30"/>
      <c r="C23" s="13"/>
      <c r="D23" s="13"/>
      <c r="E23" s="13"/>
      <c r="F23" s="13"/>
      <c r="G23" s="13"/>
      <c r="H23" s="13"/>
      <c r="I23" s="13"/>
      <c r="J23" s="29"/>
      <c r="K23" s="15"/>
    </row>
    <row r="24" spans="1:13" s="1" customFormat="1" ht="62.4" x14ac:dyDescent="0.3">
      <c r="A24" s="28">
        <f>'kurthali final'!A30</f>
        <v>5</v>
      </c>
      <c r="B24" s="33" t="str">
        <f>'kurthali final'!B30</f>
        <v>Providing and laying , fitting and placing HYSD bar reinforcement in sub-structure complete as per Drawing and Technical Specifications</v>
      </c>
      <c r="C24" s="13" t="str">
        <f>'kurthali final'!H33</f>
        <v>m3</v>
      </c>
      <c r="D24" s="13">
        <f>'kurthali final'!G33</f>
        <v>0.25019259259259258</v>
      </c>
      <c r="E24" s="13">
        <f>'kurthali final'!I33</f>
        <v>124140</v>
      </c>
      <c r="F24" s="13">
        <f>D24*E24</f>
        <v>31058.908444444442</v>
      </c>
      <c r="G24" s="13">
        <f>V!G37</f>
        <v>0.24108641975308642</v>
      </c>
      <c r="H24" s="13">
        <f>V!I37</f>
        <v>124140</v>
      </c>
      <c r="I24" s="13">
        <f>G24*H24</f>
        <v>29928.468148148149</v>
      </c>
      <c r="J24" s="29">
        <f>I24-F24</f>
        <v>-1130.4402962962922</v>
      </c>
      <c r="K24" s="15"/>
      <c r="M24" s="1">
        <f>F24*1.25</f>
        <v>38823.635555555549</v>
      </c>
    </row>
    <row r="25" spans="1:13" s="1" customFormat="1" ht="15.6" x14ac:dyDescent="0.3">
      <c r="A25" s="28"/>
      <c r="B25" s="33" t="str">
        <f>'kurthali final'!B34</f>
        <v>VAT calculation</v>
      </c>
      <c r="C25" s="13"/>
      <c r="D25" s="13"/>
      <c r="E25" s="13"/>
      <c r="F25" s="13">
        <f>'kurthali final'!J34</f>
        <v>3608.9781096296292</v>
      </c>
      <c r="G25" s="13"/>
      <c r="H25" s="13"/>
      <c r="I25" s="13">
        <f>V!J38</f>
        <v>3477.623387654321</v>
      </c>
      <c r="J25" s="29">
        <f>I25-F25</f>
        <v>-131.35472197530817</v>
      </c>
      <c r="K25" s="15"/>
      <c r="M25" s="1">
        <f>F25*1.25</f>
        <v>4511.2226370370363</v>
      </c>
    </row>
    <row r="26" spans="1:13" s="1" customFormat="1" x14ac:dyDescent="0.3">
      <c r="A26" s="30"/>
      <c r="B26" s="30"/>
      <c r="C26" s="13"/>
      <c r="D26" s="13"/>
      <c r="E26" s="13"/>
      <c r="F26" s="13"/>
      <c r="G26" s="13"/>
      <c r="H26" s="13"/>
      <c r="I26" s="13"/>
      <c r="J26" s="29"/>
      <c r="K26" s="15"/>
    </row>
    <row r="27" spans="1:13" s="1" customFormat="1" ht="78" x14ac:dyDescent="0.3">
      <c r="A27" s="28">
        <f>'kurthali final'!A36</f>
        <v>6</v>
      </c>
      <c r="B27" s="33" t="str">
        <f>'kurthali final'!B36</f>
        <v>Providing and laying of Plain/Reinforced Cement Concrete in Foundation complete as per Drawing and Technical Specifications., RCC Grade M 20</v>
      </c>
      <c r="C27" s="13" t="str">
        <f>'kurthali final'!H38</f>
        <v>m3</v>
      </c>
      <c r="D27" s="13">
        <f>'kurthali final'!G38</f>
        <v>8.4</v>
      </c>
      <c r="E27" s="13">
        <f>'kurthali final'!I38</f>
        <v>11588.17</v>
      </c>
      <c r="F27" s="13">
        <f>D27*E27</f>
        <v>97340.628000000012</v>
      </c>
      <c r="G27" s="13">
        <f>V!G45</f>
        <v>9.3050000000000015</v>
      </c>
      <c r="H27" s="13">
        <f>V!I45</f>
        <v>11588.17</v>
      </c>
      <c r="I27" s="13">
        <f>G27*H27</f>
        <v>107827.92185000001</v>
      </c>
      <c r="J27" s="29">
        <f>I27-F27</f>
        <v>10487.293850000002</v>
      </c>
      <c r="K27" s="15"/>
      <c r="M27" s="1">
        <f>F27*1.25</f>
        <v>121675.78500000002</v>
      </c>
    </row>
    <row r="28" spans="1:13" s="1" customFormat="1" ht="15.6" x14ac:dyDescent="0.3">
      <c r="A28" s="28"/>
      <c r="B28" s="33" t="str">
        <f>'kurthali final'!B39</f>
        <v>VAT calculation</v>
      </c>
      <c r="C28" s="13"/>
      <c r="D28" s="13"/>
      <c r="E28" s="13"/>
      <c r="F28" s="13">
        <f>'kurthali final'!J39</f>
        <v>9853.3125600000003</v>
      </c>
      <c r="G28" s="13"/>
      <c r="H28" s="13"/>
      <c r="I28" s="13">
        <f>V!J46</f>
        <v>10914.889687000003</v>
      </c>
      <c r="J28" s="29">
        <f>I28-F28</f>
        <v>1061.5771270000023</v>
      </c>
      <c r="K28" s="15"/>
      <c r="M28" s="1">
        <f>F28*1.25</f>
        <v>12316.6407</v>
      </c>
    </row>
    <row r="29" spans="1:13" s="1" customFormat="1" x14ac:dyDescent="0.3">
      <c r="A29" s="30"/>
      <c r="B29" s="30"/>
      <c r="C29" s="13"/>
      <c r="D29" s="13"/>
      <c r="E29" s="13"/>
      <c r="F29" s="13"/>
      <c r="G29" s="13"/>
      <c r="H29" s="13"/>
      <c r="I29" s="13"/>
      <c r="J29" s="29"/>
      <c r="K29" s="15"/>
    </row>
    <row r="30" spans="1:13" s="1" customFormat="1" ht="78" x14ac:dyDescent="0.3">
      <c r="A30" s="28">
        <f>'kurthali final'!A41</f>
        <v>7</v>
      </c>
      <c r="B30" s="33" t="str">
        <f>'kurthali final'!B41</f>
        <v>Random Rubble Masonry, Providing and laying of Stone Masonry Work in Cement Mortar 1:6 in Foundation complete as per Drawing and Technical Specifications.</v>
      </c>
      <c r="C30" s="13" t="str">
        <f>'kurthali final'!H43</f>
        <v>m3</v>
      </c>
      <c r="D30" s="13">
        <f>'kurthali final'!G43</f>
        <v>14.26712184</v>
      </c>
      <c r="E30" s="13">
        <f>'kurthali final'!I43</f>
        <v>9709.43</v>
      </c>
      <c r="F30" s="13">
        <f>D30*E30</f>
        <v>138525.62080695119</v>
      </c>
      <c r="G30" s="13">
        <f>V!G50</f>
        <v>13.799999999999999</v>
      </c>
      <c r="H30" s="13">
        <f>V!I50</f>
        <v>9709.43</v>
      </c>
      <c r="I30" s="13">
        <f>G30*H30</f>
        <v>133990.13399999999</v>
      </c>
      <c r="J30" s="29">
        <f>I30-F30</f>
        <v>-4535.4868069512013</v>
      </c>
      <c r="K30" s="15"/>
      <c r="M30" s="1">
        <f>F30*1.25</f>
        <v>173157.02600868899</v>
      </c>
    </row>
    <row r="31" spans="1:13" s="1" customFormat="1" ht="15.6" x14ac:dyDescent="0.3">
      <c r="A31" s="28"/>
      <c r="B31" s="33" t="str">
        <f>'kurthali final'!B44</f>
        <v>VAT calculation</v>
      </c>
      <c r="C31" s="13"/>
      <c r="D31" s="13"/>
      <c r="E31" s="13"/>
      <c r="F31" s="13">
        <f>'kurthali final'!J44</f>
        <v>10401.599262367872</v>
      </c>
      <c r="G31" s="13"/>
      <c r="H31" s="13"/>
      <c r="I31" s="13">
        <f>V!J51</f>
        <v>10061.039039999998</v>
      </c>
      <c r="J31" s="29">
        <f>I31-F31</f>
        <v>-340.5602223678743</v>
      </c>
      <c r="K31" s="15"/>
      <c r="M31" s="1">
        <f>F31*1.25</f>
        <v>13001.999077959841</v>
      </c>
    </row>
    <row r="32" spans="1:13" s="1" customFormat="1" x14ac:dyDescent="0.3">
      <c r="A32" s="30"/>
      <c r="B32" s="30"/>
      <c r="C32" s="13"/>
      <c r="D32" s="13"/>
      <c r="E32" s="13"/>
      <c r="F32" s="13"/>
      <c r="G32" s="13"/>
      <c r="H32" s="13"/>
      <c r="I32" s="13"/>
      <c r="J32" s="29"/>
      <c r="K32" s="15"/>
    </row>
    <row r="33" spans="1:13" s="1" customFormat="1" x14ac:dyDescent="0.3">
      <c r="A33" s="28">
        <f>'kurthali final'!A46</f>
        <v>8</v>
      </c>
      <c r="B33" s="32" t="str">
        <f>'kurthali final'!B46</f>
        <v>Information board (सुचना पाटि)</v>
      </c>
      <c r="C33" s="13" t="str">
        <f>'kurthali final'!H46</f>
        <v>no.</v>
      </c>
      <c r="D33" s="13">
        <f>'kurthali final'!G46</f>
        <v>1</v>
      </c>
      <c r="E33" s="13">
        <f>'kurthali final'!I46</f>
        <v>500</v>
      </c>
      <c r="F33" s="13">
        <f>D33*E33</f>
        <v>500</v>
      </c>
      <c r="G33" s="13">
        <f>V!G53</f>
        <v>1</v>
      </c>
      <c r="H33" s="13">
        <f>V!I53</f>
        <v>500</v>
      </c>
      <c r="I33" s="13">
        <f>G33*H33</f>
        <v>500</v>
      </c>
      <c r="J33" s="29">
        <f>I33-F33</f>
        <v>0</v>
      </c>
      <c r="K33" s="15"/>
      <c r="M33" s="1">
        <f>F33*1.25</f>
        <v>625</v>
      </c>
    </row>
    <row r="34" spans="1:13" s="1" customFormat="1" x14ac:dyDescent="0.3">
      <c r="A34" s="30"/>
      <c r="B34" s="30"/>
      <c r="C34" s="13"/>
      <c r="D34" s="13"/>
      <c r="E34" s="13"/>
      <c r="F34" s="13"/>
      <c r="G34" s="13"/>
      <c r="H34" s="13"/>
      <c r="I34" s="13"/>
      <c r="J34" s="29"/>
      <c r="K34" s="15"/>
    </row>
    <row r="35" spans="1:13" x14ac:dyDescent="0.3">
      <c r="A35" s="5"/>
      <c r="B35" s="6" t="s">
        <v>16</v>
      </c>
      <c r="C35" s="6"/>
      <c r="D35" s="8"/>
      <c r="E35" s="8"/>
      <c r="F35" s="8">
        <f>SUM(F13:F33)</f>
        <v>349203.17823117127</v>
      </c>
      <c r="G35" s="8"/>
      <c r="H35" s="8"/>
      <c r="I35" s="8">
        <f>SUM(I13:I33)</f>
        <v>352833.72318211879</v>
      </c>
      <c r="J35" s="14">
        <f>I35-F35</f>
        <v>3630.5449509475147</v>
      </c>
      <c r="K35"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9"/>
  <sheetViews>
    <sheetView zoomScaleNormal="100" workbookViewId="0">
      <selection activeCell="F44" sqref="F4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62</v>
      </c>
      <c r="B5" s="80"/>
      <c r="C5" s="80"/>
      <c r="D5" s="80"/>
      <c r="E5" s="80"/>
      <c r="F5" s="80"/>
      <c r="G5" s="80"/>
      <c r="H5" s="80"/>
      <c r="I5" s="80"/>
      <c r="J5" s="80"/>
      <c r="K5" s="80"/>
    </row>
    <row r="6" spans="1:19" ht="15.6" x14ac:dyDescent="0.3">
      <c r="A6" s="75" t="s">
        <v>57</v>
      </c>
      <c r="B6" s="75"/>
      <c r="C6" s="75"/>
      <c r="D6" s="75"/>
      <c r="E6" s="75"/>
      <c r="F6" s="75"/>
      <c r="G6" s="2"/>
      <c r="H6" s="76" t="s">
        <v>64</v>
      </c>
      <c r="I6" s="76"/>
      <c r="J6" s="76"/>
      <c r="K6" s="76"/>
    </row>
    <row r="7" spans="1:19" ht="15.6" x14ac:dyDescent="0.3">
      <c r="A7" s="82" t="s">
        <v>28</v>
      </c>
      <c r="B7" s="82"/>
      <c r="C7" s="82"/>
      <c r="D7" s="82"/>
      <c r="E7" s="82"/>
      <c r="F7" s="82"/>
      <c r="G7" s="3"/>
      <c r="H7" s="83" t="s">
        <v>63</v>
      </c>
      <c r="I7" s="83"/>
      <c r="J7" s="83"/>
      <c r="K7" s="83"/>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64">
        <v>1</v>
      </c>
      <c r="B9" s="31" t="s">
        <v>47</v>
      </c>
      <c r="C9" s="37"/>
      <c r="D9" s="37"/>
      <c r="E9" s="37"/>
      <c r="F9" s="37"/>
      <c r="G9" s="37"/>
      <c r="H9" s="37"/>
      <c r="I9" s="37"/>
      <c r="J9" s="37"/>
      <c r="K9" s="37"/>
      <c r="N9" t="s">
        <v>51</v>
      </c>
      <c r="O9" t="s">
        <v>52</v>
      </c>
    </row>
    <row r="10" spans="1:19" ht="15" customHeight="1" x14ac:dyDescent="0.3">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3">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3">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3">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3">
      <c r="A14" s="19"/>
      <c r="B14" s="38"/>
      <c r="C14" s="20"/>
      <c r="D14" s="21"/>
      <c r="E14" s="22"/>
      <c r="F14" s="22"/>
      <c r="G14" s="24"/>
      <c r="H14" s="23"/>
      <c r="I14" s="24"/>
      <c r="J14" s="42"/>
      <c r="K14" s="22"/>
      <c r="M14" s="26"/>
      <c r="N14" s="1"/>
      <c r="O14" s="1"/>
      <c r="P14" s="1"/>
      <c r="Q14" s="1"/>
      <c r="R14" s="26"/>
      <c r="S14" s="26"/>
    </row>
    <row r="15" spans="1:19" ht="96.6" x14ac:dyDescent="0.3">
      <c r="A15" s="19">
        <v>2</v>
      </c>
      <c r="B15" s="31" t="s">
        <v>56</v>
      </c>
      <c r="C15" s="20"/>
      <c r="D15" s="21"/>
      <c r="E15" s="22"/>
      <c r="F15" s="22"/>
      <c r="G15" s="24"/>
      <c r="H15" s="23"/>
      <c r="I15" s="24"/>
      <c r="J15" s="42"/>
      <c r="K15" s="22"/>
      <c r="M15" s="26"/>
      <c r="N15" s="1"/>
      <c r="O15" s="1"/>
      <c r="P15" s="1"/>
      <c r="Q15" s="1"/>
      <c r="R15" s="26"/>
      <c r="S15" s="26"/>
    </row>
    <row r="16" spans="1:19" ht="15" customHeight="1" x14ac:dyDescent="0.3">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3">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3">
      <c r="A18" s="19"/>
      <c r="B18" s="38"/>
      <c r="C18" s="20"/>
      <c r="D18" s="21"/>
      <c r="E18" s="22"/>
      <c r="F18" s="22"/>
      <c r="G18" s="24"/>
      <c r="H18" s="23"/>
      <c r="I18" s="24"/>
      <c r="J18" s="42"/>
      <c r="K18" s="22"/>
      <c r="M18" s="26"/>
      <c r="N18" s="1"/>
      <c r="O18" s="1"/>
      <c r="P18" s="1"/>
      <c r="Q18" s="1"/>
      <c r="R18" s="26"/>
      <c r="S18" s="26"/>
    </row>
    <row r="19" spans="1:19" ht="82.8" x14ac:dyDescent="0.3">
      <c r="A19" s="19">
        <v>3</v>
      </c>
      <c r="B19" s="31" t="s">
        <v>44</v>
      </c>
      <c r="C19" s="20"/>
      <c r="D19" s="21"/>
      <c r="E19" s="22"/>
      <c r="F19" s="22"/>
      <c r="G19" s="24"/>
      <c r="H19" s="23"/>
      <c r="I19" s="24"/>
      <c r="J19" s="42"/>
      <c r="K19" s="22"/>
      <c r="M19" s="26"/>
      <c r="N19" s="1"/>
      <c r="O19" s="1"/>
      <c r="P19" s="1"/>
      <c r="Q19" s="1"/>
      <c r="R19" s="26"/>
      <c r="S19" s="26"/>
    </row>
    <row r="20" spans="1:19" ht="15" customHeight="1" x14ac:dyDescent="0.3">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3">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3">
      <c r="A22" s="41"/>
      <c r="B22" s="38" t="s">
        <v>40</v>
      </c>
      <c r="C22" s="43"/>
      <c r="D22" s="44"/>
      <c r="E22" s="44"/>
      <c r="F22" s="44"/>
      <c r="G22" s="34">
        <f>SUM(G20:G21)</f>
        <v>8.1</v>
      </c>
      <c r="H22" s="34" t="s">
        <v>39</v>
      </c>
      <c r="I22" s="34">
        <v>4561.53</v>
      </c>
      <c r="J22" s="45">
        <f>G22*I22</f>
        <v>36948.392999999996</v>
      </c>
      <c r="K22" s="37"/>
    </row>
    <row r="23" spans="1:19" x14ac:dyDescent="0.3">
      <c r="A23" s="41"/>
      <c r="B23" s="38" t="s">
        <v>38</v>
      </c>
      <c r="C23" s="43"/>
      <c r="D23" s="44"/>
      <c r="E23" s="44"/>
      <c r="F23" s="44"/>
      <c r="G23" s="44"/>
      <c r="H23" s="44"/>
      <c r="I23" s="44"/>
      <c r="J23" s="46">
        <f>0.13*G22*(15452.6/5)</f>
        <v>3254.31756</v>
      </c>
      <c r="K23" s="37"/>
    </row>
    <row r="24" spans="1:19" x14ac:dyDescent="0.3">
      <c r="A24" s="41"/>
      <c r="B24" s="38"/>
      <c r="C24" s="43"/>
      <c r="D24" s="44"/>
      <c r="E24" s="44"/>
      <c r="F24" s="44"/>
      <c r="G24" s="44"/>
      <c r="H24" s="44"/>
      <c r="I24" s="44"/>
      <c r="J24" s="46"/>
      <c r="K24" s="37"/>
    </row>
    <row r="25" spans="1:19" ht="69" x14ac:dyDescent="0.3">
      <c r="A25" s="19">
        <v>4</v>
      </c>
      <c r="B25" s="31" t="s">
        <v>42</v>
      </c>
      <c r="C25" s="20"/>
      <c r="D25" s="21"/>
      <c r="E25" s="22"/>
      <c r="F25" s="22"/>
      <c r="G25" s="24"/>
      <c r="H25" s="23"/>
      <c r="I25" s="24"/>
      <c r="J25" s="42"/>
      <c r="K25" s="22"/>
      <c r="M25" s="26"/>
      <c r="N25" s="1"/>
      <c r="O25" s="1"/>
      <c r="P25" s="1"/>
      <c r="Q25" s="1"/>
      <c r="R25" s="26"/>
      <c r="S25" s="26"/>
    </row>
    <row r="26" spans="1:19" ht="15" customHeight="1" x14ac:dyDescent="0.3">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3">
      <c r="A27" s="41"/>
      <c r="B27" s="38" t="s">
        <v>40</v>
      </c>
      <c r="C27" s="43"/>
      <c r="D27" s="44"/>
      <c r="E27" s="44"/>
      <c r="F27" s="44"/>
      <c r="G27" s="34">
        <f>SUM(G26:G26)</f>
        <v>0.76196281621456885</v>
      </c>
      <c r="H27" s="34" t="s">
        <v>39</v>
      </c>
      <c r="I27" s="34">
        <v>10634.5</v>
      </c>
      <c r="J27" s="45">
        <f>G27*I27</f>
        <v>8103.0935690338329</v>
      </c>
      <c r="K27" s="37"/>
    </row>
    <row r="28" spans="1:19" ht="15" customHeight="1" x14ac:dyDescent="0.3">
      <c r="A28" s="41"/>
      <c r="B28" s="38" t="s">
        <v>38</v>
      </c>
      <c r="C28" s="43"/>
      <c r="D28" s="44"/>
      <c r="E28" s="44"/>
      <c r="F28" s="44"/>
      <c r="G28" s="44"/>
      <c r="H28" s="44"/>
      <c r="I28" s="44"/>
      <c r="J28" s="46">
        <f>0.13*G27*((114907.3+6135.3)/15)</f>
        <v>799.32632327542444</v>
      </c>
      <c r="K28" s="37"/>
    </row>
    <row r="29" spans="1:19" ht="15" customHeight="1" x14ac:dyDescent="0.3">
      <c r="A29" s="41"/>
      <c r="B29" s="38"/>
      <c r="C29" s="43"/>
      <c r="D29" s="44"/>
      <c r="E29" s="44"/>
      <c r="F29" s="44"/>
      <c r="G29" s="44"/>
      <c r="H29" s="44"/>
      <c r="I29" s="44"/>
      <c r="J29" s="46"/>
      <c r="K29" s="37"/>
    </row>
    <row r="30" spans="1:19" s="1" customFormat="1" ht="69" x14ac:dyDescent="0.3">
      <c r="A30" s="64">
        <v>5</v>
      </c>
      <c r="B30" s="31" t="s">
        <v>43</v>
      </c>
      <c r="C30" s="65" t="s">
        <v>7</v>
      </c>
      <c r="D30" s="66" t="s">
        <v>46</v>
      </c>
      <c r="E30" s="66" t="s">
        <v>54</v>
      </c>
      <c r="F30" s="66" t="s">
        <v>55</v>
      </c>
      <c r="G30" s="40"/>
      <c r="H30" s="40"/>
      <c r="I30" s="40"/>
      <c r="J30" s="46"/>
      <c r="K30" s="30"/>
    </row>
    <row r="31" spans="1:19" ht="15" customHeight="1" x14ac:dyDescent="0.3">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3">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4" x14ac:dyDescent="0.3">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4" x14ac:dyDescent="0.3">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4" x14ac:dyDescent="0.3">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4" x14ac:dyDescent="0.3">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4" ht="15" customHeight="1" x14ac:dyDescent="0.3">
      <c r="A37" s="41"/>
      <c r="B37" s="38" t="s">
        <v>40</v>
      </c>
      <c r="C37" s="43"/>
      <c r="D37" s="44"/>
      <c r="E37" s="44"/>
      <c r="F37" s="44"/>
      <c r="G37" s="34">
        <f>SUM(G31:G36)</f>
        <v>0.24108641975308642</v>
      </c>
      <c r="H37" s="34" t="s">
        <v>39</v>
      </c>
      <c r="I37" s="34">
        <v>124140</v>
      </c>
      <c r="J37" s="45">
        <f>G37*I37</f>
        <v>29928.468148148149</v>
      </c>
      <c r="K37" s="37"/>
    </row>
    <row r="38" spans="1:14" ht="15" customHeight="1" x14ac:dyDescent="0.3">
      <c r="A38" s="41"/>
      <c r="B38" s="38" t="s">
        <v>38</v>
      </c>
      <c r="C38" s="43"/>
      <c r="D38" s="44"/>
      <c r="E38" s="44"/>
      <c r="F38" s="44"/>
      <c r="G38" s="44"/>
      <c r="H38" s="44"/>
      <c r="I38" s="44"/>
      <c r="J38" s="46">
        <f>0.13*G37*110960</f>
        <v>3477.623387654321</v>
      </c>
      <c r="K38" s="37"/>
    </row>
    <row r="39" spans="1:14" x14ac:dyDescent="0.3">
      <c r="A39" s="5"/>
      <c r="B39" s="5"/>
      <c r="C39" s="5"/>
      <c r="D39" s="5"/>
      <c r="E39" s="5"/>
      <c r="F39" s="5"/>
      <c r="G39" s="5"/>
      <c r="H39" s="5"/>
      <c r="I39" s="5"/>
      <c r="J39" s="5"/>
      <c r="K39" s="5"/>
    </row>
    <row r="40" spans="1:14" s="1" customFormat="1" ht="69" x14ac:dyDescent="0.3">
      <c r="A40" s="64">
        <v>6</v>
      </c>
      <c r="B40" s="31" t="s">
        <v>45</v>
      </c>
      <c r="C40" s="65"/>
      <c r="D40" s="40"/>
      <c r="E40" s="40"/>
      <c r="F40" s="40"/>
      <c r="G40" s="40"/>
      <c r="H40" s="40"/>
      <c r="I40" s="40"/>
      <c r="J40" s="46"/>
      <c r="K40" s="30"/>
    </row>
    <row r="41" spans="1:14" x14ac:dyDescent="0.3">
      <c r="A41" s="41"/>
      <c r="B41" s="71" t="s">
        <v>59</v>
      </c>
      <c r="C41" s="43">
        <f>C20</f>
        <v>1</v>
      </c>
      <c r="D41" s="44">
        <v>5</v>
      </c>
      <c r="E41" s="44">
        <f>(4.1+3.9)/2</f>
        <v>4</v>
      </c>
      <c r="F41" s="44">
        <v>0.15</v>
      </c>
      <c r="G41" s="40">
        <f t="shared" ref="G41:G44" si="3">PRODUCT(C41:F41)</f>
        <v>3</v>
      </c>
      <c r="H41" s="44"/>
      <c r="I41" s="44"/>
      <c r="J41" s="46"/>
      <c r="K41" s="37"/>
    </row>
    <row r="42" spans="1:14" x14ac:dyDescent="0.3">
      <c r="A42" s="41"/>
      <c r="B42" s="25"/>
      <c r="C42" s="43">
        <v>1</v>
      </c>
      <c r="D42" s="44">
        <v>5</v>
      </c>
      <c r="E42" s="44">
        <f>(3.9+3.9)/2</f>
        <v>3.9</v>
      </c>
      <c r="F42" s="44">
        <v>0.15</v>
      </c>
      <c r="G42" s="40">
        <f t="shared" si="3"/>
        <v>2.9249999999999998</v>
      </c>
      <c r="H42" s="44"/>
      <c r="I42" s="44"/>
      <c r="J42" s="46"/>
      <c r="K42" s="37"/>
    </row>
    <row r="43" spans="1:14" x14ac:dyDescent="0.3">
      <c r="A43" s="41"/>
      <c r="B43" s="25"/>
      <c r="C43" s="43">
        <v>1</v>
      </c>
      <c r="D43" s="44">
        <v>5</v>
      </c>
      <c r="E43" s="44">
        <v>4</v>
      </c>
      <c r="F43" s="44">
        <v>0.125</v>
      </c>
      <c r="G43" s="40">
        <f t="shared" si="3"/>
        <v>2.5</v>
      </c>
      <c r="H43" s="44"/>
      <c r="I43" s="44"/>
      <c r="J43" s="46"/>
      <c r="K43" s="37"/>
    </row>
    <row r="44" spans="1:14" x14ac:dyDescent="0.3">
      <c r="A44" s="41"/>
      <c r="B44" s="25"/>
      <c r="C44" s="43">
        <v>1</v>
      </c>
      <c r="D44" s="44">
        <v>2.2000000000000002</v>
      </c>
      <c r="E44" s="44">
        <f>(4.1+3.9)/2</f>
        <v>4</v>
      </c>
      <c r="F44" s="44">
        <v>0.1</v>
      </c>
      <c r="G44" s="40">
        <f t="shared" si="3"/>
        <v>0.88000000000000012</v>
      </c>
      <c r="H44" s="44"/>
      <c r="I44" s="44"/>
      <c r="J44" s="46"/>
      <c r="K44" s="37"/>
    </row>
    <row r="45" spans="1:14" ht="15" customHeight="1" x14ac:dyDescent="0.3">
      <c r="A45" s="41"/>
      <c r="B45" s="38" t="s">
        <v>40</v>
      </c>
      <c r="C45" s="43"/>
      <c r="D45" s="44"/>
      <c r="E45" s="44"/>
      <c r="F45" s="44"/>
      <c r="G45" s="34">
        <f>SUM(G41:G44)</f>
        <v>9.3050000000000015</v>
      </c>
      <c r="H45" s="34" t="s">
        <v>39</v>
      </c>
      <c r="I45" s="34">
        <v>11588.17</v>
      </c>
      <c r="J45" s="45">
        <f>G45*I45</f>
        <v>107827.92185000001</v>
      </c>
      <c r="K45" s="37"/>
    </row>
    <row r="46" spans="1:14" ht="15" customHeight="1" x14ac:dyDescent="0.3">
      <c r="A46" s="41"/>
      <c r="B46" s="38" t="s">
        <v>38</v>
      </c>
      <c r="C46" s="43"/>
      <c r="D46" s="44"/>
      <c r="E46" s="44"/>
      <c r="F46" s="44"/>
      <c r="G46" s="44"/>
      <c r="H46" s="44"/>
      <c r="I46" s="44"/>
      <c r="J46" s="46">
        <f>0.13*G45*((128662.2+6685.5)/15)</f>
        <v>10914.889687000003</v>
      </c>
      <c r="K46" s="37"/>
    </row>
    <row r="47" spans="1:14" ht="15" customHeight="1" x14ac:dyDescent="0.3">
      <c r="A47" s="41"/>
      <c r="B47" s="38"/>
      <c r="C47" s="43"/>
      <c r="D47" s="44"/>
      <c r="E47" s="44"/>
      <c r="F47" s="44"/>
      <c r="G47" s="44"/>
      <c r="H47" s="44"/>
      <c r="I47" s="44"/>
      <c r="J47" s="46"/>
      <c r="K47" s="37"/>
    </row>
    <row r="48" spans="1:14" s="1" customFormat="1" ht="82.8" x14ac:dyDescent="0.3">
      <c r="A48" s="64">
        <v>7</v>
      </c>
      <c r="B48" s="31" t="s">
        <v>58</v>
      </c>
      <c r="C48" s="65"/>
      <c r="D48" s="40"/>
      <c r="E48" s="40"/>
      <c r="F48" s="40"/>
      <c r="G48" s="40"/>
      <c r="H48" s="40"/>
      <c r="I48" s="40"/>
      <c r="J48" s="46"/>
      <c r="K48" s="30"/>
    </row>
    <row r="49" spans="1:19" ht="15" customHeight="1" x14ac:dyDescent="0.3">
      <c r="A49" s="19"/>
      <c r="B49" s="38" t="s">
        <v>53</v>
      </c>
      <c r="C49" s="37">
        <v>2</v>
      </c>
      <c r="D49" s="39">
        <f>D10</f>
        <v>12</v>
      </c>
      <c r="E49" s="39">
        <v>0.5</v>
      </c>
      <c r="F49" s="39">
        <v>1.1499999999999999</v>
      </c>
      <c r="G49" s="40">
        <f>PRODUCT(C49:F49)</f>
        <v>13.799999999999999</v>
      </c>
      <c r="H49" s="41"/>
      <c r="I49" s="41"/>
      <c r="J49" s="41"/>
      <c r="K49" s="22"/>
      <c r="M49" s="26"/>
      <c r="N49" s="1"/>
      <c r="O49" s="1"/>
      <c r="P49" s="1"/>
      <c r="Q49" s="1"/>
      <c r="R49" s="26"/>
      <c r="S49" s="26"/>
    </row>
    <row r="50" spans="1:19" ht="15" customHeight="1" x14ac:dyDescent="0.3">
      <c r="A50" s="41"/>
      <c r="B50" s="38" t="s">
        <v>40</v>
      </c>
      <c r="C50" s="43"/>
      <c r="D50" s="44"/>
      <c r="E50" s="44"/>
      <c r="F50" s="44"/>
      <c r="G50" s="34">
        <f>SUM(G49:G49)</f>
        <v>13.799999999999999</v>
      </c>
      <c r="H50" s="34" t="s">
        <v>39</v>
      </c>
      <c r="I50" s="34">
        <v>9709.43</v>
      </c>
      <c r="J50" s="45">
        <f>G50*I50</f>
        <v>133990.13399999999</v>
      </c>
      <c r="K50" s="37"/>
    </row>
    <row r="51" spans="1:19" ht="15" customHeight="1" x14ac:dyDescent="0.3">
      <c r="A51" s="41"/>
      <c r="B51" s="38" t="s">
        <v>38</v>
      </c>
      <c r="C51" s="43"/>
      <c r="D51" s="44"/>
      <c r="E51" s="44"/>
      <c r="F51" s="44"/>
      <c r="G51" s="44"/>
      <c r="H51" s="44"/>
      <c r="I51" s="44"/>
      <c r="J51" s="46">
        <f>0.13*G50*((28040.8)/5)</f>
        <v>10061.039039999998</v>
      </c>
      <c r="K51" s="37"/>
    </row>
    <row r="52" spans="1:19" x14ac:dyDescent="0.3">
      <c r="A52" s="41"/>
      <c r="B52" s="31"/>
      <c r="C52" s="43"/>
      <c r="D52" s="44"/>
      <c r="E52" s="44"/>
      <c r="F52" s="44"/>
      <c r="G52" s="44"/>
      <c r="H52" s="44"/>
      <c r="I52" s="44"/>
      <c r="J52" s="46"/>
      <c r="K52" s="37"/>
    </row>
    <row r="53" spans="1:19" ht="15" customHeight="1" x14ac:dyDescent="0.3">
      <c r="A53" s="19">
        <v>8</v>
      </c>
      <c r="B53" s="31" t="s">
        <v>30</v>
      </c>
      <c r="C53" s="20">
        <v>1</v>
      </c>
      <c r="D53" s="21"/>
      <c r="E53" s="22"/>
      <c r="F53" s="22"/>
      <c r="G53" s="35">
        <f t="shared" ref="G53" si="4">PRODUCT(C53:F53)</f>
        <v>1</v>
      </c>
      <c r="H53" s="23" t="s">
        <v>31</v>
      </c>
      <c r="I53" s="24">
        <v>500</v>
      </c>
      <c r="J53" s="35">
        <f>G53*I53</f>
        <v>500</v>
      </c>
      <c r="K53" s="22"/>
      <c r="M53" s="26"/>
      <c r="N53" s="1"/>
      <c r="O53" s="1"/>
      <c r="P53" s="1"/>
      <c r="Q53" s="1"/>
      <c r="R53" s="26"/>
      <c r="S53" s="26"/>
    </row>
    <row r="54" spans="1:19" ht="15" customHeight="1" x14ac:dyDescent="0.3">
      <c r="A54" s="19"/>
      <c r="B54" s="25"/>
      <c r="C54" s="20"/>
      <c r="D54" s="21"/>
      <c r="E54" s="22"/>
      <c r="F54" s="22"/>
      <c r="G54" s="24"/>
      <c r="H54" s="23"/>
      <c r="I54" s="24"/>
      <c r="J54" s="42"/>
      <c r="K54" s="22"/>
      <c r="M54" s="26"/>
      <c r="N54" s="1"/>
      <c r="O54" s="1"/>
      <c r="P54" s="1"/>
      <c r="Q54" s="1"/>
      <c r="R54" s="26"/>
      <c r="S54" s="26"/>
    </row>
    <row r="55" spans="1:19" x14ac:dyDescent="0.3">
      <c r="A55" s="41"/>
      <c r="B55" s="47" t="s">
        <v>17</v>
      </c>
      <c r="C55" s="48"/>
      <c r="D55" s="39"/>
      <c r="E55" s="39"/>
      <c r="F55" s="39"/>
      <c r="G55" s="42"/>
      <c r="H55" s="42"/>
      <c r="I55" s="42"/>
      <c r="J55" s="42">
        <f>SUM(J10:J53)</f>
        <v>352833.72318211879</v>
      </c>
      <c r="K55" s="37"/>
    </row>
    <row r="56" spans="1:19" x14ac:dyDescent="0.3">
      <c r="A56" s="59"/>
      <c r="B56" s="62"/>
      <c r="C56" s="63"/>
      <c r="D56" s="60"/>
      <c r="E56" s="60"/>
      <c r="F56" s="60"/>
      <c r="G56" s="61"/>
      <c r="H56" s="61"/>
      <c r="I56" s="61"/>
      <c r="J56" s="61"/>
      <c r="K56" s="58"/>
    </row>
    <row r="57" spans="1:19" s="1" customFormat="1" x14ac:dyDescent="0.3">
      <c r="A57" s="51"/>
      <c r="B57" s="30" t="s">
        <v>61</v>
      </c>
      <c r="C57" s="81">
        <f>J55</f>
        <v>352833.72318211879</v>
      </c>
      <c r="D57" s="81"/>
      <c r="E57" s="40">
        <v>100</v>
      </c>
      <c r="F57" s="52"/>
      <c r="G57" s="53"/>
      <c r="H57" s="52"/>
      <c r="I57" s="54"/>
      <c r="J57" s="55"/>
      <c r="K57" s="56"/>
    </row>
    <row r="58" spans="1:19" x14ac:dyDescent="0.3">
      <c r="A58" s="57"/>
      <c r="B58" s="30" t="s">
        <v>32</v>
      </c>
      <c r="C58" s="84">
        <v>300000</v>
      </c>
      <c r="D58" s="84"/>
      <c r="E58" s="40"/>
      <c r="F58" s="50"/>
      <c r="G58" s="49"/>
      <c r="H58" s="49"/>
      <c r="I58" s="49"/>
      <c r="J58" s="49"/>
      <c r="K58" s="50"/>
    </row>
    <row r="59" spans="1:19" x14ac:dyDescent="0.3">
      <c r="A59" s="57"/>
      <c r="B59" s="30" t="s">
        <v>33</v>
      </c>
      <c r="C59" s="84">
        <f>C58-C61-C62</f>
        <v>285000</v>
      </c>
      <c r="D59" s="84"/>
      <c r="E59" s="40">
        <f>C59/C57*100</f>
        <v>80.774591903987101</v>
      </c>
      <c r="F59" s="50"/>
      <c r="G59" s="49"/>
      <c r="H59" s="49"/>
      <c r="I59" s="49"/>
      <c r="J59" s="49"/>
      <c r="K59" s="50"/>
    </row>
    <row r="60" spans="1:19" x14ac:dyDescent="0.3">
      <c r="A60" s="57"/>
      <c r="B60" s="30" t="s">
        <v>34</v>
      </c>
      <c r="C60" s="81">
        <f>C57-C59</f>
        <v>67833.723182118789</v>
      </c>
      <c r="D60" s="81"/>
      <c r="E60" s="40">
        <f>100-E59</f>
        <v>19.225408096012899</v>
      </c>
      <c r="F60" s="50"/>
      <c r="G60" s="49"/>
      <c r="H60" s="49"/>
      <c r="I60" s="49"/>
      <c r="J60" s="49"/>
      <c r="K60" s="50"/>
    </row>
    <row r="61" spans="1:19" x14ac:dyDescent="0.3">
      <c r="A61" s="57"/>
      <c r="B61" s="30" t="s">
        <v>35</v>
      </c>
      <c r="C61" s="81">
        <f>C58*0.03</f>
        <v>9000</v>
      </c>
      <c r="D61" s="81"/>
      <c r="E61" s="40">
        <v>3</v>
      </c>
      <c r="F61" s="50"/>
      <c r="G61" s="49"/>
      <c r="H61" s="49"/>
      <c r="I61" s="49"/>
      <c r="J61" s="49"/>
      <c r="K61" s="50"/>
    </row>
    <row r="62" spans="1:19" x14ac:dyDescent="0.3">
      <c r="A62" s="57"/>
      <c r="B62" s="30" t="s">
        <v>36</v>
      </c>
      <c r="C62" s="81">
        <f>C58*0.02</f>
        <v>6000</v>
      </c>
      <c r="D62" s="81"/>
      <c r="E62" s="40">
        <v>2</v>
      </c>
      <c r="F62" s="50"/>
      <c r="G62" s="49"/>
      <c r="H62" s="49"/>
      <c r="I62" s="49"/>
      <c r="J62" s="49"/>
      <c r="K62" s="50"/>
    </row>
    <row r="63" spans="1:19" s="36" customFormat="1" x14ac:dyDescent="0.3">
      <c r="A63" s="58"/>
      <c r="B63" s="58"/>
      <c r="C63" s="58"/>
      <c r="D63" s="58"/>
      <c r="E63" s="58"/>
      <c r="F63" s="58"/>
      <c r="G63" s="58"/>
      <c r="H63" s="58"/>
      <c r="I63" s="58"/>
      <c r="J63" s="58"/>
      <c r="K63" s="58"/>
    </row>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9"/>
  <sheetViews>
    <sheetView zoomScaleNormal="100" workbookViewId="0">
      <selection activeCell="F48" sqref="F48"/>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hidden="1" customWidth="1"/>
    <col min="10" max="10" width="10.6640625" hidden="1" customWidth="1"/>
  </cols>
  <sheetData>
    <row r="1" spans="1:19" s="1" customFormat="1" x14ac:dyDescent="0.3">
      <c r="A1" s="77" t="s">
        <v>0</v>
      </c>
      <c r="B1" s="77"/>
      <c r="C1" s="77"/>
      <c r="D1" s="77"/>
      <c r="E1" s="77"/>
      <c r="F1" s="77"/>
      <c r="G1" s="77"/>
      <c r="H1" s="77"/>
      <c r="I1" s="77"/>
      <c r="J1" s="77"/>
      <c r="K1" s="77"/>
    </row>
    <row r="2" spans="1:19" s="1" customFormat="1" ht="22.8" x14ac:dyDescent="0.3">
      <c r="A2" s="78" t="s">
        <v>1</v>
      </c>
      <c r="B2" s="78"/>
      <c r="C2" s="78"/>
      <c r="D2" s="78"/>
      <c r="E2" s="78"/>
      <c r="F2" s="78"/>
      <c r="G2" s="78"/>
      <c r="H2" s="78"/>
      <c r="I2" s="78"/>
      <c r="J2" s="78"/>
      <c r="K2" s="78"/>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0" t="s">
        <v>65</v>
      </c>
      <c r="B5" s="80"/>
      <c r="C5" s="80"/>
      <c r="D5" s="80"/>
      <c r="E5" s="80"/>
      <c r="F5" s="80"/>
      <c r="G5" s="80"/>
      <c r="H5" s="80"/>
      <c r="I5" s="80"/>
      <c r="J5" s="80"/>
      <c r="K5" s="80"/>
    </row>
    <row r="6" spans="1:19" ht="15.6" x14ac:dyDescent="0.3">
      <c r="A6" s="75" t="s">
        <v>57</v>
      </c>
      <c r="B6" s="75"/>
      <c r="C6" s="75"/>
      <c r="D6" s="75"/>
      <c r="E6" s="75"/>
      <c r="F6" s="75"/>
      <c r="G6" s="2"/>
      <c r="I6" s="73"/>
      <c r="J6" s="73"/>
      <c r="K6" s="69" t="s">
        <v>64</v>
      </c>
    </row>
    <row r="7" spans="1:19" ht="15.6" x14ac:dyDescent="0.3">
      <c r="A7" s="82" t="s">
        <v>28</v>
      </c>
      <c r="B7" s="82"/>
      <c r="C7" s="82"/>
      <c r="D7" s="82"/>
      <c r="E7" s="82"/>
      <c r="F7" s="82"/>
      <c r="G7" s="3"/>
      <c r="I7" s="74"/>
      <c r="J7" s="74"/>
      <c r="K7" s="70" t="s">
        <v>63</v>
      </c>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64">
        <v>1</v>
      </c>
      <c r="B9" s="31" t="s">
        <v>47</v>
      </c>
      <c r="C9" s="37"/>
      <c r="D9" s="37"/>
      <c r="E9" s="37"/>
      <c r="F9" s="37"/>
      <c r="G9" s="37"/>
      <c r="H9" s="37"/>
      <c r="I9" s="37"/>
      <c r="J9" s="37"/>
      <c r="K9" s="37"/>
      <c r="N9" t="s">
        <v>51</v>
      </c>
      <c r="O9" t="s">
        <v>52</v>
      </c>
    </row>
    <row r="10" spans="1:19" ht="15" customHeight="1" x14ac:dyDescent="0.3">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3">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3">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hidden="1" customHeight="1" x14ac:dyDescent="0.3">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3">
      <c r="A14" s="19"/>
      <c r="B14" s="38"/>
      <c r="C14" s="20"/>
      <c r="D14" s="21"/>
      <c r="E14" s="22"/>
      <c r="F14" s="22"/>
      <c r="G14" s="24"/>
      <c r="H14" s="23"/>
      <c r="I14" s="24"/>
      <c r="J14" s="42"/>
      <c r="K14" s="22"/>
      <c r="M14" s="26"/>
      <c r="N14" s="1"/>
      <c r="O14" s="1"/>
      <c r="P14" s="1"/>
      <c r="Q14" s="1"/>
      <c r="R14" s="26"/>
      <c r="S14" s="26"/>
    </row>
    <row r="15" spans="1:19" ht="96.6" x14ac:dyDescent="0.3">
      <c r="A15" s="19">
        <v>2</v>
      </c>
      <c r="B15" s="31" t="s">
        <v>56</v>
      </c>
      <c r="C15" s="20"/>
      <c r="D15" s="21"/>
      <c r="E15" s="22"/>
      <c r="F15" s="22"/>
      <c r="G15" s="24"/>
      <c r="H15" s="23"/>
      <c r="I15" s="24"/>
      <c r="J15" s="42"/>
      <c r="K15" s="22"/>
      <c r="M15" s="26"/>
      <c r="N15" s="1"/>
      <c r="O15" s="1"/>
      <c r="P15" s="1"/>
      <c r="Q15" s="1"/>
      <c r="R15" s="26"/>
      <c r="S15" s="26"/>
    </row>
    <row r="16" spans="1:19" ht="15" customHeight="1" x14ac:dyDescent="0.3">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3">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3">
      <c r="A18" s="19"/>
      <c r="B18" s="38"/>
      <c r="C18" s="20"/>
      <c r="D18" s="21"/>
      <c r="E18" s="22"/>
      <c r="F18" s="22"/>
      <c r="G18" s="24"/>
      <c r="H18" s="23"/>
      <c r="I18" s="24"/>
      <c r="J18" s="42"/>
      <c r="K18" s="22"/>
      <c r="M18" s="26"/>
      <c r="N18" s="1"/>
      <c r="O18" s="1"/>
      <c r="P18" s="1"/>
      <c r="Q18" s="1"/>
      <c r="R18" s="26"/>
      <c r="S18" s="26"/>
    </row>
    <row r="19" spans="1:19" ht="82.8" x14ac:dyDescent="0.3">
      <c r="A19" s="19">
        <v>3</v>
      </c>
      <c r="B19" s="31" t="s">
        <v>44</v>
      </c>
      <c r="C19" s="20"/>
      <c r="D19" s="21"/>
      <c r="E19" s="22"/>
      <c r="F19" s="22"/>
      <c r="G19" s="24"/>
      <c r="H19" s="23"/>
      <c r="I19" s="24"/>
      <c r="J19" s="42"/>
      <c r="K19" s="22"/>
      <c r="M19" s="26"/>
      <c r="N19" s="1"/>
      <c r="O19" s="1"/>
      <c r="P19" s="1"/>
      <c r="Q19" s="1"/>
      <c r="R19" s="26"/>
      <c r="S19" s="26"/>
    </row>
    <row r="20" spans="1:19" ht="15" customHeight="1" x14ac:dyDescent="0.3">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3">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3">
      <c r="A22" s="41"/>
      <c r="B22" s="38" t="s">
        <v>40</v>
      </c>
      <c r="C22" s="43"/>
      <c r="D22" s="44"/>
      <c r="E22" s="44"/>
      <c r="F22" s="44"/>
      <c r="G22" s="34">
        <f>SUM(G20:G21)</f>
        <v>8.1</v>
      </c>
      <c r="H22" s="34" t="s">
        <v>39</v>
      </c>
      <c r="I22" s="34">
        <v>4561.53</v>
      </c>
      <c r="J22" s="45">
        <f>G22*I22</f>
        <v>36948.392999999996</v>
      </c>
      <c r="K22" s="37"/>
    </row>
    <row r="23" spans="1:19" hidden="1" x14ac:dyDescent="0.3">
      <c r="A23" s="41"/>
      <c r="B23" s="38" t="s">
        <v>38</v>
      </c>
      <c r="C23" s="43"/>
      <c r="D23" s="44"/>
      <c r="E23" s="44"/>
      <c r="F23" s="44"/>
      <c r="G23" s="44"/>
      <c r="H23" s="44"/>
      <c r="I23" s="44"/>
      <c r="J23" s="46">
        <f>0.13*G22*(15452.6/5)</f>
        <v>3254.31756</v>
      </c>
      <c r="K23" s="37"/>
    </row>
    <row r="24" spans="1:19" x14ac:dyDescent="0.3">
      <c r="A24" s="41"/>
      <c r="B24" s="38"/>
      <c r="C24" s="43"/>
      <c r="D24" s="44"/>
      <c r="E24" s="44"/>
      <c r="F24" s="44"/>
      <c r="G24" s="44"/>
      <c r="H24" s="44"/>
      <c r="I24" s="44"/>
      <c r="J24" s="46"/>
      <c r="K24" s="37"/>
    </row>
    <row r="25" spans="1:19" ht="69" x14ac:dyDescent="0.3">
      <c r="A25" s="19">
        <v>4</v>
      </c>
      <c r="B25" s="31" t="s">
        <v>42</v>
      </c>
      <c r="C25" s="20"/>
      <c r="D25" s="21"/>
      <c r="E25" s="22"/>
      <c r="F25" s="22"/>
      <c r="G25" s="24"/>
      <c r="H25" s="23"/>
      <c r="I25" s="24"/>
      <c r="J25" s="42"/>
      <c r="K25" s="22"/>
      <c r="M25" s="26"/>
      <c r="N25" s="1"/>
      <c r="O25" s="1"/>
      <c r="P25" s="1"/>
      <c r="Q25" s="1"/>
      <c r="R25" s="26"/>
      <c r="S25" s="26"/>
    </row>
    <row r="26" spans="1:19" ht="15" customHeight="1" x14ac:dyDescent="0.3">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3">
      <c r="A27" s="41"/>
      <c r="B27" s="38" t="s">
        <v>40</v>
      </c>
      <c r="C27" s="43"/>
      <c r="D27" s="44"/>
      <c r="E27" s="44"/>
      <c r="F27" s="44"/>
      <c r="G27" s="34">
        <f>SUM(G26:G26)</f>
        <v>0.76196281621456885</v>
      </c>
      <c r="H27" s="34" t="s">
        <v>39</v>
      </c>
      <c r="I27" s="34">
        <v>10634.5</v>
      </c>
      <c r="J27" s="45">
        <f>G27*I27</f>
        <v>8103.0935690338329</v>
      </c>
      <c r="K27" s="37"/>
    </row>
    <row r="28" spans="1:19" ht="15" hidden="1" customHeight="1" x14ac:dyDescent="0.3">
      <c r="A28" s="41"/>
      <c r="B28" s="38" t="s">
        <v>38</v>
      </c>
      <c r="C28" s="43"/>
      <c r="D28" s="44"/>
      <c r="E28" s="44"/>
      <c r="F28" s="44"/>
      <c r="G28" s="44"/>
      <c r="H28" s="44"/>
      <c r="I28" s="44"/>
      <c r="J28" s="46">
        <f>0.13*G27*((114907.3+6135.3)/15)</f>
        <v>799.32632327542444</v>
      </c>
      <c r="K28" s="37"/>
    </row>
    <row r="29" spans="1:19" ht="15" customHeight="1" x14ac:dyDescent="0.3">
      <c r="A29" s="41"/>
      <c r="B29" s="38"/>
      <c r="C29" s="43"/>
      <c r="D29" s="44"/>
      <c r="E29" s="44"/>
      <c r="F29" s="44"/>
      <c r="G29" s="44"/>
      <c r="H29" s="44"/>
      <c r="I29" s="44"/>
      <c r="J29" s="46"/>
      <c r="K29" s="37"/>
    </row>
    <row r="30" spans="1:19" s="1" customFormat="1" ht="69" x14ac:dyDescent="0.3">
      <c r="A30" s="64">
        <v>5</v>
      </c>
      <c r="B30" s="31" t="s">
        <v>43</v>
      </c>
      <c r="C30" s="65" t="s">
        <v>7</v>
      </c>
      <c r="D30" s="66" t="s">
        <v>46</v>
      </c>
      <c r="E30" s="66" t="s">
        <v>54</v>
      </c>
      <c r="F30" s="66" t="s">
        <v>55</v>
      </c>
      <c r="G30" s="40"/>
      <c r="H30" s="40"/>
      <c r="I30" s="40"/>
      <c r="J30" s="46"/>
      <c r="K30" s="30"/>
    </row>
    <row r="31" spans="1:19" ht="15" customHeight="1" x14ac:dyDescent="0.3">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3">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4" x14ac:dyDescent="0.3">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4" x14ac:dyDescent="0.3">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4" x14ac:dyDescent="0.3">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4" x14ac:dyDescent="0.3">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4" ht="15" customHeight="1" x14ac:dyDescent="0.3">
      <c r="A37" s="41"/>
      <c r="B37" s="38" t="s">
        <v>40</v>
      </c>
      <c r="C37" s="43"/>
      <c r="D37" s="44"/>
      <c r="E37" s="44"/>
      <c r="F37" s="44"/>
      <c r="G37" s="34">
        <f>SUM(G31:G36)</f>
        <v>0.24108641975308642</v>
      </c>
      <c r="H37" s="34" t="s">
        <v>39</v>
      </c>
      <c r="I37" s="34">
        <v>124140</v>
      </c>
      <c r="J37" s="45">
        <f>G37*I37</f>
        <v>29928.468148148149</v>
      </c>
      <c r="K37" s="37"/>
    </row>
    <row r="38" spans="1:14" ht="15" hidden="1" customHeight="1" x14ac:dyDescent="0.3">
      <c r="A38" s="41"/>
      <c r="B38" s="38" t="s">
        <v>38</v>
      </c>
      <c r="C38" s="43"/>
      <c r="D38" s="44"/>
      <c r="E38" s="44"/>
      <c r="F38" s="44"/>
      <c r="G38" s="44"/>
      <c r="H38" s="44"/>
      <c r="I38" s="44"/>
      <c r="J38" s="46">
        <f>0.13*G37*110960</f>
        <v>3477.623387654321</v>
      </c>
      <c r="K38" s="37"/>
    </row>
    <row r="39" spans="1:14" x14ac:dyDescent="0.3">
      <c r="A39" s="5"/>
      <c r="B39" s="5"/>
      <c r="C39" s="5"/>
      <c r="D39" s="5"/>
      <c r="E39" s="5"/>
      <c r="F39" s="5"/>
      <c r="G39" s="5"/>
      <c r="H39" s="5"/>
      <c r="I39" s="5"/>
      <c r="J39" s="5"/>
      <c r="K39" s="5"/>
    </row>
    <row r="40" spans="1:14" s="1" customFormat="1" ht="69" x14ac:dyDescent="0.3">
      <c r="A40" s="64">
        <v>6</v>
      </c>
      <c r="B40" s="31" t="s">
        <v>45</v>
      </c>
      <c r="C40" s="65"/>
      <c r="D40" s="40"/>
      <c r="E40" s="40"/>
      <c r="F40" s="40"/>
      <c r="G40" s="40"/>
      <c r="H40" s="40"/>
      <c r="I40" s="40"/>
      <c r="J40" s="46"/>
      <c r="K40" s="30"/>
    </row>
    <row r="41" spans="1:14" x14ac:dyDescent="0.3">
      <c r="A41" s="41"/>
      <c r="B41" s="71" t="s">
        <v>59</v>
      </c>
      <c r="C41" s="43">
        <f>C20</f>
        <v>1</v>
      </c>
      <c r="D41" s="44">
        <v>5</v>
      </c>
      <c r="E41" s="44">
        <f>(4.1+3.9)/2</f>
        <v>4</v>
      </c>
      <c r="F41" s="44">
        <v>0.15</v>
      </c>
      <c r="G41" s="40">
        <f t="shared" ref="G41:G44" si="3">PRODUCT(C41:F41)</f>
        <v>3</v>
      </c>
      <c r="H41" s="44"/>
      <c r="I41" s="44"/>
      <c r="J41" s="46"/>
      <c r="K41" s="37"/>
    </row>
    <row r="42" spans="1:14" x14ac:dyDescent="0.3">
      <c r="A42" s="41"/>
      <c r="B42" s="25"/>
      <c r="C42" s="43">
        <v>1</v>
      </c>
      <c r="D42" s="44">
        <v>5</v>
      </c>
      <c r="E42" s="44">
        <f>(3.9+3.9)/2</f>
        <v>3.9</v>
      </c>
      <c r="F42" s="44">
        <v>0.15</v>
      </c>
      <c r="G42" s="40">
        <f t="shared" si="3"/>
        <v>2.9249999999999998</v>
      </c>
      <c r="H42" s="44"/>
      <c r="I42" s="44"/>
      <c r="J42" s="46"/>
      <c r="K42" s="37"/>
    </row>
    <row r="43" spans="1:14" x14ac:dyDescent="0.3">
      <c r="A43" s="41"/>
      <c r="B43" s="25"/>
      <c r="C43" s="43">
        <v>1</v>
      </c>
      <c r="D43" s="44">
        <v>5</v>
      </c>
      <c r="E43" s="44">
        <v>4</v>
      </c>
      <c r="F43" s="44">
        <v>0.125</v>
      </c>
      <c r="G43" s="40">
        <f t="shared" si="3"/>
        <v>2.5</v>
      </c>
      <c r="H43" s="44"/>
      <c r="I43" s="44"/>
      <c r="J43" s="46"/>
      <c r="K43" s="37"/>
    </row>
    <row r="44" spans="1:14" x14ac:dyDescent="0.3">
      <c r="A44" s="41"/>
      <c r="B44" s="25"/>
      <c r="C44" s="43">
        <v>1</v>
      </c>
      <c r="D44" s="44">
        <v>2.2000000000000002</v>
      </c>
      <c r="E44" s="44">
        <f>(4.1+3.9)/2</f>
        <v>4</v>
      </c>
      <c r="F44" s="44">
        <v>0.1</v>
      </c>
      <c r="G44" s="40">
        <f t="shared" si="3"/>
        <v>0.88000000000000012</v>
      </c>
      <c r="H44" s="44"/>
      <c r="I44" s="44"/>
      <c r="J44" s="46"/>
      <c r="K44" s="37"/>
    </row>
    <row r="45" spans="1:14" ht="15" customHeight="1" x14ac:dyDescent="0.3">
      <c r="A45" s="41"/>
      <c r="B45" s="38" t="s">
        <v>40</v>
      </c>
      <c r="C45" s="43"/>
      <c r="D45" s="44"/>
      <c r="E45" s="44"/>
      <c r="F45" s="44"/>
      <c r="G45" s="34">
        <f>SUM(G41:G44)</f>
        <v>9.3050000000000015</v>
      </c>
      <c r="H45" s="34" t="s">
        <v>39</v>
      </c>
      <c r="I45" s="34">
        <v>11588.17</v>
      </c>
      <c r="J45" s="45">
        <f>G45*I45</f>
        <v>107827.92185000001</v>
      </c>
      <c r="K45" s="37"/>
    </row>
    <row r="46" spans="1:14" ht="15" hidden="1" customHeight="1" x14ac:dyDescent="0.3">
      <c r="A46" s="41"/>
      <c r="B46" s="38" t="s">
        <v>38</v>
      </c>
      <c r="C46" s="43"/>
      <c r="D46" s="44"/>
      <c r="E46" s="44"/>
      <c r="F46" s="44"/>
      <c r="G46" s="44"/>
      <c r="H46" s="44"/>
      <c r="I46" s="44"/>
      <c r="J46" s="46">
        <f>0.13*G45*((128662.2+6685.5)/15)</f>
        <v>10914.889687000003</v>
      </c>
      <c r="K46" s="37"/>
    </row>
    <row r="47" spans="1:14" ht="15" customHeight="1" x14ac:dyDescent="0.3">
      <c r="A47" s="41"/>
      <c r="B47" s="38"/>
      <c r="C47" s="43"/>
      <c r="D47" s="44"/>
      <c r="E47" s="44"/>
      <c r="F47" s="44"/>
      <c r="G47" s="44"/>
      <c r="H47" s="44"/>
      <c r="I47" s="44"/>
      <c r="J47" s="46"/>
      <c r="K47" s="37"/>
    </row>
    <row r="48" spans="1:14" s="1" customFormat="1" ht="82.8" x14ac:dyDescent="0.3">
      <c r="A48" s="64">
        <v>7</v>
      </c>
      <c r="B48" s="31" t="s">
        <v>58</v>
      </c>
      <c r="C48" s="65"/>
      <c r="D48" s="40"/>
      <c r="E48" s="40"/>
      <c r="F48" s="40"/>
      <c r="G48" s="40"/>
      <c r="H48" s="40"/>
      <c r="I48" s="40"/>
      <c r="J48" s="46"/>
      <c r="K48" s="30"/>
    </row>
    <row r="49" spans="1:19" ht="15" customHeight="1" x14ac:dyDescent="0.3">
      <c r="A49" s="19"/>
      <c r="B49" s="38" t="s">
        <v>53</v>
      </c>
      <c r="C49" s="37">
        <v>2</v>
      </c>
      <c r="D49" s="39">
        <f>D10</f>
        <v>12</v>
      </c>
      <c r="E49" s="39">
        <v>0.5</v>
      </c>
      <c r="F49" s="39">
        <v>1.1499999999999999</v>
      </c>
      <c r="G49" s="40">
        <f>PRODUCT(C49:F49)</f>
        <v>13.799999999999999</v>
      </c>
      <c r="H49" s="41"/>
      <c r="I49" s="41"/>
      <c r="J49" s="41"/>
      <c r="K49" s="22"/>
      <c r="M49" s="26"/>
      <c r="N49" s="1"/>
      <c r="O49" s="1"/>
      <c r="P49" s="1"/>
      <c r="Q49" s="1"/>
      <c r="R49" s="26"/>
      <c r="S49" s="26"/>
    </row>
    <row r="50" spans="1:19" ht="15" customHeight="1" x14ac:dyDescent="0.3">
      <c r="A50" s="41"/>
      <c r="B50" s="38" t="s">
        <v>40</v>
      </c>
      <c r="C50" s="43"/>
      <c r="D50" s="44"/>
      <c r="E50" s="44"/>
      <c r="F50" s="44"/>
      <c r="G50" s="34">
        <f>SUM(G49:G49)</f>
        <v>13.799999999999999</v>
      </c>
      <c r="H50" s="34" t="s">
        <v>39</v>
      </c>
      <c r="I50" s="34">
        <v>9709.43</v>
      </c>
      <c r="J50" s="45">
        <f>G50*I50</f>
        <v>133990.13399999999</v>
      </c>
      <c r="K50" s="37"/>
    </row>
    <row r="51" spans="1:19" ht="15" hidden="1" customHeight="1" x14ac:dyDescent="0.3">
      <c r="A51" s="41"/>
      <c r="B51" s="38" t="s">
        <v>38</v>
      </c>
      <c r="C51" s="43"/>
      <c r="D51" s="44"/>
      <c r="E51" s="44"/>
      <c r="F51" s="44"/>
      <c r="G51" s="44"/>
      <c r="H51" s="44"/>
      <c r="I51" s="44"/>
      <c r="J51" s="46">
        <f>0.13*G50*((28040.8)/5)</f>
        <v>10061.039039999998</v>
      </c>
      <c r="K51" s="37"/>
    </row>
    <row r="52" spans="1:19" x14ac:dyDescent="0.3">
      <c r="A52" s="41"/>
      <c r="B52" s="31"/>
      <c r="C52" s="43"/>
      <c r="D52" s="44"/>
      <c r="E52" s="44"/>
      <c r="F52" s="44"/>
      <c r="G52" s="44"/>
      <c r="H52" s="44"/>
      <c r="I52" s="44"/>
      <c r="J52" s="46"/>
      <c r="K52" s="37"/>
    </row>
    <row r="53" spans="1:19" ht="15" customHeight="1" x14ac:dyDescent="0.3">
      <c r="A53" s="19">
        <v>8</v>
      </c>
      <c r="B53" s="31" t="s">
        <v>30</v>
      </c>
      <c r="C53" s="20">
        <v>1</v>
      </c>
      <c r="D53" s="21"/>
      <c r="E53" s="22"/>
      <c r="F53" s="22"/>
      <c r="G53" s="35">
        <f t="shared" ref="G53" si="4">PRODUCT(C53:F53)</f>
        <v>1</v>
      </c>
      <c r="H53" s="23" t="s">
        <v>31</v>
      </c>
      <c r="I53" s="24">
        <v>500</v>
      </c>
      <c r="J53" s="35">
        <f>G53*I53</f>
        <v>500</v>
      </c>
      <c r="K53" s="22"/>
      <c r="M53" s="26"/>
      <c r="N53" s="1"/>
      <c r="O53" s="1"/>
      <c r="P53" s="1"/>
      <c r="Q53" s="1"/>
      <c r="R53" s="26"/>
      <c r="S53" s="26"/>
    </row>
    <row r="54" spans="1:19" ht="15" customHeight="1" x14ac:dyDescent="0.3">
      <c r="A54" s="19"/>
      <c r="B54" s="25"/>
      <c r="C54" s="20"/>
      <c r="D54" s="21"/>
      <c r="E54" s="22"/>
      <c r="F54" s="22"/>
      <c r="G54" s="24"/>
      <c r="H54" s="23"/>
      <c r="I54" s="24"/>
      <c r="J54" s="42"/>
      <c r="K54" s="22"/>
      <c r="M54" s="26"/>
      <c r="N54" s="1"/>
      <c r="O54" s="1"/>
      <c r="P54" s="1"/>
      <c r="Q54" s="1"/>
      <c r="R54" s="26"/>
      <c r="S54" s="26"/>
    </row>
    <row r="55" spans="1:19" x14ac:dyDescent="0.3">
      <c r="A55" s="41"/>
      <c r="B55" s="47" t="s">
        <v>17</v>
      </c>
      <c r="C55" s="48"/>
      <c r="D55" s="39"/>
      <c r="E55" s="39"/>
      <c r="F55" s="39"/>
      <c r="G55" s="42"/>
      <c r="H55" s="42"/>
      <c r="I55" s="42"/>
      <c r="J55" s="42">
        <f>SUM(J10:J53)</f>
        <v>352833.72318211879</v>
      </c>
      <c r="K55" s="37"/>
    </row>
    <row r="56" spans="1:19" x14ac:dyDescent="0.3">
      <c r="A56" s="59"/>
      <c r="B56" s="62"/>
      <c r="C56" s="63"/>
      <c r="D56" s="60"/>
      <c r="E56" s="60"/>
      <c r="F56" s="60"/>
      <c r="G56" s="61"/>
      <c r="H56" s="61"/>
      <c r="I56" s="61"/>
      <c r="J56" s="61"/>
      <c r="K56" s="58"/>
    </row>
    <row r="57" spans="1:19" s="1" customFormat="1" hidden="1" x14ac:dyDescent="0.3">
      <c r="A57" s="51"/>
      <c r="B57" s="30" t="s">
        <v>61</v>
      </c>
      <c r="C57" s="81">
        <f>J55</f>
        <v>352833.72318211879</v>
      </c>
      <c r="D57" s="81"/>
      <c r="E57" s="40">
        <v>100</v>
      </c>
      <c r="F57" s="52"/>
      <c r="G57" s="53"/>
      <c r="H57" s="52"/>
      <c r="I57" s="54"/>
      <c r="J57" s="55"/>
      <c r="K57" s="56"/>
    </row>
    <row r="58" spans="1:19" hidden="1" x14ac:dyDescent="0.3">
      <c r="A58" s="57"/>
      <c r="B58" s="30" t="s">
        <v>32</v>
      </c>
      <c r="C58" s="84">
        <v>300000</v>
      </c>
      <c r="D58" s="84"/>
      <c r="E58" s="40"/>
      <c r="F58" s="50"/>
      <c r="G58" s="49"/>
      <c r="H58" s="49"/>
      <c r="I58" s="49"/>
      <c r="J58" s="49"/>
      <c r="K58" s="50"/>
    </row>
    <row r="59" spans="1:19" hidden="1" x14ac:dyDescent="0.3">
      <c r="A59" s="57"/>
      <c r="B59" s="30" t="s">
        <v>33</v>
      </c>
      <c r="C59" s="84">
        <f>C58-C61-C62</f>
        <v>285000</v>
      </c>
      <c r="D59" s="84"/>
      <c r="E59" s="40">
        <f>C59/C57*100</f>
        <v>80.774591903987101</v>
      </c>
      <c r="F59" s="50"/>
      <c r="G59" s="49"/>
      <c r="H59" s="49"/>
      <c r="I59" s="49"/>
      <c r="J59" s="49"/>
      <c r="K59" s="50"/>
    </row>
    <row r="60" spans="1:19" hidden="1" x14ac:dyDescent="0.3">
      <c r="A60" s="57"/>
      <c r="B60" s="30" t="s">
        <v>34</v>
      </c>
      <c r="C60" s="81">
        <f>C57-C59</f>
        <v>67833.723182118789</v>
      </c>
      <c r="D60" s="81"/>
      <c r="E60" s="40">
        <f>100-E59</f>
        <v>19.225408096012899</v>
      </c>
      <c r="F60" s="50"/>
      <c r="G60" s="49"/>
      <c r="H60" s="49"/>
      <c r="I60" s="49"/>
      <c r="J60" s="49"/>
      <c r="K60" s="50"/>
    </row>
    <row r="61" spans="1:19" hidden="1" x14ac:dyDescent="0.3">
      <c r="A61" s="57"/>
      <c r="B61" s="30" t="s">
        <v>35</v>
      </c>
      <c r="C61" s="81">
        <f>C58*0.03</f>
        <v>9000</v>
      </c>
      <c r="D61" s="81"/>
      <c r="E61" s="40">
        <v>3</v>
      </c>
      <c r="F61" s="50"/>
      <c r="G61" s="49"/>
      <c r="H61" s="49"/>
      <c r="I61" s="49"/>
      <c r="J61" s="49"/>
      <c r="K61" s="50"/>
    </row>
    <row r="62" spans="1:19" hidden="1" x14ac:dyDescent="0.3">
      <c r="A62" s="57"/>
      <c r="B62" s="30" t="s">
        <v>36</v>
      </c>
      <c r="C62" s="81">
        <f>C58*0.02</f>
        <v>6000</v>
      </c>
      <c r="D62" s="81"/>
      <c r="E62" s="40">
        <v>2</v>
      </c>
      <c r="F62" s="50"/>
      <c r="G62" s="49"/>
      <c r="H62" s="49"/>
      <c r="I62" s="49"/>
      <c r="J62" s="49"/>
      <c r="K62" s="50"/>
    </row>
    <row r="63" spans="1:19" s="36" customFormat="1" x14ac:dyDescent="0.3">
      <c r="A63" s="58"/>
      <c r="B63" s="58"/>
      <c r="C63" s="58"/>
      <c r="D63" s="58"/>
      <c r="E63" s="58"/>
      <c r="F63" s="58"/>
      <c r="G63" s="58"/>
      <c r="H63" s="58"/>
      <c r="I63" s="58"/>
      <c r="J63" s="58"/>
      <c r="K63" s="58"/>
    </row>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sheetData>
  <mergeCells count="13">
    <mergeCell ref="A6:F6"/>
    <mergeCell ref="A1:K1"/>
    <mergeCell ref="A2:K2"/>
    <mergeCell ref="A3:K3"/>
    <mergeCell ref="A4:K4"/>
    <mergeCell ref="A5:K5"/>
    <mergeCell ref="C61:D61"/>
    <mergeCell ref="C62:D62"/>
    <mergeCell ref="A7:F7"/>
    <mergeCell ref="C57:D57"/>
    <mergeCell ref="C58:D58"/>
    <mergeCell ref="C59:D59"/>
    <mergeCell ref="C60:D60"/>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kurthali final</vt:lpstr>
      <vt:lpstr>WCR</vt:lpstr>
      <vt:lpstr>V</vt:lpstr>
      <vt:lpstr>M</vt:lpstr>
      <vt:lpstr>'kurthali final'!Print_Area</vt:lpstr>
      <vt:lpstr>M!Print_Area</vt:lpstr>
      <vt:lpstr>V!Print_Area</vt:lpstr>
      <vt:lpstr>'kurthali final'!Print_Titles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2025-06-23T10:45:16Z</cp:lastPrinted>
  <dcterms:created xsi:type="dcterms:W3CDTF">2015-06-05T18:17:20Z</dcterms:created>
  <dcterms:modified xsi:type="dcterms:W3CDTF">2025-07-02T15:25:13Z</dcterms:modified>
</cp:coreProperties>
</file>