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urthali truss\"/>
    </mc:Choice>
  </mc:AlternateContent>
  <bookViews>
    <workbookView xWindow="0" yWindow="0" windowWidth="23040" windowHeight="8424" firstSheet="4" activeTab="6"/>
  </bookViews>
  <sheets>
    <sheet name="new" sheetId="18" state="hidden" r:id="rId1"/>
    <sheet name="as per mistry" sheetId="19" state="hidden" r:id="rId2"/>
    <sheet name="final" sheetId="20" state="hidden" r:id="rId3"/>
    <sheet name="400000 final" sheetId="21" state="hidden" r:id="rId4"/>
    <sheet name="change estimate" sheetId="24" r:id="rId5"/>
    <sheet name="WCR" sheetId="22" r:id="rId6"/>
    <sheet name="V" sheetId="23"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03">[3]Abstract!$B$16</definedName>
    <definedName name="description_124" localSheetId="5">#REF!</definedName>
    <definedName name="description_124">[4]Abstract!$B$18</definedName>
    <definedName name="description_2">[2]Abstract!$B$168</definedName>
    <definedName name="description_247">[3]Abstract!$B$22</definedName>
    <definedName name="description_248">[3]Abstract!$B$23</definedName>
    <definedName name="description_261">[5]Abstract!$B$33</definedName>
    <definedName name="description_262" localSheetId="5">[3]Abstract!$B$34</definedName>
    <definedName name="description_262">[6]Abstract!$B$34</definedName>
    <definedName name="description_3">[3]Abstract!$B$169</definedName>
    <definedName name="description_310">[7]Abstract!$B$60</definedName>
    <definedName name="description_312">[8]Abstract!$B$61</definedName>
    <definedName name="description_5">[3]Abstract!$B$171</definedName>
    <definedName name="description_6" localSheetId="5">[7]Abstract!$B$172</definedName>
    <definedName name="description_6">[2]Abstract!$B$172</definedName>
    <definedName name="description_759">[3]Abstract!$B$278</definedName>
    <definedName name="description_781">[9]Abstract!$B$299</definedName>
    <definedName name="description_783">[3]Abstract!$B$301</definedName>
    <definedName name="description_784">[2]Abstract!$B$300</definedName>
    <definedName name="excavator">[1]Equipment_Rate!$J$19</definedName>
    <definedName name="generator">[1]Equipment_Rate!$J$20</definedName>
    <definedName name="_xlnm.Print_Area" localSheetId="3">'400000 final'!$A$1:$K$93</definedName>
    <definedName name="_xlnm.Print_Area" localSheetId="1">'as per mistry'!$A$5:$K$72</definedName>
    <definedName name="_xlnm.Print_Area" localSheetId="4">'change estimate'!$A$1:$K$97</definedName>
    <definedName name="_xlnm.Print_Area" localSheetId="2">final!$A$5:$K$87</definedName>
    <definedName name="_xlnm.Print_Area" localSheetId="0">new!$A$1:$K$76</definedName>
    <definedName name="_xlnm.Print_Area" localSheetId="6">V!$A$1:$K$100</definedName>
    <definedName name="_xlnm.Print_Titles" localSheetId="3">'400000 final'!$1:$8</definedName>
    <definedName name="_xlnm.Print_Titles" localSheetId="1">'as per mistry'!$1:$8</definedName>
    <definedName name="_xlnm.Print_Titles" localSheetId="4">'change estimate'!$1:$8</definedName>
    <definedName name="_xlnm.Print_Titles" localSheetId="2">final!$1:$8</definedName>
    <definedName name="_xlnm.Print_Titles" localSheetId="0">new!$1:$8</definedName>
    <definedName name="_xlnm.Print_Titles" localSheetId="6">V!$1:$8</definedName>
    <definedName name="_xlnm.Print_Titles" localSheetId="5">WCR!$1:$12</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24" l="1"/>
  <c r="G78" i="23"/>
  <c r="D10" i="24"/>
  <c r="F10" i="24" s="1"/>
  <c r="G10" i="24" s="1"/>
  <c r="H46" i="22"/>
  <c r="E46" i="22"/>
  <c r="D46" i="22"/>
  <c r="C46" i="22"/>
  <c r="B46" i="22"/>
  <c r="A46" i="22"/>
  <c r="H44" i="22"/>
  <c r="E44" i="22"/>
  <c r="D44" i="22"/>
  <c r="C44" i="22"/>
  <c r="B44" i="22"/>
  <c r="A44" i="22"/>
  <c r="H41" i="22"/>
  <c r="E41" i="22"/>
  <c r="C41" i="22"/>
  <c r="B42" i="22"/>
  <c r="B41" i="22"/>
  <c r="A41" i="22"/>
  <c r="H38" i="22"/>
  <c r="F39" i="22"/>
  <c r="E38" i="22"/>
  <c r="F38" i="22" s="1"/>
  <c r="M38" i="22" s="1"/>
  <c r="D38" i="22"/>
  <c r="C38" i="22"/>
  <c r="B39" i="22"/>
  <c r="B38" i="22"/>
  <c r="A38" i="22"/>
  <c r="H35" i="22"/>
  <c r="E35" i="22"/>
  <c r="C35" i="22"/>
  <c r="B36" i="22"/>
  <c r="B35" i="22"/>
  <c r="A35" i="22"/>
  <c r="M39" i="22"/>
  <c r="H32" i="22"/>
  <c r="E32" i="22"/>
  <c r="C32" i="22"/>
  <c r="B33" i="22"/>
  <c r="B32" i="22"/>
  <c r="A32" i="22"/>
  <c r="H29" i="22"/>
  <c r="E29" i="22"/>
  <c r="C29" i="22"/>
  <c r="B30" i="22"/>
  <c r="B29" i="22"/>
  <c r="A29" i="22"/>
  <c r="H26" i="22"/>
  <c r="E26" i="22"/>
  <c r="C26" i="22"/>
  <c r="B26" i="22"/>
  <c r="A26" i="22"/>
  <c r="H23" i="22"/>
  <c r="E23" i="22"/>
  <c r="C23" i="22"/>
  <c r="B24" i="22"/>
  <c r="B23" i="22"/>
  <c r="A23" i="22"/>
  <c r="H21" i="22"/>
  <c r="E21" i="22"/>
  <c r="C21" i="22"/>
  <c r="B21" i="22"/>
  <c r="A21" i="22"/>
  <c r="H19" i="22"/>
  <c r="E19" i="22"/>
  <c r="C19" i="22"/>
  <c r="B19" i="22"/>
  <c r="A19" i="22"/>
  <c r="H16" i="22"/>
  <c r="E16" i="22"/>
  <c r="C16" i="22"/>
  <c r="B17" i="22"/>
  <c r="B16" i="22"/>
  <c r="A16" i="22"/>
  <c r="H13" i="22"/>
  <c r="E13" i="22"/>
  <c r="C13" i="22"/>
  <c r="B14" i="22"/>
  <c r="B13" i="22"/>
  <c r="A13" i="22"/>
  <c r="E55" i="24"/>
  <c r="D55" i="24"/>
  <c r="E60" i="24"/>
  <c r="E61" i="24"/>
  <c r="E62" i="24"/>
  <c r="D62" i="24"/>
  <c r="C63" i="24" s="1"/>
  <c r="D60" i="24"/>
  <c r="C61" i="24" s="1"/>
  <c r="D49" i="24"/>
  <c r="G44" i="24"/>
  <c r="C41" i="24"/>
  <c r="G54" i="24" s="1"/>
  <c r="D37" i="24"/>
  <c r="E37" i="24"/>
  <c r="G37" i="24" s="1"/>
  <c r="D32" i="24"/>
  <c r="D43" i="24" s="1"/>
  <c r="G43" i="24" s="1"/>
  <c r="D31" i="24"/>
  <c r="D42" i="24" s="1"/>
  <c r="G42" i="24" s="1"/>
  <c r="D25" i="24"/>
  <c r="D20" i="24"/>
  <c r="E25" i="24" s="1"/>
  <c r="G25" i="24" s="1"/>
  <c r="G26" i="24" s="1"/>
  <c r="D16" i="22" s="1"/>
  <c r="D19" i="24"/>
  <c r="D18" i="24"/>
  <c r="D17" i="24"/>
  <c r="D16" i="24"/>
  <c r="D15" i="24"/>
  <c r="D14" i="24"/>
  <c r="D13" i="24"/>
  <c r="D12" i="24"/>
  <c r="D11" i="24"/>
  <c r="F11" i="24" s="1"/>
  <c r="G11" i="24" s="1"/>
  <c r="C97" i="24"/>
  <c r="C96" i="24"/>
  <c r="G88" i="24"/>
  <c r="J88" i="24" s="1"/>
  <c r="G86" i="24"/>
  <c r="J86" i="24" s="1"/>
  <c r="D81" i="24"/>
  <c r="G81" i="24" s="1"/>
  <c r="D80" i="24"/>
  <c r="G80" i="24" s="1"/>
  <c r="G73" i="24"/>
  <c r="B73" i="24"/>
  <c r="F68" i="24"/>
  <c r="D68" i="24"/>
  <c r="E63" i="24"/>
  <c r="D63" i="24"/>
  <c r="D61" i="24"/>
  <c r="B54" i="24"/>
  <c r="B41" i="24"/>
  <c r="G33" i="24"/>
  <c r="C32" i="24"/>
  <c r="G32" i="24" s="1"/>
  <c r="C31" i="24"/>
  <c r="N26" i="24"/>
  <c r="O25" i="24"/>
  <c r="N25" i="24"/>
  <c r="O23" i="24"/>
  <c r="O20" i="24"/>
  <c r="M20" i="24"/>
  <c r="C19" i="24"/>
  <c r="C18" i="24"/>
  <c r="C17" i="24"/>
  <c r="C15" i="24"/>
  <c r="F15" i="24" s="1"/>
  <c r="G15" i="24" s="1"/>
  <c r="C14" i="24"/>
  <c r="C13" i="24"/>
  <c r="C12" i="24"/>
  <c r="E27" i="21"/>
  <c r="C21" i="21"/>
  <c r="C20" i="21"/>
  <c r="C19" i="21"/>
  <c r="C18" i="21"/>
  <c r="C17" i="21"/>
  <c r="C16" i="21"/>
  <c r="C15" i="21"/>
  <c r="C14" i="21"/>
  <c r="E57" i="23"/>
  <c r="D57" i="23"/>
  <c r="E39" i="23"/>
  <c r="D39" i="23"/>
  <c r="G57" i="23" l="1"/>
  <c r="G56" i="24"/>
  <c r="D29" i="22" s="1"/>
  <c r="F61" i="24"/>
  <c r="G61" i="24" s="1"/>
  <c r="F20" i="24"/>
  <c r="G20" i="24" s="1"/>
  <c r="D74" i="24"/>
  <c r="G74" i="24" s="1"/>
  <c r="G76" i="24" s="1"/>
  <c r="F13" i="24"/>
  <c r="G13" i="24" s="1"/>
  <c r="F82" i="24"/>
  <c r="G82" i="24" s="1"/>
  <c r="G83" i="24" s="1"/>
  <c r="D41" i="22" s="1"/>
  <c r="D75" i="24"/>
  <c r="G75" i="24" s="1"/>
  <c r="G41" i="24"/>
  <c r="G45" i="24" s="1"/>
  <c r="E49" i="24"/>
  <c r="G49" i="24" s="1"/>
  <c r="G50" i="24" s="1"/>
  <c r="G55" i="24"/>
  <c r="C94" i="24"/>
  <c r="G68" i="24"/>
  <c r="G69" i="24" s="1"/>
  <c r="F19" i="24"/>
  <c r="G19" i="24" s="1"/>
  <c r="F62" i="24"/>
  <c r="G62" i="24" s="1"/>
  <c r="F17" i="24"/>
  <c r="G17" i="24" s="1"/>
  <c r="G39" i="23"/>
  <c r="G40" i="23" s="1"/>
  <c r="G21" i="22" s="1"/>
  <c r="I21" i="22" s="1"/>
  <c r="F12" i="24"/>
  <c r="G12" i="24" s="1"/>
  <c r="F16" i="24"/>
  <c r="G16" i="24" s="1"/>
  <c r="F63" i="24"/>
  <c r="G63" i="24" s="1"/>
  <c r="G30" i="24"/>
  <c r="G31" i="24"/>
  <c r="F14" i="24"/>
  <c r="G14" i="24" s="1"/>
  <c r="F18" i="24"/>
  <c r="G18" i="24" s="1"/>
  <c r="F60" i="24"/>
  <c r="G60" i="24" s="1"/>
  <c r="J26" i="24"/>
  <c r="J27" i="24"/>
  <c r="F17" i="22" s="1"/>
  <c r="J56" i="24" l="1"/>
  <c r="J57" i="24"/>
  <c r="F30" i="22" s="1"/>
  <c r="J50" i="24"/>
  <c r="D26" i="22"/>
  <c r="J45" i="24"/>
  <c r="D23" i="22"/>
  <c r="J70" i="24"/>
  <c r="F36" i="22" s="1"/>
  <c r="D35" i="22"/>
  <c r="F35" i="22" s="1"/>
  <c r="M35" i="22" s="1"/>
  <c r="G64" i="24"/>
  <c r="G34" i="24"/>
  <c r="J46" i="24"/>
  <c r="F24" i="22" s="1"/>
  <c r="J69" i="24"/>
  <c r="J51" i="24"/>
  <c r="F27" i="22" s="1"/>
  <c r="J84" i="24"/>
  <c r="F42" i="22" s="1"/>
  <c r="N83" i="24"/>
  <c r="J83" i="24"/>
  <c r="J77" i="24"/>
  <c r="J76" i="24"/>
  <c r="M36" i="22" l="1"/>
  <c r="G38" i="24"/>
  <c r="D19" i="22"/>
  <c r="J21" i="24"/>
  <c r="D13" i="22"/>
  <c r="J65" i="24"/>
  <c r="F33" i="22" s="1"/>
  <c r="D32" i="22"/>
  <c r="J34" i="24"/>
  <c r="J64" i="24"/>
  <c r="J22" i="24"/>
  <c r="F14" i="22" s="1"/>
  <c r="J38" i="24" l="1"/>
  <c r="J90" i="24" s="1"/>
  <c r="C92" i="24" s="1"/>
  <c r="C95" i="24" s="1"/>
  <c r="D21" i="22"/>
  <c r="F21" i="22" s="1"/>
  <c r="M21" i="22" l="1"/>
  <c r="J21" i="22"/>
  <c r="E94" i="24"/>
  <c r="E95" i="24" s="1"/>
  <c r="E51" i="23" l="1"/>
  <c r="D51" i="23"/>
  <c r="G51" i="23" s="1"/>
  <c r="G52" i="23" s="1"/>
  <c r="J53" i="23" l="1"/>
  <c r="I27" i="22" s="1"/>
  <c r="G26" i="22"/>
  <c r="J52" i="23"/>
  <c r="D84" i="23" l="1"/>
  <c r="N28" i="23"/>
  <c r="N27" i="23"/>
  <c r="O27" i="23"/>
  <c r="D27" i="23"/>
  <c r="D12" i="23"/>
  <c r="J40" i="21" l="1"/>
  <c r="E36" i="21"/>
  <c r="D36" i="21"/>
  <c r="D14" i="23" l="1"/>
  <c r="F70" i="23"/>
  <c r="F83" i="23"/>
  <c r="F84" i="23" l="1"/>
  <c r="F85" i="23" s="1"/>
  <c r="G85" i="23" s="1"/>
  <c r="D83" i="23"/>
  <c r="D77" i="23"/>
  <c r="D76" i="23"/>
  <c r="D70" i="23"/>
  <c r="F32" i="23"/>
  <c r="D65" i="23"/>
  <c r="D63" i="23"/>
  <c r="E63" i="23"/>
  <c r="E64" i="23"/>
  <c r="D64" i="23"/>
  <c r="C65" i="23" s="1"/>
  <c r="D62" i="23"/>
  <c r="C63" i="23" s="1"/>
  <c r="E62" i="23"/>
  <c r="D45" i="23"/>
  <c r="D44" i="23"/>
  <c r="D34" i="23"/>
  <c r="G46" i="23"/>
  <c r="G35" i="23"/>
  <c r="C34" i="23"/>
  <c r="D33" i="23"/>
  <c r="C33" i="23"/>
  <c r="E27" i="23"/>
  <c r="O25" i="23"/>
  <c r="D17" i="23"/>
  <c r="D16" i="23"/>
  <c r="D15" i="23"/>
  <c r="D22" i="23"/>
  <c r="O22" i="23"/>
  <c r="M22" i="23"/>
  <c r="D18" i="23"/>
  <c r="D13" i="23"/>
  <c r="F12" i="23"/>
  <c r="G12" i="23" s="1"/>
  <c r="D10" i="23"/>
  <c r="F64" i="23" l="1"/>
  <c r="G64" i="23" s="1"/>
  <c r="G33" i="23"/>
  <c r="F63" i="23"/>
  <c r="G63" i="23" s="1"/>
  <c r="G34" i="23"/>
  <c r="D11" i="23"/>
  <c r="F11" i="23" s="1"/>
  <c r="G11" i="23" s="1"/>
  <c r="C32" i="23"/>
  <c r="C14" i="23"/>
  <c r="C16" i="23"/>
  <c r="C17" i="23"/>
  <c r="C15" i="23"/>
  <c r="M42" i="22"/>
  <c r="M30" i="22"/>
  <c r="B27" i="22"/>
  <c r="D21" i="23"/>
  <c r="C19" i="23"/>
  <c r="C20" i="23"/>
  <c r="C21" i="23"/>
  <c r="C18" i="23"/>
  <c r="F18" i="23" s="1"/>
  <c r="G18" i="23" s="1"/>
  <c r="C100" i="23"/>
  <c r="C99" i="23"/>
  <c r="G91" i="23"/>
  <c r="G89" i="23"/>
  <c r="B75" i="23"/>
  <c r="G70" i="23"/>
  <c r="E65" i="23"/>
  <c r="F65" i="23" s="1"/>
  <c r="G65" i="23" s="1"/>
  <c r="B56" i="23"/>
  <c r="G45" i="23"/>
  <c r="G44" i="23"/>
  <c r="B43" i="23"/>
  <c r="G27" i="23"/>
  <c r="G28" i="23" s="1"/>
  <c r="G16" i="22" s="1"/>
  <c r="F22" i="23"/>
  <c r="G22" i="23" s="1"/>
  <c r="D20" i="23"/>
  <c r="D19" i="23"/>
  <c r="F13" i="23"/>
  <c r="G13" i="23" s="1"/>
  <c r="F10" i="23"/>
  <c r="G10" i="23" s="1"/>
  <c r="A9" i="22"/>
  <c r="A8" i="22"/>
  <c r="J89" i="23" l="1"/>
  <c r="G44" i="22"/>
  <c r="J91" i="23"/>
  <c r="G46" i="22"/>
  <c r="F20" i="23"/>
  <c r="G20" i="23" s="1"/>
  <c r="G82" i="23"/>
  <c r="C97" i="23"/>
  <c r="G32" i="23"/>
  <c r="G83" i="23"/>
  <c r="G84" i="23"/>
  <c r="F19" i="23"/>
  <c r="G19" i="23" s="1"/>
  <c r="G77" i="23"/>
  <c r="F21" i="23"/>
  <c r="G21" i="23" s="1"/>
  <c r="I16" i="22"/>
  <c r="F16" i="23"/>
  <c r="G16" i="23" s="1"/>
  <c r="I46" i="22"/>
  <c r="F62" i="23"/>
  <c r="G62" i="23" s="1"/>
  <c r="G66" i="23" s="1"/>
  <c r="G32" i="22" s="1"/>
  <c r="I44" i="22"/>
  <c r="F14" i="23"/>
  <c r="G14" i="23" s="1"/>
  <c r="F15" i="23"/>
  <c r="G15" i="23" s="1"/>
  <c r="F17" i="23"/>
  <c r="G17" i="23" s="1"/>
  <c r="G76" i="23"/>
  <c r="J29" i="23"/>
  <c r="I17" i="22" s="1"/>
  <c r="J28" i="23"/>
  <c r="G43" i="23"/>
  <c r="G47" i="23" s="1"/>
  <c r="G23" i="22" s="1"/>
  <c r="C56" i="23"/>
  <c r="F41" i="22"/>
  <c r="M41" i="22" s="1"/>
  <c r="F29" i="22"/>
  <c r="M29" i="22" s="1"/>
  <c r="F46" i="22"/>
  <c r="M46" i="22" s="1"/>
  <c r="F19" i="22"/>
  <c r="M19" i="22" s="1"/>
  <c r="F44" i="22"/>
  <c r="M44" i="22" s="1"/>
  <c r="G23" i="23" l="1"/>
  <c r="G13" i="22" s="1"/>
  <c r="I13" i="22" s="1"/>
  <c r="G71" i="23"/>
  <c r="G35" i="22" s="1"/>
  <c r="I35" i="22" s="1"/>
  <c r="J35" i="22" s="1"/>
  <c r="G86" i="23"/>
  <c r="J40" i="23"/>
  <c r="G36" i="23"/>
  <c r="G19" i="22" s="1"/>
  <c r="I19" i="22" s="1"/>
  <c r="J19" i="22" s="1"/>
  <c r="I23" i="22"/>
  <c r="J36" i="23"/>
  <c r="J46" i="22"/>
  <c r="G56" i="23"/>
  <c r="G58" i="23" s="1"/>
  <c r="J67" i="23"/>
  <c r="I33" i="22" s="1"/>
  <c r="J66" i="23"/>
  <c r="J44" i="22"/>
  <c r="N86" i="23" l="1"/>
  <c r="G41" i="22"/>
  <c r="J71" i="23"/>
  <c r="I26" i="22"/>
  <c r="G29" i="22"/>
  <c r="I29" i="22" s="1"/>
  <c r="J29" i="22" s="1"/>
  <c r="I41" i="22"/>
  <c r="J41" i="22" s="1"/>
  <c r="J87" i="23"/>
  <c r="J86" i="23"/>
  <c r="J72" i="23"/>
  <c r="J48" i="23"/>
  <c r="I24" i="22" s="1"/>
  <c r="J47" i="23"/>
  <c r="J23" i="23"/>
  <c r="J24" i="23"/>
  <c r="I14" i="22" s="1"/>
  <c r="G75" i="23"/>
  <c r="J58" i="23"/>
  <c r="J59" i="23"/>
  <c r="I30" i="22" s="1"/>
  <c r="C93" i="21"/>
  <c r="C92" i="21"/>
  <c r="C90" i="21"/>
  <c r="G84" i="21"/>
  <c r="J84" i="21" s="1"/>
  <c r="G82" i="21"/>
  <c r="J82" i="21" s="1"/>
  <c r="D78" i="21"/>
  <c r="C78" i="21"/>
  <c r="G78" i="21" s="1"/>
  <c r="D77" i="21"/>
  <c r="G77" i="21" s="1"/>
  <c r="C77" i="21"/>
  <c r="D76" i="21"/>
  <c r="C76" i="21"/>
  <c r="D71" i="21"/>
  <c r="D70" i="21"/>
  <c r="C70" i="21"/>
  <c r="D69" i="21"/>
  <c r="C69" i="21"/>
  <c r="G69" i="21" s="1"/>
  <c r="F68" i="21"/>
  <c r="B68" i="21"/>
  <c r="B67" i="21"/>
  <c r="F62" i="21"/>
  <c r="D62" i="21"/>
  <c r="C62" i="21"/>
  <c r="G62" i="21" s="1"/>
  <c r="F61" i="21"/>
  <c r="D61" i="21"/>
  <c r="C61" i="21"/>
  <c r="F60" i="21"/>
  <c r="D60" i="21"/>
  <c r="C60" i="21"/>
  <c r="D59" i="21"/>
  <c r="G59" i="21" s="1"/>
  <c r="D58" i="21"/>
  <c r="G58" i="21" s="1"/>
  <c r="B58" i="21"/>
  <c r="E53" i="21"/>
  <c r="D53" i="21"/>
  <c r="C53" i="21"/>
  <c r="F53" i="21" s="1"/>
  <c r="G53" i="21" s="1"/>
  <c r="E52" i="21"/>
  <c r="F52" i="21" s="1"/>
  <c r="G52" i="21" s="1"/>
  <c r="D52" i="21"/>
  <c r="E51" i="21"/>
  <c r="D51" i="21"/>
  <c r="C51" i="21"/>
  <c r="E50" i="21"/>
  <c r="D50" i="21"/>
  <c r="F50" i="21" s="1"/>
  <c r="G50" i="21" s="1"/>
  <c r="B50" i="21"/>
  <c r="D45" i="21"/>
  <c r="C45" i="21"/>
  <c r="D44" i="21"/>
  <c r="C44" i="21"/>
  <c r="G44" i="21" s="1"/>
  <c r="B43" i="21"/>
  <c r="D38" i="21"/>
  <c r="C38" i="21"/>
  <c r="G38" i="21" s="1"/>
  <c r="D37" i="21"/>
  <c r="C37" i="21"/>
  <c r="G37" i="21" s="1"/>
  <c r="E43" i="21"/>
  <c r="E67" i="21" s="1"/>
  <c r="D43" i="21"/>
  <c r="D67" i="21" s="1"/>
  <c r="F32" i="21"/>
  <c r="C32" i="21"/>
  <c r="D27" i="21"/>
  <c r="G27" i="21" s="1"/>
  <c r="G28" i="21" s="1"/>
  <c r="F16" i="22" s="1"/>
  <c r="D22" i="21"/>
  <c r="F22" i="21" s="1"/>
  <c r="G22" i="21" s="1"/>
  <c r="C22" i="21"/>
  <c r="D21" i="21"/>
  <c r="D20" i="21"/>
  <c r="F20" i="21" s="1"/>
  <c r="G20" i="21" s="1"/>
  <c r="D19" i="21"/>
  <c r="D18" i="21"/>
  <c r="F18" i="21" s="1"/>
  <c r="G18" i="21" s="1"/>
  <c r="D17" i="21"/>
  <c r="D16" i="21"/>
  <c r="F16" i="21" s="1"/>
  <c r="G16" i="21" s="1"/>
  <c r="D15" i="21"/>
  <c r="D14" i="21"/>
  <c r="F14" i="21" s="1"/>
  <c r="G14" i="21" s="1"/>
  <c r="D13" i="21"/>
  <c r="D12" i="21"/>
  <c r="F12" i="21" s="1"/>
  <c r="G12" i="21" s="1"/>
  <c r="D11" i="21"/>
  <c r="F11" i="21" s="1"/>
  <c r="G11" i="21" s="1"/>
  <c r="D10" i="21"/>
  <c r="F10" i="21"/>
  <c r="G10" i="21" s="1"/>
  <c r="C70" i="20"/>
  <c r="C69" i="20"/>
  <c r="C62" i="20"/>
  <c r="C61" i="20"/>
  <c r="C60" i="20"/>
  <c r="C45" i="20"/>
  <c r="C44" i="20"/>
  <c r="C38" i="20"/>
  <c r="C37" i="20"/>
  <c r="C51" i="20"/>
  <c r="C53" i="20"/>
  <c r="I42" i="22" l="1"/>
  <c r="J42" i="22" s="1"/>
  <c r="J30" i="22"/>
  <c r="I36" i="22"/>
  <c r="J36" i="22" s="1"/>
  <c r="M16" i="22"/>
  <c r="J16" i="22"/>
  <c r="I32" i="22"/>
  <c r="F13" i="21"/>
  <c r="G13" i="21" s="1"/>
  <c r="F15" i="21"/>
  <c r="G15" i="21" s="1"/>
  <c r="F17" i="21"/>
  <c r="G17" i="21" s="1"/>
  <c r="F19" i="21"/>
  <c r="G19" i="21" s="1"/>
  <c r="F21" i="21"/>
  <c r="G21" i="21" s="1"/>
  <c r="F51" i="21"/>
  <c r="G51" i="21" s="1"/>
  <c r="G45" i="21"/>
  <c r="G61" i="21"/>
  <c r="G70" i="21"/>
  <c r="G60" i="21"/>
  <c r="G63" i="21" s="1"/>
  <c r="G76" i="21"/>
  <c r="G79" i="21" s="1"/>
  <c r="J80" i="21" s="1"/>
  <c r="J79" i="21"/>
  <c r="J29" i="21"/>
  <c r="J28" i="21"/>
  <c r="G54" i="21"/>
  <c r="G36" i="21"/>
  <c r="G39" i="21" s="1"/>
  <c r="F23" i="22" s="1"/>
  <c r="C43" i="21"/>
  <c r="G32" i="21"/>
  <c r="G33" i="21" s="1"/>
  <c r="J33" i="21" s="1"/>
  <c r="F68" i="20"/>
  <c r="B67" i="20"/>
  <c r="B68" i="20"/>
  <c r="B58" i="20"/>
  <c r="B43" i="20"/>
  <c r="B36" i="20"/>
  <c r="C78" i="20"/>
  <c r="C77" i="20"/>
  <c r="C76" i="20"/>
  <c r="E53" i="20"/>
  <c r="D53" i="20"/>
  <c r="F53" i="20" s="1"/>
  <c r="G53" i="20" s="1"/>
  <c r="E51" i="20"/>
  <c r="D51" i="20"/>
  <c r="F51" i="20" s="1"/>
  <c r="G51" i="20" s="1"/>
  <c r="D52" i="20"/>
  <c r="E52" i="20"/>
  <c r="E50" i="20"/>
  <c r="F50" i="20" s="1"/>
  <c r="G50" i="20" s="1"/>
  <c r="D50" i="20"/>
  <c r="B50" i="20"/>
  <c r="D59" i="20"/>
  <c r="G59" i="20" s="1"/>
  <c r="D58" i="20"/>
  <c r="G58" i="20" s="1"/>
  <c r="F61" i="20"/>
  <c r="F62" i="20"/>
  <c r="G62" i="20" s="1"/>
  <c r="F60" i="20"/>
  <c r="D62" i="20"/>
  <c r="D61" i="20"/>
  <c r="G61" i="20" s="1"/>
  <c r="D60" i="20"/>
  <c r="G60" i="20" s="1"/>
  <c r="J79" i="23" l="1"/>
  <c r="I39" i="22" s="1"/>
  <c r="J39" i="22" s="1"/>
  <c r="G38" i="22"/>
  <c r="I38" i="22" s="1"/>
  <c r="J38" i="22" s="1"/>
  <c r="J23" i="22"/>
  <c r="M23" i="22"/>
  <c r="J17" i="22"/>
  <c r="M17" i="22"/>
  <c r="G23" i="21"/>
  <c r="F13" i="22" s="1"/>
  <c r="M13" i="22" s="1"/>
  <c r="J78" i="23"/>
  <c r="J64" i="21"/>
  <c r="J63" i="21"/>
  <c r="J55" i="21"/>
  <c r="J54" i="21"/>
  <c r="G43" i="21"/>
  <c r="G46" i="21" s="1"/>
  <c r="F26" i="22" s="1"/>
  <c r="C67" i="21"/>
  <c r="J39" i="21"/>
  <c r="G63" i="20"/>
  <c r="J63" i="20" s="1"/>
  <c r="F52" i="20"/>
  <c r="G52" i="20" s="1"/>
  <c r="G54" i="20" s="1"/>
  <c r="J24" i="22" l="1"/>
  <c r="M24" i="22"/>
  <c r="J26" i="22"/>
  <c r="M26" i="22"/>
  <c r="J23" i="21"/>
  <c r="J24" i="21"/>
  <c r="M14" i="22" s="1"/>
  <c r="J13" i="22"/>
  <c r="J93" i="23"/>
  <c r="C95" i="23" s="1"/>
  <c r="C98" i="23" s="1"/>
  <c r="I48" i="22"/>
  <c r="G67" i="21"/>
  <c r="C68" i="21"/>
  <c r="G68" i="21" s="1"/>
  <c r="C71" i="21"/>
  <c r="G71" i="21" s="1"/>
  <c r="J46" i="21"/>
  <c r="J47" i="21"/>
  <c r="J54" i="20"/>
  <c r="J64" i="20"/>
  <c r="J27" i="22" l="1"/>
  <c r="M27" i="22"/>
  <c r="J14" i="22"/>
  <c r="E97" i="23"/>
  <c r="E98" i="23" s="1"/>
  <c r="J6" i="22"/>
  <c r="G72" i="21"/>
  <c r="F32" i="22" s="1"/>
  <c r="J55" i="20"/>
  <c r="J32" i="22" l="1"/>
  <c r="M32" i="22"/>
  <c r="J73" i="21"/>
  <c r="M33" i="22" s="1"/>
  <c r="J72" i="21"/>
  <c r="J86" i="21" s="1"/>
  <c r="C88" i="21" s="1"/>
  <c r="D38" i="20"/>
  <c r="D37" i="20"/>
  <c r="G37" i="20"/>
  <c r="D44" i="20"/>
  <c r="G44" i="20" s="1"/>
  <c r="D45" i="20"/>
  <c r="D71" i="20"/>
  <c r="D70" i="20"/>
  <c r="G70" i="20" s="1"/>
  <c r="D69" i="20"/>
  <c r="G69" i="20" s="1"/>
  <c r="D78" i="20"/>
  <c r="D77" i="20"/>
  <c r="D76" i="20"/>
  <c r="G76" i="20" s="1"/>
  <c r="C32" i="20"/>
  <c r="C36" i="20" s="1"/>
  <c r="D27" i="20"/>
  <c r="E27" i="20"/>
  <c r="C15" i="20"/>
  <c r="C16" i="20"/>
  <c r="C17" i="20"/>
  <c r="C18" i="20"/>
  <c r="C19" i="20"/>
  <c r="C20" i="20"/>
  <c r="C21" i="20"/>
  <c r="C14" i="20"/>
  <c r="C13" i="20"/>
  <c r="C12" i="20"/>
  <c r="C10" i="20"/>
  <c r="C93" i="20"/>
  <c r="C92" i="20"/>
  <c r="G84" i="20"/>
  <c r="J84" i="20" s="1"/>
  <c r="G82" i="20"/>
  <c r="E36" i="20"/>
  <c r="E43" i="20" s="1"/>
  <c r="D36" i="20"/>
  <c r="D43" i="20" s="1"/>
  <c r="F32" i="20"/>
  <c r="D22" i="20"/>
  <c r="C22" i="20"/>
  <c r="D21" i="20"/>
  <c r="D20" i="20"/>
  <c r="D19" i="20"/>
  <c r="D18" i="20"/>
  <c r="D17" i="20"/>
  <c r="D16" i="20"/>
  <c r="D15" i="20"/>
  <c r="D14" i="20"/>
  <c r="F14" i="20"/>
  <c r="G14" i="20" s="1"/>
  <c r="D13" i="20"/>
  <c r="D12" i="20"/>
  <c r="D11" i="20"/>
  <c r="F11" i="20" s="1"/>
  <c r="G11" i="20" s="1"/>
  <c r="D10" i="20"/>
  <c r="D23" i="18"/>
  <c r="E28" i="18"/>
  <c r="D22" i="18"/>
  <c r="D21" i="18"/>
  <c r="D20" i="18"/>
  <c r="D19" i="18"/>
  <c r="D18" i="18"/>
  <c r="D15" i="18"/>
  <c r="D17" i="18"/>
  <c r="D16" i="18"/>
  <c r="D14" i="18"/>
  <c r="C12" i="18"/>
  <c r="D11" i="18"/>
  <c r="J33" i="22" l="1"/>
  <c r="F48" i="22"/>
  <c r="C91" i="21"/>
  <c r="E90" i="21"/>
  <c r="E91" i="21" s="1"/>
  <c r="F21" i="20"/>
  <c r="G21" i="20" s="1"/>
  <c r="F15" i="20"/>
  <c r="G15" i="20" s="1"/>
  <c r="F13" i="20"/>
  <c r="G13" i="20" s="1"/>
  <c r="G45" i="20"/>
  <c r="F18" i="20"/>
  <c r="G18" i="20" s="1"/>
  <c r="G27" i="20"/>
  <c r="G28" i="20" s="1"/>
  <c r="J29" i="20" s="1"/>
  <c r="G38" i="20"/>
  <c r="E67" i="20"/>
  <c r="J82" i="20"/>
  <c r="F20" i="20"/>
  <c r="G20" i="20" s="1"/>
  <c r="G36" i="20"/>
  <c r="F19" i="20"/>
  <c r="G19" i="20" s="1"/>
  <c r="C90" i="20"/>
  <c r="F10" i="20"/>
  <c r="G10" i="20" s="1"/>
  <c r="F17" i="20"/>
  <c r="G17" i="20" s="1"/>
  <c r="F12" i="20"/>
  <c r="G12" i="20" s="1"/>
  <c r="F16" i="20"/>
  <c r="G16" i="20" s="1"/>
  <c r="F22" i="20"/>
  <c r="G22" i="20" s="1"/>
  <c r="G78" i="20"/>
  <c r="G77" i="20"/>
  <c r="C43" i="20"/>
  <c r="C67" i="20" s="1"/>
  <c r="C71" i="20" s="1"/>
  <c r="G32" i="20"/>
  <c r="G33" i="20" s="1"/>
  <c r="J33" i="20" s="1"/>
  <c r="D67" i="20"/>
  <c r="C63" i="19"/>
  <c r="C62" i="19"/>
  <c r="D63" i="19"/>
  <c r="D62" i="19"/>
  <c r="C6" i="22" l="1"/>
  <c r="J48" i="22"/>
  <c r="G63" i="19"/>
  <c r="J28" i="20"/>
  <c r="G23" i="20"/>
  <c r="J23" i="20" s="1"/>
  <c r="G39" i="20"/>
  <c r="J40" i="20" s="1"/>
  <c r="G67" i="20"/>
  <c r="C68" i="20"/>
  <c r="G68" i="20" s="1"/>
  <c r="G71" i="20"/>
  <c r="G43" i="20"/>
  <c r="G79" i="20"/>
  <c r="J79" i="20" s="1"/>
  <c r="G62" i="19"/>
  <c r="G64" i="19"/>
  <c r="J65" i="19" s="1"/>
  <c r="J39" i="20" l="1"/>
  <c r="G72" i="20"/>
  <c r="J72" i="20" s="1"/>
  <c r="G46" i="20"/>
  <c r="J47" i="20" s="1"/>
  <c r="J24" i="20"/>
  <c r="J80" i="20"/>
  <c r="J64" i="19"/>
  <c r="G56" i="19"/>
  <c r="D57" i="19"/>
  <c r="G57" i="19" s="1"/>
  <c r="D56" i="19"/>
  <c r="D49" i="19"/>
  <c r="E37" i="19"/>
  <c r="G37" i="19" s="1"/>
  <c r="D37" i="19"/>
  <c r="E49" i="19" l="1"/>
  <c r="G49" i="19" s="1"/>
  <c r="J46" i="20"/>
  <c r="J73" i="20"/>
  <c r="J86" i="20" s="1"/>
  <c r="C54" i="19"/>
  <c r="G54" i="19" s="1"/>
  <c r="C55" i="19"/>
  <c r="G55" i="19" s="1"/>
  <c r="D55" i="19"/>
  <c r="D54" i="19"/>
  <c r="E27" i="19"/>
  <c r="D27" i="19"/>
  <c r="E42" i="19"/>
  <c r="E47" i="19" s="1"/>
  <c r="E36" i="19"/>
  <c r="D36" i="19"/>
  <c r="D42" i="19" s="1"/>
  <c r="D47" i="19" s="1"/>
  <c r="F32" i="19"/>
  <c r="C32" i="19"/>
  <c r="C36" i="19" s="1"/>
  <c r="C42" i="19" s="1"/>
  <c r="C47" i="19" s="1"/>
  <c r="C48" i="19" s="1"/>
  <c r="G48" i="19" s="1"/>
  <c r="D22" i="19"/>
  <c r="C22" i="19"/>
  <c r="F22" i="19"/>
  <c r="G22" i="19" s="1"/>
  <c r="D21" i="19"/>
  <c r="D20" i="19"/>
  <c r="D19" i="19"/>
  <c r="D18" i="19"/>
  <c r="C18" i="19"/>
  <c r="C19" i="19"/>
  <c r="C20" i="19"/>
  <c r="C21" i="19"/>
  <c r="D16" i="19"/>
  <c r="D15" i="19"/>
  <c r="D14" i="19"/>
  <c r="C15" i="19"/>
  <c r="C16" i="19"/>
  <c r="C17" i="19"/>
  <c r="C14" i="19"/>
  <c r="D13" i="19"/>
  <c r="C13" i="19"/>
  <c r="D12" i="19"/>
  <c r="C12" i="19"/>
  <c r="D11" i="19"/>
  <c r="D10" i="19"/>
  <c r="G58" i="19" l="1"/>
  <c r="J59" i="19" s="1"/>
  <c r="C88" i="20"/>
  <c r="C91" i="20" s="1"/>
  <c r="J58" i="19"/>
  <c r="E90" i="20" l="1"/>
  <c r="E91" i="20" s="1"/>
  <c r="C10" i="19"/>
  <c r="C78" i="19"/>
  <c r="C77" i="19"/>
  <c r="C75" i="19" s="1"/>
  <c r="G69" i="19"/>
  <c r="J69" i="19" s="1"/>
  <c r="G67" i="19"/>
  <c r="J67" i="19" s="1"/>
  <c r="G47" i="19"/>
  <c r="G50" i="19" s="1"/>
  <c r="G42" i="19"/>
  <c r="G43" i="19" s="1"/>
  <c r="G36" i="19"/>
  <c r="G38" i="19" s="1"/>
  <c r="J39" i="19" s="1"/>
  <c r="G32" i="19"/>
  <c r="G27" i="19"/>
  <c r="G28" i="19" s="1"/>
  <c r="F21" i="19"/>
  <c r="G21" i="19" s="1"/>
  <c r="F20" i="19"/>
  <c r="G20" i="19" s="1"/>
  <c r="F19" i="19"/>
  <c r="G19" i="19" s="1"/>
  <c r="F18" i="19"/>
  <c r="G18" i="19" s="1"/>
  <c r="D17" i="19"/>
  <c r="F17" i="19" s="1"/>
  <c r="G17" i="19" s="1"/>
  <c r="F16" i="19"/>
  <c r="G16" i="19" s="1"/>
  <c r="F15" i="19"/>
  <c r="G15" i="19" s="1"/>
  <c r="F14" i="19"/>
  <c r="G14" i="19" s="1"/>
  <c r="F13" i="19"/>
  <c r="G13" i="19" s="1"/>
  <c r="F12" i="19"/>
  <c r="G12" i="19" s="1"/>
  <c r="F11" i="19"/>
  <c r="G11" i="19" s="1"/>
  <c r="F10" i="19"/>
  <c r="G10" i="19" s="1"/>
  <c r="G23" i="19" l="1"/>
  <c r="J24" i="19" s="1"/>
  <c r="G33" i="19"/>
  <c r="J33" i="19" s="1"/>
  <c r="J44" i="19"/>
  <c r="J43" i="19"/>
  <c r="J38" i="19"/>
  <c r="J28" i="19"/>
  <c r="J29" i="19"/>
  <c r="J50" i="19"/>
  <c r="J51" i="19"/>
  <c r="C61" i="18"/>
  <c r="G61" i="18" s="1"/>
  <c r="G62" i="18" s="1"/>
  <c r="J63" i="18" s="1"/>
  <c r="C42" i="18"/>
  <c r="C37" i="18"/>
  <c r="G37" i="18" s="1"/>
  <c r="G38" i="18" s="1"/>
  <c r="J38" i="18" s="1"/>
  <c r="F33" i="18"/>
  <c r="C33" i="18"/>
  <c r="C23" i="18"/>
  <c r="F23" i="18" s="1"/>
  <c r="G23" i="18" s="1"/>
  <c r="F22" i="18"/>
  <c r="G22" i="18" s="1"/>
  <c r="F21" i="18"/>
  <c r="G21" i="18" s="1"/>
  <c r="F20" i="18"/>
  <c r="G20" i="18" s="1"/>
  <c r="F19" i="18"/>
  <c r="G19" i="18" s="1"/>
  <c r="F18" i="18"/>
  <c r="G18" i="18" s="1"/>
  <c r="F17" i="18"/>
  <c r="G17" i="18" s="1"/>
  <c r="F16" i="18"/>
  <c r="G16" i="18" s="1"/>
  <c r="F15" i="18"/>
  <c r="G15" i="18" s="1"/>
  <c r="F14" i="18"/>
  <c r="G14" i="18" s="1"/>
  <c r="D13" i="18"/>
  <c r="C13" i="18"/>
  <c r="G67" i="18"/>
  <c r="J67" i="18" s="1"/>
  <c r="G65" i="18"/>
  <c r="J65" i="18" s="1"/>
  <c r="D28" i="18"/>
  <c r="G42" i="18" l="1"/>
  <c r="G43" i="18" s="1"/>
  <c r="J44" i="18" s="1"/>
  <c r="G33" i="18"/>
  <c r="G34" i="18" s="1"/>
  <c r="J34" i="18" s="1"/>
  <c r="J23" i="19"/>
  <c r="J71" i="19" s="1"/>
  <c r="F13" i="18"/>
  <c r="G13" i="18" s="1"/>
  <c r="G28" i="18"/>
  <c r="G29" i="18" s="1"/>
  <c r="J30" i="18" s="1"/>
  <c r="J62" i="18"/>
  <c r="J39" i="18"/>
  <c r="J43" i="18" l="1"/>
  <c r="C73" i="19"/>
  <c r="C76" i="19" s="1"/>
  <c r="D12" i="18"/>
  <c r="F12" i="18" s="1"/>
  <c r="G12" i="18" s="1"/>
  <c r="F11" i="18"/>
  <c r="G11" i="18" s="1"/>
  <c r="E75" i="19" l="1"/>
  <c r="E76" i="19" s="1"/>
  <c r="D10" i="18"/>
  <c r="F10" i="18" s="1"/>
  <c r="G10" i="18" s="1"/>
  <c r="G24" i="18" l="1"/>
  <c r="J25" i="18" s="1"/>
  <c r="J24" i="18"/>
  <c r="J29" i="18"/>
  <c r="J69" i="18" l="1"/>
  <c r="C76" i="18"/>
  <c r="C75" i="18"/>
  <c r="C73" i="18" l="1"/>
  <c r="C71" i="18" l="1"/>
  <c r="C74" i="18" l="1"/>
  <c r="E73" i="18"/>
  <c r="E74" i="18" s="1"/>
</calcChain>
</file>

<file path=xl/comments1.xml><?xml version="1.0" encoding="utf-8"?>
<comments xmlns="http://schemas.openxmlformats.org/spreadsheetml/2006/main">
  <authors>
    <author>DELL</author>
  </authors>
  <commentList>
    <comment ref="F80" authorId="0" shapeId="0">
      <text>
        <r>
          <rPr>
            <b/>
            <sz val="10"/>
            <color indexed="81"/>
            <rFont val="Tahoma"/>
            <charset val="1"/>
          </rPr>
          <t>DELL:</t>
        </r>
        <r>
          <rPr>
            <sz val="10"/>
            <color indexed="81"/>
            <rFont val="Tahoma"/>
            <charset val="1"/>
          </rPr>
          <t xml:space="preserve">
for taking ht of 3 ft there is deduction of 45"-36"
</t>
        </r>
      </text>
    </comment>
  </commentList>
</comments>
</file>

<file path=xl/comments2.xml><?xml version="1.0" encoding="utf-8"?>
<comments xmlns="http://schemas.openxmlformats.org/spreadsheetml/2006/main">
  <authors>
    <author>DELL</author>
  </authors>
  <commentList>
    <comment ref="F83" authorId="0" shapeId="0">
      <text>
        <r>
          <rPr>
            <b/>
            <sz val="10"/>
            <color indexed="81"/>
            <rFont val="Tahoma"/>
            <charset val="1"/>
          </rPr>
          <t>DELL:</t>
        </r>
        <r>
          <rPr>
            <sz val="10"/>
            <color indexed="81"/>
            <rFont val="Tahoma"/>
            <charset val="1"/>
          </rPr>
          <t xml:space="preserve">
for taking ht of 3 ft there is deduction of 45"-36"
</t>
        </r>
      </text>
    </comment>
  </commentList>
</comments>
</file>

<file path=xl/sharedStrings.xml><?xml version="1.0" encoding="utf-8"?>
<sst xmlns="http://schemas.openxmlformats.org/spreadsheetml/2006/main" count="572" uniqueCount="100">
  <si>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</si>
  <si>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</si>
  <si>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</si>
  <si>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</si>
  <si>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</si>
  <si>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</si>
  <si>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</si>
  <si>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</si>
  <si>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</si>
  <si>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</si>
  <si>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</si>
  <si>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</si>
  <si>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</si>
  <si>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</si>
  <si>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</si>
  <si>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</si>
  <si>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</si>
  <si>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</si>
  <si>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</si>
  <si>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</si>
  <si>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</si>
  <si>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</si>
  <si>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</si>
  <si>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</si>
  <si>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</si>
  <si>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 xml:space="preserve">Date:                     </t>
  </si>
  <si>
    <t>sub-total</t>
  </si>
  <si>
    <t>Length (m)</t>
  </si>
  <si>
    <t>Total Weight (kg)</t>
  </si>
  <si>
    <t>Unit length (Kg/m)</t>
  </si>
  <si>
    <t>sfnf] kmnfd] kfO{ksf] 6«; agfO{ h8fg ug]{ sfd</t>
  </si>
  <si>
    <t>Kg</t>
  </si>
  <si>
    <t xml:space="preserve">).#^ lblv ).$ dL.dL.afSnf] sf]?u]6]8 /+lug ss{6 kftfsf] 5fgf 5fpg] sfd </t>
  </si>
  <si>
    <t>sqm</t>
  </si>
  <si>
    <t xml:space="preserve">Project:- कुर्थली सामुदायिक ट्रस्ट निर्माण </t>
  </si>
  <si>
    <t>Provisional sum for unforseen works</t>
  </si>
  <si>
    <t>PS</t>
  </si>
  <si>
    <t>Information board</t>
  </si>
  <si>
    <t>-MS square pipe of 50mm * 50mm of 2.6mm thickness for vertical member</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</si>
  <si>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</si>
  <si>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</si>
  <si>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</si>
  <si>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</si>
  <si>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</si>
  <si>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</si>
  <si>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</si>
  <si>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-MS square pipe of 3" * 3" of 1.8mm thickness for vertical post</t>
  </si>
  <si>
    <t>-MS square pipe of 2"*2" of 1.8mm thickness for horizontal member</t>
  </si>
  <si>
    <t>-MS square pipe of 2"*2" of 1.6mm thickness for king post member</t>
  </si>
  <si>
    <t>-MS square pipe of 1.5"*1.5" of 1.6mm thickness for vertical member</t>
  </si>
  <si>
    <t>-MS square pipe of 1.5"*1.5" of 1.6mm thickness for diagnol member</t>
  </si>
  <si>
    <t>-MS square pipe of 2"*2" of 1.8mm thickness for inclined member</t>
  </si>
  <si>
    <t>-MS square pipe of 2"*2" of 1.8mm thickness for purlins</t>
  </si>
  <si>
    <t>e'O{+tNnfdf lrDgL e§fsf] O{+6fsf] uf/f] l;d]G6 d;nf -!M^_ df</t>
  </si>
  <si>
    <t>;'Vvf O{6f RofK6f] 5fKg] sfd</t>
  </si>
  <si>
    <t>no.</t>
  </si>
  <si>
    <t>-for flooring</t>
  </si>
  <si>
    <t>-for footing</t>
  </si>
  <si>
    <t>-wall</t>
  </si>
  <si>
    <t>!@=% dL=dL= l;d]G6 afn'jf -!M$_ Knfi6/</t>
  </si>
  <si>
    <t>-MS square pipe of 2"*2" of 1.6mm thickness for purlins</t>
  </si>
  <si>
    <t>-tie beam</t>
  </si>
  <si>
    <t>-deduction for overlap part</t>
  </si>
  <si>
    <t>-for tie beam</t>
  </si>
  <si>
    <t>cf/=;L=;L= nflu kmnfd] 808L sf6\g], df]8\g] #) dL6/ ;Dd</t>
  </si>
  <si>
    <t>Nos.</t>
  </si>
  <si>
    <t>Total Weight (Kg)</t>
  </si>
  <si>
    <t>Total Weight (MT)</t>
  </si>
  <si>
    <t>-for column</t>
  </si>
  <si>
    <t>-stirrups</t>
  </si>
  <si>
    <t>MT</t>
  </si>
  <si>
    <t>kmnfd]sf] kfOk / KnfOaf]8{af6 kmdf{ agfpg] sfd</t>
  </si>
  <si>
    <t>Work Completion Report</t>
  </si>
  <si>
    <t>Total Estimated Amount:</t>
  </si>
  <si>
    <t>Total Valuated Amount :</t>
  </si>
  <si>
    <t xml:space="preserve">Work Started : </t>
  </si>
  <si>
    <t xml:space="preserve">Work Finished:           </t>
  </si>
  <si>
    <t xml:space="preserve">F.Y:2081/2082            </t>
  </si>
  <si>
    <t xml:space="preserve">Date:2082/02/03       </t>
  </si>
  <si>
    <t>S.No.</t>
  </si>
  <si>
    <t>Description</t>
  </si>
  <si>
    <t>Estimated</t>
  </si>
  <si>
    <t>Valuated</t>
  </si>
  <si>
    <t>Difference</t>
  </si>
  <si>
    <t xml:space="preserve">Quantity </t>
  </si>
  <si>
    <t>Total</t>
  </si>
  <si>
    <t>Detail Valuated Sheet</t>
  </si>
  <si>
    <t>Total Valuated</t>
  </si>
  <si>
    <t>-flooring</t>
  </si>
  <si>
    <t>-upto tie beam</t>
  </si>
  <si>
    <t>deduction for post</t>
  </si>
  <si>
    <t>-deduction for footing</t>
  </si>
  <si>
    <t>Providing and laying of hand pack locally available Stone soling with 150 to 200 mm thick stones and packing with smaller stone on prepared surface as per Drawing and Technical Specifications.</t>
  </si>
  <si>
    <t>-MS square pipe of 2"*2" of 1.6mm thickness for horizontal member</t>
  </si>
  <si>
    <t>-for wall below plinth level</t>
  </si>
  <si>
    <t xml:space="preserve">g/d k|sf/sf] Sn] / l;N6L df6f]df ;j} lsl;dsf] vGg] k'g]{ sfd </t>
  </si>
  <si>
    <t>Providing suitable material and Back filling behind abutment, wing wall and return wall complete as per Drawing and Technical Specifications., locally available material including compaction by tamping rod(without watering)</t>
  </si>
  <si>
    <t>-for earth filling work in flooring</t>
  </si>
  <si>
    <t>-MS square pipe of 2"*2" of 1.6mm thickness for inclined member</t>
  </si>
  <si>
    <t>-MS square pipe of 3" * 3" of 1.6mm thickness for vertical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</si>
</sst>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0"/>
      <color indexed="81"/>
      <name val="Tahoma"/>
      <charset val="1"/>
    </font>
    <font>
      <b/>
      <sz val="10"/>
      <color indexed="81"/>
      <name val="Tahoma"/>
      <charset val="1"/>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88">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5" fontId="0" fillId="0" borderId="1" xfId="0" applyNumberFormat="1" applyBorder="1" applyAlignment="1">
      <alignment vertical="center"/>
    </xf>
    <xf numFmtId="0" fontId="3" fillId="0" borderId="1" xfId="0" quotePrefix="1" applyFont="1" applyBorder="1" applyAlignment="1">
      <alignment vertical="center" wrapText="1"/>
    </xf>
    <xf numFmtId="2" fontId="2" fillId="0" borderId="1" xfId="0" applyNumberFormat="1" applyFont="1" applyBorder="1" applyAlignment="1">
      <alignment vertical="center" wrapText="1"/>
    </xf>
    <xf numFmtId="2" fontId="0" fillId="0" borderId="1" xfId="0" applyNumberFormat="1" applyFont="1" applyBorder="1" applyAlignment="1">
      <alignment vertical="center" wrapText="1"/>
    </xf>
    <xf numFmtId="0" fontId="17" fillId="0" borderId="0" xfId="0" applyFont="1"/>
    <xf numFmtId="0" fontId="18" fillId="0" borderId="0" xfId="0" applyFont="1" applyAlignment="1">
      <alignment horizontal="center"/>
    </xf>
    <xf numFmtId="0" fontId="0" fillId="0" borderId="0" xfId="0" applyAlignment="1">
      <alignment horizontal="left"/>
    </xf>
    <xf numFmtId="0" fontId="0" fillId="3" borderId="1" xfId="0" applyFill="1" applyBorder="1"/>
    <xf numFmtId="1" fontId="10" fillId="0" borderId="1" xfId="0" applyNumberFormat="1" applyFont="1" applyBorder="1" applyAlignment="1">
      <alignment vertical="center"/>
    </xf>
    <xf numFmtId="1" fontId="13" fillId="0" borderId="1" xfId="0" applyNumberFormat="1" applyFont="1" applyFill="1" applyBorder="1" applyAlignment="1">
      <alignment vertical="center" wrapText="1"/>
    </xf>
    <xf numFmtId="164" fontId="2" fillId="0" borderId="1" xfId="1" applyFont="1" applyBorder="1" applyAlignment="1">
      <alignment vertical="center"/>
    </xf>
    <xf numFmtId="0" fontId="0" fillId="0" borderId="1" xfId="0" applyBorder="1" applyAlignment="1">
      <alignment vertical="center" wrapText="1"/>
    </xf>
    <xf numFmtId="1" fontId="6" fillId="0" borderId="1" xfId="0" applyNumberFormat="1" applyFont="1" applyFill="1" applyBorder="1" applyAlignment="1">
      <alignment horizontal="left" vertical="center" wrapText="1"/>
    </xf>
    <xf numFmtId="1" fontId="6" fillId="0" borderId="1" xfId="0" applyNumberFormat="1" applyFont="1" applyFill="1" applyBorder="1" applyAlignment="1">
      <alignment horizontal="right" vertical="center" wrapText="1"/>
    </xf>
    <xf numFmtId="0" fontId="10" fillId="0" borderId="1" xfId="0" applyFont="1" applyBorder="1" applyAlignment="1">
      <alignment vertical="center"/>
    </xf>
    <xf numFmtId="1" fontId="10" fillId="0" borderId="1" xfId="0" applyNumberFormat="1" applyFont="1" applyBorder="1" applyAlignment="1">
      <alignment vertical="center" wrapText="1"/>
    </xf>
    <xf numFmtId="0" fontId="2" fillId="0" borderId="1" xfId="0" applyFont="1" applyBorder="1" applyAlignment="1">
      <alignment horizontal="right"/>
    </xf>
    <xf numFmtId="164" fontId="2" fillId="0" borderId="1" xfId="1" applyFont="1" applyBorder="1"/>
    <xf numFmtId="0" fontId="9" fillId="2" borderId="1" xfId="0" applyFont="1" applyFill="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horizontal="left"/>
    </xf>
    <xf numFmtId="0" fontId="0" fillId="0" borderId="0" xfId="0" applyAlignment="1">
      <alignment horizontal="right"/>
    </xf>
    <xf numFmtId="0" fontId="0" fillId="0" borderId="0" xfId="0" applyAlignment="1">
      <alignment horizontal="left"/>
    </xf>
    <xf numFmtId="164" fontId="17" fillId="0" borderId="0" xfId="0" applyNumberFormat="1" applyFont="1" applyAlignment="1">
      <alignment horizontal="center"/>
    </xf>
    <xf numFmtId="0" fontId="17" fillId="0" borderId="0" xfId="0" applyFont="1" applyAlignment="1">
      <alignment horizontal="center"/>
    </xf>
    <xf numFmtId="0" fontId="3"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166" fontId="0" fillId="0" borderId="1" xfId="0" applyNumberFormat="1" applyFont="1" applyBorder="1" applyAlignment="1">
      <alignment vertical="center" wrapText="1"/>
    </xf>
    <xf numFmtId="0" fontId="10" fillId="0" borderId="1" xfId="0" quotePrefix="1" applyFont="1" applyBorder="1" applyAlignment="1">
      <alignment vertical="center" wrapText="1"/>
    </xf>
    <xf numFmtId="1" fontId="9" fillId="0" borderId="1" xfId="0" applyNumberFormat="1" applyFont="1" applyFill="1" applyBorder="1" applyAlignment="1">
      <alignment vertical="center"/>
    </xf>
    <xf numFmtId="1" fontId="10" fillId="0" borderId="1" xfId="0" applyNumberFormat="1" applyFont="1" applyFill="1" applyBorder="1" applyAlignment="1">
      <alignment horizontal="left" vertical="center"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User\Downloads\V%20&#2352;&#2366;&#2359;&#2381;&#2335;&#2381;&#2352;&#2367;&#2351;%20&#2350;&#2366;.%20&#2348;&#2367;.%20&#2357;&#2366;&#2354;%20&#2344;&#2367;&#2352;&#2381;&#2350;&#2366;&#233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stimate"/>
      <sheetName val="grill item changed"/>
      <sheetName val="callapsible gate added"/>
      <sheetName val="WCR"/>
      <sheetName val="V"/>
      <sheetName val="Sheet1"/>
    </sheetNames>
    <sheetDataSet>
      <sheetData sheetId="0"/>
      <sheetData sheetId="1"/>
      <sheetData sheetId="2">
        <row r="6">
          <cell r="A6" t="str">
            <v>Project:- राष्ट्रिय मा. बि. वाल निर्माण</v>
          </cell>
        </row>
        <row r="7">
          <cell r="A7" t="str">
            <v>Location:- Shankharapur Municipality 9</v>
          </cell>
        </row>
      </sheetData>
      <sheetData sheetId="3"/>
      <sheetData sheetId="4">
        <row r="13">
          <cell r="G13">
            <v>2.1729629996843562</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6"/>
  <sheetViews>
    <sheetView topLeftCell="A41" zoomScaleNormal="100" zoomScaleSheetLayoutView="80" workbookViewId="0">
      <selection activeCell="A46" sqref="A46:XFD59"/>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7" t="s">
        <v>0</v>
      </c>
      <c r="B1" s="67"/>
      <c r="C1" s="67"/>
      <c r="D1" s="67"/>
      <c r="E1" s="67"/>
      <c r="F1" s="67"/>
      <c r="G1" s="67"/>
      <c r="H1" s="67"/>
      <c r="I1" s="67"/>
      <c r="J1" s="67"/>
      <c r="K1" s="67"/>
    </row>
    <row r="2" spans="1:13" s="1" customFormat="1" ht="22.8" x14ac:dyDescent="0.3">
      <c r="A2" s="68" t="s">
        <v>1</v>
      </c>
      <c r="B2" s="68"/>
      <c r="C2" s="68"/>
      <c r="D2" s="68"/>
      <c r="E2" s="68"/>
      <c r="F2" s="68"/>
      <c r="G2" s="68"/>
      <c r="H2" s="68"/>
      <c r="I2" s="68"/>
      <c r="J2" s="68"/>
      <c r="K2" s="68"/>
    </row>
    <row r="3" spans="1:13" s="1" customFormat="1" x14ac:dyDescent="0.3">
      <c r="A3" s="69" t="s">
        <v>2</v>
      </c>
      <c r="B3" s="69"/>
      <c r="C3" s="69"/>
      <c r="D3" s="69"/>
      <c r="E3" s="69"/>
      <c r="F3" s="69"/>
      <c r="G3" s="69"/>
      <c r="H3" s="69"/>
      <c r="I3" s="69"/>
      <c r="J3" s="69"/>
      <c r="K3" s="69"/>
    </row>
    <row r="4" spans="1:13" s="1" customFormat="1" x14ac:dyDescent="0.3">
      <c r="A4" s="69" t="s">
        <v>3</v>
      </c>
      <c r="B4" s="69"/>
      <c r="C4" s="69"/>
      <c r="D4" s="69"/>
      <c r="E4" s="69"/>
      <c r="F4" s="69"/>
      <c r="G4" s="69"/>
      <c r="H4" s="69"/>
      <c r="I4" s="69"/>
      <c r="J4" s="69"/>
      <c r="K4" s="69"/>
    </row>
    <row r="5" spans="1:13" ht="17.399999999999999" x14ac:dyDescent="0.3">
      <c r="A5" s="70" t="s">
        <v>4</v>
      </c>
      <c r="B5" s="70"/>
      <c r="C5" s="70"/>
      <c r="D5" s="70"/>
      <c r="E5" s="70"/>
      <c r="F5" s="70"/>
      <c r="G5" s="70"/>
      <c r="H5" s="70"/>
      <c r="I5" s="70"/>
      <c r="J5" s="70"/>
      <c r="K5" s="70"/>
    </row>
    <row r="6" spans="1:13" ht="18" x14ac:dyDescent="0.35">
      <c r="A6" s="66" t="s">
        <v>34</v>
      </c>
      <c r="B6" s="66"/>
      <c r="C6" s="66"/>
      <c r="D6" s="66"/>
      <c r="E6" s="66"/>
      <c r="F6" s="66"/>
      <c r="G6" s="66"/>
      <c r="H6" s="62" t="s">
        <v>24</v>
      </c>
      <c r="I6" s="62"/>
      <c r="J6" s="62"/>
      <c r="K6" s="62"/>
    </row>
    <row r="7" spans="1:13" ht="15.6" x14ac:dyDescent="0.3">
      <c r="A7" s="61" t="s">
        <v>23</v>
      </c>
      <c r="B7" s="61"/>
      <c r="C7" s="61"/>
      <c r="D7" s="61"/>
      <c r="E7" s="61"/>
      <c r="F7" s="61"/>
      <c r="G7" s="2"/>
      <c r="H7" s="62" t="s">
        <v>25</v>
      </c>
      <c r="I7" s="62"/>
      <c r="J7" s="62"/>
      <c r="K7" s="62"/>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46</v>
      </c>
      <c r="C10" s="40">
        <v>12</v>
      </c>
      <c r="D10" s="10">
        <f>15/3.281</f>
        <v>4.5717768972874122</v>
      </c>
      <c r="E10" s="10">
        <v>3.97</v>
      </c>
      <c r="F10" s="10">
        <f t="shared" ref="F10:F23" si="0">PRODUCT(C10:E10)</f>
        <v>217.79945138677232</v>
      </c>
      <c r="G10" s="36">
        <f t="shared" ref="G10:G23" si="1">F10</f>
        <v>217.79945138677232</v>
      </c>
      <c r="H10" s="27"/>
      <c r="I10" s="27"/>
      <c r="J10" s="27"/>
      <c r="K10" s="11"/>
      <c r="M10" s="12"/>
    </row>
    <row r="11" spans="1:13" s="1" customFormat="1" ht="41.4" x14ac:dyDescent="0.3">
      <c r="A11" s="38"/>
      <c r="B11" s="39" t="s">
        <v>47</v>
      </c>
      <c r="C11" s="40">
        <v>4</v>
      </c>
      <c r="D11" s="10">
        <f>33/3.281</f>
        <v>10.057909174032307</v>
      </c>
      <c r="E11" s="10">
        <v>2.72</v>
      </c>
      <c r="F11" s="10">
        <f t="shared" si="0"/>
        <v>109.43005181347151</v>
      </c>
      <c r="G11" s="36">
        <f t="shared" si="1"/>
        <v>109.43005181347151</v>
      </c>
      <c r="H11" s="27"/>
      <c r="I11" s="27"/>
      <c r="J11" s="27"/>
      <c r="K11" s="11"/>
      <c r="M11" s="12"/>
    </row>
    <row r="12" spans="1:13" s="1" customFormat="1" x14ac:dyDescent="0.3">
      <c r="A12" s="38"/>
      <c r="B12" s="39"/>
      <c r="C12" s="40">
        <f>3-1</f>
        <v>2</v>
      </c>
      <c r="D12" s="10">
        <f>40/3.281</f>
        <v>12.1914050594331</v>
      </c>
      <c r="E12" s="10">
        <v>2.72</v>
      </c>
      <c r="F12" s="10">
        <f t="shared" si="0"/>
        <v>66.32124352331607</v>
      </c>
      <c r="G12" s="36">
        <f t="shared" si="1"/>
        <v>66.32124352331607</v>
      </c>
      <c r="H12" s="27"/>
      <c r="I12" s="27"/>
      <c r="J12" s="27"/>
      <c r="K12" s="11"/>
      <c r="M12" s="12"/>
    </row>
    <row r="13" spans="1:13" s="1" customFormat="1" ht="41.4" x14ac:dyDescent="0.3">
      <c r="A13" s="38"/>
      <c r="B13" s="39" t="s">
        <v>51</v>
      </c>
      <c r="C13" s="40">
        <f>2*4</f>
        <v>8</v>
      </c>
      <c r="D13" s="10">
        <f>16/3.281</f>
        <v>4.8765620237732392</v>
      </c>
      <c r="E13" s="10">
        <v>2.72</v>
      </c>
      <c r="F13" s="10">
        <f t="shared" si="0"/>
        <v>106.11398963730569</v>
      </c>
      <c r="G13" s="36">
        <f t="shared" si="1"/>
        <v>106.11398963730569</v>
      </c>
      <c r="H13" s="27"/>
      <c r="I13" s="27"/>
      <c r="J13" s="27"/>
      <c r="K13" s="11"/>
      <c r="M13" s="12"/>
    </row>
    <row r="14" spans="1:13" s="1" customFormat="1" ht="41.4" x14ac:dyDescent="0.3">
      <c r="A14" s="38"/>
      <c r="B14" s="39" t="s">
        <v>48</v>
      </c>
      <c r="C14" s="40">
        <v>4</v>
      </c>
      <c r="D14" s="10">
        <f>3.5/3.281</f>
        <v>1.0667479427003961</v>
      </c>
      <c r="E14" s="10">
        <v>2.4300000000000002</v>
      </c>
      <c r="F14" s="10">
        <f t="shared" si="0"/>
        <v>10.368790003047851</v>
      </c>
      <c r="G14" s="36">
        <f t="shared" si="1"/>
        <v>10.368790003047851</v>
      </c>
      <c r="H14" s="27"/>
      <c r="I14" s="27"/>
      <c r="J14" s="27"/>
      <c r="K14" s="11"/>
      <c r="M14" s="12"/>
    </row>
    <row r="15" spans="1:13" s="1" customFormat="1" ht="41.4" x14ac:dyDescent="0.3">
      <c r="A15" s="38"/>
      <c r="B15" s="39" t="s">
        <v>50</v>
      </c>
      <c r="C15" s="40">
        <v>2</v>
      </c>
      <c r="D15" s="10">
        <f>3.917/3.281</f>
        <v>1.1938433404449862</v>
      </c>
      <c r="E15" s="10">
        <v>1.83</v>
      </c>
      <c r="F15" s="10">
        <f t="shared" si="0"/>
        <v>4.3694666260286494</v>
      </c>
      <c r="G15" s="36">
        <f t="shared" si="1"/>
        <v>4.3694666260286494</v>
      </c>
      <c r="H15" s="27"/>
      <c r="I15" s="27"/>
      <c r="J15" s="27"/>
      <c r="K15" s="11"/>
      <c r="M15" s="12"/>
    </row>
    <row r="16" spans="1:13" s="1" customFormat="1" x14ac:dyDescent="0.3">
      <c r="A16" s="38"/>
      <c r="B16" s="39"/>
      <c r="C16" s="40">
        <v>2</v>
      </c>
      <c r="D16" s="10">
        <f>3.5/3.281</f>
        <v>1.0667479427003961</v>
      </c>
      <c r="E16" s="10">
        <v>1.83</v>
      </c>
      <c r="F16" s="10">
        <f t="shared" si="0"/>
        <v>3.9042974702834496</v>
      </c>
      <c r="G16" s="36">
        <f t="shared" si="1"/>
        <v>3.9042974702834496</v>
      </c>
      <c r="H16" s="27"/>
      <c r="I16" s="27"/>
      <c r="J16" s="27"/>
      <c r="K16" s="11"/>
      <c r="M16" s="12"/>
    </row>
    <row r="17" spans="1:13" s="1" customFormat="1" x14ac:dyDescent="0.3">
      <c r="A17" s="38"/>
      <c r="B17" s="39"/>
      <c r="C17" s="40">
        <v>2</v>
      </c>
      <c r="D17" s="10">
        <f>3.17/3.281</f>
        <v>0.9661688509600731</v>
      </c>
      <c r="E17" s="10">
        <v>1.83</v>
      </c>
      <c r="F17" s="10">
        <f t="shared" si="0"/>
        <v>3.5361779945138676</v>
      </c>
      <c r="G17" s="36">
        <f t="shared" si="1"/>
        <v>3.5361779945138676</v>
      </c>
      <c r="H17" s="27"/>
      <c r="I17" s="27"/>
      <c r="J17" s="27"/>
      <c r="K17" s="11"/>
      <c r="M17" s="12"/>
    </row>
    <row r="18" spans="1:13" s="1" customFormat="1" x14ac:dyDescent="0.3">
      <c r="A18" s="38"/>
      <c r="B18" s="39"/>
      <c r="C18" s="40">
        <v>2</v>
      </c>
      <c r="D18" s="10">
        <f>3/3.281</f>
        <v>0.91435537945748246</v>
      </c>
      <c r="E18" s="10">
        <v>1.83</v>
      </c>
      <c r="F18" s="10">
        <f t="shared" si="0"/>
        <v>3.346540688814386</v>
      </c>
      <c r="G18" s="36">
        <f t="shared" si="1"/>
        <v>3.346540688814386</v>
      </c>
      <c r="H18" s="27"/>
      <c r="I18" s="27"/>
      <c r="J18" s="27"/>
      <c r="K18" s="11"/>
      <c r="M18" s="12"/>
    </row>
    <row r="19" spans="1:13" s="1" customFormat="1" ht="41.4" x14ac:dyDescent="0.3">
      <c r="A19" s="38"/>
      <c r="B19" s="39" t="s">
        <v>38</v>
      </c>
      <c r="C19" s="40">
        <v>2</v>
      </c>
      <c r="D19" s="10">
        <f>2.667/3.281</f>
        <v>0.81286193233770188</v>
      </c>
      <c r="E19" s="10">
        <v>1.83</v>
      </c>
      <c r="F19" s="10">
        <f t="shared" si="0"/>
        <v>2.9750746723559889</v>
      </c>
      <c r="G19" s="36">
        <f t="shared" si="1"/>
        <v>2.9750746723559889</v>
      </c>
      <c r="H19" s="27"/>
      <c r="I19" s="27"/>
      <c r="J19" s="27"/>
      <c r="K19" s="11"/>
      <c r="M19" s="12"/>
    </row>
    <row r="20" spans="1:13" s="1" customFormat="1" x14ac:dyDescent="0.3">
      <c r="A20" s="38"/>
      <c r="B20" s="39"/>
      <c r="C20" s="40">
        <v>2</v>
      </c>
      <c r="D20" s="10">
        <f>2/3.281</f>
        <v>0.6095702529716549</v>
      </c>
      <c r="E20" s="10">
        <v>1.83</v>
      </c>
      <c r="F20" s="10">
        <f t="shared" si="0"/>
        <v>2.2310271258762571</v>
      </c>
      <c r="G20" s="36">
        <f t="shared" si="1"/>
        <v>2.2310271258762571</v>
      </c>
      <c r="H20" s="27"/>
      <c r="I20" s="27"/>
      <c r="J20" s="27"/>
      <c r="K20" s="11"/>
      <c r="M20" s="12"/>
    </row>
    <row r="21" spans="1:13" s="1" customFormat="1" x14ac:dyDescent="0.3">
      <c r="A21" s="38"/>
      <c r="B21" s="39"/>
      <c r="C21" s="40">
        <v>2</v>
      </c>
      <c r="D21" s="10">
        <f>1.333/3.281</f>
        <v>0.40627857360560804</v>
      </c>
      <c r="E21" s="10">
        <v>1.83</v>
      </c>
      <c r="F21" s="10">
        <f t="shared" si="0"/>
        <v>1.4869795793965255</v>
      </c>
      <c r="G21" s="36">
        <f t="shared" si="1"/>
        <v>1.4869795793965255</v>
      </c>
      <c r="H21" s="27"/>
      <c r="I21" s="27"/>
      <c r="J21" s="27"/>
      <c r="K21" s="11"/>
      <c r="M21" s="12"/>
    </row>
    <row r="22" spans="1:13" s="1" customFormat="1" x14ac:dyDescent="0.3">
      <c r="A22" s="38"/>
      <c r="B22" s="39"/>
      <c r="C22" s="40">
        <v>2</v>
      </c>
      <c r="D22" s="10">
        <f>8/12/3.281</f>
        <v>0.20319008432388497</v>
      </c>
      <c r="E22" s="10">
        <v>1.83</v>
      </c>
      <c r="F22" s="10">
        <f t="shared" si="0"/>
        <v>0.74367570862541899</v>
      </c>
      <c r="G22" s="36">
        <f t="shared" si="1"/>
        <v>0.74367570862541899</v>
      </c>
      <c r="H22" s="27"/>
      <c r="I22" s="27"/>
      <c r="J22" s="27"/>
      <c r="K22" s="11"/>
      <c r="M22" s="12"/>
    </row>
    <row r="23" spans="1:13" s="1" customFormat="1" ht="27.6" x14ac:dyDescent="0.3">
      <c r="A23" s="38"/>
      <c r="B23" s="39" t="s">
        <v>52</v>
      </c>
      <c r="C23" s="40">
        <f>2*5</f>
        <v>10</v>
      </c>
      <c r="D23" s="10">
        <f>(0.75+30+0.75)/3.281</f>
        <v>9.6007314843035658</v>
      </c>
      <c r="E23" s="10">
        <v>2.72</v>
      </c>
      <c r="F23" s="10">
        <f t="shared" si="0"/>
        <v>261.13989637305701</v>
      </c>
      <c r="G23" s="36">
        <f t="shared" si="1"/>
        <v>261.13989637305701</v>
      </c>
      <c r="H23" s="27"/>
      <c r="I23" s="27"/>
      <c r="J23" s="27"/>
      <c r="K23" s="11"/>
      <c r="M23" s="12"/>
    </row>
    <row r="24" spans="1:13" s="1" customFormat="1" x14ac:dyDescent="0.3">
      <c r="A24" s="21"/>
      <c r="B24" s="39" t="s">
        <v>26</v>
      </c>
      <c r="C24" s="22"/>
      <c r="D24" s="23"/>
      <c r="E24" s="24"/>
      <c r="F24" s="24"/>
      <c r="G24" s="27">
        <f>SUM(G10:G23)</f>
        <v>793.76666260286504</v>
      </c>
      <c r="H24" s="25" t="s">
        <v>31</v>
      </c>
      <c r="I24" s="26">
        <v>181.17</v>
      </c>
      <c r="J24" s="27">
        <f>G24*I24</f>
        <v>143806.70626376104</v>
      </c>
      <c r="K24" s="24"/>
    </row>
    <row r="25" spans="1:13" s="1" customFormat="1" x14ac:dyDescent="0.3">
      <c r="A25" s="21"/>
      <c r="B25" s="39" t="s">
        <v>39</v>
      </c>
      <c r="C25" s="22"/>
      <c r="D25" s="23"/>
      <c r="E25" s="24"/>
      <c r="F25" s="24"/>
      <c r="G25" s="27"/>
      <c r="H25" s="25"/>
      <c r="I25" s="26"/>
      <c r="J25" s="27">
        <f>0.13*G24*(1871.42/18.94)</f>
        <v>10195.945353995407</v>
      </c>
      <c r="K25" s="24"/>
    </row>
    <row r="26" spans="1:13" s="1" customFormat="1" ht="15" x14ac:dyDescent="0.3">
      <c r="A26" s="21"/>
      <c r="B26" s="37"/>
      <c r="C26" s="22"/>
      <c r="D26" s="23"/>
      <c r="E26" s="24"/>
      <c r="F26" s="24"/>
      <c r="G26" s="28"/>
      <c r="H26" s="25"/>
      <c r="I26" s="26"/>
      <c r="J26" s="27"/>
      <c r="K26" s="24"/>
    </row>
    <row r="27" spans="1:13" s="1" customFormat="1" ht="45" x14ac:dyDescent="0.3">
      <c r="A27" s="38">
        <v>2</v>
      </c>
      <c r="B27" s="37" t="s">
        <v>32</v>
      </c>
      <c r="C27" s="40"/>
      <c r="D27" s="10"/>
      <c r="E27" s="10"/>
      <c r="F27" s="10"/>
      <c r="G27" s="36"/>
      <c r="H27" s="27"/>
      <c r="I27" s="27"/>
      <c r="J27" s="27"/>
      <c r="K27" s="11"/>
      <c r="M27" s="12"/>
    </row>
    <row r="28" spans="1:13" s="1" customFormat="1" x14ac:dyDescent="0.3">
      <c r="A28" s="38"/>
      <c r="B28" s="39"/>
      <c r="C28" s="40">
        <v>2</v>
      </c>
      <c r="D28" s="10">
        <f>16/3.281</f>
        <v>4.8765620237732392</v>
      </c>
      <c r="E28" s="10">
        <f>31.5/3.281</f>
        <v>9.6007314843035658</v>
      </c>
      <c r="F28" s="10"/>
      <c r="G28" s="36">
        <f>PRODUCT(C28:F28)</f>
        <v>93.637125113597705</v>
      </c>
      <c r="H28" s="27"/>
      <c r="I28" s="27"/>
      <c r="J28" s="27"/>
      <c r="K28" s="11"/>
      <c r="M28" s="12"/>
    </row>
    <row r="29" spans="1:13" s="1" customFormat="1" x14ac:dyDescent="0.3">
      <c r="A29" s="21"/>
      <c r="B29" s="39" t="s">
        <v>26</v>
      </c>
      <c r="C29" s="22"/>
      <c r="D29" s="23"/>
      <c r="E29" s="24"/>
      <c r="F29" s="24"/>
      <c r="G29" s="27">
        <f>SUM(G28:G28)</f>
        <v>93.637125113597705</v>
      </c>
      <c r="H29" s="25" t="s">
        <v>33</v>
      </c>
      <c r="I29" s="26">
        <v>1070.9000000000001</v>
      </c>
      <c r="J29" s="27">
        <f>G29*I29</f>
        <v>100275.99728415179</v>
      </c>
      <c r="K29" s="24"/>
    </row>
    <row r="30" spans="1:13" s="1" customFormat="1" x14ac:dyDescent="0.3">
      <c r="A30" s="21"/>
      <c r="B30" s="39" t="s">
        <v>39</v>
      </c>
      <c r="C30" s="22"/>
      <c r="D30" s="23"/>
      <c r="E30" s="24"/>
      <c r="F30" s="24"/>
      <c r="G30" s="27"/>
      <c r="H30" s="25"/>
      <c r="I30" s="26"/>
      <c r="J30" s="27">
        <f>0.13*G29*8587.63/10</f>
        <v>10453.572801610706</v>
      </c>
      <c r="K30" s="24"/>
    </row>
    <row r="31" spans="1:13" s="1" customFormat="1" x14ac:dyDescent="0.3">
      <c r="A31" s="21"/>
      <c r="B31" s="39"/>
      <c r="C31" s="22"/>
      <c r="D31" s="23"/>
      <c r="E31" s="24"/>
      <c r="F31" s="24"/>
      <c r="G31" s="27"/>
      <c r="H31" s="25"/>
      <c r="I31" s="26"/>
      <c r="J31" s="27"/>
      <c r="K31" s="24"/>
    </row>
    <row r="32" spans="1:13" s="1" customFormat="1" ht="30" x14ac:dyDescent="0.3">
      <c r="A32" s="21">
        <v>3</v>
      </c>
      <c r="B32" s="37" t="s">
        <v>40</v>
      </c>
      <c r="C32" s="22"/>
      <c r="D32" s="23"/>
      <c r="E32" s="24"/>
      <c r="F32" s="24"/>
      <c r="G32" s="27"/>
      <c r="H32" s="25"/>
      <c r="I32" s="26"/>
      <c r="J32" s="27"/>
      <c r="K32" s="24"/>
    </row>
    <row r="33" spans="1:11" s="1" customFormat="1" x14ac:dyDescent="0.3">
      <c r="A33" s="21"/>
      <c r="B33" s="39" t="s">
        <v>41</v>
      </c>
      <c r="C33" s="22">
        <f>3*4</f>
        <v>12</v>
      </c>
      <c r="D33" s="23">
        <v>0.9</v>
      </c>
      <c r="E33" s="24">
        <v>0.9</v>
      </c>
      <c r="F33" s="24">
        <f>3/3.281</f>
        <v>0.91435537945748246</v>
      </c>
      <c r="G33" s="36">
        <f>PRODUCT(C33:F33)</f>
        <v>8.8875342883267301</v>
      </c>
      <c r="H33" s="25"/>
      <c r="I33" s="26"/>
      <c r="J33" s="27"/>
      <c r="K33" s="24"/>
    </row>
    <row r="34" spans="1:11" s="1" customFormat="1" x14ac:dyDescent="0.3">
      <c r="A34" s="21"/>
      <c r="B34" s="39" t="s">
        <v>26</v>
      </c>
      <c r="C34" s="22"/>
      <c r="D34" s="23"/>
      <c r="E34" s="24"/>
      <c r="F34" s="24"/>
      <c r="G34" s="27">
        <f>SUM(G33:G33)</f>
        <v>8.8875342883267301</v>
      </c>
      <c r="H34" s="25" t="s">
        <v>42</v>
      </c>
      <c r="I34" s="26">
        <v>663.31</v>
      </c>
      <c r="J34" s="27">
        <f>G34*I34</f>
        <v>5895.190368790003</v>
      </c>
      <c r="K34" s="24"/>
    </row>
    <row r="35" spans="1:11" s="1" customFormat="1" x14ac:dyDescent="0.3">
      <c r="A35" s="21"/>
      <c r="B35" s="39"/>
      <c r="C35" s="22"/>
      <c r="D35" s="23"/>
      <c r="E35" s="24"/>
      <c r="F35" s="24"/>
      <c r="G35" s="27"/>
      <c r="H35" s="25"/>
      <c r="I35" s="26"/>
      <c r="J35" s="27"/>
      <c r="K35" s="24"/>
    </row>
    <row r="36" spans="1:11" s="1" customFormat="1" ht="30" x14ac:dyDescent="0.3">
      <c r="A36" s="21">
        <v>3</v>
      </c>
      <c r="B36" s="37" t="s">
        <v>43</v>
      </c>
      <c r="C36" s="22"/>
      <c r="D36" s="23"/>
      <c r="E36" s="24"/>
      <c r="F36" s="24"/>
      <c r="G36" s="27"/>
      <c r="H36" s="25"/>
      <c r="I36" s="26"/>
      <c r="J36" s="27"/>
      <c r="K36" s="24"/>
    </row>
    <row r="37" spans="1:11" s="1" customFormat="1" x14ac:dyDescent="0.3">
      <c r="A37" s="21"/>
      <c r="B37" s="39" t="s">
        <v>41</v>
      </c>
      <c r="C37" s="22">
        <f>3*4</f>
        <v>12</v>
      </c>
      <c r="D37" s="23">
        <v>0.75</v>
      </c>
      <c r="E37" s="24">
        <v>0.75</v>
      </c>
      <c r="F37" s="24">
        <v>0.15</v>
      </c>
      <c r="G37" s="36">
        <f>PRODUCT(C37:F37)</f>
        <v>1.0125</v>
      </c>
      <c r="H37" s="25"/>
      <c r="I37" s="26"/>
      <c r="J37" s="27"/>
      <c r="K37" s="24"/>
    </row>
    <row r="38" spans="1:11" s="1" customFormat="1" x14ac:dyDescent="0.3">
      <c r="A38" s="21"/>
      <c r="B38" s="39" t="s">
        <v>26</v>
      </c>
      <c r="C38" s="22"/>
      <c r="D38" s="23"/>
      <c r="E38" s="24"/>
      <c r="F38" s="24"/>
      <c r="G38" s="27">
        <f>SUM(G37:G37)</f>
        <v>1.0125</v>
      </c>
      <c r="H38" s="25" t="s">
        <v>42</v>
      </c>
      <c r="I38" s="26">
        <v>4473.1499999999996</v>
      </c>
      <c r="J38" s="27">
        <f>G38*I38</f>
        <v>4529.064374999999</v>
      </c>
      <c r="K38" s="24"/>
    </row>
    <row r="39" spans="1:11" s="1" customFormat="1" x14ac:dyDescent="0.3">
      <c r="A39" s="21"/>
      <c r="B39" s="39" t="s">
        <v>39</v>
      </c>
      <c r="C39" s="22"/>
      <c r="D39" s="23"/>
      <c r="E39" s="24"/>
      <c r="F39" s="24"/>
      <c r="G39" s="27"/>
      <c r="H39" s="25"/>
      <c r="I39" s="26"/>
      <c r="J39" s="27">
        <f>0.13*G38*3093.15</f>
        <v>407.13586874999999</v>
      </c>
      <c r="K39" s="24"/>
    </row>
    <row r="40" spans="1:11" s="1" customFormat="1" x14ac:dyDescent="0.3">
      <c r="A40" s="21"/>
      <c r="B40" s="39"/>
      <c r="C40" s="22"/>
      <c r="D40" s="23"/>
      <c r="E40" s="24"/>
      <c r="F40" s="24"/>
      <c r="G40" s="27"/>
      <c r="H40" s="25"/>
      <c r="I40" s="26"/>
      <c r="J40" s="27"/>
      <c r="K40" s="24"/>
    </row>
    <row r="41" spans="1:11" s="1" customFormat="1" ht="30" x14ac:dyDescent="0.3">
      <c r="A41" s="21">
        <v>3</v>
      </c>
      <c r="B41" s="37" t="s">
        <v>44</v>
      </c>
      <c r="C41" s="22"/>
      <c r="D41" s="23"/>
      <c r="E41" s="24"/>
      <c r="F41" s="24"/>
      <c r="G41" s="27"/>
      <c r="H41" s="25"/>
      <c r="I41" s="26"/>
      <c r="J41" s="27"/>
      <c r="K41" s="24"/>
    </row>
    <row r="42" spans="1:11" s="1" customFormat="1" x14ac:dyDescent="0.3">
      <c r="A42" s="21"/>
      <c r="B42" s="39" t="s">
        <v>41</v>
      </c>
      <c r="C42" s="22">
        <f>3*4</f>
        <v>12</v>
      </c>
      <c r="D42" s="23">
        <v>0.75</v>
      </c>
      <c r="E42" s="24">
        <v>0.75</v>
      </c>
      <c r="F42" s="24">
        <v>0.05</v>
      </c>
      <c r="G42" s="36">
        <f>PRODUCT(C42:F42)</f>
        <v>0.33750000000000002</v>
      </c>
      <c r="H42" s="25"/>
      <c r="I42" s="26"/>
      <c r="J42" s="27"/>
      <c r="K42" s="24"/>
    </row>
    <row r="43" spans="1:11" s="1" customFormat="1" x14ac:dyDescent="0.3">
      <c r="A43" s="21"/>
      <c r="B43" s="39" t="s">
        <v>26</v>
      </c>
      <c r="C43" s="22"/>
      <c r="D43" s="23"/>
      <c r="E43" s="24"/>
      <c r="F43" s="24"/>
      <c r="G43" s="27">
        <f>SUM(G42:G42)</f>
        <v>0.33750000000000002</v>
      </c>
      <c r="H43" s="25" t="s">
        <v>42</v>
      </c>
      <c r="I43" s="26">
        <v>12983.1</v>
      </c>
      <c r="J43" s="27">
        <f>G43*I43</f>
        <v>4381.7962500000003</v>
      </c>
      <c r="K43" s="24"/>
    </row>
    <row r="44" spans="1:11" s="1" customFormat="1" x14ac:dyDescent="0.3">
      <c r="A44" s="21"/>
      <c r="B44" s="39" t="s">
        <v>39</v>
      </c>
      <c r="C44" s="22"/>
      <c r="D44" s="23"/>
      <c r="E44" s="24"/>
      <c r="F44" s="24"/>
      <c r="G44" s="27"/>
      <c r="H44" s="25"/>
      <c r="I44" s="26"/>
      <c r="J44" s="27">
        <f>0.13*G43*8078.11</f>
        <v>354.42707625000003</v>
      </c>
      <c r="K44" s="24"/>
    </row>
    <row r="45" spans="1:11" s="1" customFormat="1" x14ac:dyDescent="0.3">
      <c r="A45" s="21"/>
      <c r="B45" s="39"/>
      <c r="C45" s="22"/>
      <c r="D45" s="23"/>
      <c r="E45" s="24"/>
      <c r="F45" s="24"/>
      <c r="G45" s="27"/>
      <c r="H45" s="25"/>
      <c r="I45" s="26"/>
      <c r="J45" s="27"/>
      <c r="K45" s="24"/>
    </row>
    <row r="60" spans="1:11" s="1" customFormat="1" ht="30" x14ac:dyDescent="0.3">
      <c r="A60" s="21">
        <v>3</v>
      </c>
      <c r="B60" s="37" t="s">
        <v>45</v>
      </c>
      <c r="C60" s="22"/>
      <c r="D60" s="23"/>
      <c r="E60" s="24"/>
      <c r="F60" s="24"/>
      <c r="G60" s="27"/>
      <c r="H60" s="25"/>
      <c r="I60" s="26"/>
      <c r="J60" s="27"/>
      <c r="K60" s="24"/>
    </row>
    <row r="61" spans="1:11" s="1" customFormat="1" x14ac:dyDescent="0.3">
      <c r="A61" s="21"/>
      <c r="B61" s="39" t="s">
        <v>41</v>
      </c>
      <c r="C61" s="22">
        <f>3*4</f>
        <v>12</v>
      </c>
      <c r="D61" s="23">
        <v>0.6</v>
      </c>
      <c r="E61" s="24">
        <v>0.6</v>
      </c>
      <c r="F61" s="24">
        <v>0.6</v>
      </c>
      <c r="G61" s="36">
        <f>PRODUCT(C61:F61)</f>
        <v>2.5919999999999996</v>
      </c>
      <c r="H61" s="25"/>
      <c r="I61" s="26"/>
      <c r="J61" s="27"/>
      <c r="K61" s="24"/>
    </row>
    <row r="62" spans="1:11" s="1" customFormat="1" x14ac:dyDescent="0.3">
      <c r="A62" s="21"/>
      <c r="B62" s="39" t="s">
        <v>26</v>
      </c>
      <c r="C62" s="22"/>
      <c r="D62" s="23"/>
      <c r="E62" s="24"/>
      <c r="F62" s="24"/>
      <c r="G62" s="27">
        <f>SUM(G61:G61)</f>
        <v>2.5919999999999996</v>
      </c>
      <c r="H62" s="25" t="s">
        <v>42</v>
      </c>
      <c r="I62" s="26">
        <v>13568.9</v>
      </c>
      <c r="J62" s="27">
        <f>G62*I62</f>
        <v>35170.588799999998</v>
      </c>
      <c r="K62" s="24"/>
    </row>
    <row r="63" spans="1:11" s="1" customFormat="1" x14ac:dyDescent="0.3">
      <c r="A63" s="21"/>
      <c r="B63" s="39" t="s">
        <v>39</v>
      </c>
      <c r="C63" s="22"/>
      <c r="D63" s="23"/>
      <c r="E63" s="24"/>
      <c r="F63" s="24"/>
      <c r="G63" s="27"/>
      <c r="H63" s="25"/>
      <c r="I63" s="26"/>
      <c r="J63" s="27">
        <f>0.13*G62*9524.2</f>
        <v>3209.2744320000002</v>
      </c>
      <c r="K63" s="24"/>
    </row>
    <row r="64" spans="1:11" s="1" customFormat="1" x14ac:dyDescent="0.3">
      <c r="A64" s="21"/>
      <c r="B64" s="39"/>
      <c r="C64" s="22"/>
      <c r="D64" s="23"/>
      <c r="E64" s="24"/>
      <c r="F64" s="24"/>
      <c r="G64" s="27"/>
      <c r="H64" s="25"/>
      <c r="I64" s="26"/>
      <c r="J64" s="27"/>
      <c r="K64" s="24"/>
    </row>
    <row r="65" spans="1:31" s="1" customFormat="1" ht="27.6" x14ac:dyDescent="0.3">
      <c r="A65" s="21">
        <v>3</v>
      </c>
      <c r="B65" s="41" t="s">
        <v>35</v>
      </c>
      <c r="C65" s="22">
        <v>1</v>
      </c>
      <c r="D65" s="23"/>
      <c r="E65" s="24"/>
      <c r="F65" s="24"/>
      <c r="G65" s="36">
        <f>PRODUCT(C65:F65)</f>
        <v>1</v>
      </c>
      <c r="H65" s="25" t="s">
        <v>36</v>
      </c>
      <c r="I65" s="26">
        <v>5000</v>
      </c>
      <c r="J65" s="27">
        <f>G65*I65</f>
        <v>5000</v>
      </c>
      <c r="K65" s="24"/>
    </row>
    <row r="66" spans="1:31" s="1" customFormat="1" x14ac:dyDescent="0.3">
      <c r="A66" s="21"/>
      <c r="B66" s="39"/>
      <c r="C66" s="22"/>
      <c r="D66" s="23"/>
      <c r="E66" s="24"/>
      <c r="F66" s="24"/>
      <c r="G66" s="27"/>
      <c r="H66" s="25"/>
      <c r="I66" s="26"/>
      <c r="J66" s="27"/>
      <c r="K66" s="24"/>
    </row>
    <row r="67" spans="1:31" s="1" customFormat="1" x14ac:dyDescent="0.3">
      <c r="A67" s="21">
        <v>4</v>
      </c>
      <c r="B67" s="41" t="s">
        <v>37</v>
      </c>
      <c r="C67" s="22">
        <v>1</v>
      </c>
      <c r="D67" s="23"/>
      <c r="E67" s="24"/>
      <c r="F67" s="24"/>
      <c r="G67" s="36">
        <f>PRODUCT(C67:F67)</f>
        <v>1</v>
      </c>
      <c r="H67" s="25" t="s">
        <v>36</v>
      </c>
      <c r="I67" s="26">
        <v>500</v>
      </c>
      <c r="J67" s="27">
        <f>G67*I67</f>
        <v>500</v>
      </c>
      <c r="K67" s="24"/>
    </row>
    <row r="68" spans="1:31" s="1" customFormat="1" x14ac:dyDescent="0.3">
      <c r="A68" s="21"/>
      <c r="B68" s="39"/>
      <c r="C68" s="22"/>
      <c r="D68" s="23"/>
      <c r="E68" s="24"/>
      <c r="F68" s="24"/>
      <c r="G68" s="27"/>
      <c r="H68" s="25"/>
      <c r="I68" s="26"/>
      <c r="J68" s="27"/>
      <c r="K68" s="24"/>
    </row>
    <row r="69" spans="1:31" x14ac:dyDescent="0.3">
      <c r="A69" s="9"/>
      <c r="B69" s="20" t="s">
        <v>16</v>
      </c>
      <c r="C69" s="8"/>
      <c r="D69" s="6"/>
      <c r="E69" s="6"/>
      <c r="F69" s="6"/>
      <c r="G69" s="33"/>
      <c r="H69" s="7"/>
      <c r="I69" s="7"/>
      <c r="J69" s="7">
        <f>SUM(J10:J68)</f>
        <v>324179.69887430896</v>
      </c>
      <c r="K69" s="4"/>
      <c r="M69" s="29"/>
      <c r="P69" s="32"/>
      <c r="Q69" s="32"/>
    </row>
    <row r="70" spans="1:31" x14ac:dyDescent="0.3">
      <c r="M70" s="29"/>
      <c r="N70" s="30"/>
      <c r="O70" s="30"/>
      <c r="P70" s="31"/>
      <c r="R70" s="30"/>
      <c r="S70" s="30"/>
      <c r="T70" s="30"/>
      <c r="U70" s="29"/>
      <c r="V70" s="29"/>
      <c r="W70" s="29"/>
      <c r="X70" s="29"/>
      <c r="Y70" s="29"/>
      <c r="Z70" s="29"/>
      <c r="AA70" s="29"/>
      <c r="AB70" s="29"/>
      <c r="AC70" s="29"/>
      <c r="AD70" s="29"/>
      <c r="AE70" s="29"/>
    </row>
    <row r="71" spans="1:31" s="1" customFormat="1" x14ac:dyDescent="0.3">
      <c r="B71" s="11" t="s">
        <v>22</v>
      </c>
      <c r="C71" s="59">
        <f>J69</f>
        <v>324179.69887430896</v>
      </c>
      <c r="D71" s="60"/>
      <c r="E71" s="10">
        <v>100</v>
      </c>
      <c r="F71" s="12"/>
      <c r="G71" s="13"/>
      <c r="H71" s="12"/>
      <c r="I71" s="14"/>
      <c r="J71" s="15"/>
      <c r="K71" s="16"/>
      <c r="M71" s="12"/>
      <c r="N71" s="30"/>
      <c r="O71" s="30"/>
      <c r="P71" s="30"/>
      <c r="Q71" s="30"/>
      <c r="R71" s="30"/>
      <c r="S71" s="30"/>
      <c r="T71" s="30"/>
      <c r="U71" s="12"/>
      <c r="V71" s="12"/>
      <c r="W71" s="12"/>
      <c r="X71" s="12"/>
      <c r="Y71" s="12"/>
      <c r="Z71" s="12"/>
      <c r="AA71" s="12"/>
      <c r="AB71" s="12"/>
      <c r="AC71" s="12"/>
      <c r="AD71" s="12"/>
      <c r="AE71" s="12"/>
    </row>
    <row r="72" spans="1:31" x14ac:dyDescent="0.3">
      <c r="B72" s="11" t="s">
        <v>17</v>
      </c>
      <c r="C72" s="63">
        <v>400000</v>
      </c>
      <c r="D72" s="64"/>
      <c r="E72" s="10"/>
      <c r="M72" s="29"/>
      <c r="N72" s="30"/>
      <c r="O72" s="30"/>
      <c r="P72" s="30"/>
      <c r="Q72" s="30"/>
      <c r="R72" s="30"/>
      <c r="S72" s="30"/>
      <c r="T72" s="30"/>
      <c r="U72" s="29"/>
      <c r="V72" s="29"/>
      <c r="W72" s="29"/>
      <c r="X72" s="29"/>
      <c r="Y72" s="29"/>
      <c r="Z72" s="29"/>
      <c r="AA72" s="29"/>
      <c r="AB72" s="29"/>
      <c r="AC72" s="29"/>
      <c r="AD72" s="29"/>
      <c r="AE72" s="29"/>
    </row>
    <row r="73" spans="1:31" x14ac:dyDescent="0.3">
      <c r="B73" s="11" t="s">
        <v>18</v>
      </c>
      <c r="C73" s="63">
        <f>C72-C75-C76</f>
        <v>380000</v>
      </c>
      <c r="D73" s="64"/>
      <c r="E73" s="10">
        <f>C73/C71*100</f>
        <v>117.21893792841533</v>
      </c>
      <c r="M73" s="29"/>
      <c r="N73" s="29"/>
      <c r="O73" s="29"/>
      <c r="P73" s="29"/>
      <c r="Q73" s="29"/>
      <c r="R73" s="29"/>
      <c r="S73" s="29"/>
      <c r="T73" s="29"/>
      <c r="U73" s="29"/>
      <c r="V73" s="29"/>
      <c r="W73" s="29"/>
      <c r="X73" s="29"/>
      <c r="Y73" s="29"/>
      <c r="Z73" s="29"/>
      <c r="AA73" s="29"/>
      <c r="AB73" s="29"/>
      <c r="AC73" s="29"/>
      <c r="AD73" s="29"/>
      <c r="AE73" s="29"/>
    </row>
    <row r="74" spans="1:31" x14ac:dyDescent="0.3">
      <c r="B74" s="11" t="s">
        <v>19</v>
      </c>
      <c r="C74" s="65">
        <f>C71-C73</f>
        <v>-55820.301125691039</v>
      </c>
      <c r="D74" s="65"/>
      <c r="E74" s="10">
        <f>100-E73</f>
        <v>-17.218937928415329</v>
      </c>
      <c r="M74" s="29"/>
      <c r="N74" s="29"/>
      <c r="O74" s="29"/>
      <c r="P74" s="29"/>
      <c r="Q74" s="29"/>
      <c r="R74" s="29"/>
      <c r="S74" s="29"/>
      <c r="T74" s="29"/>
      <c r="U74" s="29"/>
      <c r="V74" s="29"/>
      <c r="W74" s="29"/>
      <c r="X74" s="29"/>
      <c r="Y74" s="29"/>
      <c r="Z74" s="29"/>
      <c r="AA74" s="29"/>
      <c r="AB74" s="29"/>
      <c r="AC74" s="29"/>
      <c r="AD74" s="29"/>
      <c r="AE74" s="29"/>
    </row>
    <row r="75" spans="1:31" x14ac:dyDescent="0.3">
      <c r="B75" s="11" t="s">
        <v>20</v>
      </c>
      <c r="C75" s="59">
        <f>C72*0.03</f>
        <v>12000</v>
      </c>
      <c r="D75" s="60"/>
      <c r="E75" s="10">
        <v>3</v>
      </c>
      <c r="M75" s="29"/>
      <c r="N75" s="29"/>
      <c r="O75" s="29"/>
      <c r="P75" s="29"/>
      <c r="Q75" s="29"/>
      <c r="R75" s="29"/>
      <c r="S75" s="29"/>
      <c r="T75" s="29"/>
      <c r="U75" s="29"/>
      <c r="V75" s="29"/>
      <c r="W75" s="29"/>
      <c r="X75" s="29"/>
      <c r="Y75" s="29"/>
      <c r="Z75" s="29"/>
      <c r="AA75" s="29"/>
      <c r="AB75" s="29"/>
      <c r="AC75" s="29"/>
      <c r="AD75" s="29"/>
      <c r="AE75" s="29"/>
    </row>
    <row r="76" spans="1:31" x14ac:dyDescent="0.3">
      <c r="B76" s="11" t="s">
        <v>21</v>
      </c>
      <c r="C76" s="59">
        <f>C72*0.02</f>
        <v>8000</v>
      </c>
      <c r="D76" s="60"/>
      <c r="E76" s="10">
        <v>2</v>
      </c>
      <c r="M76" s="29"/>
      <c r="N76" s="29"/>
      <c r="O76" s="29"/>
      <c r="P76" s="29"/>
      <c r="Q76" s="29"/>
      <c r="R76" s="29"/>
      <c r="S76" s="29"/>
      <c r="T76" s="29"/>
      <c r="U76" s="29"/>
      <c r="V76" s="29"/>
      <c r="W76" s="29"/>
      <c r="X76" s="29"/>
      <c r="Y76" s="29"/>
      <c r="Z76" s="29"/>
      <c r="AA76" s="29"/>
      <c r="AB76" s="29"/>
      <c r="AC76" s="29"/>
      <c r="AD76" s="29"/>
      <c r="AE76" s="29"/>
    </row>
  </sheetData>
  <mergeCells count="15">
    <mergeCell ref="A6:G6"/>
    <mergeCell ref="H6:K6"/>
    <mergeCell ref="A1:K1"/>
    <mergeCell ref="A2:K2"/>
    <mergeCell ref="A3:K3"/>
    <mergeCell ref="A4:K4"/>
    <mergeCell ref="A5:K5"/>
    <mergeCell ref="C75:D75"/>
    <mergeCell ref="C76:D76"/>
    <mergeCell ref="A7:F7"/>
    <mergeCell ref="H7:K7"/>
    <mergeCell ref="C71:D71"/>
    <mergeCell ref="C72:D72"/>
    <mergeCell ref="C73:D73"/>
    <mergeCell ref="C74:D74"/>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8"/>
  <sheetViews>
    <sheetView view="pageBreakPreview" topLeftCell="A58" zoomScale="80" zoomScaleNormal="100" zoomScaleSheetLayoutView="80" workbookViewId="0">
      <selection activeCell="J53" sqref="J53"/>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7" t="s">
        <v>0</v>
      </c>
      <c r="B1" s="67"/>
      <c r="C1" s="67"/>
      <c r="D1" s="67"/>
      <c r="E1" s="67"/>
      <c r="F1" s="67"/>
      <c r="G1" s="67"/>
      <c r="H1" s="67"/>
      <c r="I1" s="67"/>
      <c r="J1" s="67"/>
      <c r="K1" s="67"/>
    </row>
    <row r="2" spans="1:13" s="1" customFormat="1" ht="22.8" x14ac:dyDescent="0.3">
      <c r="A2" s="68" t="s">
        <v>1</v>
      </c>
      <c r="B2" s="68"/>
      <c r="C2" s="68"/>
      <c r="D2" s="68"/>
      <c r="E2" s="68"/>
      <c r="F2" s="68"/>
      <c r="G2" s="68"/>
      <c r="H2" s="68"/>
      <c r="I2" s="68"/>
      <c r="J2" s="68"/>
      <c r="K2" s="68"/>
    </row>
    <row r="3" spans="1:13" s="1" customFormat="1" x14ac:dyDescent="0.3">
      <c r="A3" s="69" t="s">
        <v>2</v>
      </c>
      <c r="B3" s="69"/>
      <c r="C3" s="69"/>
      <c r="D3" s="69"/>
      <c r="E3" s="69"/>
      <c r="F3" s="69"/>
      <c r="G3" s="69"/>
      <c r="H3" s="69"/>
      <c r="I3" s="69"/>
      <c r="J3" s="69"/>
      <c r="K3" s="69"/>
    </row>
    <row r="4" spans="1:13" s="1" customFormat="1" x14ac:dyDescent="0.3">
      <c r="A4" s="69" t="s">
        <v>3</v>
      </c>
      <c r="B4" s="69"/>
      <c r="C4" s="69"/>
      <c r="D4" s="69"/>
      <c r="E4" s="69"/>
      <c r="F4" s="69"/>
      <c r="G4" s="69"/>
      <c r="H4" s="69"/>
      <c r="I4" s="69"/>
      <c r="J4" s="69"/>
      <c r="K4" s="69"/>
    </row>
    <row r="5" spans="1:13" ht="17.399999999999999" x14ac:dyDescent="0.3">
      <c r="A5" s="70" t="s">
        <v>4</v>
      </c>
      <c r="B5" s="70"/>
      <c r="C5" s="70"/>
      <c r="D5" s="70"/>
      <c r="E5" s="70"/>
      <c r="F5" s="70"/>
      <c r="G5" s="70"/>
      <c r="H5" s="70"/>
      <c r="I5" s="70"/>
      <c r="J5" s="70"/>
      <c r="K5" s="70"/>
    </row>
    <row r="6" spans="1:13" ht="18" x14ac:dyDescent="0.35">
      <c r="A6" s="66" t="s">
        <v>34</v>
      </c>
      <c r="B6" s="66"/>
      <c r="C6" s="66"/>
      <c r="D6" s="66"/>
      <c r="E6" s="66"/>
      <c r="F6" s="66"/>
      <c r="G6" s="66"/>
      <c r="H6" s="62" t="s">
        <v>24</v>
      </c>
      <c r="I6" s="62"/>
      <c r="J6" s="62"/>
      <c r="K6" s="62"/>
    </row>
    <row r="7" spans="1:13" ht="15.6" x14ac:dyDescent="0.3">
      <c r="A7" s="61" t="s">
        <v>23</v>
      </c>
      <c r="B7" s="61"/>
      <c r="C7" s="61"/>
      <c r="D7" s="61"/>
      <c r="E7" s="61"/>
      <c r="F7" s="61"/>
      <c r="G7" s="2"/>
      <c r="H7" s="62" t="s">
        <v>25</v>
      </c>
      <c r="I7" s="62"/>
      <c r="J7" s="62"/>
      <c r="K7" s="62"/>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46</v>
      </c>
      <c r="C10" s="40">
        <f>3*5</f>
        <v>15</v>
      </c>
      <c r="D10" s="10">
        <f>(2.5+1.5+13)/3.281</f>
        <v>5.1813471502590671</v>
      </c>
      <c r="E10" s="10">
        <v>3.97</v>
      </c>
      <c r="F10" s="10">
        <f>PRODUCT(C10:E10)</f>
        <v>308.54922279792743</v>
      </c>
      <c r="G10" s="36">
        <f>F10</f>
        <v>308.54922279792743</v>
      </c>
      <c r="H10" s="27"/>
      <c r="I10" s="27"/>
      <c r="J10" s="27"/>
      <c r="K10" s="11"/>
      <c r="M10" s="12"/>
    </row>
    <row r="11" spans="1:13" s="1" customFormat="1" ht="41.4" x14ac:dyDescent="0.3">
      <c r="A11" s="38"/>
      <c r="B11" s="39" t="s">
        <v>47</v>
      </c>
      <c r="C11" s="40">
        <v>5</v>
      </c>
      <c r="D11" s="10">
        <f>(1.5+30+1.5)/3.281</f>
        <v>10.057909174032307</v>
      </c>
      <c r="E11" s="10">
        <v>2.72</v>
      </c>
      <c r="F11" s="10">
        <f t="shared" ref="F11:F21" si="0">PRODUCT(C11:E11)</f>
        <v>136.78756476683938</v>
      </c>
      <c r="G11" s="36">
        <f t="shared" ref="G11:G21" si="1">F11</f>
        <v>136.78756476683938</v>
      </c>
      <c r="H11" s="27"/>
      <c r="I11" s="27"/>
      <c r="J11" s="27"/>
      <c r="K11" s="11"/>
      <c r="M11" s="12"/>
    </row>
    <row r="12" spans="1:13" s="1" customFormat="1" ht="41.4" x14ac:dyDescent="0.3">
      <c r="A12" s="38"/>
      <c r="B12" s="39" t="s">
        <v>51</v>
      </c>
      <c r="C12" s="40">
        <f>2*5</f>
        <v>10</v>
      </c>
      <c r="D12" s="10">
        <f>16.333/3.281</f>
        <v>4.97805547089302</v>
      </c>
      <c r="E12" s="10">
        <v>2.72</v>
      </c>
      <c r="F12" s="10">
        <f t="shared" si="0"/>
        <v>135.40310880829014</v>
      </c>
      <c r="G12" s="36">
        <f t="shared" si="1"/>
        <v>135.40310880829014</v>
      </c>
      <c r="H12" s="27"/>
      <c r="I12" s="27"/>
      <c r="J12" s="27"/>
      <c r="K12" s="11"/>
      <c r="M12" s="12"/>
    </row>
    <row r="13" spans="1:13" s="1" customFormat="1" ht="41.4" x14ac:dyDescent="0.3">
      <c r="A13" s="38"/>
      <c r="B13" s="39" t="s">
        <v>48</v>
      </c>
      <c r="C13" s="40">
        <f>1*5</f>
        <v>5</v>
      </c>
      <c r="D13" s="10">
        <f>3.5/3.281</f>
        <v>1.0667479427003961</v>
      </c>
      <c r="E13" s="10">
        <v>2.4300000000000002</v>
      </c>
      <c r="F13" s="10">
        <f t="shared" si="0"/>
        <v>12.960987503809815</v>
      </c>
      <c r="G13" s="36">
        <f t="shared" si="1"/>
        <v>12.960987503809815</v>
      </c>
      <c r="H13" s="27"/>
      <c r="I13" s="27"/>
      <c r="J13" s="27"/>
      <c r="K13" s="11"/>
      <c r="M13" s="12"/>
    </row>
    <row r="14" spans="1:13" s="1" customFormat="1" ht="41.4" x14ac:dyDescent="0.3">
      <c r="A14" s="38"/>
      <c r="B14" s="39" t="s">
        <v>50</v>
      </c>
      <c r="C14" s="40">
        <f>2*5</f>
        <v>10</v>
      </c>
      <c r="D14" s="10">
        <f>4/3.281</f>
        <v>1.2191405059433098</v>
      </c>
      <c r="E14" s="10">
        <v>1.83</v>
      </c>
      <c r="F14" s="10">
        <f t="shared" si="0"/>
        <v>22.310271258762569</v>
      </c>
      <c r="G14" s="36">
        <f t="shared" si="1"/>
        <v>22.310271258762569</v>
      </c>
      <c r="H14" s="27"/>
      <c r="I14" s="27"/>
      <c r="J14" s="27"/>
      <c r="K14" s="11"/>
      <c r="M14" s="12"/>
    </row>
    <row r="15" spans="1:13" s="1" customFormat="1" x14ac:dyDescent="0.3">
      <c r="A15" s="38"/>
      <c r="B15" s="39"/>
      <c r="C15" s="40">
        <f t="shared" ref="C15:C21" si="2">2*5</f>
        <v>10</v>
      </c>
      <c r="D15" s="10">
        <f>3.583/3.281</f>
        <v>1.0920451081987199</v>
      </c>
      <c r="E15" s="10">
        <v>1.83</v>
      </c>
      <c r="F15" s="10">
        <f t="shared" si="0"/>
        <v>19.984425480036574</v>
      </c>
      <c r="G15" s="36">
        <f t="shared" si="1"/>
        <v>19.984425480036574</v>
      </c>
      <c r="H15" s="27"/>
      <c r="I15" s="27"/>
      <c r="J15" s="27"/>
      <c r="K15" s="11"/>
      <c r="M15" s="12"/>
    </row>
    <row r="16" spans="1:13" s="1" customFormat="1" x14ac:dyDescent="0.3">
      <c r="A16" s="38"/>
      <c r="B16" s="39"/>
      <c r="C16" s="40">
        <f t="shared" si="2"/>
        <v>10</v>
      </c>
      <c r="D16" s="10">
        <f>3.25/3.281</f>
        <v>0.99055166107893933</v>
      </c>
      <c r="E16" s="10">
        <v>1.83</v>
      </c>
      <c r="F16" s="10">
        <f t="shared" si="0"/>
        <v>18.12709539774459</v>
      </c>
      <c r="G16" s="36">
        <f t="shared" si="1"/>
        <v>18.12709539774459</v>
      </c>
      <c r="H16" s="27"/>
      <c r="I16" s="27"/>
      <c r="J16" s="27"/>
      <c r="K16" s="11"/>
      <c r="M16" s="12"/>
    </row>
    <row r="17" spans="1:13" s="1" customFormat="1" x14ac:dyDescent="0.3">
      <c r="A17" s="38"/>
      <c r="B17" s="39"/>
      <c r="C17" s="40">
        <f t="shared" si="2"/>
        <v>10</v>
      </c>
      <c r="D17" s="10">
        <f>3.083/3.281</f>
        <v>0.93965254495580619</v>
      </c>
      <c r="E17" s="10">
        <v>1.83</v>
      </c>
      <c r="F17" s="10">
        <f t="shared" si="0"/>
        <v>17.195641572691255</v>
      </c>
      <c r="G17" s="36">
        <f t="shared" si="1"/>
        <v>17.195641572691255</v>
      </c>
      <c r="H17" s="27"/>
      <c r="I17" s="27"/>
      <c r="J17" s="27"/>
      <c r="K17" s="11"/>
      <c r="M17" s="12"/>
    </row>
    <row r="18" spans="1:13" s="1" customFormat="1" ht="41.4" x14ac:dyDescent="0.3">
      <c r="A18" s="38"/>
      <c r="B18" s="39" t="s">
        <v>49</v>
      </c>
      <c r="C18" s="40">
        <f t="shared" si="2"/>
        <v>10</v>
      </c>
      <c r="D18" s="10">
        <f>2.667/3.281</f>
        <v>0.81286193233770188</v>
      </c>
      <c r="E18" s="10">
        <v>1.83</v>
      </c>
      <c r="F18" s="10">
        <f t="shared" si="0"/>
        <v>14.875373361779944</v>
      </c>
      <c r="G18" s="36">
        <f t="shared" si="1"/>
        <v>14.875373361779944</v>
      </c>
      <c r="H18" s="27"/>
      <c r="I18" s="27"/>
      <c r="J18" s="27"/>
      <c r="K18" s="11"/>
      <c r="M18" s="12"/>
    </row>
    <row r="19" spans="1:13" s="1" customFormat="1" x14ac:dyDescent="0.3">
      <c r="A19" s="38"/>
      <c r="B19" s="39"/>
      <c r="C19" s="40">
        <f t="shared" si="2"/>
        <v>10</v>
      </c>
      <c r="D19" s="10">
        <f>2/3.281</f>
        <v>0.6095702529716549</v>
      </c>
      <c r="E19" s="10">
        <v>1.83</v>
      </c>
      <c r="F19" s="10">
        <f t="shared" si="0"/>
        <v>11.155135629381284</v>
      </c>
      <c r="G19" s="36">
        <f t="shared" si="1"/>
        <v>11.155135629381284</v>
      </c>
      <c r="H19" s="27"/>
      <c r="I19" s="27"/>
      <c r="J19" s="27"/>
      <c r="K19" s="11"/>
      <c r="M19" s="12"/>
    </row>
    <row r="20" spans="1:13" s="1" customFormat="1" x14ac:dyDescent="0.3">
      <c r="A20" s="38"/>
      <c r="B20" s="39"/>
      <c r="C20" s="40">
        <f t="shared" si="2"/>
        <v>10</v>
      </c>
      <c r="D20" s="10">
        <f>1.333/3.281</f>
        <v>0.40627857360560804</v>
      </c>
      <c r="E20" s="10">
        <v>1.83</v>
      </c>
      <c r="F20" s="10">
        <f t="shared" si="0"/>
        <v>7.4348978969826263</v>
      </c>
      <c r="G20" s="36">
        <f t="shared" si="1"/>
        <v>7.4348978969826263</v>
      </c>
      <c r="H20" s="27"/>
      <c r="I20" s="27"/>
      <c r="J20" s="27"/>
      <c r="K20" s="11"/>
      <c r="M20" s="12"/>
    </row>
    <row r="21" spans="1:13" s="1" customFormat="1" x14ac:dyDescent="0.3">
      <c r="A21" s="38"/>
      <c r="B21" s="39"/>
      <c r="C21" s="40">
        <f t="shared" si="2"/>
        <v>10</v>
      </c>
      <c r="D21" s="10">
        <f>8/12/3.281</f>
        <v>0.20319008432388497</v>
      </c>
      <c r="E21" s="10">
        <v>1.83</v>
      </c>
      <c r="F21" s="10">
        <f t="shared" si="0"/>
        <v>3.7183785431270953</v>
      </c>
      <c r="G21" s="36">
        <f t="shared" si="1"/>
        <v>3.7183785431270953</v>
      </c>
      <c r="H21" s="27"/>
      <c r="I21" s="27"/>
      <c r="J21" s="27"/>
      <c r="K21" s="11"/>
      <c r="M21" s="12"/>
    </row>
    <row r="22" spans="1:13" s="1" customFormat="1" ht="27.6" x14ac:dyDescent="0.3">
      <c r="A22" s="38"/>
      <c r="B22" s="39" t="s">
        <v>52</v>
      </c>
      <c r="C22" s="40">
        <f>2*6</f>
        <v>12</v>
      </c>
      <c r="D22" s="10">
        <f>44/3.281</f>
        <v>13.41054556537641</v>
      </c>
      <c r="E22" s="10">
        <v>2.72</v>
      </c>
      <c r="F22" s="10">
        <f>PRODUCT(C22:E22)</f>
        <v>437.72020725388603</v>
      </c>
      <c r="G22" s="36">
        <f>F22</f>
        <v>437.72020725388603</v>
      </c>
      <c r="H22" s="27"/>
      <c r="I22" s="27"/>
      <c r="J22" s="27"/>
      <c r="K22" s="11"/>
      <c r="M22" s="12"/>
    </row>
    <row r="23" spans="1:13" s="1" customFormat="1" x14ac:dyDescent="0.3">
      <c r="A23" s="21"/>
      <c r="B23" s="39" t="s">
        <v>26</v>
      </c>
      <c r="C23" s="22"/>
      <c r="D23" s="23"/>
      <c r="E23" s="24"/>
      <c r="F23" s="24"/>
      <c r="G23" s="27">
        <f>SUM(G10:G22)</f>
        <v>1146.2223102712587</v>
      </c>
      <c r="H23" s="25" t="s">
        <v>31</v>
      </c>
      <c r="I23" s="26">
        <v>181.17</v>
      </c>
      <c r="J23" s="27">
        <f>G23*I23</f>
        <v>207661.09595184392</v>
      </c>
      <c r="K23" s="24"/>
    </row>
    <row r="24" spans="1:13" s="1" customFormat="1" x14ac:dyDescent="0.3">
      <c r="A24" s="21"/>
      <c r="B24" s="39" t="s">
        <v>39</v>
      </c>
      <c r="C24" s="22"/>
      <c r="D24" s="23"/>
      <c r="E24" s="24"/>
      <c r="F24" s="24"/>
      <c r="G24" s="27"/>
      <c r="H24" s="25"/>
      <c r="I24" s="26"/>
      <c r="J24" s="27">
        <f>0.13*G23*(1871.42/18.94)</f>
        <v>14723.243731014734</v>
      </c>
      <c r="K24" s="24"/>
    </row>
    <row r="25" spans="1:13" s="1" customFormat="1" ht="15" x14ac:dyDescent="0.3">
      <c r="A25" s="21"/>
      <c r="B25" s="37"/>
      <c r="C25" s="22"/>
      <c r="D25" s="23"/>
      <c r="E25" s="24"/>
      <c r="F25" s="24"/>
      <c r="G25" s="28"/>
      <c r="H25" s="25"/>
      <c r="I25" s="26"/>
      <c r="J25" s="27"/>
      <c r="K25" s="24"/>
    </row>
    <row r="26" spans="1:13" s="1" customFormat="1" ht="45" x14ac:dyDescent="0.3">
      <c r="A26" s="38">
        <v>2</v>
      </c>
      <c r="B26" s="37" t="s">
        <v>32</v>
      </c>
      <c r="C26" s="40"/>
      <c r="D26" s="10"/>
      <c r="E26" s="10"/>
      <c r="F26" s="10"/>
      <c r="G26" s="36"/>
      <c r="H26" s="27"/>
      <c r="I26" s="27"/>
      <c r="J26" s="27"/>
      <c r="K26" s="11"/>
      <c r="M26" s="12"/>
    </row>
    <row r="27" spans="1:13" s="1" customFormat="1" x14ac:dyDescent="0.3">
      <c r="A27" s="38"/>
      <c r="B27" s="39"/>
      <c r="C27" s="40">
        <v>2</v>
      </c>
      <c r="D27" s="10">
        <f>16.333/3.281</f>
        <v>4.97805547089302</v>
      </c>
      <c r="E27" s="10">
        <f>44/3.281</f>
        <v>13.41054556537641</v>
      </c>
      <c r="F27" s="10"/>
      <c r="G27" s="36">
        <f>PRODUCT(C27:F27)</f>
        <v>133.51687943876433</v>
      </c>
      <c r="H27" s="27"/>
      <c r="I27" s="27"/>
      <c r="J27" s="27"/>
      <c r="K27" s="11"/>
      <c r="M27" s="12"/>
    </row>
    <row r="28" spans="1:13" s="1" customFormat="1" x14ac:dyDescent="0.3">
      <c r="A28" s="21"/>
      <c r="B28" s="39" t="s">
        <v>26</v>
      </c>
      <c r="C28" s="22"/>
      <c r="D28" s="23"/>
      <c r="E28" s="24"/>
      <c r="F28" s="24"/>
      <c r="G28" s="27">
        <f>SUM(G27:G27)</f>
        <v>133.51687943876433</v>
      </c>
      <c r="H28" s="25" t="s">
        <v>33</v>
      </c>
      <c r="I28" s="26">
        <v>1070.9000000000001</v>
      </c>
      <c r="J28" s="27">
        <f>G28*I28</f>
        <v>142983.22619097272</v>
      </c>
      <c r="K28" s="24"/>
    </row>
    <row r="29" spans="1:13" s="1" customFormat="1" x14ac:dyDescent="0.3">
      <c r="A29" s="21"/>
      <c r="B29" s="39" t="s">
        <v>39</v>
      </c>
      <c r="C29" s="22"/>
      <c r="D29" s="23"/>
      <c r="E29" s="24"/>
      <c r="F29" s="24"/>
      <c r="G29" s="27"/>
      <c r="H29" s="25"/>
      <c r="I29" s="26"/>
      <c r="J29" s="27">
        <f>0.13*G28*8587.63/10</f>
        <v>14905.716271871303</v>
      </c>
      <c r="K29" s="24"/>
    </row>
    <row r="30" spans="1:13" s="1" customFormat="1" x14ac:dyDescent="0.3">
      <c r="A30" s="21"/>
      <c r="B30" s="39"/>
      <c r="C30" s="22"/>
      <c r="D30" s="23"/>
      <c r="E30" s="24"/>
      <c r="F30" s="24"/>
      <c r="G30" s="27"/>
      <c r="H30" s="25"/>
      <c r="I30" s="26"/>
      <c r="J30" s="27"/>
      <c r="K30" s="24"/>
    </row>
    <row r="31" spans="1:13" s="1" customFormat="1" ht="30" x14ac:dyDescent="0.3">
      <c r="A31" s="21">
        <v>3</v>
      </c>
      <c r="B31" s="37" t="s">
        <v>40</v>
      </c>
      <c r="C31" s="22"/>
      <c r="D31" s="23"/>
      <c r="E31" s="24"/>
      <c r="F31" s="24"/>
      <c r="G31" s="27"/>
      <c r="H31" s="25"/>
      <c r="I31" s="26"/>
      <c r="J31" s="27"/>
      <c r="K31" s="24"/>
    </row>
    <row r="32" spans="1:13" s="1" customFormat="1" x14ac:dyDescent="0.3">
      <c r="A32" s="21"/>
      <c r="B32" s="39" t="s">
        <v>41</v>
      </c>
      <c r="C32" s="22">
        <f>3*5</f>
        <v>15</v>
      </c>
      <c r="D32" s="23">
        <v>0.45</v>
      </c>
      <c r="E32" s="24">
        <v>0.45</v>
      </c>
      <c r="F32" s="24">
        <f>(2.5+0.25+0.17)/3.281</f>
        <v>0.88997256933861624</v>
      </c>
      <c r="G32" s="36">
        <f>PRODUCT(C32:F32)</f>
        <v>2.7032916793660471</v>
      </c>
      <c r="H32" s="25"/>
      <c r="I32" s="26"/>
      <c r="J32" s="27"/>
      <c r="K32" s="24"/>
    </row>
    <row r="33" spans="1:11" s="1" customFormat="1" x14ac:dyDescent="0.3">
      <c r="A33" s="21"/>
      <c r="B33" s="39" t="s">
        <v>26</v>
      </c>
      <c r="C33" s="22"/>
      <c r="D33" s="23"/>
      <c r="E33" s="24"/>
      <c r="F33" s="24"/>
      <c r="G33" s="27">
        <f>SUM(G32:G32)</f>
        <v>2.7032916793660471</v>
      </c>
      <c r="H33" s="25" t="s">
        <v>42</v>
      </c>
      <c r="I33" s="26">
        <v>663.31</v>
      </c>
      <c r="J33" s="27">
        <f>G33*I33</f>
        <v>1793.1204038402925</v>
      </c>
      <c r="K33" s="24"/>
    </row>
    <row r="34" spans="1:11" s="1" customFormat="1" x14ac:dyDescent="0.3">
      <c r="A34" s="21"/>
      <c r="B34" s="39"/>
      <c r="C34" s="22"/>
      <c r="D34" s="23"/>
      <c r="E34" s="24"/>
      <c r="F34" s="24"/>
      <c r="G34" s="27"/>
      <c r="H34" s="25"/>
      <c r="I34" s="26"/>
      <c r="J34" s="27"/>
      <c r="K34" s="24"/>
    </row>
    <row r="35" spans="1:11" s="1" customFormat="1" ht="15" x14ac:dyDescent="0.3">
      <c r="A35" s="21">
        <v>4</v>
      </c>
      <c r="B35" s="37" t="s">
        <v>54</v>
      </c>
      <c r="C35" s="22"/>
      <c r="D35" s="23"/>
      <c r="E35" s="24"/>
      <c r="F35" s="24"/>
      <c r="G35" s="27"/>
      <c r="H35" s="25"/>
      <c r="I35" s="26"/>
      <c r="J35" s="27"/>
      <c r="K35" s="24"/>
    </row>
    <row r="36" spans="1:11" s="1" customFormat="1" x14ac:dyDescent="0.3">
      <c r="A36" s="21"/>
      <c r="B36" s="39" t="s">
        <v>41</v>
      </c>
      <c r="C36" s="22">
        <f>C32</f>
        <v>15</v>
      </c>
      <c r="D36" s="23">
        <f>D32</f>
        <v>0.45</v>
      </c>
      <c r="E36" s="24">
        <f>E32</f>
        <v>0.45</v>
      </c>
      <c r="F36" s="24"/>
      <c r="G36" s="36">
        <f>PRODUCT(C36:F36)</f>
        <v>3.0375000000000001</v>
      </c>
      <c r="H36" s="25"/>
      <c r="I36" s="26"/>
      <c r="J36" s="27"/>
      <c r="K36" s="24"/>
    </row>
    <row r="37" spans="1:11" s="1" customFormat="1" x14ac:dyDescent="0.3">
      <c r="A37" s="21"/>
      <c r="B37" s="39" t="s">
        <v>56</v>
      </c>
      <c r="C37" s="22">
        <v>1</v>
      </c>
      <c r="D37" s="23">
        <f>40/3.281</f>
        <v>12.1914050594331</v>
      </c>
      <c r="E37" s="24">
        <f>30/3.281</f>
        <v>9.1435537945748244</v>
      </c>
      <c r="F37" s="24"/>
      <c r="G37" s="36">
        <f>PRODUCT(C37:F37)</f>
        <v>111.47276799237824</v>
      </c>
      <c r="H37" s="25"/>
      <c r="I37" s="26"/>
      <c r="J37" s="27"/>
      <c r="K37" s="24"/>
    </row>
    <row r="38" spans="1:11" s="1" customFormat="1" x14ac:dyDescent="0.3">
      <c r="A38" s="21"/>
      <c r="B38" s="39" t="s">
        <v>26</v>
      </c>
      <c r="C38" s="22"/>
      <c r="D38" s="23"/>
      <c r="E38" s="24"/>
      <c r="F38" s="24"/>
      <c r="G38" s="27">
        <f>SUM(G36:G37)</f>
        <v>114.51026799237823</v>
      </c>
      <c r="H38" s="25" t="s">
        <v>33</v>
      </c>
      <c r="I38" s="26">
        <v>1014.97</v>
      </c>
      <c r="J38" s="27">
        <f>G38*I38</f>
        <v>116224.48670422414</v>
      </c>
      <c r="K38" s="24"/>
    </row>
    <row r="39" spans="1:11" s="1" customFormat="1" x14ac:dyDescent="0.3">
      <c r="A39" s="21"/>
      <c r="B39" s="39" t="s">
        <v>39</v>
      </c>
      <c r="C39" s="22"/>
      <c r="D39" s="23"/>
      <c r="E39" s="24"/>
      <c r="F39" s="24"/>
      <c r="G39" s="27"/>
      <c r="H39" s="25"/>
      <c r="I39" s="26"/>
      <c r="J39" s="27">
        <f>0.13*G38*8617.2/10</f>
        <v>12827.852457470985</v>
      </c>
      <c r="K39" s="24"/>
    </row>
    <row r="40" spans="1:11" s="1" customFormat="1" x14ac:dyDescent="0.3">
      <c r="A40" s="21"/>
      <c r="B40" s="39"/>
      <c r="C40" s="22"/>
      <c r="D40" s="23"/>
      <c r="E40" s="24"/>
      <c r="F40" s="24"/>
      <c r="G40" s="27"/>
      <c r="H40" s="25"/>
      <c r="I40" s="26"/>
      <c r="J40" s="27"/>
      <c r="K40" s="24"/>
    </row>
    <row r="41" spans="1:11" s="1" customFormat="1" ht="30" x14ac:dyDescent="0.3">
      <c r="A41" s="21">
        <v>5</v>
      </c>
      <c r="B41" s="37" t="s">
        <v>44</v>
      </c>
      <c r="C41" s="22"/>
      <c r="D41" s="23"/>
      <c r="E41" s="24"/>
      <c r="F41" s="24"/>
      <c r="G41" s="27"/>
      <c r="H41" s="25"/>
      <c r="I41" s="26"/>
      <c r="J41" s="27"/>
      <c r="K41" s="24"/>
    </row>
    <row r="42" spans="1:11" s="1" customFormat="1" x14ac:dyDescent="0.3">
      <c r="A42" s="21"/>
      <c r="B42" s="39" t="s">
        <v>41</v>
      </c>
      <c r="C42" s="22">
        <f>C36</f>
        <v>15</v>
      </c>
      <c r="D42" s="23">
        <f>D36</f>
        <v>0.45</v>
      </c>
      <c r="E42" s="24">
        <f>E36</f>
        <v>0.45</v>
      </c>
      <c r="F42" s="24">
        <v>7.4999999999999997E-2</v>
      </c>
      <c r="G42" s="36">
        <f>PRODUCT(C42:F42)</f>
        <v>0.2278125</v>
      </c>
      <c r="H42" s="25"/>
      <c r="I42" s="26"/>
      <c r="J42" s="27"/>
      <c r="K42" s="24"/>
    </row>
    <row r="43" spans="1:11" s="1" customFormat="1" x14ac:dyDescent="0.3">
      <c r="A43" s="21"/>
      <c r="B43" s="39" t="s">
        <v>26</v>
      </c>
      <c r="C43" s="22"/>
      <c r="D43" s="23"/>
      <c r="E43" s="24"/>
      <c r="F43" s="24"/>
      <c r="G43" s="27">
        <f>SUM(G42:G42)</f>
        <v>0.2278125</v>
      </c>
      <c r="H43" s="25" t="s">
        <v>42</v>
      </c>
      <c r="I43" s="26">
        <v>12983.1</v>
      </c>
      <c r="J43" s="27">
        <f>G43*I43</f>
        <v>2957.71246875</v>
      </c>
      <c r="K43" s="24"/>
    </row>
    <row r="44" spans="1:11" s="1" customFormat="1" x14ac:dyDescent="0.3">
      <c r="A44" s="21"/>
      <c r="B44" s="39" t="s">
        <v>39</v>
      </c>
      <c r="C44" s="22"/>
      <c r="D44" s="23"/>
      <c r="E44" s="24"/>
      <c r="F44" s="24"/>
      <c r="G44" s="27"/>
      <c r="H44" s="25"/>
      <c r="I44" s="26"/>
      <c r="J44" s="27">
        <f>0.13*G43*8078.11</f>
        <v>239.23827646874997</v>
      </c>
      <c r="K44" s="24"/>
    </row>
    <row r="45" spans="1:11" s="1" customFormat="1" x14ac:dyDescent="0.3">
      <c r="A45" s="21"/>
      <c r="B45" s="39"/>
      <c r="C45" s="22"/>
      <c r="D45" s="23"/>
      <c r="E45" s="24"/>
      <c r="F45" s="24"/>
      <c r="G45" s="27"/>
      <c r="H45" s="25"/>
      <c r="I45" s="26"/>
      <c r="J45" s="27"/>
      <c r="K45" s="24"/>
    </row>
    <row r="46" spans="1:11" s="1" customFormat="1" ht="30" x14ac:dyDescent="0.3">
      <c r="A46" s="21">
        <v>6</v>
      </c>
      <c r="B46" s="37" t="s">
        <v>45</v>
      </c>
      <c r="C46" s="22"/>
      <c r="D46" s="23"/>
      <c r="E46" s="24"/>
      <c r="F46" s="24"/>
      <c r="G46" s="27"/>
      <c r="H46" s="25"/>
      <c r="I46" s="26"/>
      <c r="J46" s="27"/>
      <c r="K46" s="24"/>
    </row>
    <row r="47" spans="1:11" s="1" customFormat="1" x14ac:dyDescent="0.3">
      <c r="A47" s="21"/>
      <c r="B47" s="39" t="s">
        <v>57</v>
      </c>
      <c r="C47" s="22">
        <f>C42</f>
        <v>15</v>
      </c>
      <c r="D47" s="23">
        <f>D42</f>
        <v>0.45</v>
      </c>
      <c r="E47" s="24">
        <f>E42</f>
        <v>0.45</v>
      </c>
      <c r="F47" s="24">
        <v>0.75</v>
      </c>
      <c r="G47" s="36">
        <f>PRODUCT(C47:F47)</f>
        <v>2.2781250000000002</v>
      </c>
      <c r="H47" s="25"/>
      <c r="I47" s="26"/>
      <c r="J47" s="27"/>
      <c r="K47" s="24"/>
    </row>
    <row r="48" spans="1:11" s="1" customFormat="1" x14ac:dyDescent="0.3">
      <c r="A48" s="21"/>
      <c r="B48" s="39"/>
      <c r="C48" s="22">
        <f>C47</f>
        <v>15</v>
      </c>
      <c r="D48" s="23">
        <v>0.3</v>
      </c>
      <c r="E48" s="24">
        <v>0.3</v>
      </c>
      <c r="F48" s="24">
        <v>0.45</v>
      </c>
      <c r="G48" s="36">
        <f>PRODUCT(C48:F48)</f>
        <v>0.60749999999999993</v>
      </c>
      <c r="H48" s="25"/>
      <c r="I48" s="26"/>
      <c r="J48" s="27"/>
      <c r="K48" s="24"/>
    </row>
    <row r="49" spans="1:11" s="1" customFormat="1" x14ac:dyDescent="0.3">
      <c r="A49" s="21"/>
      <c r="B49" s="39" t="s">
        <v>56</v>
      </c>
      <c r="C49" s="22">
        <v>1</v>
      </c>
      <c r="D49" s="23">
        <f>D37</f>
        <v>12.1914050594331</v>
      </c>
      <c r="E49" s="24">
        <f>E37</f>
        <v>9.1435537945748244</v>
      </c>
      <c r="F49" s="24">
        <v>7.4999999999999997E-2</v>
      </c>
      <c r="G49" s="36">
        <f>PRODUCT(C49:F49)</f>
        <v>8.3604575994283667</v>
      </c>
      <c r="H49" s="25"/>
      <c r="I49" s="26"/>
      <c r="J49" s="27"/>
      <c r="K49" s="24"/>
    </row>
    <row r="50" spans="1:11" s="1" customFormat="1" x14ac:dyDescent="0.3">
      <c r="A50" s="21"/>
      <c r="B50" s="39" t="s">
        <v>26</v>
      </c>
      <c r="C50" s="22"/>
      <c r="D50" s="23"/>
      <c r="E50" s="24"/>
      <c r="F50" s="24"/>
      <c r="G50" s="27">
        <f>SUM(G47:G49)</f>
        <v>11.246082599428366</v>
      </c>
      <c r="H50" s="25" t="s">
        <v>42</v>
      </c>
      <c r="I50" s="26">
        <v>13568.9</v>
      </c>
      <c r="J50" s="27">
        <f>G50*I50</f>
        <v>152596.97018338356</v>
      </c>
      <c r="K50" s="24"/>
    </row>
    <row r="51" spans="1:11" s="1" customFormat="1" x14ac:dyDescent="0.3">
      <c r="A51" s="21"/>
      <c r="B51" s="39" t="s">
        <v>39</v>
      </c>
      <c r="C51" s="22"/>
      <c r="D51" s="23"/>
      <c r="E51" s="24"/>
      <c r="F51" s="24"/>
      <c r="G51" s="27"/>
      <c r="H51" s="25"/>
      <c r="I51" s="26"/>
      <c r="J51" s="27">
        <f>0.13*G50*9524.2</f>
        <v>13924.292186151835</v>
      </c>
      <c r="K51" s="24"/>
    </row>
    <row r="52" spans="1:11" s="1" customFormat="1" x14ac:dyDescent="0.3">
      <c r="A52" s="21"/>
      <c r="B52" s="39"/>
      <c r="C52" s="22"/>
      <c r="D52" s="23"/>
      <c r="E52" s="24"/>
      <c r="F52" s="24"/>
      <c r="G52" s="27"/>
      <c r="H52" s="25"/>
      <c r="I52" s="26"/>
      <c r="J52" s="27"/>
      <c r="K52" s="24"/>
    </row>
    <row r="53" spans="1:11" s="1" customFormat="1" ht="30" x14ac:dyDescent="0.3">
      <c r="A53" s="21">
        <v>7</v>
      </c>
      <c r="B53" s="37" t="s">
        <v>53</v>
      </c>
      <c r="C53" s="22"/>
      <c r="D53" s="23"/>
      <c r="E53" s="24"/>
      <c r="F53" s="24"/>
      <c r="G53" s="27"/>
      <c r="H53" s="25"/>
      <c r="I53" s="26"/>
      <c r="J53" s="27"/>
      <c r="K53" s="24"/>
    </row>
    <row r="54" spans="1:11" s="1" customFormat="1" x14ac:dyDescent="0.3">
      <c r="A54" s="21"/>
      <c r="B54" s="39" t="s">
        <v>57</v>
      </c>
      <c r="C54" s="22">
        <f>4*2</f>
        <v>8</v>
      </c>
      <c r="D54" s="23">
        <f>13.917/3.281</f>
        <v>4.2416946053032607</v>
      </c>
      <c r="E54" s="24">
        <v>0.23</v>
      </c>
      <c r="F54" s="24">
        <v>0.3</v>
      </c>
      <c r="G54" s="36">
        <f>PRODUCT(C54:F54)</f>
        <v>2.3414154221273997</v>
      </c>
      <c r="H54" s="25"/>
      <c r="I54" s="26"/>
      <c r="J54" s="27"/>
      <c r="K54" s="24"/>
    </row>
    <row r="55" spans="1:11" s="1" customFormat="1" x14ac:dyDescent="0.3">
      <c r="A55" s="21"/>
      <c r="B55" s="39"/>
      <c r="C55" s="22">
        <f>2*2</f>
        <v>4</v>
      </c>
      <c r="D55" s="23">
        <f>8.917/3.281</f>
        <v>2.7177689728741234</v>
      </c>
      <c r="E55" s="24">
        <v>0.23</v>
      </c>
      <c r="F55" s="24">
        <v>0.3</v>
      </c>
      <c r="G55" s="36">
        <f>PRODUCT(C55:F55)</f>
        <v>0.75010423651325808</v>
      </c>
      <c r="H55" s="25"/>
      <c r="I55" s="26"/>
      <c r="J55" s="27"/>
      <c r="K55" s="24"/>
    </row>
    <row r="56" spans="1:11" s="1" customFormat="1" x14ac:dyDescent="0.3">
      <c r="A56" s="21"/>
      <c r="B56" s="39" t="s">
        <v>58</v>
      </c>
      <c r="C56" s="22">
        <v>2</v>
      </c>
      <c r="D56" s="23">
        <f>30/3.281</f>
        <v>9.1435537945748244</v>
      </c>
      <c r="E56" s="24">
        <v>0.23</v>
      </c>
      <c r="F56" s="24">
        <v>0.9</v>
      </c>
      <c r="G56" s="36">
        <f>PRODUCT(C56:F56)</f>
        <v>3.7854312709539779</v>
      </c>
      <c r="H56" s="25"/>
      <c r="I56" s="26"/>
      <c r="J56" s="27"/>
      <c r="K56" s="24"/>
    </row>
    <row r="57" spans="1:11" s="1" customFormat="1" x14ac:dyDescent="0.3">
      <c r="A57" s="21"/>
      <c r="B57" s="39"/>
      <c r="C57" s="22">
        <v>2</v>
      </c>
      <c r="D57" s="23">
        <f>(40-1.5)/3.281</f>
        <v>11.734227369704358</v>
      </c>
      <c r="E57" s="24">
        <v>0.23</v>
      </c>
      <c r="F57" s="24">
        <v>0.9</v>
      </c>
      <c r="G57" s="36">
        <f>PRODUCT(C57:F57)</f>
        <v>4.8579701310576047</v>
      </c>
      <c r="H57" s="25"/>
      <c r="I57" s="26"/>
      <c r="J57" s="27"/>
      <c r="K57" s="24"/>
    </row>
    <row r="58" spans="1:11" s="1" customFormat="1" x14ac:dyDescent="0.3">
      <c r="A58" s="21"/>
      <c r="B58" s="39" t="s">
        <v>26</v>
      </c>
      <c r="C58" s="22"/>
      <c r="D58" s="23"/>
      <c r="E58" s="24"/>
      <c r="F58" s="24"/>
      <c r="G58" s="27">
        <f>SUM(G54:G57)</f>
        <v>11.73492106065224</v>
      </c>
      <c r="H58" s="25" t="s">
        <v>42</v>
      </c>
      <c r="I58" s="26">
        <v>14362.76</v>
      </c>
      <c r="J58" s="27">
        <f>G58*I58</f>
        <v>168545.85481309358</v>
      </c>
      <c r="K58" s="24"/>
    </row>
    <row r="59" spans="1:11" s="1" customFormat="1" x14ac:dyDescent="0.3">
      <c r="A59" s="21"/>
      <c r="B59" s="39" t="s">
        <v>39</v>
      </c>
      <c r="C59" s="22"/>
      <c r="D59" s="23"/>
      <c r="E59" s="24"/>
      <c r="F59" s="24"/>
      <c r="G59" s="27"/>
      <c r="H59" s="25"/>
      <c r="I59" s="26"/>
      <c r="J59" s="27">
        <f>0.13*G58*10311.74</f>
        <v>15730.969136736117</v>
      </c>
      <c r="K59" s="24"/>
    </row>
    <row r="60" spans="1:11" s="1" customFormat="1" x14ac:dyDescent="0.3">
      <c r="A60" s="21"/>
      <c r="B60" s="39"/>
      <c r="C60" s="22"/>
      <c r="D60" s="23"/>
      <c r="E60" s="24"/>
      <c r="F60" s="24"/>
      <c r="G60" s="27"/>
      <c r="H60" s="25"/>
      <c r="I60" s="26"/>
      <c r="J60" s="27"/>
      <c r="K60" s="24"/>
    </row>
    <row r="61" spans="1:11" s="1" customFormat="1" ht="30" x14ac:dyDescent="0.3">
      <c r="A61" s="21">
        <v>8</v>
      </c>
      <c r="B61" s="37" t="s">
        <v>59</v>
      </c>
      <c r="C61" s="22"/>
      <c r="D61" s="23"/>
      <c r="E61" s="24"/>
      <c r="F61" s="24"/>
      <c r="G61" s="27"/>
      <c r="H61" s="25"/>
      <c r="I61" s="26"/>
      <c r="J61" s="27"/>
      <c r="K61" s="24"/>
    </row>
    <row r="62" spans="1:11" s="1" customFormat="1" x14ac:dyDescent="0.3">
      <c r="A62" s="21"/>
      <c r="B62" s="39" t="s">
        <v>58</v>
      </c>
      <c r="C62" s="22">
        <f>2*2</f>
        <v>4</v>
      </c>
      <c r="D62" s="23">
        <f>30/3.281</f>
        <v>9.1435537945748244</v>
      </c>
      <c r="E62" s="24"/>
      <c r="F62" s="24">
        <v>0.9</v>
      </c>
      <c r="G62" s="36">
        <f>PRODUCT(C62:F62)</f>
        <v>32.916793660469367</v>
      </c>
      <c r="H62" s="25"/>
      <c r="I62" s="26"/>
      <c r="J62" s="27"/>
      <c r="K62" s="24"/>
    </row>
    <row r="63" spans="1:11" s="1" customFormat="1" x14ac:dyDescent="0.3">
      <c r="A63" s="21"/>
      <c r="B63" s="39"/>
      <c r="C63" s="22">
        <f>2*2</f>
        <v>4</v>
      </c>
      <c r="D63" s="23">
        <f>(40-1.5)/3.281</f>
        <v>11.734227369704358</v>
      </c>
      <c r="E63" s="24"/>
      <c r="F63" s="24">
        <v>0.9</v>
      </c>
      <c r="G63" s="36">
        <f>PRODUCT(C63:F63)</f>
        <v>42.243218530935692</v>
      </c>
      <c r="H63" s="25"/>
      <c r="I63" s="26"/>
      <c r="J63" s="27"/>
      <c r="K63" s="24"/>
    </row>
    <row r="64" spans="1:11" s="1" customFormat="1" x14ac:dyDescent="0.3">
      <c r="A64" s="21"/>
      <c r="B64" s="39" t="s">
        <v>26</v>
      </c>
      <c r="C64" s="22"/>
      <c r="D64" s="23"/>
      <c r="E64" s="24"/>
      <c r="F64" s="24"/>
      <c r="G64" s="27">
        <f>SUM(G60:G63)</f>
        <v>75.160012191405059</v>
      </c>
      <c r="H64" s="25" t="s">
        <v>33</v>
      </c>
      <c r="I64" s="26">
        <v>405.86</v>
      </c>
      <c r="J64" s="27">
        <f>G64*I64</f>
        <v>30504.442548003659</v>
      </c>
      <c r="K64" s="24"/>
    </row>
    <row r="65" spans="1:31" s="1" customFormat="1" x14ac:dyDescent="0.3">
      <c r="A65" s="21"/>
      <c r="B65" s="39" t="s">
        <v>39</v>
      </c>
      <c r="C65" s="22"/>
      <c r="D65" s="23"/>
      <c r="E65" s="24"/>
      <c r="F65" s="24"/>
      <c r="G65" s="27"/>
      <c r="H65" s="25"/>
      <c r="I65" s="26"/>
      <c r="J65" s="27">
        <f>0.13*G64*11166.2/100</f>
        <v>1091.0272465711676</v>
      </c>
      <c r="K65" s="24"/>
    </row>
    <row r="66" spans="1:31" s="1" customFormat="1" ht="15" x14ac:dyDescent="0.3">
      <c r="A66" s="21"/>
      <c r="B66" s="37"/>
      <c r="C66" s="22"/>
      <c r="D66" s="23"/>
      <c r="E66" s="24"/>
      <c r="F66" s="24"/>
      <c r="G66" s="27"/>
      <c r="H66" s="25"/>
      <c r="I66" s="26"/>
      <c r="J66" s="27"/>
      <c r="K66" s="24"/>
    </row>
    <row r="67" spans="1:31" s="1" customFormat="1" ht="27.6" x14ac:dyDescent="0.3">
      <c r="A67" s="21">
        <v>9</v>
      </c>
      <c r="B67" s="41" t="s">
        <v>35</v>
      </c>
      <c r="C67" s="22">
        <v>1</v>
      </c>
      <c r="D67" s="23"/>
      <c r="E67" s="24"/>
      <c r="F67" s="24"/>
      <c r="G67" s="36">
        <f>PRODUCT(C67:F67)</f>
        <v>1</v>
      </c>
      <c r="H67" s="25" t="s">
        <v>36</v>
      </c>
      <c r="I67" s="26">
        <v>5000</v>
      </c>
      <c r="J67" s="27">
        <f>G67*I67</f>
        <v>5000</v>
      </c>
      <c r="K67" s="24"/>
    </row>
    <row r="68" spans="1:31" s="1" customFormat="1" x14ac:dyDescent="0.3">
      <c r="A68" s="21"/>
      <c r="B68" s="39"/>
      <c r="C68" s="22"/>
      <c r="D68" s="23"/>
      <c r="E68" s="24"/>
      <c r="F68" s="24"/>
      <c r="G68" s="27"/>
      <c r="H68" s="25"/>
      <c r="I68" s="26"/>
      <c r="J68" s="27"/>
      <c r="K68" s="24"/>
    </row>
    <row r="69" spans="1:31" s="1" customFormat="1" x14ac:dyDescent="0.3">
      <c r="A69" s="21">
        <v>10</v>
      </c>
      <c r="B69" s="41" t="s">
        <v>37</v>
      </c>
      <c r="C69" s="22">
        <v>1</v>
      </c>
      <c r="D69" s="23"/>
      <c r="E69" s="24"/>
      <c r="F69" s="24"/>
      <c r="G69" s="36">
        <f>PRODUCT(C69:F69)</f>
        <v>1</v>
      </c>
      <c r="H69" s="25" t="s">
        <v>55</v>
      </c>
      <c r="I69" s="26">
        <v>500</v>
      </c>
      <c r="J69" s="27">
        <f>G69*I69</f>
        <v>500</v>
      </c>
      <c r="K69" s="24"/>
    </row>
    <row r="70" spans="1:31" s="1" customFormat="1" x14ac:dyDescent="0.3">
      <c r="A70" s="21"/>
      <c r="B70" s="39"/>
      <c r="C70" s="22"/>
      <c r="D70" s="23"/>
      <c r="E70" s="24"/>
      <c r="F70" s="24"/>
      <c r="G70" s="27"/>
      <c r="H70" s="25"/>
      <c r="I70" s="26"/>
      <c r="J70" s="27"/>
      <c r="K70" s="24"/>
    </row>
    <row r="71" spans="1:31" x14ac:dyDescent="0.3">
      <c r="A71" s="9"/>
      <c r="B71" s="20" t="s">
        <v>16</v>
      </c>
      <c r="C71" s="8"/>
      <c r="D71" s="6"/>
      <c r="E71" s="6"/>
      <c r="F71" s="6"/>
      <c r="G71" s="33"/>
      <c r="H71" s="7"/>
      <c r="I71" s="7"/>
      <c r="J71" s="7">
        <f>SUM(J10:J70)</f>
        <v>902209.24857039668</v>
      </c>
      <c r="K71" s="4"/>
      <c r="M71" s="29"/>
      <c r="P71" s="32"/>
      <c r="Q71" s="32"/>
    </row>
    <row r="72" spans="1:31" x14ac:dyDescent="0.3">
      <c r="M72" s="29"/>
      <c r="N72" s="30"/>
      <c r="O72" s="30"/>
      <c r="P72" s="31"/>
      <c r="R72" s="30"/>
      <c r="S72" s="30"/>
      <c r="T72" s="30"/>
      <c r="U72" s="29"/>
      <c r="V72" s="29"/>
      <c r="W72" s="29"/>
      <c r="X72" s="29"/>
      <c r="Y72" s="29"/>
      <c r="Z72" s="29"/>
      <c r="AA72" s="29"/>
      <c r="AB72" s="29"/>
      <c r="AC72" s="29"/>
      <c r="AD72" s="29"/>
      <c r="AE72" s="29"/>
    </row>
    <row r="73" spans="1:31" s="1" customFormat="1" x14ac:dyDescent="0.3">
      <c r="B73" s="11" t="s">
        <v>22</v>
      </c>
      <c r="C73" s="59">
        <f>J71</f>
        <v>902209.24857039668</v>
      </c>
      <c r="D73" s="60"/>
      <c r="E73" s="10">
        <v>100</v>
      </c>
      <c r="F73" s="12"/>
      <c r="G73" s="13"/>
      <c r="H73" s="12"/>
      <c r="I73" s="14"/>
      <c r="J73" s="15"/>
      <c r="K73" s="16"/>
      <c r="M73" s="12"/>
      <c r="N73" s="30"/>
      <c r="O73" s="30"/>
      <c r="P73" s="30"/>
      <c r="Q73" s="30"/>
      <c r="R73" s="30"/>
      <c r="S73" s="30"/>
      <c r="T73" s="30"/>
      <c r="U73" s="12"/>
      <c r="V73" s="12"/>
      <c r="W73" s="12"/>
      <c r="X73" s="12"/>
      <c r="Y73" s="12"/>
      <c r="Z73" s="12"/>
      <c r="AA73" s="12"/>
      <c r="AB73" s="12"/>
      <c r="AC73" s="12"/>
      <c r="AD73" s="12"/>
      <c r="AE73" s="12"/>
    </row>
    <row r="74" spans="1:31" x14ac:dyDescent="0.3">
      <c r="B74" s="11" t="s">
        <v>17</v>
      </c>
      <c r="C74" s="63">
        <v>400000</v>
      </c>
      <c r="D74" s="64"/>
      <c r="E74" s="10"/>
      <c r="M74" s="29"/>
      <c r="N74" s="30"/>
      <c r="O74" s="30"/>
      <c r="P74" s="30"/>
      <c r="Q74" s="30"/>
      <c r="R74" s="30"/>
      <c r="S74" s="30"/>
      <c r="T74" s="30"/>
      <c r="U74" s="29"/>
      <c r="V74" s="29"/>
      <c r="W74" s="29"/>
      <c r="X74" s="29"/>
      <c r="Y74" s="29"/>
      <c r="Z74" s="29"/>
      <c r="AA74" s="29"/>
      <c r="AB74" s="29"/>
      <c r="AC74" s="29"/>
      <c r="AD74" s="29"/>
      <c r="AE74" s="29"/>
    </row>
    <row r="75" spans="1:31" x14ac:dyDescent="0.3">
      <c r="B75" s="11" t="s">
        <v>18</v>
      </c>
      <c r="C75" s="63">
        <f>C74-C77-C78</f>
        <v>380000</v>
      </c>
      <c r="D75" s="64"/>
      <c r="E75" s="10">
        <f>C75/C73*100</f>
        <v>42.118832255613896</v>
      </c>
      <c r="M75" s="29"/>
      <c r="N75" s="29"/>
      <c r="O75" s="29"/>
      <c r="P75" s="29"/>
      <c r="Q75" s="29"/>
      <c r="R75" s="29"/>
      <c r="S75" s="29"/>
      <c r="T75" s="29"/>
      <c r="U75" s="29"/>
      <c r="V75" s="29"/>
      <c r="W75" s="29"/>
      <c r="X75" s="29"/>
      <c r="Y75" s="29"/>
      <c r="Z75" s="29"/>
      <c r="AA75" s="29"/>
      <c r="AB75" s="29"/>
      <c r="AC75" s="29"/>
      <c r="AD75" s="29"/>
      <c r="AE75" s="29"/>
    </row>
    <row r="76" spans="1:31" x14ac:dyDescent="0.3">
      <c r="B76" s="11" t="s">
        <v>19</v>
      </c>
      <c r="C76" s="65">
        <f>C73-C75</f>
        <v>522209.24857039668</v>
      </c>
      <c r="D76" s="65"/>
      <c r="E76" s="10">
        <f>100-E75</f>
        <v>57.881167744386104</v>
      </c>
      <c r="M76" s="29"/>
      <c r="N76" s="29"/>
      <c r="O76" s="29"/>
      <c r="P76" s="29"/>
      <c r="Q76" s="29"/>
      <c r="R76" s="29"/>
      <c r="S76" s="29"/>
      <c r="T76" s="29"/>
      <c r="U76" s="29"/>
      <c r="V76" s="29"/>
      <c r="W76" s="29"/>
      <c r="X76" s="29"/>
      <c r="Y76" s="29"/>
      <c r="Z76" s="29"/>
      <c r="AA76" s="29"/>
      <c r="AB76" s="29"/>
      <c r="AC76" s="29"/>
      <c r="AD76" s="29"/>
      <c r="AE76" s="29"/>
    </row>
    <row r="77" spans="1:31" x14ac:dyDescent="0.3">
      <c r="B77" s="11" t="s">
        <v>20</v>
      </c>
      <c r="C77" s="59">
        <f>C74*0.03</f>
        <v>12000</v>
      </c>
      <c r="D77" s="60"/>
      <c r="E77" s="10">
        <v>3</v>
      </c>
      <c r="M77" s="29"/>
      <c r="N77" s="29"/>
      <c r="O77" s="29"/>
      <c r="P77" s="29"/>
      <c r="Q77" s="29"/>
      <c r="R77" s="29"/>
      <c r="S77" s="29"/>
      <c r="T77" s="29"/>
      <c r="U77" s="29"/>
      <c r="V77" s="29"/>
      <c r="W77" s="29"/>
      <c r="X77" s="29"/>
      <c r="Y77" s="29"/>
      <c r="Z77" s="29"/>
      <c r="AA77" s="29"/>
      <c r="AB77" s="29"/>
      <c r="AC77" s="29"/>
      <c r="AD77" s="29"/>
      <c r="AE77" s="29"/>
    </row>
    <row r="78" spans="1:31" x14ac:dyDescent="0.3">
      <c r="B78" s="11" t="s">
        <v>21</v>
      </c>
      <c r="C78" s="59">
        <f>C74*0.02</f>
        <v>8000</v>
      </c>
      <c r="D78" s="60"/>
      <c r="E78" s="10">
        <v>2</v>
      </c>
      <c r="M78" s="29"/>
      <c r="N78" s="29"/>
      <c r="O78" s="29"/>
      <c r="P78" s="29"/>
      <c r="Q78" s="29"/>
      <c r="R78" s="29"/>
      <c r="S78" s="29"/>
      <c r="T78" s="29"/>
      <c r="U78" s="29"/>
      <c r="V78" s="29"/>
      <c r="W78" s="29"/>
      <c r="X78" s="29"/>
      <c r="Y78" s="29"/>
      <c r="Z78" s="29"/>
      <c r="AA78" s="29"/>
      <c r="AB78" s="29"/>
      <c r="AC78" s="29"/>
      <c r="AD78" s="29"/>
      <c r="AE78" s="29"/>
    </row>
  </sheetData>
  <mergeCells count="15">
    <mergeCell ref="A6:G6"/>
    <mergeCell ref="H6:K6"/>
    <mergeCell ref="A1:K1"/>
    <mergeCell ref="A2:K2"/>
    <mergeCell ref="A3:K3"/>
    <mergeCell ref="A4:K4"/>
    <mergeCell ref="A5:K5"/>
    <mergeCell ref="C77:D77"/>
    <mergeCell ref="C78:D78"/>
    <mergeCell ref="A7:F7"/>
    <mergeCell ref="H7:K7"/>
    <mergeCell ref="C73:D73"/>
    <mergeCell ref="C74:D74"/>
    <mergeCell ref="C75:D75"/>
    <mergeCell ref="C76:D76"/>
  </mergeCells>
  <hyperlinks>
    <hyperlink ref="B61"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rowBreaks count="1" manualBreakCount="1">
    <brk id="4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opLeftCell="A70" zoomScaleNormal="100" zoomScaleSheetLayoutView="80" workbookViewId="0">
      <selection activeCell="A85" sqref="A85"/>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7" t="s">
        <v>0</v>
      </c>
      <c r="B1" s="67"/>
      <c r="C1" s="67"/>
      <c r="D1" s="67"/>
      <c r="E1" s="67"/>
      <c r="F1" s="67"/>
      <c r="G1" s="67"/>
      <c r="H1" s="67"/>
      <c r="I1" s="67"/>
      <c r="J1" s="67"/>
      <c r="K1" s="67"/>
    </row>
    <row r="2" spans="1:13" s="1" customFormat="1" ht="22.8" x14ac:dyDescent="0.3">
      <c r="A2" s="68" t="s">
        <v>1</v>
      </c>
      <c r="B2" s="68"/>
      <c r="C2" s="68"/>
      <c r="D2" s="68"/>
      <c r="E2" s="68"/>
      <c r="F2" s="68"/>
      <c r="G2" s="68"/>
      <c r="H2" s="68"/>
      <c r="I2" s="68"/>
      <c r="J2" s="68"/>
      <c r="K2" s="68"/>
    </row>
    <row r="3" spans="1:13" s="1" customFormat="1" x14ac:dyDescent="0.3">
      <c r="A3" s="69" t="s">
        <v>2</v>
      </c>
      <c r="B3" s="69"/>
      <c r="C3" s="69"/>
      <c r="D3" s="69"/>
      <c r="E3" s="69"/>
      <c r="F3" s="69"/>
      <c r="G3" s="69"/>
      <c r="H3" s="69"/>
      <c r="I3" s="69"/>
      <c r="J3" s="69"/>
      <c r="K3" s="69"/>
    </row>
    <row r="4" spans="1:13" s="1" customFormat="1" x14ac:dyDescent="0.3">
      <c r="A4" s="69" t="s">
        <v>3</v>
      </c>
      <c r="B4" s="69"/>
      <c r="C4" s="69"/>
      <c r="D4" s="69"/>
      <c r="E4" s="69"/>
      <c r="F4" s="69"/>
      <c r="G4" s="69"/>
      <c r="H4" s="69"/>
      <c r="I4" s="69"/>
      <c r="J4" s="69"/>
      <c r="K4" s="69"/>
    </row>
    <row r="5" spans="1:13" ht="17.399999999999999" x14ac:dyDescent="0.3">
      <c r="A5" s="70" t="s">
        <v>4</v>
      </c>
      <c r="B5" s="70"/>
      <c r="C5" s="70"/>
      <c r="D5" s="70"/>
      <c r="E5" s="70"/>
      <c r="F5" s="70"/>
      <c r="G5" s="70"/>
      <c r="H5" s="70"/>
      <c r="I5" s="70"/>
      <c r="J5" s="70"/>
      <c r="K5" s="70"/>
    </row>
    <row r="6" spans="1:13" ht="18" x14ac:dyDescent="0.35">
      <c r="A6" s="66" t="s">
        <v>34</v>
      </c>
      <c r="B6" s="66"/>
      <c r="C6" s="66"/>
      <c r="D6" s="66"/>
      <c r="E6" s="66"/>
      <c r="F6" s="66"/>
      <c r="G6" s="66"/>
      <c r="H6" s="62" t="s">
        <v>24</v>
      </c>
      <c r="I6" s="62"/>
      <c r="J6" s="62"/>
      <c r="K6" s="62"/>
    </row>
    <row r="7" spans="1:13" ht="15.6" x14ac:dyDescent="0.3">
      <c r="A7" s="61" t="s">
        <v>23</v>
      </c>
      <c r="B7" s="61"/>
      <c r="C7" s="61"/>
      <c r="D7" s="61"/>
      <c r="E7" s="61"/>
      <c r="F7" s="61"/>
      <c r="G7" s="2"/>
      <c r="H7" s="62" t="s">
        <v>25</v>
      </c>
      <c r="I7" s="62"/>
      <c r="J7" s="62"/>
      <c r="K7" s="62"/>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46</v>
      </c>
      <c r="C10" s="40">
        <f>3*4</f>
        <v>12</v>
      </c>
      <c r="D10" s="10">
        <f>(2.5+1.5+13)/3.281</f>
        <v>5.1813471502590671</v>
      </c>
      <c r="E10" s="10">
        <v>3.97</v>
      </c>
      <c r="F10" s="10">
        <f>PRODUCT(C10:E10)</f>
        <v>246.83937823834196</v>
      </c>
      <c r="G10" s="36">
        <f>F10</f>
        <v>246.83937823834196</v>
      </c>
      <c r="H10" s="27"/>
      <c r="I10" s="27"/>
      <c r="J10" s="27"/>
      <c r="K10" s="11"/>
      <c r="M10" s="12"/>
    </row>
    <row r="11" spans="1:13" s="1" customFormat="1" ht="41.4" x14ac:dyDescent="0.3">
      <c r="A11" s="38"/>
      <c r="B11" s="39" t="s">
        <v>47</v>
      </c>
      <c r="C11" s="40">
        <v>4</v>
      </c>
      <c r="D11" s="10">
        <f>(1.5+30+1.5)/3.281</f>
        <v>10.057909174032307</v>
      </c>
      <c r="E11" s="10">
        <v>2.72</v>
      </c>
      <c r="F11" s="10">
        <f t="shared" ref="F11:F22" si="0">PRODUCT(C11:E11)</f>
        <v>109.43005181347151</v>
      </c>
      <c r="G11" s="36">
        <f t="shared" ref="G11:G22" si="1">F11</f>
        <v>109.43005181347151</v>
      </c>
      <c r="H11" s="27"/>
      <c r="I11" s="27"/>
      <c r="J11" s="27"/>
      <c r="K11" s="11"/>
      <c r="M11" s="12"/>
    </row>
    <row r="12" spans="1:13" s="1" customFormat="1" ht="41.4" x14ac:dyDescent="0.3">
      <c r="A12" s="38"/>
      <c r="B12" s="39" t="s">
        <v>51</v>
      </c>
      <c r="C12" s="40">
        <f>2*4</f>
        <v>8</v>
      </c>
      <c r="D12" s="10">
        <f>16.333/3.281</f>
        <v>4.97805547089302</v>
      </c>
      <c r="E12" s="10">
        <v>2.72</v>
      </c>
      <c r="F12" s="10">
        <f t="shared" si="0"/>
        <v>108.32248704663212</v>
      </c>
      <c r="G12" s="36">
        <f t="shared" si="1"/>
        <v>108.32248704663212</v>
      </c>
      <c r="H12" s="27"/>
      <c r="I12" s="27"/>
      <c r="J12" s="27"/>
      <c r="K12" s="11"/>
      <c r="M12" s="12"/>
    </row>
    <row r="13" spans="1:13" s="1" customFormat="1" ht="41.4" x14ac:dyDescent="0.3">
      <c r="A13" s="38"/>
      <c r="B13" s="39" t="s">
        <v>48</v>
      </c>
      <c r="C13" s="40">
        <f>1*4</f>
        <v>4</v>
      </c>
      <c r="D13" s="10">
        <f>3.5/3.281</f>
        <v>1.0667479427003961</v>
      </c>
      <c r="E13" s="10">
        <v>2.4300000000000002</v>
      </c>
      <c r="F13" s="10">
        <f t="shared" si="0"/>
        <v>10.368790003047851</v>
      </c>
      <c r="G13" s="36">
        <f t="shared" si="1"/>
        <v>10.368790003047851</v>
      </c>
      <c r="H13" s="27"/>
      <c r="I13" s="27"/>
      <c r="J13" s="27"/>
      <c r="K13" s="11"/>
      <c r="M13" s="12"/>
    </row>
    <row r="14" spans="1:13" s="1" customFormat="1" ht="41.4" x14ac:dyDescent="0.3">
      <c r="A14" s="38"/>
      <c r="B14" s="39" t="s">
        <v>50</v>
      </c>
      <c r="C14" s="40">
        <f>2*4</f>
        <v>8</v>
      </c>
      <c r="D14" s="10">
        <f>4/3.281</f>
        <v>1.2191405059433098</v>
      </c>
      <c r="E14" s="10">
        <v>1.83</v>
      </c>
      <c r="F14" s="10">
        <f t="shared" si="0"/>
        <v>17.848217007010057</v>
      </c>
      <c r="G14" s="36">
        <f t="shared" si="1"/>
        <v>17.848217007010057</v>
      </c>
      <c r="H14" s="27"/>
      <c r="I14" s="27"/>
      <c r="J14" s="27"/>
      <c r="K14" s="11"/>
      <c r="M14" s="12"/>
    </row>
    <row r="15" spans="1:13" s="1" customFormat="1" x14ac:dyDescent="0.3">
      <c r="A15" s="38"/>
      <c r="B15" s="39"/>
      <c r="C15" s="40">
        <f t="shared" ref="C15:C21" si="2">2*4</f>
        <v>8</v>
      </c>
      <c r="D15" s="10">
        <f>3.583/3.281</f>
        <v>1.0920451081987199</v>
      </c>
      <c r="E15" s="10">
        <v>1.83</v>
      </c>
      <c r="F15" s="10">
        <f t="shared" si="0"/>
        <v>15.987540384029261</v>
      </c>
      <c r="G15" s="36">
        <f t="shared" si="1"/>
        <v>15.987540384029261</v>
      </c>
      <c r="H15" s="27"/>
      <c r="I15" s="27"/>
      <c r="J15" s="27"/>
      <c r="K15" s="11"/>
      <c r="M15" s="12"/>
    </row>
    <row r="16" spans="1:13" s="1" customFormat="1" x14ac:dyDescent="0.3">
      <c r="A16" s="38"/>
      <c r="B16" s="39"/>
      <c r="C16" s="40">
        <f t="shared" si="2"/>
        <v>8</v>
      </c>
      <c r="D16" s="10">
        <f>3.25/3.281</f>
        <v>0.99055166107893933</v>
      </c>
      <c r="E16" s="10">
        <v>1.83</v>
      </c>
      <c r="F16" s="10">
        <f t="shared" si="0"/>
        <v>14.501676318195672</v>
      </c>
      <c r="G16" s="36">
        <f t="shared" si="1"/>
        <v>14.501676318195672</v>
      </c>
      <c r="H16" s="27"/>
      <c r="I16" s="27"/>
      <c r="J16" s="27"/>
      <c r="K16" s="11"/>
      <c r="M16" s="12"/>
    </row>
    <row r="17" spans="1:13" s="1" customFormat="1" x14ac:dyDescent="0.3">
      <c r="A17" s="38"/>
      <c r="B17" s="39"/>
      <c r="C17" s="40">
        <f t="shared" si="2"/>
        <v>8</v>
      </c>
      <c r="D17" s="10">
        <f>3.083/3.281</f>
        <v>0.93965254495580619</v>
      </c>
      <c r="E17" s="10">
        <v>1.83</v>
      </c>
      <c r="F17" s="10">
        <f t="shared" si="0"/>
        <v>13.756513258153003</v>
      </c>
      <c r="G17" s="36">
        <f t="shared" si="1"/>
        <v>13.756513258153003</v>
      </c>
      <c r="H17" s="27"/>
      <c r="I17" s="27"/>
      <c r="J17" s="27"/>
      <c r="K17" s="11"/>
      <c r="M17" s="12"/>
    </row>
    <row r="18" spans="1:13" s="1" customFormat="1" ht="41.4" x14ac:dyDescent="0.3">
      <c r="A18" s="38"/>
      <c r="B18" s="39" t="s">
        <v>49</v>
      </c>
      <c r="C18" s="40">
        <f t="shared" si="2"/>
        <v>8</v>
      </c>
      <c r="D18" s="10">
        <f>2.667/3.281</f>
        <v>0.81286193233770188</v>
      </c>
      <c r="E18" s="10">
        <v>1.83</v>
      </c>
      <c r="F18" s="10">
        <f t="shared" si="0"/>
        <v>11.900298689423956</v>
      </c>
      <c r="G18" s="36">
        <f t="shared" si="1"/>
        <v>11.900298689423956</v>
      </c>
      <c r="H18" s="27"/>
      <c r="I18" s="27"/>
      <c r="J18" s="27"/>
      <c r="K18" s="11"/>
      <c r="M18" s="12"/>
    </row>
    <row r="19" spans="1:13" s="1" customFormat="1" x14ac:dyDescent="0.3">
      <c r="A19" s="38"/>
      <c r="B19" s="39"/>
      <c r="C19" s="40">
        <f t="shared" si="2"/>
        <v>8</v>
      </c>
      <c r="D19" s="10">
        <f>2/3.281</f>
        <v>0.6095702529716549</v>
      </c>
      <c r="E19" s="10">
        <v>1.83</v>
      </c>
      <c r="F19" s="10">
        <f t="shared" si="0"/>
        <v>8.9241085035050283</v>
      </c>
      <c r="G19" s="36">
        <f t="shared" si="1"/>
        <v>8.9241085035050283</v>
      </c>
      <c r="H19" s="27"/>
      <c r="I19" s="27"/>
      <c r="J19" s="27"/>
      <c r="K19" s="11"/>
      <c r="M19" s="12"/>
    </row>
    <row r="20" spans="1:13" s="1" customFormat="1" x14ac:dyDescent="0.3">
      <c r="A20" s="38"/>
      <c r="B20" s="39"/>
      <c r="C20" s="40">
        <f t="shared" si="2"/>
        <v>8</v>
      </c>
      <c r="D20" s="10">
        <f>1.333/3.281</f>
        <v>0.40627857360560804</v>
      </c>
      <c r="E20" s="10">
        <v>1.83</v>
      </c>
      <c r="F20" s="10">
        <f t="shared" si="0"/>
        <v>5.9479183175861019</v>
      </c>
      <c r="G20" s="36">
        <f t="shared" si="1"/>
        <v>5.9479183175861019</v>
      </c>
      <c r="H20" s="27"/>
      <c r="I20" s="27"/>
      <c r="J20" s="27"/>
      <c r="K20" s="11"/>
      <c r="M20" s="12"/>
    </row>
    <row r="21" spans="1:13" s="1" customFormat="1" x14ac:dyDescent="0.3">
      <c r="A21" s="38"/>
      <c r="B21" s="39"/>
      <c r="C21" s="40">
        <f t="shared" si="2"/>
        <v>8</v>
      </c>
      <c r="D21" s="10">
        <f>8/12/3.281</f>
        <v>0.20319008432388497</v>
      </c>
      <c r="E21" s="10">
        <v>1.83</v>
      </c>
      <c r="F21" s="10">
        <f t="shared" si="0"/>
        <v>2.9747028345016759</v>
      </c>
      <c r="G21" s="36">
        <f t="shared" si="1"/>
        <v>2.9747028345016759</v>
      </c>
      <c r="H21" s="27"/>
      <c r="I21" s="27"/>
      <c r="J21" s="27"/>
      <c r="K21" s="11"/>
      <c r="M21" s="12"/>
    </row>
    <row r="22" spans="1:13" s="1" customFormat="1" ht="27.6" x14ac:dyDescent="0.3">
      <c r="A22" s="38"/>
      <c r="B22" s="39" t="s">
        <v>60</v>
      </c>
      <c r="C22" s="40">
        <f>2*6</f>
        <v>12</v>
      </c>
      <c r="D22" s="10">
        <f>44/3.281</f>
        <v>13.41054556537641</v>
      </c>
      <c r="E22" s="10">
        <v>2.4300000000000002</v>
      </c>
      <c r="F22" s="10">
        <f t="shared" si="0"/>
        <v>391.05150868637611</v>
      </c>
      <c r="G22" s="36">
        <f t="shared" si="1"/>
        <v>391.05150868637611</v>
      </c>
      <c r="H22" s="27"/>
      <c r="I22" s="27"/>
      <c r="J22" s="27"/>
      <c r="K22" s="11"/>
      <c r="M22" s="12"/>
    </row>
    <row r="23" spans="1:13" s="1" customFormat="1" x14ac:dyDescent="0.3">
      <c r="A23" s="21"/>
      <c r="B23" s="39" t="s">
        <v>26</v>
      </c>
      <c r="C23" s="22"/>
      <c r="D23" s="23"/>
      <c r="E23" s="24"/>
      <c r="F23" s="24"/>
      <c r="G23" s="27">
        <f>SUM(G10:G22)</f>
        <v>957.85319110027433</v>
      </c>
      <c r="H23" s="25" t="s">
        <v>31</v>
      </c>
      <c r="I23" s="26">
        <v>181.17</v>
      </c>
      <c r="J23" s="27">
        <f>G23*I23</f>
        <v>173534.2626316367</v>
      </c>
      <c r="K23" s="24"/>
    </row>
    <row r="24" spans="1:13" s="1" customFormat="1" x14ac:dyDescent="0.3">
      <c r="A24" s="21"/>
      <c r="B24" s="39" t="s">
        <v>39</v>
      </c>
      <c r="C24" s="22"/>
      <c r="D24" s="23"/>
      <c r="E24" s="24"/>
      <c r="F24" s="24"/>
      <c r="G24" s="27"/>
      <c r="H24" s="25"/>
      <c r="I24" s="26"/>
      <c r="J24" s="27">
        <f>0.13*G23*(1871.42/18.94)</f>
        <v>12303.63941159207</v>
      </c>
      <c r="K24" s="24"/>
    </row>
    <row r="25" spans="1:13" s="1" customFormat="1" ht="15" x14ac:dyDescent="0.3">
      <c r="A25" s="21"/>
      <c r="B25" s="37"/>
      <c r="C25" s="22"/>
      <c r="D25" s="23"/>
      <c r="E25" s="24"/>
      <c r="F25" s="24"/>
      <c r="G25" s="28"/>
      <c r="H25" s="25"/>
      <c r="I25" s="26"/>
      <c r="J25" s="27"/>
      <c r="K25" s="24"/>
    </row>
    <row r="26" spans="1:13" s="1" customFormat="1" ht="45" x14ac:dyDescent="0.3">
      <c r="A26" s="38">
        <v>2</v>
      </c>
      <c r="B26" s="37" t="s">
        <v>32</v>
      </c>
      <c r="C26" s="40"/>
      <c r="D26" s="10"/>
      <c r="E26" s="10"/>
      <c r="F26" s="10"/>
      <c r="G26" s="36"/>
      <c r="H26" s="27"/>
      <c r="I26" s="27"/>
      <c r="J26" s="27"/>
      <c r="K26" s="11"/>
      <c r="M26" s="12"/>
    </row>
    <row r="27" spans="1:13" s="1" customFormat="1" x14ac:dyDescent="0.3">
      <c r="A27" s="38"/>
      <c r="B27" s="39"/>
      <c r="C27" s="40">
        <v>2</v>
      </c>
      <c r="D27" s="10">
        <f>16.17/3.281</f>
        <v>4.928375495275831</v>
      </c>
      <c r="E27" s="10">
        <f>(0.75+40+0.75)/3.281</f>
        <v>12.648582749161841</v>
      </c>
      <c r="F27" s="10"/>
      <c r="G27" s="36">
        <f>PRODUCT(C27:F27)</f>
        <v>124.67393054187565</v>
      </c>
      <c r="H27" s="27"/>
      <c r="I27" s="27"/>
      <c r="J27" s="27"/>
      <c r="K27" s="11"/>
      <c r="M27" s="12"/>
    </row>
    <row r="28" spans="1:13" s="1" customFormat="1" x14ac:dyDescent="0.3">
      <c r="A28" s="21"/>
      <c r="B28" s="39" t="s">
        <v>26</v>
      </c>
      <c r="C28" s="22"/>
      <c r="D28" s="23"/>
      <c r="E28" s="24"/>
      <c r="F28" s="24"/>
      <c r="G28" s="27">
        <f>SUM(G27:G27)</f>
        <v>124.67393054187565</v>
      </c>
      <c r="H28" s="25" t="s">
        <v>33</v>
      </c>
      <c r="I28" s="26">
        <v>1070.9000000000001</v>
      </c>
      <c r="J28" s="27">
        <f>G28*I28</f>
        <v>133513.31221729465</v>
      </c>
      <c r="K28" s="24"/>
    </row>
    <row r="29" spans="1:13" s="1" customFormat="1" x14ac:dyDescent="0.3">
      <c r="A29" s="21"/>
      <c r="B29" s="39" t="s">
        <v>39</v>
      </c>
      <c r="C29" s="22"/>
      <c r="D29" s="23"/>
      <c r="E29" s="24"/>
      <c r="F29" s="24"/>
      <c r="G29" s="27"/>
      <c r="H29" s="25"/>
      <c r="I29" s="26"/>
      <c r="J29" s="27">
        <f>0.13*G28*8587.63/10</f>
        <v>13918.496619811258</v>
      </c>
      <c r="K29" s="24"/>
    </row>
    <row r="30" spans="1:13" s="1" customFormat="1" x14ac:dyDescent="0.3">
      <c r="A30" s="21"/>
      <c r="B30" s="39"/>
      <c r="C30" s="22"/>
      <c r="D30" s="23"/>
      <c r="E30" s="24"/>
      <c r="F30" s="24"/>
      <c r="G30" s="27"/>
      <c r="H30" s="25"/>
      <c r="I30" s="26"/>
      <c r="J30" s="27"/>
      <c r="K30" s="24"/>
    </row>
    <row r="31" spans="1:13" s="1" customFormat="1" ht="30" x14ac:dyDescent="0.3">
      <c r="A31" s="21">
        <v>3</v>
      </c>
      <c r="B31" s="37" t="s">
        <v>40</v>
      </c>
      <c r="C31" s="22"/>
      <c r="D31" s="23"/>
      <c r="E31" s="24"/>
      <c r="F31" s="24"/>
      <c r="G31" s="27"/>
      <c r="H31" s="25"/>
      <c r="I31" s="26"/>
      <c r="J31" s="27"/>
      <c r="K31" s="24"/>
    </row>
    <row r="32" spans="1:13" s="1" customFormat="1" x14ac:dyDescent="0.3">
      <c r="A32" s="21"/>
      <c r="B32" s="39" t="s">
        <v>57</v>
      </c>
      <c r="C32" s="22">
        <f>3*4</f>
        <v>12</v>
      </c>
      <c r="D32" s="23">
        <v>0.45</v>
      </c>
      <c r="E32" s="24">
        <v>0.45</v>
      </c>
      <c r="F32" s="24">
        <f>(2.5+0.25+0.17)/3.281</f>
        <v>0.88997256933861624</v>
      </c>
      <c r="G32" s="36">
        <f>PRODUCT(C32:F32)</f>
        <v>2.1626333434928378</v>
      </c>
      <c r="H32" s="25"/>
      <c r="I32" s="26"/>
      <c r="J32" s="27"/>
      <c r="K32" s="24"/>
    </row>
    <row r="33" spans="1:11" s="1" customFormat="1" x14ac:dyDescent="0.3">
      <c r="A33" s="21"/>
      <c r="B33" s="39" t="s">
        <v>26</v>
      </c>
      <c r="C33" s="22"/>
      <c r="D33" s="23"/>
      <c r="E33" s="24"/>
      <c r="F33" s="24"/>
      <c r="G33" s="27">
        <f>SUM(G32:G32)</f>
        <v>2.1626333434928378</v>
      </c>
      <c r="H33" s="25" t="s">
        <v>42</v>
      </c>
      <c r="I33" s="26">
        <v>663.31</v>
      </c>
      <c r="J33" s="27">
        <f>G33*I33</f>
        <v>1434.4963230722342</v>
      </c>
      <c r="K33" s="24"/>
    </row>
    <row r="34" spans="1:11" s="1" customFormat="1" x14ac:dyDescent="0.3">
      <c r="A34" s="21"/>
      <c r="B34" s="39"/>
      <c r="C34" s="22"/>
      <c r="D34" s="23"/>
      <c r="E34" s="24"/>
      <c r="F34" s="24"/>
      <c r="G34" s="27"/>
      <c r="H34" s="25"/>
      <c r="I34" s="26"/>
      <c r="J34" s="27"/>
      <c r="K34" s="24"/>
    </row>
    <row r="35" spans="1:11" s="1" customFormat="1" ht="15" x14ac:dyDescent="0.3">
      <c r="A35" s="21">
        <v>4</v>
      </c>
      <c r="B35" s="37" t="s">
        <v>54</v>
      </c>
      <c r="C35" s="22"/>
      <c r="D35" s="23"/>
      <c r="E35" s="24"/>
      <c r="F35" s="24"/>
      <c r="G35" s="27"/>
      <c r="H35" s="25"/>
      <c r="I35" s="26"/>
      <c r="J35" s="27"/>
      <c r="K35" s="24"/>
    </row>
    <row r="36" spans="1:11" s="1" customFormat="1" x14ac:dyDescent="0.3">
      <c r="A36" s="21"/>
      <c r="B36" s="39" t="str">
        <f>B32</f>
        <v>-for footing</v>
      </c>
      <c r="C36" s="22">
        <f>C32</f>
        <v>12</v>
      </c>
      <c r="D36" s="23">
        <f>D32</f>
        <v>0.45</v>
      </c>
      <c r="E36" s="24">
        <f>E32</f>
        <v>0.45</v>
      </c>
      <c r="F36" s="24"/>
      <c r="G36" s="36">
        <f>PRODUCT(C36:F36)</f>
        <v>2.4300000000000002</v>
      </c>
      <c r="H36" s="25"/>
      <c r="I36" s="26"/>
      <c r="J36" s="27"/>
      <c r="K36" s="24"/>
    </row>
    <row r="37" spans="1:11" s="1" customFormat="1" x14ac:dyDescent="0.3">
      <c r="A37" s="21"/>
      <c r="B37" s="39" t="s">
        <v>63</v>
      </c>
      <c r="C37" s="22">
        <f>0*2*2</f>
        <v>0</v>
      </c>
      <c r="D37" s="23">
        <f>11.17/3.281</f>
        <v>3.4044498628466928</v>
      </c>
      <c r="E37" s="24">
        <v>0.23</v>
      </c>
      <c r="F37" s="24"/>
      <c r="G37" s="36">
        <f>PRODUCT(C37:F37)</f>
        <v>0</v>
      </c>
      <c r="H37" s="25"/>
      <c r="I37" s="26"/>
      <c r="J37" s="27"/>
      <c r="K37" s="24"/>
    </row>
    <row r="38" spans="1:11" s="1" customFormat="1" x14ac:dyDescent="0.3">
      <c r="A38" s="21"/>
      <c r="B38" s="39"/>
      <c r="C38" s="22">
        <f>0*2*3</f>
        <v>0</v>
      </c>
      <c r="D38" s="23">
        <f>11.75/3.281</f>
        <v>3.5812252362084727</v>
      </c>
      <c r="E38" s="24">
        <v>0.23</v>
      </c>
      <c r="F38" s="24"/>
      <c r="G38" s="36">
        <f>PRODUCT(C38:F38)</f>
        <v>0</v>
      </c>
      <c r="H38" s="25"/>
      <c r="I38" s="26"/>
      <c r="J38" s="27"/>
      <c r="K38" s="24"/>
    </row>
    <row r="39" spans="1:11" s="1" customFormat="1" x14ac:dyDescent="0.3">
      <c r="A39" s="21"/>
      <c r="B39" s="39" t="s">
        <v>26</v>
      </c>
      <c r="C39" s="22"/>
      <c r="D39" s="23"/>
      <c r="E39" s="24"/>
      <c r="F39" s="24"/>
      <c r="G39" s="27">
        <f>SUM(G36:G38)</f>
        <v>2.4300000000000002</v>
      </c>
      <c r="H39" s="25" t="s">
        <v>33</v>
      </c>
      <c r="I39" s="26">
        <v>1014.97</v>
      </c>
      <c r="J39" s="27">
        <f>G39*I39</f>
        <v>2466.3771000000002</v>
      </c>
      <c r="K39" s="24"/>
    </row>
    <row r="40" spans="1:11" s="1" customFormat="1" x14ac:dyDescent="0.3">
      <c r="A40" s="21"/>
      <c r="B40" s="39" t="s">
        <v>39</v>
      </c>
      <c r="C40" s="22"/>
      <c r="D40" s="23"/>
      <c r="E40" s="24"/>
      <c r="F40" s="24"/>
      <c r="G40" s="27"/>
      <c r="H40" s="25"/>
      <c r="I40" s="26"/>
      <c r="J40" s="27">
        <f>0.13*G39*8617.2/10</f>
        <v>272.21734800000002</v>
      </c>
      <c r="K40" s="24"/>
    </row>
    <row r="41" spans="1:11" s="1" customFormat="1" x14ac:dyDescent="0.3">
      <c r="A41" s="21"/>
      <c r="B41" s="39"/>
      <c r="C41" s="22"/>
      <c r="D41" s="23"/>
      <c r="E41" s="24"/>
      <c r="F41" s="24"/>
      <c r="G41" s="27"/>
      <c r="H41" s="25"/>
      <c r="I41" s="26"/>
      <c r="J41" s="27"/>
      <c r="K41" s="24"/>
    </row>
    <row r="42" spans="1:11" s="1" customFormat="1" ht="30" x14ac:dyDescent="0.3">
      <c r="A42" s="21">
        <v>5</v>
      </c>
      <c r="B42" s="37" t="s">
        <v>44</v>
      </c>
      <c r="C42" s="22"/>
      <c r="D42" s="23"/>
      <c r="E42" s="24"/>
      <c r="F42" s="24"/>
      <c r="G42" s="27"/>
      <c r="H42" s="25"/>
      <c r="I42" s="26"/>
      <c r="J42" s="27"/>
      <c r="K42" s="24"/>
    </row>
    <row r="43" spans="1:11" s="1" customFormat="1" x14ac:dyDescent="0.3">
      <c r="A43" s="21"/>
      <c r="B43" s="39" t="str">
        <f>B32</f>
        <v>-for footing</v>
      </c>
      <c r="C43" s="22">
        <f>C36</f>
        <v>12</v>
      </c>
      <c r="D43" s="23">
        <f>D36</f>
        <v>0.45</v>
      </c>
      <c r="E43" s="24">
        <f>E36</f>
        <v>0.45</v>
      </c>
      <c r="F43" s="24">
        <v>7.4999999999999997E-2</v>
      </c>
      <c r="G43" s="36">
        <f>PRODUCT(C43:F43)</f>
        <v>0.18225</v>
      </c>
      <c r="H43" s="25"/>
      <c r="I43" s="26"/>
      <c r="J43" s="27"/>
      <c r="K43" s="24"/>
    </row>
    <row r="44" spans="1:11" s="1" customFormat="1" x14ac:dyDescent="0.3">
      <c r="A44" s="21"/>
      <c r="B44" s="39" t="s">
        <v>63</v>
      </c>
      <c r="C44" s="22">
        <f>0*2*2</f>
        <v>0</v>
      </c>
      <c r="D44" s="23">
        <f>11.17/3.281</f>
        <v>3.4044498628466928</v>
      </c>
      <c r="E44" s="24">
        <v>0.23</v>
      </c>
      <c r="F44" s="24">
        <v>0.05</v>
      </c>
      <c r="G44" s="36">
        <f>PRODUCT(C44:F44)</f>
        <v>0</v>
      </c>
      <c r="H44" s="25"/>
      <c r="I44" s="26"/>
      <c r="J44" s="27"/>
      <c r="K44" s="24"/>
    </row>
    <row r="45" spans="1:11" s="1" customFormat="1" x14ac:dyDescent="0.3">
      <c r="A45" s="21"/>
      <c r="B45" s="39"/>
      <c r="C45" s="22">
        <f>0*2*3</f>
        <v>0</v>
      </c>
      <c r="D45" s="23">
        <f>11.75/3.281</f>
        <v>3.5812252362084727</v>
      </c>
      <c r="E45" s="24">
        <v>0.23</v>
      </c>
      <c r="F45" s="24">
        <v>0.05</v>
      </c>
      <c r="G45" s="36">
        <f>PRODUCT(C45:F45)</f>
        <v>0</v>
      </c>
      <c r="H45" s="25"/>
      <c r="I45" s="26"/>
      <c r="J45" s="27"/>
      <c r="K45" s="24"/>
    </row>
    <row r="46" spans="1:11" s="1" customFormat="1" x14ac:dyDescent="0.3">
      <c r="A46" s="21"/>
      <c r="B46" s="39" t="s">
        <v>26</v>
      </c>
      <c r="C46" s="22"/>
      <c r="D46" s="23"/>
      <c r="E46" s="24"/>
      <c r="F46" s="24"/>
      <c r="G46" s="27">
        <f>SUM(G43:G45)</f>
        <v>0.18225</v>
      </c>
      <c r="H46" s="25" t="s">
        <v>42</v>
      </c>
      <c r="I46" s="26">
        <v>12983.1</v>
      </c>
      <c r="J46" s="27">
        <f>G46*I46</f>
        <v>2366.1699749999998</v>
      </c>
      <c r="K46" s="24"/>
    </row>
    <row r="47" spans="1:11" s="1" customFormat="1" x14ac:dyDescent="0.3">
      <c r="A47" s="21"/>
      <c r="B47" s="39" t="s">
        <v>39</v>
      </c>
      <c r="C47" s="22"/>
      <c r="D47" s="23"/>
      <c r="E47" s="24"/>
      <c r="F47" s="24"/>
      <c r="G47" s="27"/>
      <c r="H47" s="25"/>
      <c r="I47" s="26"/>
      <c r="J47" s="27">
        <f>0.13*G46*8078.11</f>
        <v>191.39062117500001</v>
      </c>
      <c r="K47" s="24"/>
    </row>
    <row r="48" spans="1:11" s="1" customFormat="1" x14ac:dyDescent="0.3">
      <c r="A48" s="21"/>
      <c r="B48" s="39"/>
      <c r="C48" s="22"/>
      <c r="D48" s="23"/>
      <c r="E48" s="24"/>
      <c r="F48" s="24"/>
      <c r="G48" s="27"/>
      <c r="H48" s="25"/>
      <c r="I48" s="26"/>
      <c r="J48" s="27"/>
      <c r="K48" s="24"/>
    </row>
    <row r="49" spans="1:11" s="1" customFormat="1" ht="43.2" x14ac:dyDescent="0.3">
      <c r="A49" s="21">
        <v>6</v>
      </c>
      <c r="B49" s="37" t="s">
        <v>64</v>
      </c>
      <c r="C49" s="22" t="s">
        <v>65</v>
      </c>
      <c r="D49" s="34" t="s">
        <v>27</v>
      </c>
      <c r="E49" s="35" t="s">
        <v>29</v>
      </c>
      <c r="F49" s="35" t="s">
        <v>66</v>
      </c>
      <c r="G49" s="42" t="s">
        <v>67</v>
      </c>
      <c r="H49" s="25"/>
      <c r="I49" s="26"/>
      <c r="J49" s="27"/>
      <c r="K49" s="24"/>
    </row>
    <row r="50" spans="1:11" s="1" customFormat="1" x14ac:dyDescent="0.3">
      <c r="A50" s="21"/>
      <c r="B50" s="39" t="str">
        <f>B44</f>
        <v>-for tie beam</v>
      </c>
      <c r="C50" s="22">
        <v>4</v>
      </c>
      <c r="D50" s="34">
        <f>(40-0.333+0.583*2)</f>
        <v>40.832999999999998</v>
      </c>
      <c r="E50" s="35">
        <f>12*12/162</f>
        <v>0.88888888888888884</v>
      </c>
      <c r="F50" s="35">
        <f>PRODUCT(C50:E50)</f>
        <v>145.184</v>
      </c>
      <c r="G50" s="43">
        <f>F50/1000</f>
        <v>0.14518400000000001</v>
      </c>
      <c r="H50" s="25"/>
      <c r="I50" s="26"/>
      <c r="J50" s="27"/>
      <c r="K50" s="24"/>
    </row>
    <row r="51" spans="1:11" s="1" customFormat="1" x14ac:dyDescent="0.3">
      <c r="A51" s="21"/>
      <c r="B51" s="39" t="s">
        <v>69</v>
      </c>
      <c r="C51" s="22">
        <f>2*(TRUNC((11.917+12.25+11.917-0.17*6)/0.5,0))+3</f>
        <v>143</v>
      </c>
      <c r="D51" s="34">
        <f>(0.583*4+0.17*2)/3.281</f>
        <v>0.81438585797013097</v>
      </c>
      <c r="E51" s="35">
        <f>8*8/162</f>
        <v>0.39506172839506171</v>
      </c>
      <c r="F51" s="35">
        <f>PRODUCT(C51:E51)</f>
        <v>46.007773902115048</v>
      </c>
      <c r="G51" s="43">
        <f>F51/1000</f>
        <v>4.6007773902115051E-2</v>
      </c>
      <c r="H51" s="25"/>
      <c r="I51" s="26"/>
      <c r="J51" s="27"/>
      <c r="K51" s="24"/>
    </row>
    <row r="52" spans="1:11" s="1" customFormat="1" x14ac:dyDescent="0.3">
      <c r="A52" s="21"/>
      <c r="B52" s="39" t="s">
        <v>63</v>
      </c>
      <c r="C52" s="22">
        <v>4</v>
      </c>
      <c r="D52" s="34">
        <f>(30-0.333+0.583*2)</f>
        <v>30.833000000000002</v>
      </c>
      <c r="E52" s="35">
        <f>12*12/162</f>
        <v>0.88888888888888884</v>
      </c>
      <c r="F52" s="35">
        <f>PRODUCT(C52:E52)</f>
        <v>109.62844444444444</v>
      </c>
      <c r="G52" s="43">
        <f>F52/1000</f>
        <v>0.10962844444444445</v>
      </c>
      <c r="H52" s="25"/>
      <c r="I52" s="26"/>
      <c r="J52" s="27"/>
      <c r="K52" s="24"/>
    </row>
    <row r="53" spans="1:11" s="1" customFormat="1" x14ac:dyDescent="0.3">
      <c r="A53" s="21"/>
      <c r="B53" s="39" t="s">
        <v>69</v>
      </c>
      <c r="C53" s="22">
        <f>4*(TRUNC((12.5-0.17*4)/0.5,0))+3</f>
        <v>95</v>
      </c>
      <c r="D53" s="34">
        <f>(0.583*4+0.17*2)/3.281</f>
        <v>0.81438585797013097</v>
      </c>
      <c r="E53" s="35">
        <f>8*8/162</f>
        <v>0.39506172839506171</v>
      </c>
      <c r="F53" s="35">
        <f>PRODUCT(C53:E53)</f>
        <v>30.564605039866645</v>
      </c>
      <c r="G53" s="43">
        <f>F53/1000</f>
        <v>3.0564605039866646E-2</v>
      </c>
      <c r="H53" s="25"/>
      <c r="I53" s="26"/>
      <c r="J53" s="27"/>
      <c r="K53" s="24"/>
    </row>
    <row r="54" spans="1:11" s="1" customFormat="1" x14ac:dyDescent="0.3">
      <c r="A54" s="21"/>
      <c r="B54" s="39" t="s">
        <v>26</v>
      </c>
      <c r="C54" s="22"/>
      <c r="D54" s="23"/>
      <c r="E54" s="24"/>
      <c r="F54" s="24"/>
      <c r="G54" s="27">
        <f>0*SUM(G50:G53)</f>
        <v>0</v>
      </c>
      <c r="H54" s="25" t="s">
        <v>70</v>
      </c>
      <c r="I54" s="26">
        <v>131940</v>
      </c>
      <c r="J54" s="27">
        <f>G54*I54</f>
        <v>0</v>
      </c>
      <c r="K54" s="24"/>
    </row>
    <row r="55" spans="1:11" s="1" customFormat="1" x14ac:dyDescent="0.3">
      <c r="A55" s="21"/>
      <c r="B55" s="39" t="s">
        <v>39</v>
      </c>
      <c r="C55" s="22"/>
      <c r="D55" s="23"/>
      <c r="E55" s="24"/>
      <c r="F55" s="24"/>
      <c r="G55" s="27"/>
      <c r="H55" s="25"/>
      <c r="I55" s="26"/>
      <c r="J55" s="27">
        <f>0.13*G54*106200</f>
        <v>0</v>
      </c>
      <c r="K55" s="24"/>
    </row>
    <row r="56" spans="1:11" s="1" customFormat="1" x14ac:dyDescent="0.3">
      <c r="A56" s="21"/>
      <c r="B56" s="39"/>
      <c r="C56" s="22"/>
      <c r="D56" s="23"/>
      <c r="E56" s="24"/>
      <c r="F56" s="24"/>
      <c r="G56" s="27"/>
      <c r="H56" s="25"/>
      <c r="I56" s="26"/>
      <c r="J56" s="27"/>
      <c r="K56" s="24"/>
    </row>
    <row r="57" spans="1:11" s="1" customFormat="1" ht="30" x14ac:dyDescent="0.3">
      <c r="A57" s="21">
        <v>7</v>
      </c>
      <c r="B57" s="37" t="s">
        <v>71</v>
      </c>
      <c r="C57" s="22"/>
      <c r="D57" s="23"/>
      <c r="E57" s="24"/>
      <c r="F57" s="24"/>
      <c r="G57" s="27"/>
      <c r="H57" s="25"/>
      <c r="I57" s="26"/>
      <c r="J57" s="27"/>
      <c r="K57" s="24"/>
    </row>
    <row r="58" spans="1:11" s="1" customFormat="1" x14ac:dyDescent="0.3">
      <c r="A58" s="21"/>
      <c r="B58" s="39" t="str">
        <f>B32</f>
        <v>-for footing</v>
      </c>
      <c r="C58" s="22">
        <v>12</v>
      </c>
      <c r="D58" s="23">
        <f>0.45*4</f>
        <v>1.8</v>
      </c>
      <c r="E58" s="24"/>
      <c r="F58" s="24">
        <v>0.45</v>
      </c>
      <c r="G58" s="36">
        <f>PRODUCT(C58:F58)</f>
        <v>9.7200000000000006</v>
      </c>
      <c r="H58" s="25"/>
      <c r="I58" s="26"/>
      <c r="J58" s="27"/>
      <c r="K58" s="24"/>
    </row>
    <row r="59" spans="1:11" s="1" customFormat="1" x14ac:dyDescent="0.3">
      <c r="A59" s="21"/>
      <c r="B59" s="39" t="s">
        <v>68</v>
      </c>
      <c r="C59" s="22">
        <v>12</v>
      </c>
      <c r="D59" s="23">
        <f>4*0.3</f>
        <v>1.2</v>
      </c>
      <c r="E59" s="24"/>
      <c r="F59" s="24">
        <v>0.3</v>
      </c>
      <c r="G59" s="36">
        <f>PRODUCT(C59:F59)</f>
        <v>4.3199999999999994</v>
      </c>
      <c r="H59" s="25"/>
      <c r="I59" s="26"/>
      <c r="J59" s="27"/>
      <c r="K59" s="24"/>
    </row>
    <row r="60" spans="1:11" s="1" customFormat="1" x14ac:dyDescent="0.3">
      <c r="A60" s="21"/>
      <c r="B60" s="39" t="s">
        <v>63</v>
      </c>
      <c r="C60" s="22">
        <f>0*2*2</f>
        <v>0</v>
      </c>
      <c r="D60" s="23">
        <f>12.5/3.281</f>
        <v>3.8098140810728434</v>
      </c>
      <c r="E60" s="24"/>
      <c r="F60" s="24">
        <f>0.23*2</f>
        <v>0.46</v>
      </c>
      <c r="G60" s="36">
        <f>PRODUCT(C60:F60)</f>
        <v>0</v>
      </c>
      <c r="H60" s="25"/>
      <c r="I60" s="26"/>
      <c r="J60" s="27"/>
      <c r="K60" s="24"/>
    </row>
    <row r="61" spans="1:11" s="1" customFormat="1" x14ac:dyDescent="0.3">
      <c r="A61" s="21"/>
      <c r="B61" s="39"/>
      <c r="C61" s="22">
        <f>0*2*2</f>
        <v>0</v>
      </c>
      <c r="D61" s="23">
        <f>11.917/3.281</f>
        <v>3.6321243523316058</v>
      </c>
      <c r="E61" s="24"/>
      <c r="F61" s="24">
        <f>0.23*2</f>
        <v>0.46</v>
      </c>
      <c r="G61" s="36">
        <f>PRODUCT(C61:F61)</f>
        <v>0</v>
      </c>
      <c r="H61" s="25"/>
      <c r="I61" s="26"/>
      <c r="J61" s="27"/>
      <c r="K61" s="24"/>
    </row>
    <row r="62" spans="1:11" s="1" customFormat="1" x14ac:dyDescent="0.3">
      <c r="A62" s="21"/>
      <c r="B62" s="39"/>
      <c r="C62" s="22">
        <f>0*1*2</f>
        <v>0</v>
      </c>
      <c r="D62" s="23">
        <f>12.25/3.281</f>
        <v>3.7336177994513866</v>
      </c>
      <c r="E62" s="24"/>
      <c r="F62" s="24">
        <f>0.23*2</f>
        <v>0.46</v>
      </c>
      <c r="G62" s="36">
        <f>PRODUCT(C62:F62)</f>
        <v>0</v>
      </c>
      <c r="H62" s="25"/>
      <c r="I62" s="26"/>
      <c r="J62" s="27"/>
      <c r="K62" s="24"/>
    </row>
    <row r="63" spans="1:11" s="1" customFormat="1" x14ac:dyDescent="0.3">
      <c r="A63" s="21"/>
      <c r="B63" s="39" t="s">
        <v>26</v>
      </c>
      <c r="C63" s="22"/>
      <c r="D63" s="23"/>
      <c r="E63" s="24"/>
      <c r="F63" s="24"/>
      <c r="G63" s="27">
        <f>SUM(G58:G62)</f>
        <v>14.04</v>
      </c>
      <c r="H63" s="25" t="s">
        <v>33</v>
      </c>
      <c r="I63" s="26">
        <v>915.42</v>
      </c>
      <c r="J63" s="27">
        <f>G63*I63</f>
        <v>12852.496799999999</v>
      </c>
      <c r="K63" s="24"/>
    </row>
    <row r="64" spans="1:11" s="1" customFormat="1" x14ac:dyDescent="0.3">
      <c r="A64" s="21"/>
      <c r="B64" s="39" t="s">
        <v>39</v>
      </c>
      <c r="C64" s="22"/>
      <c r="D64" s="23"/>
      <c r="E64" s="24"/>
      <c r="F64" s="24"/>
      <c r="G64" s="27"/>
      <c r="H64" s="25"/>
      <c r="I64" s="26"/>
      <c r="J64" s="27">
        <f>0.13*G63*46827.87/100</f>
        <v>854.70228323999993</v>
      </c>
      <c r="K64" s="24"/>
    </row>
    <row r="65" spans="1:11" s="1" customFormat="1" x14ac:dyDescent="0.3">
      <c r="A65" s="21"/>
      <c r="B65" s="39"/>
      <c r="C65" s="22"/>
      <c r="D65" s="23"/>
      <c r="E65" s="24"/>
      <c r="F65" s="24"/>
      <c r="G65" s="27"/>
      <c r="H65" s="25"/>
      <c r="I65" s="26"/>
      <c r="J65" s="27"/>
      <c r="K65" s="24"/>
    </row>
    <row r="66" spans="1:11" s="1" customFormat="1" ht="30" x14ac:dyDescent="0.3">
      <c r="A66" s="21">
        <v>8</v>
      </c>
      <c r="B66" s="37" t="s">
        <v>45</v>
      </c>
      <c r="C66" s="22"/>
      <c r="D66" s="23"/>
      <c r="E66" s="24"/>
      <c r="F66" s="24"/>
      <c r="G66" s="27"/>
      <c r="H66" s="25"/>
      <c r="I66" s="26"/>
      <c r="J66" s="27"/>
      <c r="K66" s="24"/>
    </row>
    <row r="67" spans="1:11" s="1" customFormat="1" x14ac:dyDescent="0.3">
      <c r="A67" s="21"/>
      <c r="B67" s="39" t="str">
        <f>B32</f>
        <v>-for footing</v>
      </c>
      <c r="C67" s="22">
        <f>C43</f>
        <v>12</v>
      </c>
      <c r="D67" s="23">
        <f>D43</f>
        <v>0.45</v>
      </c>
      <c r="E67" s="24">
        <f>E43</f>
        <v>0.45</v>
      </c>
      <c r="F67" s="24">
        <v>0.45</v>
      </c>
      <c r="G67" s="36">
        <f>PRODUCT(C67:F67)</f>
        <v>1.0935000000000001</v>
      </c>
      <c r="H67" s="25"/>
      <c r="I67" s="26"/>
      <c r="J67" s="27"/>
      <c r="K67" s="24"/>
    </row>
    <row r="68" spans="1:11" s="1" customFormat="1" x14ac:dyDescent="0.3">
      <c r="A68" s="21"/>
      <c r="B68" s="39" t="str">
        <f>B59</f>
        <v>-for column</v>
      </c>
      <c r="C68" s="22">
        <f>C67</f>
        <v>12</v>
      </c>
      <c r="D68" s="23">
        <v>0.3</v>
      </c>
      <c r="E68" s="24">
        <v>0.3</v>
      </c>
      <c r="F68" s="24">
        <f>0.3+0.45</f>
        <v>0.75</v>
      </c>
      <c r="G68" s="36">
        <f>PRODUCT(C68:F68)</f>
        <v>0.80999999999999983</v>
      </c>
      <c r="H68" s="25"/>
      <c r="I68" s="26"/>
      <c r="J68" s="27"/>
      <c r="K68" s="24"/>
    </row>
    <row r="69" spans="1:11" s="1" customFormat="1" x14ac:dyDescent="0.3">
      <c r="A69" s="21"/>
      <c r="B69" s="39" t="s">
        <v>61</v>
      </c>
      <c r="C69" s="22">
        <f>0*2</f>
        <v>0</v>
      </c>
      <c r="D69" s="23">
        <f>40/3.281</f>
        <v>12.1914050594331</v>
      </c>
      <c r="E69" s="24">
        <v>0.23</v>
      </c>
      <c r="F69" s="24">
        <v>0.23</v>
      </c>
      <c r="G69" s="36">
        <f>PRODUCT(C69:F69)</f>
        <v>0</v>
      </c>
      <c r="H69" s="25"/>
      <c r="I69" s="26"/>
      <c r="J69" s="27"/>
      <c r="K69" s="24"/>
    </row>
    <row r="70" spans="1:11" s="1" customFormat="1" x14ac:dyDescent="0.3">
      <c r="A70" s="21"/>
      <c r="B70" s="39"/>
      <c r="C70" s="22">
        <f>0*2</f>
        <v>0</v>
      </c>
      <c r="D70" s="23">
        <f>30/3.281</f>
        <v>9.1435537945748244</v>
      </c>
      <c r="E70" s="24">
        <v>0.23</v>
      </c>
      <c r="F70" s="24">
        <v>0.23</v>
      </c>
      <c r="G70" s="36">
        <f>PRODUCT(C70:F70)</f>
        <v>0</v>
      </c>
      <c r="H70" s="25"/>
      <c r="I70" s="26"/>
      <c r="J70" s="27"/>
      <c r="K70" s="24"/>
    </row>
    <row r="71" spans="1:11" s="1" customFormat="1" x14ac:dyDescent="0.3">
      <c r="A71" s="21"/>
      <c r="B71" s="39" t="s">
        <v>62</v>
      </c>
      <c r="C71" s="22">
        <f>-C67*0</f>
        <v>0</v>
      </c>
      <c r="D71" s="23">
        <f>3/12/3.281</f>
        <v>7.6196281621456863E-2</v>
      </c>
      <c r="E71" s="24">
        <v>0.23</v>
      </c>
      <c r="F71" s="24">
        <v>0.23</v>
      </c>
      <c r="G71" s="36">
        <f>PRODUCT(C71:F71)</f>
        <v>0</v>
      </c>
      <c r="H71" s="25"/>
      <c r="I71" s="26"/>
      <c r="J71" s="27"/>
      <c r="K71" s="24"/>
    </row>
    <row r="72" spans="1:11" s="1" customFormat="1" x14ac:dyDescent="0.3">
      <c r="A72" s="21"/>
      <c r="B72" s="39" t="s">
        <v>26</v>
      </c>
      <c r="C72" s="22"/>
      <c r="D72" s="23"/>
      <c r="E72" s="24"/>
      <c r="F72" s="24"/>
      <c r="G72" s="27">
        <f>SUM(G67:G71)</f>
        <v>1.9035</v>
      </c>
      <c r="H72" s="25" t="s">
        <v>42</v>
      </c>
      <c r="I72" s="26">
        <v>13568.9</v>
      </c>
      <c r="J72" s="27">
        <f>G72*I72</f>
        <v>25828.401149999998</v>
      </c>
      <c r="K72" s="24"/>
    </row>
    <row r="73" spans="1:11" s="1" customFormat="1" x14ac:dyDescent="0.3">
      <c r="A73" s="21"/>
      <c r="B73" s="39" t="s">
        <v>39</v>
      </c>
      <c r="C73" s="22"/>
      <c r="D73" s="23"/>
      <c r="E73" s="24"/>
      <c r="F73" s="24"/>
      <c r="G73" s="27"/>
      <c r="H73" s="25"/>
      <c r="I73" s="26"/>
      <c r="J73" s="27">
        <f>0.13*G72*9524.2</f>
        <v>2356.810911</v>
      </c>
      <c r="K73" s="24"/>
    </row>
    <row r="74" spans="1:11" s="1" customFormat="1" x14ac:dyDescent="0.3">
      <c r="A74" s="21"/>
      <c r="B74" s="39"/>
      <c r="C74" s="22"/>
      <c r="D74" s="23"/>
      <c r="E74" s="24"/>
      <c r="F74" s="24"/>
      <c r="G74" s="27"/>
      <c r="H74" s="25"/>
      <c r="I74" s="26"/>
      <c r="J74" s="27"/>
      <c r="K74" s="24"/>
    </row>
    <row r="75" spans="1:11" s="1" customFormat="1" ht="30" x14ac:dyDescent="0.3">
      <c r="A75" s="21">
        <v>9</v>
      </c>
      <c r="B75" s="37" t="s">
        <v>53</v>
      </c>
      <c r="C75" s="22"/>
      <c r="D75" s="23"/>
      <c r="E75" s="24"/>
      <c r="F75" s="24"/>
      <c r="G75" s="27"/>
      <c r="H75" s="25"/>
      <c r="I75" s="26"/>
      <c r="J75" s="27"/>
      <c r="K75" s="24"/>
    </row>
    <row r="76" spans="1:11" s="1" customFormat="1" x14ac:dyDescent="0.3">
      <c r="A76" s="21"/>
      <c r="B76" s="39" t="s">
        <v>57</v>
      </c>
      <c r="C76" s="22">
        <f>2*2</f>
        <v>4</v>
      </c>
      <c r="D76" s="23">
        <f>12.5/3.281</f>
        <v>3.8098140810728434</v>
      </c>
      <c r="E76" s="24">
        <v>0.23</v>
      </c>
      <c r="F76" s="24">
        <v>0.45</v>
      </c>
      <c r="G76" s="36">
        <f>PRODUCT(C76:F76)</f>
        <v>1.5772630295641572</v>
      </c>
      <c r="H76" s="25"/>
      <c r="I76" s="26"/>
      <c r="J76" s="27"/>
      <c r="K76" s="24"/>
    </row>
    <row r="77" spans="1:11" s="1" customFormat="1" x14ac:dyDescent="0.3">
      <c r="A77" s="21"/>
      <c r="B77" s="39"/>
      <c r="C77" s="22">
        <f>2*2</f>
        <v>4</v>
      </c>
      <c r="D77" s="23">
        <f>11.917/3.281</f>
        <v>3.6321243523316058</v>
      </c>
      <c r="E77" s="24">
        <v>0.23</v>
      </c>
      <c r="F77" s="24">
        <v>0.45</v>
      </c>
      <c r="G77" s="36">
        <f>PRODUCT(C77:F77)</f>
        <v>1.5036994818652849</v>
      </c>
      <c r="H77" s="25"/>
      <c r="I77" s="26"/>
      <c r="J77" s="27"/>
      <c r="K77" s="24"/>
    </row>
    <row r="78" spans="1:11" s="1" customFormat="1" x14ac:dyDescent="0.3">
      <c r="A78" s="21"/>
      <c r="B78" s="39"/>
      <c r="C78" s="22">
        <f>1*2</f>
        <v>2</v>
      </c>
      <c r="D78" s="23">
        <f>12.25/3.281</f>
        <v>3.7336177994513866</v>
      </c>
      <c r="E78" s="24">
        <v>0.23</v>
      </c>
      <c r="F78" s="24">
        <v>0.45</v>
      </c>
      <c r="G78" s="36">
        <f>PRODUCT(C78:F78)</f>
        <v>0.77285888448643714</v>
      </c>
      <c r="H78" s="25"/>
      <c r="I78" s="26"/>
      <c r="J78" s="27"/>
      <c r="K78" s="24"/>
    </row>
    <row r="79" spans="1:11" s="1" customFormat="1" x14ac:dyDescent="0.3">
      <c r="A79" s="21"/>
      <c r="B79" s="39" t="s">
        <v>26</v>
      </c>
      <c r="C79" s="22"/>
      <c r="D79" s="23"/>
      <c r="E79" s="24"/>
      <c r="F79" s="24"/>
      <c r="G79" s="27">
        <f>SUM(G76:G78)</f>
        <v>3.8538213959158796</v>
      </c>
      <c r="H79" s="25" t="s">
        <v>42</v>
      </c>
      <c r="I79" s="26">
        <v>14362.76</v>
      </c>
      <c r="J79" s="27">
        <f>G79*I79</f>
        <v>55351.511792404759</v>
      </c>
      <c r="K79" s="24"/>
    </row>
    <row r="80" spans="1:11" s="1" customFormat="1" x14ac:dyDescent="0.3">
      <c r="A80" s="21"/>
      <c r="B80" s="39" t="s">
        <v>39</v>
      </c>
      <c r="C80" s="22"/>
      <c r="D80" s="23"/>
      <c r="E80" s="24"/>
      <c r="F80" s="24"/>
      <c r="G80" s="27"/>
      <c r="H80" s="25"/>
      <c r="I80" s="26"/>
      <c r="J80" s="27">
        <f>0.13*G79*10311.74</f>
        <v>5166.1485513458092</v>
      </c>
      <c r="K80" s="24"/>
    </row>
    <row r="81" spans="1:31" s="1" customFormat="1" x14ac:dyDescent="0.3">
      <c r="A81" s="21"/>
      <c r="B81" s="39"/>
      <c r="C81" s="22"/>
      <c r="D81" s="23"/>
      <c r="E81" s="24"/>
      <c r="F81" s="24"/>
      <c r="G81" s="27"/>
      <c r="H81" s="25"/>
      <c r="I81" s="26"/>
      <c r="J81" s="27"/>
      <c r="K81" s="24"/>
    </row>
    <row r="82" spans="1:31" s="1" customFormat="1" ht="27.6" x14ac:dyDescent="0.3">
      <c r="A82" s="21">
        <v>10</v>
      </c>
      <c r="B82" s="41" t="s">
        <v>35</v>
      </c>
      <c r="C82" s="22">
        <v>1</v>
      </c>
      <c r="D82" s="23"/>
      <c r="E82" s="24"/>
      <c r="F82" s="24"/>
      <c r="G82" s="36">
        <f>PRODUCT(C82:F82)</f>
        <v>1</v>
      </c>
      <c r="H82" s="25" t="s">
        <v>36</v>
      </c>
      <c r="I82" s="26">
        <v>5000</v>
      </c>
      <c r="J82" s="27">
        <f>G82*I82</f>
        <v>5000</v>
      </c>
      <c r="K82" s="24"/>
    </row>
    <row r="83" spans="1:31" s="1" customFormat="1" x14ac:dyDescent="0.3">
      <c r="A83" s="21"/>
      <c r="B83" s="39"/>
      <c r="C83" s="22"/>
      <c r="D83" s="23"/>
      <c r="E83" s="24"/>
      <c r="F83" s="24"/>
      <c r="G83" s="27"/>
      <c r="H83" s="25"/>
      <c r="I83" s="26"/>
      <c r="J83" s="27"/>
      <c r="K83" s="24"/>
    </row>
    <row r="84" spans="1:31" s="1" customFormat="1" x14ac:dyDescent="0.3">
      <c r="A84" s="21">
        <v>11</v>
      </c>
      <c r="B84" s="41" t="s">
        <v>37</v>
      </c>
      <c r="C84" s="22">
        <v>1</v>
      </c>
      <c r="D84" s="23"/>
      <c r="E84" s="24"/>
      <c r="F84" s="24"/>
      <c r="G84" s="36">
        <f>PRODUCT(C84:F84)</f>
        <v>1</v>
      </c>
      <c r="H84" s="25" t="s">
        <v>55</v>
      </c>
      <c r="I84" s="26">
        <v>1000</v>
      </c>
      <c r="J84" s="27">
        <f>G84*I84</f>
        <v>1000</v>
      </c>
      <c r="K84" s="24"/>
    </row>
    <row r="85" spans="1:31" s="1" customFormat="1" x14ac:dyDescent="0.3">
      <c r="A85" s="21"/>
      <c r="B85" s="39"/>
      <c r="C85" s="22"/>
      <c r="D85" s="23"/>
      <c r="E85" s="24"/>
      <c r="F85" s="24"/>
      <c r="G85" s="27"/>
      <c r="H85" s="25"/>
      <c r="I85" s="26"/>
      <c r="J85" s="27"/>
      <c r="K85" s="24"/>
    </row>
    <row r="86" spans="1:31" x14ac:dyDescent="0.3">
      <c r="A86" s="9"/>
      <c r="B86" s="20" t="s">
        <v>16</v>
      </c>
      <c r="C86" s="8"/>
      <c r="D86" s="6"/>
      <c r="E86" s="6"/>
      <c r="F86" s="6"/>
      <c r="G86" s="33"/>
      <c r="H86" s="7"/>
      <c r="I86" s="7"/>
      <c r="J86" s="7">
        <f>SUM(J10:J85)</f>
        <v>448410.4337355725</v>
      </c>
      <c r="K86" s="4"/>
      <c r="M86" s="29"/>
      <c r="P86" s="32"/>
      <c r="Q86" s="32"/>
    </row>
    <row r="87" spans="1:31" x14ac:dyDescent="0.3">
      <c r="M87" s="29"/>
      <c r="N87" s="30"/>
      <c r="O87" s="30"/>
      <c r="P87" s="31"/>
      <c r="R87" s="30"/>
      <c r="S87" s="30"/>
      <c r="T87" s="30"/>
      <c r="U87" s="29"/>
      <c r="V87" s="29"/>
      <c r="W87" s="29"/>
      <c r="X87" s="29"/>
      <c r="Y87" s="29"/>
      <c r="Z87" s="29"/>
      <c r="AA87" s="29"/>
      <c r="AB87" s="29"/>
      <c r="AC87" s="29"/>
      <c r="AD87" s="29"/>
      <c r="AE87" s="29"/>
    </row>
    <row r="88" spans="1:31" s="1" customFormat="1" x14ac:dyDescent="0.3">
      <c r="B88" s="11" t="s">
        <v>22</v>
      </c>
      <c r="C88" s="59">
        <f>J86</f>
        <v>448410.4337355725</v>
      </c>
      <c r="D88" s="60"/>
      <c r="E88" s="10">
        <v>100</v>
      </c>
      <c r="F88" s="12"/>
      <c r="G88" s="13"/>
      <c r="H88" s="12"/>
      <c r="I88" s="14"/>
      <c r="J88" s="15"/>
      <c r="K88" s="16"/>
      <c r="M88" s="12"/>
      <c r="N88" s="30"/>
      <c r="O88" s="30"/>
      <c r="P88" s="30"/>
      <c r="Q88" s="30"/>
      <c r="R88" s="30"/>
      <c r="S88" s="30"/>
      <c r="T88" s="30"/>
      <c r="U88" s="12"/>
      <c r="V88" s="12"/>
      <c r="W88" s="12"/>
      <c r="X88" s="12"/>
      <c r="Y88" s="12"/>
      <c r="Z88" s="12"/>
      <c r="AA88" s="12"/>
      <c r="AB88" s="12"/>
      <c r="AC88" s="12"/>
      <c r="AD88" s="12"/>
      <c r="AE88" s="12"/>
    </row>
    <row r="89" spans="1:31" x14ac:dyDescent="0.3">
      <c r="B89" s="11" t="s">
        <v>17</v>
      </c>
      <c r="C89" s="63">
        <v>400000</v>
      </c>
      <c r="D89" s="64"/>
      <c r="E89" s="10"/>
      <c r="M89" s="29"/>
      <c r="N89" s="30"/>
      <c r="O89" s="30"/>
      <c r="P89" s="30"/>
      <c r="Q89" s="30"/>
      <c r="R89" s="30"/>
      <c r="S89" s="30"/>
      <c r="T89" s="30"/>
      <c r="U89" s="29"/>
      <c r="V89" s="29"/>
      <c r="W89" s="29"/>
      <c r="X89" s="29"/>
      <c r="Y89" s="29"/>
      <c r="Z89" s="29"/>
      <c r="AA89" s="29"/>
      <c r="AB89" s="29"/>
      <c r="AC89" s="29"/>
      <c r="AD89" s="29"/>
      <c r="AE89" s="29"/>
    </row>
    <row r="90" spans="1:31" x14ac:dyDescent="0.3">
      <c r="B90" s="11" t="s">
        <v>18</v>
      </c>
      <c r="C90" s="63">
        <f>C89-C92-C93</f>
        <v>380000</v>
      </c>
      <c r="D90" s="64"/>
      <c r="E90" s="10">
        <f>C90/C88*100</f>
        <v>84.743790824476193</v>
      </c>
      <c r="M90" s="29"/>
      <c r="N90" s="29"/>
      <c r="O90" s="29"/>
      <c r="P90" s="29"/>
      <c r="Q90" s="29"/>
      <c r="R90" s="29"/>
      <c r="S90" s="29"/>
      <c r="T90" s="29"/>
      <c r="U90" s="29"/>
      <c r="V90" s="29"/>
      <c r="W90" s="29"/>
      <c r="X90" s="29"/>
      <c r="Y90" s="29"/>
      <c r="Z90" s="29"/>
      <c r="AA90" s="29"/>
      <c r="AB90" s="29"/>
      <c r="AC90" s="29"/>
      <c r="AD90" s="29"/>
      <c r="AE90" s="29"/>
    </row>
    <row r="91" spans="1:31" x14ac:dyDescent="0.3">
      <c r="B91" s="11" t="s">
        <v>19</v>
      </c>
      <c r="C91" s="65">
        <f>C88-C90</f>
        <v>68410.4337355725</v>
      </c>
      <c r="D91" s="65"/>
      <c r="E91" s="10">
        <f>100-E90</f>
        <v>15.256209175523807</v>
      </c>
      <c r="M91" s="29"/>
      <c r="N91" s="29"/>
      <c r="O91" s="29"/>
      <c r="P91" s="29"/>
      <c r="Q91" s="29"/>
      <c r="R91" s="29"/>
      <c r="S91" s="29"/>
      <c r="T91" s="29"/>
      <c r="U91" s="29"/>
      <c r="V91" s="29"/>
      <c r="W91" s="29"/>
      <c r="X91" s="29"/>
      <c r="Y91" s="29"/>
      <c r="Z91" s="29"/>
      <c r="AA91" s="29"/>
      <c r="AB91" s="29"/>
      <c r="AC91" s="29"/>
      <c r="AD91" s="29"/>
      <c r="AE91" s="29"/>
    </row>
    <row r="92" spans="1:31" x14ac:dyDescent="0.3">
      <c r="B92" s="11" t="s">
        <v>20</v>
      </c>
      <c r="C92" s="59">
        <f>C89*0.03</f>
        <v>12000</v>
      </c>
      <c r="D92" s="60"/>
      <c r="E92" s="10">
        <v>3</v>
      </c>
      <c r="M92" s="29"/>
      <c r="N92" s="29"/>
      <c r="O92" s="29"/>
      <c r="P92" s="29"/>
      <c r="Q92" s="29"/>
      <c r="R92" s="29"/>
      <c r="S92" s="29"/>
      <c r="T92" s="29"/>
      <c r="U92" s="29"/>
      <c r="V92" s="29"/>
      <c r="W92" s="29"/>
      <c r="X92" s="29"/>
      <c r="Y92" s="29"/>
      <c r="Z92" s="29"/>
      <c r="AA92" s="29"/>
      <c r="AB92" s="29"/>
      <c r="AC92" s="29"/>
      <c r="AD92" s="29"/>
      <c r="AE92" s="29"/>
    </row>
    <row r="93" spans="1:31" x14ac:dyDescent="0.3">
      <c r="B93" s="11" t="s">
        <v>21</v>
      </c>
      <c r="C93" s="59">
        <f>C89*0.02</f>
        <v>8000</v>
      </c>
      <c r="D93" s="60"/>
      <c r="E93" s="10">
        <v>2</v>
      </c>
      <c r="M93" s="29"/>
      <c r="N93" s="29"/>
      <c r="O93" s="29"/>
      <c r="P93" s="29"/>
      <c r="Q93" s="29"/>
      <c r="R93" s="29"/>
      <c r="S93" s="29"/>
      <c r="T93" s="29"/>
      <c r="U93" s="29"/>
      <c r="V93" s="29"/>
      <c r="W93" s="29"/>
      <c r="X93" s="29"/>
      <c r="Y93" s="29"/>
      <c r="Z93" s="29"/>
      <c r="AA93" s="29"/>
      <c r="AB93" s="29"/>
      <c r="AC93" s="29"/>
      <c r="AD93" s="29"/>
      <c r="AE93" s="29"/>
    </row>
  </sheetData>
  <mergeCells count="15">
    <mergeCell ref="A6:G6"/>
    <mergeCell ref="H6:K6"/>
    <mergeCell ref="A1:K1"/>
    <mergeCell ref="A2:K2"/>
    <mergeCell ref="A3:K3"/>
    <mergeCell ref="A4:K4"/>
    <mergeCell ref="A5:K5"/>
    <mergeCell ref="C92:D92"/>
    <mergeCell ref="C93:D93"/>
    <mergeCell ref="A7:F7"/>
    <mergeCell ref="H7:K7"/>
    <mergeCell ref="C88:D88"/>
    <mergeCell ref="C89:D89"/>
    <mergeCell ref="C90:D90"/>
    <mergeCell ref="C91:D91"/>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rowBreaks count="1" manualBreakCount="1">
    <brk id="41"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view="pageBreakPreview" topLeftCell="A27" zoomScaleNormal="100" zoomScaleSheetLayoutView="100" workbookViewId="0">
      <selection activeCell="G31" sqref="G31"/>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7" t="s">
        <v>0</v>
      </c>
      <c r="B1" s="67"/>
      <c r="C1" s="67"/>
      <c r="D1" s="67"/>
      <c r="E1" s="67"/>
      <c r="F1" s="67"/>
      <c r="G1" s="67"/>
      <c r="H1" s="67"/>
      <c r="I1" s="67"/>
      <c r="J1" s="67"/>
      <c r="K1" s="67"/>
    </row>
    <row r="2" spans="1:13" s="1" customFormat="1" ht="22.8" x14ac:dyDescent="0.3">
      <c r="A2" s="68" t="s">
        <v>1</v>
      </c>
      <c r="B2" s="68"/>
      <c r="C2" s="68"/>
      <c r="D2" s="68"/>
      <c r="E2" s="68"/>
      <c r="F2" s="68"/>
      <c r="G2" s="68"/>
      <c r="H2" s="68"/>
      <c r="I2" s="68"/>
      <c r="J2" s="68"/>
      <c r="K2" s="68"/>
    </row>
    <row r="3" spans="1:13" s="1" customFormat="1" x14ac:dyDescent="0.3">
      <c r="A3" s="69" t="s">
        <v>2</v>
      </c>
      <c r="B3" s="69"/>
      <c r="C3" s="69"/>
      <c r="D3" s="69"/>
      <c r="E3" s="69"/>
      <c r="F3" s="69"/>
      <c r="G3" s="69"/>
      <c r="H3" s="69"/>
      <c r="I3" s="69"/>
      <c r="J3" s="69"/>
      <c r="K3" s="69"/>
    </row>
    <row r="4" spans="1:13" s="1" customFormat="1" x14ac:dyDescent="0.3">
      <c r="A4" s="69" t="s">
        <v>3</v>
      </c>
      <c r="B4" s="69"/>
      <c r="C4" s="69"/>
      <c r="D4" s="69"/>
      <c r="E4" s="69"/>
      <c r="F4" s="69"/>
      <c r="G4" s="69"/>
      <c r="H4" s="69"/>
      <c r="I4" s="69"/>
      <c r="J4" s="69"/>
      <c r="K4" s="69"/>
    </row>
    <row r="5" spans="1:13" ht="17.399999999999999" x14ac:dyDescent="0.3">
      <c r="A5" s="70" t="s">
        <v>4</v>
      </c>
      <c r="B5" s="70"/>
      <c r="C5" s="70"/>
      <c r="D5" s="70"/>
      <c r="E5" s="70"/>
      <c r="F5" s="70"/>
      <c r="G5" s="70"/>
      <c r="H5" s="70"/>
      <c r="I5" s="70"/>
      <c r="J5" s="70"/>
      <c r="K5" s="70"/>
    </row>
    <row r="6" spans="1:13" ht="18" x14ac:dyDescent="0.35">
      <c r="A6" s="66" t="s">
        <v>34</v>
      </c>
      <c r="B6" s="66"/>
      <c r="C6" s="66"/>
      <c r="D6" s="66"/>
      <c r="E6" s="66"/>
      <c r="F6" s="66"/>
      <c r="G6" s="66"/>
      <c r="H6" s="62" t="s">
        <v>24</v>
      </c>
      <c r="I6" s="62"/>
      <c r="J6" s="62"/>
      <c r="K6" s="62"/>
    </row>
    <row r="7" spans="1:13" ht="15.6" x14ac:dyDescent="0.3">
      <c r="A7" s="61" t="s">
        <v>23</v>
      </c>
      <c r="B7" s="61"/>
      <c r="C7" s="61"/>
      <c r="D7" s="61"/>
      <c r="E7" s="61"/>
      <c r="F7" s="61"/>
      <c r="G7" s="2"/>
      <c r="H7" s="62" t="s">
        <v>25</v>
      </c>
      <c r="I7" s="62"/>
      <c r="J7" s="62"/>
      <c r="K7" s="62"/>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46</v>
      </c>
      <c r="C10" s="40">
        <v>9</v>
      </c>
      <c r="D10" s="10">
        <f>(2.5+1.5+13)/3.281</f>
        <v>5.1813471502590671</v>
      </c>
      <c r="E10" s="10">
        <v>3.97</v>
      </c>
      <c r="F10" s="10">
        <f>PRODUCT(C10:E10)</f>
        <v>185.12953367875647</v>
      </c>
      <c r="G10" s="36">
        <f>F10</f>
        <v>185.12953367875647</v>
      </c>
      <c r="H10" s="27"/>
      <c r="I10" s="27"/>
      <c r="J10" s="27"/>
      <c r="K10" s="11"/>
      <c r="M10" s="12"/>
    </row>
    <row r="11" spans="1:13" s="1" customFormat="1" ht="41.4" x14ac:dyDescent="0.3">
      <c r="A11" s="38"/>
      <c r="B11" s="39" t="s">
        <v>47</v>
      </c>
      <c r="C11" s="40">
        <v>3</v>
      </c>
      <c r="D11" s="10">
        <f>(1.5+30+1.5)/3.281</f>
        <v>10.057909174032307</v>
      </c>
      <c r="E11" s="10">
        <v>2.72</v>
      </c>
      <c r="F11" s="10">
        <f t="shared" ref="F11:F22" si="0">PRODUCT(C11:E11)</f>
        <v>82.072538860103634</v>
      </c>
      <c r="G11" s="36">
        <f t="shared" ref="G11:G22" si="1">F11</f>
        <v>82.072538860103634</v>
      </c>
      <c r="H11" s="27"/>
      <c r="I11" s="27"/>
      <c r="J11" s="27"/>
      <c r="K11" s="11"/>
      <c r="M11" s="12"/>
    </row>
    <row r="12" spans="1:13" s="1" customFormat="1" ht="41.4" x14ac:dyDescent="0.3">
      <c r="A12" s="38"/>
      <c r="B12" s="39" t="s">
        <v>51</v>
      </c>
      <c r="C12" s="40">
        <v>6</v>
      </c>
      <c r="D12" s="10">
        <f>16.333/3.281</f>
        <v>4.97805547089302</v>
      </c>
      <c r="E12" s="10">
        <v>2.72</v>
      </c>
      <c r="F12" s="10">
        <f t="shared" si="0"/>
        <v>81.241865284974097</v>
      </c>
      <c r="G12" s="36">
        <f t="shared" si="1"/>
        <v>81.241865284974097</v>
      </c>
      <c r="H12" s="27"/>
      <c r="I12" s="27"/>
      <c r="J12" s="27"/>
      <c r="K12" s="11"/>
      <c r="M12" s="12"/>
    </row>
    <row r="13" spans="1:13" s="1" customFormat="1" ht="41.4" x14ac:dyDescent="0.3">
      <c r="A13" s="38"/>
      <c r="B13" s="39" t="s">
        <v>48</v>
      </c>
      <c r="C13" s="40">
        <v>3</v>
      </c>
      <c r="D13" s="10">
        <f>3.5/3.281</f>
        <v>1.0667479427003961</v>
      </c>
      <c r="E13" s="10">
        <v>2.4300000000000002</v>
      </c>
      <c r="F13" s="10">
        <f t="shared" si="0"/>
        <v>7.7765925022858875</v>
      </c>
      <c r="G13" s="36">
        <f t="shared" si="1"/>
        <v>7.7765925022858875</v>
      </c>
      <c r="H13" s="27"/>
      <c r="I13" s="27"/>
      <c r="J13" s="27"/>
      <c r="K13" s="11"/>
      <c r="M13" s="12"/>
    </row>
    <row r="14" spans="1:13" s="1" customFormat="1" ht="41.4" x14ac:dyDescent="0.3">
      <c r="A14" s="38"/>
      <c r="B14" s="39" t="s">
        <v>50</v>
      </c>
      <c r="C14" s="40">
        <f>2*3</f>
        <v>6</v>
      </c>
      <c r="D14" s="10">
        <f>4/3.281</f>
        <v>1.2191405059433098</v>
      </c>
      <c r="E14" s="10">
        <v>1.83</v>
      </c>
      <c r="F14" s="10">
        <f t="shared" si="0"/>
        <v>13.386162755257542</v>
      </c>
      <c r="G14" s="36">
        <f t="shared" si="1"/>
        <v>13.386162755257542</v>
      </c>
      <c r="H14" s="27"/>
      <c r="I14" s="27"/>
      <c r="J14" s="27"/>
      <c r="K14" s="11"/>
      <c r="M14" s="12"/>
    </row>
    <row r="15" spans="1:13" s="1" customFormat="1" x14ac:dyDescent="0.3">
      <c r="A15" s="38"/>
      <c r="B15" s="39"/>
      <c r="C15" s="40">
        <f>2*3</f>
        <v>6</v>
      </c>
      <c r="D15" s="10">
        <f>3.583/3.281</f>
        <v>1.0920451081987199</v>
      </c>
      <c r="E15" s="10">
        <v>1.83</v>
      </c>
      <c r="F15" s="10">
        <f t="shared" si="0"/>
        <v>11.990655288021944</v>
      </c>
      <c r="G15" s="36">
        <f t="shared" si="1"/>
        <v>11.990655288021944</v>
      </c>
      <c r="H15" s="27"/>
      <c r="I15" s="27"/>
      <c r="J15" s="27"/>
      <c r="K15" s="11"/>
      <c r="M15" s="12"/>
    </row>
    <row r="16" spans="1:13" s="1" customFormat="1" x14ac:dyDescent="0.3">
      <c r="A16" s="38"/>
      <c r="B16" s="39"/>
      <c r="C16" s="40">
        <f>2*3</f>
        <v>6</v>
      </c>
      <c r="D16" s="10">
        <f>3.25/3.281</f>
        <v>0.99055166107893933</v>
      </c>
      <c r="E16" s="10">
        <v>1.83</v>
      </c>
      <c r="F16" s="10">
        <f t="shared" si="0"/>
        <v>10.876257238646755</v>
      </c>
      <c r="G16" s="36">
        <f t="shared" si="1"/>
        <v>10.876257238646755</v>
      </c>
      <c r="H16" s="27"/>
      <c r="I16" s="27"/>
      <c r="J16" s="27"/>
      <c r="K16" s="11"/>
      <c r="M16" s="12"/>
    </row>
    <row r="17" spans="1:13" s="1" customFormat="1" x14ac:dyDescent="0.3">
      <c r="A17" s="38"/>
      <c r="B17" s="39"/>
      <c r="C17" s="40">
        <f>2*3</f>
        <v>6</v>
      </c>
      <c r="D17" s="10">
        <f>3.083/3.281</f>
        <v>0.93965254495580619</v>
      </c>
      <c r="E17" s="10">
        <v>1.83</v>
      </c>
      <c r="F17" s="10">
        <f t="shared" si="0"/>
        <v>10.317384943614751</v>
      </c>
      <c r="G17" s="36">
        <f t="shared" si="1"/>
        <v>10.317384943614751</v>
      </c>
      <c r="H17" s="27"/>
      <c r="I17" s="27"/>
      <c r="J17" s="27"/>
      <c r="K17" s="11"/>
      <c r="M17" s="12"/>
    </row>
    <row r="18" spans="1:13" s="1" customFormat="1" ht="41.4" x14ac:dyDescent="0.3">
      <c r="A18" s="38"/>
      <c r="B18" s="39" t="s">
        <v>49</v>
      </c>
      <c r="C18" s="40">
        <f>2*3</f>
        <v>6</v>
      </c>
      <c r="D18" s="10">
        <f>2.667/3.281</f>
        <v>0.81286193233770188</v>
      </c>
      <c r="E18" s="10">
        <v>1.83</v>
      </c>
      <c r="F18" s="10">
        <f t="shared" si="0"/>
        <v>8.9252240170679666</v>
      </c>
      <c r="G18" s="36">
        <f t="shared" si="1"/>
        <v>8.9252240170679666</v>
      </c>
      <c r="H18" s="27"/>
      <c r="I18" s="27"/>
      <c r="J18" s="27"/>
      <c r="K18" s="11"/>
      <c r="M18" s="12"/>
    </row>
    <row r="19" spans="1:13" s="1" customFormat="1" x14ac:dyDescent="0.3">
      <c r="A19" s="38"/>
      <c r="B19" s="39"/>
      <c r="C19" s="40">
        <f>2*3</f>
        <v>6</v>
      </c>
      <c r="D19" s="10">
        <f>2/3.281</f>
        <v>0.6095702529716549</v>
      </c>
      <c r="E19" s="10">
        <v>1.83</v>
      </c>
      <c r="F19" s="10">
        <f t="shared" si="0"/>
        <v>6.6930813776287712</v>
      </c>
      <c r="G19" s="36">
        <f t="shared" si="1"/>
        <v>6.6930813776287712</v>
      </c>
      <c r="H19" s="27"/>
      <c r="I19" s="27"/>
      <c r="J19" s="27"/>
      <c r="K19" s="11"/>
      <c r="M19" s="12"/>
    </row>
    <row r="20" spans="1:13" s="1" customFormat="1" x14ac:dyDescent="0.3">
      <c r="A20" s="38"/>
      <c r="B20" s="39"/>
      <c r="C20" s="40">
        <f>2*3</f>
        <v>6</v>
      </c>
      <c r="D20" s="10">
        <f>1.333/3.281</f>
        <v>0.40627857360560804</v>
      </c>
      <c r="E20" s="10">
        <v>1.83</v>
      </c>
      <c r="F20" s="10">
        <f t="shared" si="0"/>
        <v>4.4609387381895766</v>
      </c>
      <c r="G20" s="36">
        <f t="shared" si="1"/>
        <v>4.4609387381895766</v>
      </c>
      <c r="H20" s="27"/>
      <c r="I20" s="27"/>
      <c r="J20" s="27"/>
      <c r="K20" s="11"/>
      <c r="M20" s="12"/>
    </row>
    <row r="21" spans="1:13" s="1" customFormat="1" x14ac:dyDescent="0.3">
      <c r="A21" s="38"/>
      <c r="B21" s="39"/>
      <c r="C21" s="40">
        <f>2*3</f>
        <v>6</v>
      </c>
      <c r="D21" s="10">
        <f>8/12/3.281</f>
        <v>0.20319008432388497</v>
      </c>
      <c r="E21" s="10">
        <v>1.83</v>
      </c>
      <c r="F21" s="10">
        <f t="shared" si="0"/>
        <v>2.2310271258762571</v>
      </c>
      <c r="G21" s="36">
        <f t="shared" si="1"/>
        <v>2.2310271258762571</v>
      </c>
      <c r="H21" s="27"/>
      <c r="I21" s="27"/>
      <c r="J21" s="27"/>
      <c r="K21" s="11"/>
      <c r="M21" s="12"/>
    </row>
    <row r="22" spans="1:13" s="1" customFormat="1" ht="27.6" x14ac:dyDescent="0.3">
      <c r="A22" s="38"/>
      <c r="B22" s="39" t="s">
        <v>60</v>
      </c>
      <c r="C22" s="40">
        <f>2*6</f>
        <v>12</v>
      </c>
      <c r="D22" s="10">
        <f>44/3.281</f>
        <v>13.41054556537641</v>
      </c>
      <c r="E22" s="10">
        <v>2.4300000000000002</v>
      </c>
      <c r="F22" s="10">
        <f t="shared" si="0"/>
        <v>391.05150868637611</v>
      </c>
      <c r="G22" s="36">
        <f t="shared" si="1"/>
        <v>391.05150868637611</v>
      </c>
      <c r="H22" s="27"/>
      <c r="I22" s="27"/>
      <c r="J22" s="27"/>
      <c r="K22" s="11"/>
      <c r="M22" s="12"/>
    </row>
    <row r="23" spans="1:13" s="1" customFormat="1" x14ac:dyDescent="0.3">
      <c r="A23" s="21"/>
      <c r="B23" s="39" t="s">
        <v>26</v>
      </c>
      <c r="C23" s="22"/>
      <c r="D23" s="23"/>
      <c r="E23" s="24"/>
      <c r="F23" s="24"/>
      <c r="G23" s="27">
        <f>SUM(G10:G22)</f>
        <v>816.1527704967998</v>
      </c>
      <c r="H23" s="25" t="s">
        <v>31</v>
      </c>
      <c r="I23" s="26">
        <v>181.17</v>
      </c>
      <c r="J23" s="27">
        <f>G23*I23</f>
        <v>147862.3974309052</v>
      </c>
      <c r="K23" s="24"/>
    </row>
    <row r="24" spans="1:13" s="1" customFormat="1" x14ac:dyDescent="0.3">
      <c r="A24" s="21"/>
      <c r="B24" s="39" t="s">
        <v>39</v>
      </c>
      <c r="C24" s="22"/>
      <c r="D24" s="23"/>
      <c r="E24" s="24"/>
      <c r="F24" s="24"/>
      <c r="G24" s="27"/>
      <c r="H24" s="25"/>
      <c r="I24" s="26"/>
      <c r="J24" s="27">
        <f>0.13*G23*(1871.42/18.94)</f>
        <v>10483.4952644776</v>
      </c>
      <c r="K24" s="24"/>
    </row>
    <row r="25" spans="1:13" s="1" customFormat="1" ht="15" x14ac:dyDescent="0.3">
      <c r="A25" s="21"/>
      <c r="B25" s="37"/>
      <c r="C25" s="22"/>
      <c r="D25" s="23"/>
      <c r="E25" s="24"/>
      <c r="F25" s="24"/>
      <c r="G25" s="28"/>
      <c r="H25" s="25"/>
      <c r="I25" s="26"/>
      <c r="J25" s="27"/>
      <c r="K25" s="24"/>
    </row>
    <row r="26" spans="1:13" s="1" customFormat="1" ht="45" x14ac:dyDescent="0.3">
      <c r="A26" s="38">
        <v>2</v>
      </c>
      <c r="B26" s="37" t="s">
        <v>32</v>
      </c>
      <c r="C26" s="40"/>
      <c r="D26" s="10"/>
      <c r="E26" s="10"/>
      <c r="F26" s="10"/>
      <c r="G26" s="36"/>
      <c r="H26" s="27"/>
      <c r="I26" s="27"/>
      <c r="J26" s="27"/>
      <c r="K26" s="11"/>
      <c r="M26" s="12"/>
    </row>
    <row r="27" spans="1:13" s="1" customFormat="1" x14ac:dyDescent="0.3">
      <c r="A27" s="38"/>
      <c r="B27" s="39"/>
      <c r="C27" s="40">
        <v>2</v>
      </c>
      <c r="D27" s="10">
        <f>16.17/3.281</f>
        <v>4.928375495275831</v>
      </c>
      <c r="E27" s="10">
        <f>(0.75+30+0.75)/3.281</f>
        <v>9.6007314843035658</v>
      </c>
      <c r="F27" s="10"/>
      <c r="G27" s="36">
        <f>PRODUCT(C27:F27)</f>
        <v>94.632019567929703</v>
      </c>
      <c r="H27" s="27"/>
      <c r="I27" s="27"/>
      <c r="J27" s="27"/>
      <c r="K27" s="11"/>
      <c r="M27" s="12"/>
    </row>
    <row r="28" spans="1:13" s="1" customFormat="1" x14ac:dyDescent="0.3">
      <c r="A28" s="21"/>
      <c r="B28" s="39" t="s">
        <v>26</v>
      </c>
      <c r="C28" s="22"/>
      <c r="D28" s="23"/>
      <c r="E28" s="24"/>
      <c r="F28" s="24"/>
      <c r="G28" s="27">
        <f>SUM(G27:G27)</f>
        <v>94.632019567929703</v>
      </c>
      <c r="H28" s="25" t="s">
        <v>33</v>
      </c>
      <c r="I28" s="26">
        <v>1070.9000000000001</v>
      </c>
      <c r="J28" s="27">
        <f>G28*I28</f>
        <v>101341.42975529593</v>
      </c>
      <c r="K28" s="24"/>
    </row>
    <row r="29" spans="1:13" s="1" customFormat="1" x14ac:dyDescent="0.3">
      <c r="A29" s="21"/>
      <c r="B29" s="39" t="s">
        <v>39</v>
      </c>
      <c r="C29" s="22"/>
      <c r="D29" s="23"/>
      <c r="E29" s="24"/>
      <c r="F29" s="24"/>
      <c r="G29" s="27"/>
      <c r="H29" s="25"/>
      <c r="I29" s="26"/>
      <c r="J29" s="27">
        <f>0.13*G28*8587.63/10</f>
        <v>10564.642012627821</v>
      </c>
      <c r="K29" s="24"/>
    </row>
    <row r="30" spans="1:13" s="1" customFormat="1" x14ac:dyDescent="0.3">
      <c r="A30" s="21"/>
      <c r="B30" s="39"/>
      <c r="C30" s="22"/>
      <c r="D30" s="23"/>
      <c r="E30" s="24"/>
      <c r="F30" s="24"/>
      <c r="G30" s="27"/>
      <c r="H30" s="25"/>
      <c r="I30" s="26"/>
      <c r="J30" s="27"/>
      <c r="K30" s="24"/>
    </row>
    <row r="31" spans="1:13" s="1" customFormat="1" ht="30" x14ac:dyDescent="0.3">
      <c r="A31" s="21">
        <v>3</v>
      </c>
      <c r="B31" s="37" t="s">
        <v>40</v>
      </c>
      <c r="C31" s="22"/>
      <c r="D31" s="23"/>
      <c r="E31" s="24"/>
      <c r="F31" s="24"/>
      <c r="G31" s="27"/>
      <c r="H31" s="25"/>
      <c r="I31" s="26"/>
      <c r="J31" s="27"/>
      <c r="K31" s="24"/>
    </row>
    <row r="32" spans="1:13" s="1" customFormat="1" x14ac:dyDescent="0.3">
      <c r="A32" s="21"/>
      <c r="B32" s="39" t="s">
        <v>57</v>
      </c>
      <c r="C32" s="22">
        <f>3*4</f>
        <v>12</v>
      </c>
      <c r="D32" s="23">
        <v>0.45</v>
      </c>
      <c r="E32" s="24">
        <v>0.45</v>
      </c>
      <c r="F32" s="24">
        <f>(2.5+0.25+0.17)/3.281</f>
        <v>0.88997256933861624</v>
      </c>
      <c r="G32" s="36">
        <f>PRODUCT(C32:F32)</f>
        <v>2.1626333434928378</v>
      </c>
      <c r="H32" s="25"/>
      <c r="I32" s="26"/>
      <c r="J32" s="27"/>
      <c r="K32" s="24"/>
    </row>
    <row r="33" spans="1:11" s="1" customFormat="1" x14ac:dyDescent="0.3">
      <c r="A33" s="21"/>
      <c r="B33" s="39" t="s">
        <v>26</v>
      </c>
      <c r="C33" s="22"/>
      <c r="D33" s="23"/>
      <c r="E33" s="24"/>
      <c r="F33" s="24"/>
      <c r="G33" s="27">
        <f>SUM(G32:G32)</f>
        <v>2.1626333434928378</v>
      </c>
      <c r="H33" s="25" t="s">
        <v>42</v>
      </c>
      <c r="I33" s="26">
        <v>663.31</v>
      </c>
      <c r="J33" s="27">
        <f>G33*I33</f>
        <v>1434.4963230722342</v>
      </c>
      <c r="K33" s="24"/>
    </row>
    <row r="34" spans="1:11" s="1" customFormat="1" x14ac:dyDescent="0.3">
      <c r="A34" s="21"/>
      <c r="B34" s="39"/>
      <c r="C34" s="22"/>
      <c r="D34" s="23"/>
      <c r="E34" s="24"/>
      <c r="F34" s="24"/>
      <c r="G34" s="27"/>
      <c r="H34" s="25"/>
      <c r="I34" s="26"/>
      <c r="J34" s="27"/>
      <c r="K34" s="24"/>
    </row>
    <row r="35" spans="1:11" s="1" customFormat="1" ht="82.8" x14ac:dyDescent="0.3">
      <c r="A35" s="21">
        <v>4</v>
      </c>
      <c r="B35" s="58" t="s">
        <v>92</v>
      </c>
      <c r="C35" s="22"/>
      <c r="D35" s="23"/>
      <c r="E35" s="24"/>
      <c r="F35" s="24"/>
      <c r="G35" s="27"/>
      <c r="H35" s="25"/>
      <c r="I35" s="26"/>
      <c r="J35" s="27"/>
      <c r="K35" s="24"/>
    </row>
    <row r="36" spans="1:11" s="1" customFormat="1" x14ac:dyDescent="0.3">
      <c r="A36" s="21"/>
      <c r="B36" s="39" t="s">
        <v>56</v>
      </c>
      <c r="C36" s="22">
        <v>1</v>
      </c>
      <c r="D36" s="23">
        <f>(29.917-0.75-0.75)/3.281</f>
        <v>8.6610789393477603</v>
      </c>
      <c r="E36" s="24">
        <f>(9.917+15-0.75-0.75)/3.281</f>
        <v>7.1371533069186226</v>
      </c>
      <c r="F36" s="24">
        <v>0.15</v>
      </c>
      <c r="G36" s="36">
        <f>PRODUCT(C36:F36)</f>
        <v>9.2723172290173643</v>
      </c>
      <c r="H36" s="25"/>
      <c r="I36" s="26"/>
      <c r="J36" s="27"/>
      <c r="K36" s="24"/>
    </row>
    <row r="37" spans="1:11" s="1" customFormat="1" hidden="1" x14ac:dyDescent="0.3">
      <c r="A37" s="21"/>
      <c r="B37" s="39" t="s">
        <v>63</v>
      </c>
      <c r="C37" s="22">
        <f>0*2*2</f>
        <v>0</v>
      </c>
      <c r="D37" s="23">
        <f>11.17/3.281</f>
        <v>3.4044498628466928</v>
      </c>
      <c r="E37" s="24">
        <v>0.23</v>
      </c>
      <c r="F37" s="24"/>
      <c r="G37" s="36">
        <f>PRODUCT(C37:F37)</f>
        <v>0</v>
      </c>
      <c r="H37" s="25"/>
      <c r="I37" s="26"/>
      <c r="J37" s="27"/>
      <c r="K37" s="24"/>
    </row>
    <row r="38" spans="1:11" s="1" customFormat="1" hidden="1" x14ac:dyDescent="0.3">
      <c r="A38" s="21"/>
      <c r="B38" s="39"/>
      <c r="C38" s="22">
        <f>0*2*3</f>
        <v>0</v>
      </c>
      <c r="D38" s="23">
        <f>11.75/3.281</f>
        <v>3.5812252362084727</v>
      </c>
      <c r="E38" s="24">
        <v>0.23</v>
      </c>
      <c r="F38" s="24"/>
      <c r="G38" s="36">
        <f>PRODUCT(C38:F38)</f>
        <v>0</v>
      </c>
      <c r="H38" s="25"/>
      <c r="I38" s="26"/>
      <c r="J38" s="27"/>
      <c r="K38" s="24"/>
    </row>
    <row r="39" spans="1:11" s="1" customFormat="1" x14ac:dyDescent="0.3">
      <c r="A39" s="21"/>
      <c r="B39" s="39" t="s">
        <v>26</v>
      </c>
      <c r="C39" s="22"/>
      <c r="D39" s="23"/>
      <c r="E39" s="24"/>
      <c r="F39" s="24"/>
      <c r="G39" s="27">
        <f>SUM(G36:G38)</f>
        <v>9.2723172290173643</v>
      </c>
      <c r="H39" s="25" t="s">
        <v>33</v>
      </c>
      <c r="I39" s="26">
        <v>4434.5200000000004</v>
      </c>
      <c r="J39" s="27">
        <f>G39*I39</f>
        <v>41118.276198422085</v>
      </c>
      <c r="K39" s="24"/>
    </row>
    <row r="40" spans="1:11" s="1" customFormat="1" x14ac:dyDescent="0.3">
      <c r="A40" s="21"/>
      <c r="B40" s="39" t="s">
        <v>39</v>
      </c>
      <c r="C40" s="22"/>
      <c r="D40" s="23"/>
      <c r="E40" s="24"/>
      <c r="F40" s="24"/>
      <c r="G40" s="27"/>
      <c r="H40" s="25"/>
      <c r="I40" s="26"/>
      <c r="J40" s="27">
        <f>0.13*G39*14817.6/5</f>
        <v>3572.2306820898802</v>
      </c>
      <c r="K40" s="24"/>
    </row>
    <row r="41" spans="1:11" s="1" customFormat="1" x14ac:dyDescent="0.3">
      <c r="A41" s="21"/>
      <c r="B41" s="39"/>
      <c r="C41" s="22"/>
      <c r="D41" s="23"/>
      <c r="E41" s="24"/>
      <c r="F41" s="24"/>
      <c r="G41" s="27"/>
      <c r="H41" s="25"/>
      <c r="I41" s="26"/>
      <c r="J41" s="27"/>
      <c r="K41" s="24"/>
    </row>
    <row r="42" spans="1:11" s="1" customFormat="1" ht="30" x14ac:dyDescent="0.3">
      <c r="A42" s="21">
        <v>5</v>
      </c>
      <c r="B42" s="37" t="s">
        <v>44</v>
      </c>
      <c r="C42" s="22"/>
      <c r="D42" s="23"/>
      <c r="E42" s="24"/>
      <c r="F42" s="24"/>
      <c r="G42" s="27"/>
      <c r="H42" s="25"/>
      <c r="I42" s="26"/>
      <c r="J42" s="27"/>
      <c r="K42" s="24"/>
    </row>
    <row r="43" spans="1:11" s="1" customFormat="1" x14ac:dyDescent="0.3">
      <c r="A43" s="21"/>
      <c r="B43" s="39" t="str">
        <f>B32</f>
        <v>-for footing</v>
      </c>
      <c r="C43" s="22">
        <f>C36</f>
        <v>1</v>
      </c>
      <c r="D43" s="23">
        <f>D36</f>
        <v>8.6610789393477603</v>
      </c>
      <c r="E43" s="24">
        <f>E36</f>
        <v>7.1371533069186226</v>
      </c>
      <c r="F43" s="24">
        <v>7.4999999999999997E-2</v>
      </c>
      <c r="G43" s="36">
        <f>PRODUCT(C43:F43)</f>
        <v>4.6361586145086822</v>
      </c>
      <c r="H43" s="25"/>
      <c r="I43" s="26"/>
      <c r="J43" s="27"/>
      <c r="K43" s="24"/>
    </row>
    <row r="44" spans="1:11" s="1" customFormat="1" hidden="1" x14ac:dyDescent="0.3">
      <c r="A44" s="21"/>
      <c r="B44" s="39" t="s">
        <v>63</v>
      </c>
      <c r="C44" s="22">
        <f>0*2*2</f>
        <v>0</v>
      </c>
      <c r="D44" s="23">
        <f>11.17/3.281</f>
        <v>3.4044498628466928</v>
      </c>
      <c r="E44" s="24">
        <v>0.23</v>
      </c>
      <c r="F44" s="24">
        <v>0.05</v>
      </c>
      <c r="G44" s="36">
        <f>PRODUCT(C44:F44)</f>
        <v>0</v>
      </c>
      <c r="H44" s="25"/>
      <c r="I44" s="26"/>
      <c r="J44" s="27"/>
      <c r="K44" s="24"/>
    </row>
    <row r="45" spans="1:11" s="1" customFormat="1" hidden="1" x14ac:dyDescent="0.3">
      <c r="A45" s="21"/>
      <c r="B45" s="39"/>
      <c r="C45" s="22">
        <f>0*2*3</f>
        <v>0</v>
      </c>
      <c r="D45" s="23">
        <f>11.75/3.281</f>
        <v>3.5812252362084727</v>
      </c>
      <c r="E45" s="24">
        <v>0.23</v>
      </c>
      <c r="F45" s="24">
        <v>0.05</v>
      </c>
      <c r="G45" s="36">
        <f>PRODUCT(C45:F45)</f>
        <v>0</v>
      </c>
      <c r="H45" s="25"/>
      <c r="I45" s="26"/>
      <c r="J45" s="27"/>
      <c r="K45" s="24"/>
    </row>
    <row r="46" spans="1:11" s="1" customFormat="1" x14ac:dyDescent="0.3">
      <c r="A46" s="21"/>
      <c r="B46" s="39" t="s">
        <v>26</v>
      </c>
      <c r="C46" s="22"/>
      <c r="D46" s="23"/>
      <c r="E46" s="24"/>
      <c r="F46" s="24"/>
      <c r="G46" s="27">
        <f>SUM(G43:G45)</f>
        <v>4.6361586145086822</v>
      </c>
      <c r="H46" s="25" t="s">
        <v>42</v>
      </c>
      <c r="I46" s="26">
        <v>12983.1</v>
      </c>
      <c r="J46" s="27">
        <f>G46*I46</f>
        <v>60191.710908027671</v>
      </c>
      <c r="K46" s="24"/>
    </row>
    <row r="47" spans="1:11" s="1" customFormat="1" x14ac:dyDescent="0.3">
      <c r="A47" s="21"/>
      <c r="B47" s="39" t="s">
        <v>39</v>
      </c>
      <c r="C47" s="22"/>
      <c r="D47" s="23"/>
      <c r="E47" s="24"/>
      <c r="F47" s="24"/>
      <c r="G47" s="27"/>
      <c r="H47" s="25"/>
      <c r="I47" s="26"/>
      <c r="J47" s="27">
        <f>0.13*G46*8078.11</f>
        <v>4868.6819045083348</v>
      </c>
      <c r="K47" s="24"/>
    </row>
    <row r="48" spans="1:11" s="1" customFormat="1" x14ac:dyDescent="0.3">
      <c r="A48" s="21"/>
      <c r="B48" s="39"/>
      <c r="C48" s="22"/>
      <c r="D48" s="23"/>
      <c r="E48" s="24"/>
      <c r="F48" s="24"/>
      <c r="G48" s="27"/>
      <c r="H48" s="25"/>
      <c r="I48" s="26"/>
      <c r="J48" s="27"/>
      <c r="K48" s="24"/>
    </row>
    <row r="49" spans="1:11" s="1" customFormat="1" ht="43.2" hidden="1" x14ac:dyDescent="0.3">
      <c r="A49" s="21">
        <v>6</v>
      </c>
      <c r="B49" s="37" t="s">
        <v>64</v>
      </c>
      <c r="C49" s="22" t="s">
        <v>65</v>
      </c>
      <c r="D49" s="34" t="s">
        <v>27</v>
      </c>
      <c r="E49" s="35" t="s">
        <v>29</v>
      </c>
      <c r="F49" s="35" t="s">
        <v>66</v>
      </c>
      <c r="G49" s="42" t="s">
        <v>67</v>
      </c>
      <c r="H49" s="25"/>
      <c r="I49" s="26"/>
      <c r="J49" s="27"/>
      <c r="K49" s="24"/>
    </row>
    <row r="50" spans="1:11" s="1" customFormat="1" hidden="1" x14ac:dyDescent="0.3">
      <c r="A50" s="21"/>
      <c r="B50" s="39" t="str">
        <f>B44</f>
        <v>-for tie beam</v>
      </c>
      <c r="C50" s="22">
        <v>4</v>
      </c>
      <c r="D50" s="34">
        <f>(40-0.333+0.583*2)</f>
        <v>40.832999999999998</v>
      </c>
      <c r="E50" s="35">
        <f>12*12/162</f>
        <v>0.88888888888888884</v>
      </c>
      <c r="F50" s="35">
        <f>PRODUCT(C50:E50)</f>
        <v>145.184</v>
      </c>
      <c r="G50" s="43">
        <f>F50/1000</f>
        <v>0.14518400000000001</v>
      </c>
      <c r="H50" s="25"/>
      <c r="I50" s="26"/>
      <c r="J50" s="27"/>
      <c r="K50" s="24"/>
    </row>
    <row r="51" spans="1:11" s="1" customFormat="1" hidden="1" x14ac:dyDescent="0.3">
      <c r="A51" s="21"/>
      <c r="B51" s="39" t="s">
        <v>69</v>
      </c>
      <c r="C51" s="22">
        <f>2*(TRUNC((11.917+12.25+11.917-0.17*6)/0.5,0))+3</f>
        <v>143</v>
      </c>
      <c r="D51" s="34">
        <f>(0.583*4+0.17*2)/3.281</f>
        <v>0.81438585797013097</v>
      </c>
      <c r="E51" s="35">
        <f>8*8/162</f>
        <v>0.39506172839506171</v>
      </c>
      <c r="F51" s="35">
        <f>PRODUCT(C51:E51)</f>
        <v>46.007773902115048</v>
      </c>
      <c r="G51" s="43">
        <f>F51/1000</f>
        <v>4.6007773902115051E-2</v>
      </c>
      <c r="H51" s="25"/>
      <c r="I51" s="26"/>
      <c r="J51" s="27"/>
      <c r="K51" s="24"/>
    </row>
    <row r="52" spans="1:11" s="1" customFormat="1" hidden="1" x14ac:dyDescent="0.3">
      <c r="A52" s="21"/>
      <c r="B52" s="39" t="s">
        <v>63</v>
      </c>
      <c r="C52" s="22">
        <v>4</v>
      </c>
      <c r="D52" s="34">
        <f>(30-0.333+0.583*2)</f>
        <v>30.833000000000002</v>
      </c>
      <c r="E52" s="35">
        <f>12*12/162</f>
        <v>0.88888888888888884</v>
      </c>
      <c r="F52" s="35">
        <f>PRODUCT(C52:E52)</f>
        <v>109.62844444444444</v>
      </c>
      <c r="G52" s="43">
        <f>F52/1000</f>
        <v>0.10962844444444445</v>
      </c>
      <c r="H52" s="25"/>
      <c r="I52" s="26"/>
      <c r="J52" s="27"/>
      <c r="K52" s="24"/>
    </row>
    <row r="53" spans="1:11" s="1" customFormat="1" hidden="1" x14ac:dyDescent="0.3">
      <c r="A53" s="21"/>
      <c r="B53" s="39" t="s">
        <v>69</v>
      </c>
      <c r="C53" s="22">
        <f>4*(TRUNC((12.5-0.17*4)/0.5,0))+3</f>
        <v>95</v>
      </c>
      <c r="D53" s="34">
        <f>(0.583*4+0.17*2)/3.281</f>
        <v>0.81438585797013097</v>
      </c>
      <c r="E53" s="35">
        <f>8*8/162</f>
        <v>0.39506172839506171</v>
      </c>
      <c r="F53" s="35">
        <f>PRODUCT(C53:E53)</f>
        <v>30.564605039866645</v>
      </c>
      <c r="G53" s="43">
        <f>F53/1000</f>
        <v>3.0564605039866646E-2</v>
      </c>
      <c r="H53" s="25"/>
      <c r="I53" s="26"/>
      <c r="J53" s="27"/>
      <c r="K53" s="24"/>
    </row>
    <row r="54" spans="1:11" s="1" customFormat="1" hidden="1" x14ac:dyDescent="0.3">
      <c r="A54" s="21"/>
      <c r="B54" s="39" t="s">
        <v>26</v>
      </c>
      <c r="C54" s="22"/>
      <c r="D54" s="23"/>
      <c r="E54" s="24"/>
      <c r="F54" s="24"/>
      <c r="G54" s="27">
        <f>0*SUM(G50:G53)</f>
        <v>0</v>
      </c>
      <c r="H54" s="25" t="s">
        <v>70</v>
      </c>
      <c r="I54" s="26">
        <v>131940</v>
      </c>
      <c r="J54" s="27">
        <f>G54*I54</f>
        <v>0</v>
      </c>
      <c r="K54" s="24"/>
    </row>
    <row r="55" spans="1:11" s="1" customFormat="1" hidden="1" x14ac:dyDescent="0.3">
      <c r="A55" s="21"/>
      <c r="B55" s="39" t="s">
        <v>39</v>
      </c>
      <c r="C55" s="22"/>
      <c r="D55" s="23"/>
      <c r="E55" s="24"/>
      <c r="F55" s="24"/>
      <c r="G55" s="27"/>
      <c r="H55" s="25"/>
      <c r="I55" s="26"/>
      <c r="J55" s="27">
        <f>0.13*G54*106200</f>
        <v>0</v>
      </c>
      <c r="K55" s="24"/>
    </row>
    <row r="56" spans="1:11" s="1" customFormat="1" hidden="1" x14ac:dyDescent="0.3">
      <c r="A56" s="21"/>
      <c r="B56" s="39"/>
      <c r="C56" s="22"/>
      <c r="D56" s="23"/>
      <c r="E56" s="24"/>
      <c r="F56" s="24"/>
      <c r="G56" s="27"/>
      <c r="H56" s="25"/>
      <c r="I56" s="26"/>
      <c r="J56" s="27"/>
      <c r="K56" s="24"/>
    </row>
    <row r="57" spans="1:11" s="1" customFormat="1" ht="30" x14ac:dyDescent="0.3">
      <c r="A57" s="21">
        <v>6</v>
      </c>
      <c r="B57" s="37" t="s">
        <v>71</v>
      </c>
      <c r="C57" s="22"/>
      <c r="D57" s="23"/>
      <c r="E57" s="24"/>
      <c r="F57" s="24"/>
      <c r="G57" s="27"/>
      <c r="H57" s="25"/>
      <c r="I57" s="26"/>
      <c r="J57" s="27"/>
      <c r="K57" s="24"/>
    </row>
    <row r="58" spans="1:11" s="1" customFormat="1" x14ac:dyDescent="0.3">
      <c r="A58" s="21"/>
      <c r="B58" s="39" t="str">
        <f>B32</f>
        <v>-for footing</v>
      </c>
      <c r="C58" s="22">
        <v>12</v>
      </c>
      <c r="D58" s="23">
        <f>0.45*4</f>
        <v>1.8</v>
      </c>
      <c r="E58" s="24"/>
      <c r="F58" s="24">
        <v>0.45</v>
      </c>
      <c r="G58" s="36">
        <f>PRODUCT(C58:F58)</f>
        <v>9.7200000000000006</v>
      </c>
      <c r="H58" s="25"/>
      <c r="I58" s="26"/>
      <c r="J58" s="27"/>
      <c r="K58" s="24"/>
    </row>
    <row r="59" spans="1:11" s="1" customFormat="1" x14ac:dyDescent="0.3">
      <c r="A59" s="21"/>
      <c r="B59" s="39" t="s">
        <v>68</v>
      </c>
      <c r="C59" s="22">
        <v>12</v>
      </c>
      <c r="D59" s="23">
        <f>4*0.3</f>
        <v>1.2</v>
      </c>
      <c r="E59" s="24"/>
      <c r="F59" s="24">
        <v>0.3</v>
      </c>
      <c r="G59" s="36">
        <f>PRODUCT(C59:F59)</f>
        <v>4.3199999999999994</v>
      </c>
      <c r="H59" s="25"/>
      <c r="I59" s="26"/>
      <c r="J59" s="27"/>
      <c r="K59" s="24"/>
    </row>
    <row r="60" spans="1:11" s="1" customFormat="1" hidden="1" x14ac:dyDescent="0.3">
      <c r="A60" s="21"/>
      <c r="B60" s="39" t="s">
        <v>63</v>
      </c>
      <c r="C60" s="22">
        <f>0*2*2</f>
        <v>0</v>
      </c>
      <c r="D60" s="23">
        <f>12.5/3.281</f>
        <v>3.8098140810728434</v>
      </c>
      <c r="E60" s="24"/>
      <c r="F60" s="24">
        <f>0.23*2</f>
        <v>0.46</v>
      </c>
      <c r="G60" s="36">
        <f>PRODUCT(C60:F60)</f>
        <v>0</v>
      </c>
      <c r="H60" s="25"/>
      <c r="I60" s="26"/>
      <c r="J60" s="27"/>
      <c r="K60" s="24"/>
    </row>
    <row r="61" spans="1:11" s="1" customFormat="1" hidden="1" x14ac:dyDescent="0.3">
      <c r="A61" s="21"/>
      <c r="B61" s="39"/>
      <c r="C61" s="22">
        <f>0*2*2</f>
        <v>0</v>
      </c>
      <c r="D61" s="23">
        <f>11.917/3.281</f>
        <v>3.6321243523316058</v>
      </c>
      <c r="E61" s="24"/>
      <c r="F61" s="24">
        <f>0.23*2</f>
        <v>0.46</v>
      </c>
      <c r="G61" s="36">
        <f>PRODUCT(C61:F61)</f>
        <v>0</v>
      </c>
      <c r="H61" s="25"/>
      <c r="I61" s="26"/>
      <c r="J61" s="27"/>
      <c r="K61" s="24"/>
    </row>
    <row r="62" spans="1:11" s="1" customFormat="1" hidden="1" x14ac:dyDescent="0.3">
      <c r="A62" s="21"/>
      <c r="B62" s="39"/>
      <c r="C62" s="22">
        <f>0*1*2</f>
        <v>0</v>
      </c>
      <c r="D62" s="23">
        <f>12.25/3.281</f>
        <v>3.7336177994513866</v>
      </c>
      <c r="E62" s="24"/>
      <c r="F62" s="24">
        <f>0.23*2</f>
        <v>0.46</v>
      </c>
      <c r="G62" s="36">
        <f>PRODUCT(C62:F62)</f>
        <v>0</v>
      </c>
      <c r="H62" s="25"/>
      <c r="I62" s="26"/>
      <c r="J62" s="27"/>
      <c r="K62" s="24"/>
    </row>
    <row r="63" spans="1:11" s="1" customFormat="1" x14ac:dyDescent="0.3">
      <c r="A63" s="21"/>
      <c r="B63" s="39" t="s">
        <v>26</v>
      </c>
      <c r="C63" s="22"/>
      <c r="D63" s="23"/>
      <c r="E63" s="24"/>
      <c r="F63" s="24"/>
      <c r="G63" s="27">
        <f>SUM(G58:G62)</f>
        <v>14.04</v>
      </c>
      <c r="H63" s="25" t="s">
        <v>33</v>
      </c>
      <c r="I63" s="26">
        <v>915.42</v>
      </c>
      <c r="J63" s="27">
        <f>G63*I63</f>
        <v>12852.496799999999</v>
      </c>
      <c r="K63" s="24"/>
    </row>
    <row r="64" spans="1:11" s="1" customFormat="1" x14ac:dyDescent="0.3">
      <c r="A64" s="21"/>
      <c r="B64" s="39" t="s">
        <v>39</v>
      </c>
      <c r="C64" s="22"/>
      <c r="D64" s="23"/>
      <c r="E64" s="24"/>
      <c r="F64" s="24"/>
      <c r="G64" s="27"/>
      <c r="H64" s="25"/>
      <c r="I64" s="26"/>
      <c r="J64" s="27">
        <f>0.13*G63*46827.87/100</f>
        <v>854.70228323999993</v>
      </c>
      <c r="K64" s="24"/>
    </row>
    <row r="65" spans="1:11" s="1" customFormat="1" x14ac:dyDescent="0.3">
      <c r="A65" s="21"/>
      <c r="B65" s="39"/>
      <c r="C65" s="22"/>
      <c r="D65" s="23"/>
      <c r="E65" s="24"/>
      <c r="F65" s="24"/>
      <c r="G65" s="27"/>
      <c r="H65" s="25"/>
      <c r="I65" s="26"/>
      <c r="J65" s="27"/>
      <c r="K65" s="24"/>
    </row>
    <row r="66" spans="1:11" s="1" customFormat="1" ht="30" x14ac:dyDescent="0.3">
      <c r="A66" s="21">
        <v>7</v>
      </c>
      <c r="B66" s="37" t="s">
        <v>45</v>
      </c>
      <c r="C66" s="22"/>
      <c r="D66" s="23"/>
      <c r="E66" s="24"/>
      <c r="F66" s="24"/>
      <c r="G66" s="27"/>
      <c r="H66" s="25"/>
      <c r="I66" s="26"/>
      <c r="J66" s="27"/>
      <c r="K66" s="24"/>
    </row>
    <row r="67" spans="1:11" s="1" customFormat="1" x14ac:dyDescent="0.3">
      <c r="A67" s="21"/>
      <c r="B67" s="39" t="str">
        <f>B32</f>
        <v>-for footing</v>
      </c>
      <c r="C67" s="22">
        <f>C43</f>
        <v>1</v>
      </c>
      <c r="D67" s="23">
        <f>D43</f>
        <v>8.6610789393477603</v>
      </c>
      <c r="E67" s="24">
        <f>E43</f>
        <v>7.1371533069186226</v>
      </c>
      <c r="F67" s="24">
        <v>0.45</v>
      </c>
      <c r="G67" s="36">
        <f>PRODUCT(C67:F67)</f>
        <v>27.816951687052097</v>
      </c>
      <c r="H67" s="25"/>
      <c r="I67" s="26"/>
      <c r="J67" s="27"/>
      <c r="K67" s="24"/>
    </row>
    <row r="68" spans="1:11" s="1" customFormat="1" x14ac:dyDescent="0.3">
      <c r="A68" s="21"/>
      <c r="B68" s="39" t="str">
        <f>B59</f>
        <v>-for column</v>
      </c>
      <c r="C68" s="22">
        <f>C67</f>
        <v>1</v>
      </c>
      <c r="D68" s="23">
        <v>0.3</v>
      </c>
      <c r="E68" s="24">
        <v>0.3</v>
      </c>
      <c r="F68" s="24">
        <f>0.3+0.45</f>
        <v>0.75</v>
      </c>
      <c r="G68" s="36">
        <f>PRODUCT(C68:F68)</f>
        <v>6.7500000000000004E-2</v>
      </c>
      <c r="H68" s="25"/>
      <c r="I68" s="26"/>
      <c r="J68" s="27"/>
      <c r="K68" s="24"/>
    </row>
    <row r="69" spans="1:11" s="1" customFormat="1" hidden="1" x14ac:dyDescent="0.3">
      <c r="A69" s="21"/>
      <c r="B69" s="39" t="s">
        <v>61</v>
      </c>
      <c r="C69" s="22">
        <f>0*2</f>
        <v>0</v>
      </c>
      <c r="D69" s="23">
        <f>40/3.281</f>
        <v>12.1914050594331</v>
      </c>
      <c r="E69" s="24">
        <v>0.23</v>
      </c>
      <c r="F69" s="24">
        <v>0.23</v>
      </c>
      <c r="G69" s="36">
        <f>PRODUCT(C69:F69)</f>
        <v>0</v>
      </c>
      <c r="H69" s="25"/>
      <c r="I69" s="26"/>
      <c r="J69" s="27"/>
      <c r="K69" s="24"/>
    </row>
    <row r="70" spans="1:11" s="1" customFormat="1" hidden="1" x14ac:dyDescent="0.3">
      <c r="A70" s="21"/>
      <c r="B70" s="39"/>
      <c r="C70" s="22">
        <f>0*2</f>
        <v>0</v>
      </c>
      <c r="D70" s="23">
        <f>30/3.281</f>
        <v>9.1435537945748244</v>
      </c>
      <c r="E70" s="24">
        <v>0.23</v>
      </c>
      <c r="F70" s="24">
        <v>0.23</v>
      </c>
      <c r="G70" s="36">
        <f>PRODUCT(C70:F70)</f>
        <v>0</v>
      </c>
      <c r="H70" s="25"/>
      <c r="I70" s="26"/>
      <c r="J70" s="27"/>
      <c r="K70" s="24"/>
    </row>
    <row r="71" spans="1:11" s="1" customFormat="1" hidden="1" x14ac:dyDescent="0.3">
      <c r="A71" s="21"/>
      <c r="B71" s="39" t="s">
        <v>62</v>
      </c>
      <c r="C71" s="22">
        <f>-C67*0</f>
        <v>0</v>
      </c>
      <c r="D71" s="23">
        <f>3/12/3.281</f>
        <v>7.6196281621456863E-2</v>
      </c>
      <c r="E71" s="24">
        <v>0.23</v>
      </c>
      <c r="F71" s="24">
        <v>0.23</v>
      </c>
      <c r="G71" s="36">
        <f>PRODUCT(C71:F71)</f>
        <v>0</v>
      </c>
      <c r="H71" s="25"/>
      <c r="I71" s="26"/>
      <c r="J71" s="27"/>
      <c r="K71" s="24"/>
    </row>
    <row r="72" spans="1:11" s="1" customFormat="1" x14ac:dyDescent="0.3">
      <c r="A72" s="21"/>
      <c r="B72" s="39" t="s">
        <v>26</v>
      </c>
      <c r="C72" s="22"/>
      <c r="D72" s="23"/>
      <c r="E72" s="24"/>
      <c r="F72" s="24"/>
      <c r="G72" s="27">
        <f>SUM(G67:G71)</f>
        <v>27.884451687052096</v>
      </c>
      <c r="H72" s="25" t="s">
        <v>42</v>
      </c>
      <c r="I72" s="26">
        <v>13568.9</v>
      </c>
      <c r="J72" s="27">
        <f>G72*I72</f>
        <v>378361.33649644116</v>
      </c>
      <c r="K72" s="24"/>
    </row>
    <row r="73" spans="1:11" s="1" customFormat="1" x14ac:dyDescent="0.3">
      <c r="A73" s="21"/>
      <c r="B73" s="39" t="s">
        <v>39</v>
      </c>
      <c r="C73" s="22"/>
      <c r="D73" s="23"/>
      <c r="E73" s="24"/>
      <c r="F73" s="24"/>
      <c r="G73" s="27"/>
      <c r="H73" s="25"/>
      <c r="I73" s="26"/>
      <c r="J73" s="27">
        <f>0.13*G72*9524.2</f>
        <v>34525.022318516807</v>
      </c>
      <c r="K73" s="24"/>
    </row>
    <row r="74" spans="1:11" s="1" customFormat="1" x14ac:dyDescent="0.3">
      <c r="A74" s="21"/>
      <c r="B74" s="39"/>
      <c r="C74" s="22"/>
      <c r="D74" s="23"/>
      <c r="E74" s="24"/>
      <c r="F74" s="24"/>
      <c r="G74" s="27"/>
      <c r="H74" s="25"/>
      <c r="I74" s="26"/>
      <c r="J74" s="27"/>
      <c r="K74" s="24"/>
    </row>
    <row r="75" spans="1:11" s="1" customFormat="1" ht="30" x14ac:dyDescent="0.3">
      <c r="A75" s="21">
        <v>8</v>
      </c>
      <c r="B75" s="37" t="s">
        <v>53</v>
      </c>
      <c r="C75" s="22"/>
      <c r="D75" s="23"/>
      <c r="E75" s="24"/>
      <c r="F75" s="24"/>
      <c r="G75" s="27"/>
      <c r="H75" s="25"/>
      <c r="I75" s="26"/>
      <c r="J75" s="27"/>
      <c r="K75" s="24"/>
    </row>
    <row r="76" spans="1:11" s="1" customFormat="1" x14ac:dyDescent="0.3">
      <c r="A76" s="21"/>
      <c r="B76" s="39" t="s">
        <v>57</v>
      </c>
      <c r="C76" s="22">
        <f>2*2</f>
        <v>4</v>
      </c>
      <c r="D76" s="23">
        <f>12.5/3.281</f>
        <v>3.8098140810728434</v>
      </c>
      <c r="E76" s="24">
        <v>0.23</v>
      </c>
      <c r="F76" s="24">
        <v>0.5</v>
      </c>
      <c r="G76" s="36">
        <f>PRODUCT(C76:F76)</f>
        <v>1.752514477293508</v>
      </c>
      <c r="H76" s="25"/>
      <c r="I76" s="26"/>
      <c r="J76" s="27"/>
      <c r="K76" s="24"/>
    </row>
    <row r="77" spans="1:11" s="1" customFormat="1" x14ac:dyDescent="0.3">
      <c r="A77" s="21"/>
      <c r="B77" s="39"/>
      <c r="C77" s="22">
        <f>2*2</f>
        <v>4</v>
      </c>
      <c r="D77" s="23">
        <f>11.917/3.281</f>
        <v>3.6321243523316058</v>
      </c>
      <c r="E77" s="24">
        <v>0.23</v>
      </c>
      <c r="F77" s="24">
        <v>0.5</v>
      </c>
      <c r="G77" s="36">
        <f>PRODUCT(C77:F77)</f>
        <v>1.6707772020725387</v>
      </c>
      <c r="H77" s="25"/>
      <c r="I77" s="26"/>
      <c r="J77" s="27"/>
      <c r="K77" s="24"/>
    </row>
    <row r="78" spans="1:11" s="1" customFormat="1" x14ac:dyDescent="0.3">
      <c r="A78" s="21"/>
      <c r="B78" s="39"/>
      <c r="C78" s="22">
        <f>1*2</f>
        <v>2</v>
      </c>
      <c r="D78" s="23">
        <f>12.25/3.281</f>
        <v>3.7336177994513866</v>
      </c>
      <c r="E78" s="24">
        <v>0.23</v>
      </c>
      <c r="F78" s="24">
        <v>0.5</v>
      </c>
      <c r="G78" s="36">
        <f>PRODUCT(C78:F78)</f>
        <v>0.85873209387381899</v>
      </c>
      <c r="H78" s="25"/>
      <c r="I78" s="26"/>
      <c r="J78" s="27"/>
      <c r="K78" s="24"/>
    </row>
    <row r="79" spans="1:11" s="1" customFormat="1" x14ac:dyDescent="0.3">
      <c r="A79" s="21"/>
      <c r="B79" s="39" t="s">
        <v>26</v>
      </c>
      <c r="C79" s="22"/>
      <c r="D79" s="23"/>
      <c r="E79" s="24"/>
      <c r="F79" s="24"/>
      <c r="G79" s="27">
        <f>SUM(G76:G78)</f>
        <v>4.2820237732398656</v>
      </c>
      <c r="H79" s="25" t="s">
        <v>42</v>
      </c>
      <c r="I79" s="26">
        <v>14362.76</v>
      </c>
      <c r="J79" s="27">
        <f>G79*I79</f>
        <v>61501.679769338611</v>
      </c>
      <c r="K79" s="24"/>
    </row>
    <row r="80" spans="1:11" s="1" customFormat="1" x14ac:dyDescent="0.3">
      <c r="A80" s="21"/>
      <c r="B80" s="39" t="s">
        <v>39</v>
      </c>
      <c r="C80" s="22"/>
      <c r="D80" s="23"/>
      <c r="E80" s="24"/>
      <c r="F80" s="24"/>
      <c r="G80" s="27"/>
      <c r="H80" s="25"/>
      <c r="I80" s="26"/>
      <c r="J80" s="27">
        <f>0.13*G79*10311.74</f>
        <v>5740.1650570508991</v>
      </c>
      <c r="K80" s="24"/>
    </row>
    <row r="81" spans="1:31" s="1" customFormat="1" x14ac:dyDescent="0.3">
      <c r="A81" s="21"/>
      <c r="B81" s="39"/>
      <c r="C81" s="22"/>
      <c r="D81" s="23"/>
      <c r="E81" s="24"/>
      <c r="F81" s="24"/>
      <c r="G81" s="27"/>
      <c r="H81" s="25"/>
      <c r="I81" s="26"/>
      <c r="J81" s="27"/>
      <c r="K81" s="24"/>
    </row>
    <row r="82" spans="1:31" s="1" customFormat="1" ht="27.6" x14ac:dyDescent="0.3">
      <c r="A82" s="21">
        <v>9</v>
      </c>
      <c r="B82" s="41" t="s">
        <v>35</v>
      </c>
      <c r="C82" s="22">
        <v>1</v>
      </c>
      <c r="D82" s="23"/>
      <c r="E82" s="24"/>
      <c r="F82" s="24"/>
      <c r="G82" s="36">
        <f>PRODUCT(C82:F82)</f>
        <v>1</v>
      </c>
      <c r="H82" s="25" t="s">
        <v>36</v>
      </c>
      <c r="I82" s="26">
        <v>5000</v>
      </c>
      <c r="J82" s="27">
        <f>G82*I82</f>
        <v>5000</v>
      </c>
      <c r="K82" s="24"/>
    </row>
    <row r="83" spans="1:31" s="1" customFormat="1" x14ac:dyDescent="0.3">
      <c r="A83" s="21"/>
      <c r="B83" s="39"/>
      <c r="C83" s="22"/>
      <c r="D83" s="23"/>
      <c r="E83" s="24"/>
      <c r="F83" s="24"/>
      <c r="G83" s="27"/>
      <c r="H83" s="25"/>
      <c r="I83" s="26"/>
      <c r="J83" s="27"/>
      <c r="K83" s="24"/>
    </row>
    <row r="84" spans="1:31" s="1" customFormat="1" x14ac:dyDescent="0.3">
      <c r="A84" s="21">
        <v>10</v>
      </c>
      <c r="B84" s="41" t="s">
        <v>37</v>
      </c>
      <c r="C84" s="22">
        <v>1</v>
      </c>
      <c r="D84" s="23"/>
      <c r="E84" s="24"/>
      <c r="F84" s="24"/>
      <c r="G84" s="36">
        <f>PRODUCT(C84:F84)</f>
        <v>1</v>
      </c>
      <c r="H84" s="25" t="s">
        <v>55</v>
      </c>
      <c r="I84" s="26">
        <v>1000</v>
      </c>
      <c r="J84" s="27">
        <f>G84*I84</f>
        <v>1000</v>
      </c>
      <c r="K84" s="24"/>
    </row>
    <row r="85" spans="1:31" s="1" customFormat="1" x14ac:dyDescent="0.3">
      <c r="A85" s="21"/>
      <c r="B85" s="39"/>
      <c r="C85" s="22"/>
      <c r="D85" s="23"/>
      <c r="E85" s="24"/>
      <c r="F85" s="24"/>
      <c r="G85" s="27"/>
      <c r="H85" s="25"/>
      <c r="I85" s="26"/>
      <c r="J85" s="27"/>
      <c r="K85" s="24"/>
    </row>
    <row r="86" spans="1:31" x14ac:dyDescent="0.3">
      <c r="A86" s="9"/>
      <c r="B86" s="20" t="s">
        <v>16</v>
      </c>
      <c r="C86" s="8"/>
      <c r="D86" s="6"/>
      <c r="E86" s="6"/>
      <c r="F86" s="6"/>
      <c r="G86" s="33"/>
      <c r="H86" s="7"/>
      <c r="I86" s="7"/>
      <c r="J86" s="7">
        <f>SUM(J10:J85)</f>
        <v>881272.76320401416</v>
      </c>
      <c r="K86" s="4"/>
      <c r="M86" s="29"/>
      <c r="P86" s="32"/>
      <c r="Q86" s="32"/>
    </row>
    <row r="87" spans="1:31" x14ac:dyDescent="0.3">
      <c r="M87" s="29"/>
      <c r="N87" s="30"/>
      <c r="O87" s="30"/>
      <c r="P87" s="31"/>
      <c r="R87" s="30"/>
      <c r="S87" s="30"/>
      <c r="T87" s="30"/>
      <c r="U87" s="29"/>
      <c r="V87" s="29"/>
      <c r="W87" s="29"/>
      <c r="X87" s="29"/>
      <c r="Y87" s="29"/>
      <c r="Z87" s="29"/>
      <c r="AA87" s="29"/>
      <c r="AB87" s="29"/>
      <c r="AC87" s="29"/>
      <c r="AD87" s="29"/>
      <c r="AE87" s="29"/>
    </row>
    <row r="88" spans="1:31" s="1" customFormat="1" x14ac:dyDescent="0.3">
      <c r="B88" s="11" t="s">
        <v>22</v>
      </c>
      <c r="C88" s="59">
        <f>J86</f>
        <v>881272.76320401416</v>
      </c>
      <c r="D88" s="60"/>
      <c r="E88" s="10">
        <v>100</v>
      </c>
      <c r="F88" s="12"/>
      <c r="G88" s="13"/>
      <c r="H88" s="12"/>
      <c r="I88" s="14"/>
      <c r="J88" s="15"/>
      <c r="K88" s="16"/>
      <c r="M88" s="12"/>
      <c r="N88" s="30"/>
      <c r="O88" s="30"/>
      <c r="P88" s="30"/>
      <c r="Q88" s="30"/>
      <c r="R88" s="30"/>
      <c r="S88" s="30"/>
      <c r="T88" s="30"/>
      <c r="U88" s="12"/>
      <c r="V88" s="12"/>
      <c r="W88" s="12"/>
      <c r="X88" s="12"/>
      <c r="Y88" s="12"/>
      <c r="Z88" s="12"/>
      <c r="AA88" s="12"/>
      <c r="AB88" s="12"/>
      <c r="AC88" s="12"/>
      <c r="AD88" s="12"/>
      <c r="AE88" s="12"/>
    </row>
    <row r="89" spans="1:31" x14ac:dyDescent="0.3">
      <c r="B89" s="11" t="s">
        <v>17</v>
      </c>
      <c r="C89" s="63">
        <v>400000</v>
      </c>
      <c r="D89" s="64"/>
      <c r="E89" s="10"/>
      <c r="M89" s="29"/>
      <c r="N89" s="30"/>
      <c r="O89" s="30"/>
      <c r="P89" s="30"/>
      <c r="Q89" s="30"/>
      <c r="R89" s="30"/>
      <c r="S89" s="30"/>
      <c r="T89" s="30"/>
      <c r="U89" s="29"/>
      <c r="V89" s="29"/>
      <c r="W89" s="29"/>
      <c r="X89" s="29"/>
      <c r="Y89" s="29"/>
      <c r="Z89" s="29"/>
      <c r="AA89" s="29"/>
      <c r="AB89" s="29"/>
      <c r="AC89" s="29"/>
      <c r="AD89" s="29"/>
      <c r="AE89" s="29"/>
    </row>
    <row r="90" spans="1:31" x14ac:dyDescent="0.3">
      <c r="B90" s="11" t="s">
        <v>18</v>
      </c>
      <c r="C90" s="63">
        <f>C89-C92-C93</f>
        <v>380000</v>
      </c>
      <c r="D90" s="64"/>
      <c r="E90" s="10">
        <f>C90/C88*100</f>
        <v>43.1194535751277</v>
      </c>
      <c r="M90" s="29"/>
      <c r="N90" s="29"/>
      <c r="O90" s="29"/>
      <c r="P90" s="29"/>
      <c r="Q90" s="29"/>
      <c r="R90" s="29"/>
      <c r="S90" s="29"/>
      <c r="T90" s="29"/>
      <c r="U90" s="29"/>
      <c r="V90" s="29"/>
      <c r="W90" s="29"/>
      <c r="X90" s="29"/>
      <c r="Y90" s="29"/>
      <c r="Z90" s="29"/>
      <c r="AA90" s="29"/>
      <c r="AB90" s="29"/>
      <c r="AC90" s="29"/>
      <c r="AD90" s="29"/>
      <c r="AE90" s="29"/>
    </row>
    <row r="91" spans="1:31" x14ac:dyDescent="0.3">
      <c r="B91" s="11" t="s">
        <v>19</v>
      </c>
      <c r="C91" s="65">
        <f>C88-C90</f>
        <v>501272.76320401416</v>
      </c>
      <c r="D91" s="65"/>
      <c r="E91" s="10">
        <f>100-E90</f>
        <v>56.8805464248723</v>
      </c>
      <c r="M91" s="29"/>
      <c r="N91" s="29"/>
      <c r="O91" s="29"/>
      <c r="P91" s="29"/>
      <c r="Q91" s="29"/>
      <c r="R91" s="29"/>
      <c r="S91" s="29"/>
      <c r="T91" s="29"/>
      <c r="U91" s="29"/>
      <c r="V91" s="29"/>
      <c r="W91" s="29"/>
      <c r="X91" s="29"/>
      <c r="Y91" s="29"/>
      <c r="Z91" s="29"/>
      <c r="AA91" s="29"/>
      <c r="AB91" s="29"/>
      <c r="AC91" s="29"/>
      <c r="AD91" s="29"/>
      <c r="AE91" s="29"/>
    </row>
    <row r="92" spans="1:31" x14ac:dyDescent="0.3">
      <c r="B92" s="11" t="s">
        <v>20</v>
      </c>
      <c r="C92" s="59">
        <f>C89*0.03</f>
        <v>12000</v>
      </c>
      <c r="D92" s="60"/>
      <c r="E92" s="10">
        <v>3</v>
      </c>
      <c r="M92" s="29"/>
      <c r="N92" s="29"/>
      <c r="O92" s="29"/>
      <c r="P92" s="29"/>
      <c r="Q92" s="29"/>
      <c r="R92" s="29"/>
      <c r="S92" s="29"/>
      <c r="T92" s="29"/>
      <c r="U92" s="29"/>
      <c r="V92" s="29"/>
      <c r="W92" s="29"/>
      <c r="X92" s="29"/>
      <c r="Y92" s="29"/>
      <c r="Z92" s="29"/>
      <c r="AA92" s="29"/>
      <c r="AB92" s="29"/>
      <c r="AC92" s="29"/>
      <c r="AD92" s="29"/>
      <c r="AE92" s="29"/>
    </row>
    <row r="93" spans="1:31" x14ac:dyDescent="0.3">
      <c r="B93" s="11" t="s">
        <v>21</v>
      </c>
      <c r="C93" s="59">
        <f>C89*0.02</f>
        <v>8000</v>
      </c>
      <c r="D93" s="60"/>
      <c r="E93" s="10">
        <v>2</v>
      </c>
      <c r="M93" s="29"/>
      <c r="N93" s="29"/>
      <c r="O93" s="29"/>
      <c r="P93" s="29"/>
      <c r="Q93" s="29"/>
      <c r="R93" s="29"/>
      <c r="S93" s="29"/>
      <c r="T93" s="29"/>
      <c r="U93" s="29"/>
      <c r="V93" s="29"/>
      <c r="W93" s="29"/>
      <c r="X93" s="29"/>
      <c r="Y93" s="29"/>
      <c r="Z93" s="29"/>
      <c r="AA93" s="29"/>
      <c r="AB93" s="29"/>
      <c r="AC93" s="29"/>
      <c r="AD93" s="29"/>
      <c r="AE93" s="29"/>
    </row>
  </sheetData>
  <mergeCells count="15">
    <mergeCell ref="C92:D92"/>
    <mergeCell ref="C93:D93"/>
    <mergeCell ref="A7:F7"/>
    <mergeCell ref="H7:K7"/>
    <mergeCell ref="C88:D88"/>
    <mergeCell ref="C89:D89"/>
    <mergeCell ref="C90:D90"/>
    <mergeCell ref="C91:D91"/>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7"/>
  <sheetViews>
    <sheetView topLeftCell="A39" zoomScaleNormal="100" zoomScaleSheetLayoutView="100" workbookViewId="0">
      <selection activeCell="C37" sqref="C37"/>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7" t="s">
        <v>0</v>
      </c>
      <c r="B1" s="67"/>
      <c r="C1" s="67"/>
      <c r="D1" s="67"/>
      <c r="E1" s="67"/>
      <c r="F1" s="67"/>
      <c r="G1" s="67"/>
      <c r="H1" s="67"/>
      <c r="I1" s="67"/>
      <c r="J1" s="67"/>
      <c r="K1" s="67"/>
    </row>
    <row r="2" spans="1:13" s="1" customFormat="1" ht="22.8" x14ac:dyDescent="0.3">
      <c r="A2" s="68" t="s">
        <v>1</v>
      </c>
      <c r="B2" s="68"/>
      <c r="C2" s="68"/>
      <c r="D2" s="68"/>
      <c r="E2" s="68"/>
      <c r="F2" s="68"/>
      <c r="G2" s="68"/>
      <c r="H2" s="68"/>
      <c r="I2" s="68"/>
      <c r="J2" s="68"/>
      <c r="K2" s="68"/>
    </row>
    <row r="3" spans="1:13" s="1" customFormat="1" x14ac:dyDescent="0.3">
      <c r="A3" s="69" t="s">
        <v>2</v>
      </c>
      <c r="B3" s="69"/>
      <c r="C3" s="69"/>
      <c r="D3" s="69"/>
      <c r="E3" s="69"/>
      <c r="F3" s="69"/>
      <c r="G3" s="69"/>
      <c r="H3" s="69"/>
      <c r="I3" s="69"/>
      <c r="J3" s="69"/>
      <c r="K3" s="69"/>
    </row>
    <row r="4" spans="1:13" s="1" customFormat="1" x14ac:dyDescent="0.3">
      <c r="A4" s="69" t="s">
        <v>3</v>
      </c>
      <c r="B4" s="69"/>
      <c r="C4" s="69"/>
      <c r="D4" s="69"/>
      <c r="E4" s="69"/>
      <c r="F4" s="69"/>
      <c r="G4" s="69"/>
      <c r="H4" s="69"/>
      <c r="I4" s="69"/>
      <c r="J4" s="69"/>
      <c r="K4" s="69"/>
    </row>
    <row r="5" spans="1:13" ht="17.399999999999999" x14ac:dyDescent="0.3">
      <c r="A5" s="70" t="s">
        <v>86</v>
      </c>
      <c r="B5" s="70"/>
      <c r="C5" s="70"/>
      <c r="D5" s="70"/>
      <c r="E5" s="70"/>
      <c r="F5" s="70"/>
      <c r="G5" s="70"/>
      <c r="H5" s="70"/>
      <c r="I5" s="70"/>
      <c r="J5" s="70"/>
      <c r="K5" s="70"/>
    </row>
    <row r="6" spans="1:13" ht="18" x14ac:dyDescent="0.35">
      <c r="A6" s="66" t="s">
        <v>34</v>
      </c>
      <c r="B6" s="66"/>
      <c r="C6" s="66"/>
      <c r="D6" s="66"/>
      <c r="E6" s="66"/>
      <c r="F6" s="66"/>
      <c r="G6" s="66"/>
      <c r="H6" s="62" t="s">
        <v>24</v>
      </c>
      <c r="I6" s="62"/>
      <c r="J6" s="62"/>
      <c r="K6" s="62"/>
    </row>
    <row r="7" spans="1:13" ht="15.6" x14ac:dyDescent="0.3">
      <c r="A7" s="61" t="s">
        <v>23</v>
      </c>
      <c r="B7" s="61"/>
      <c r="C7" s="61"/>
      <c r="D7" s="61"/>
      <c r="E7" s="61"/>
      <c r="F7" s="61"/>
      <c r="G7" s="2"/>
      <c r="H7" s="62" t="s">
        <v>25</v>
      </c>
      <c r="I7" s="62"/>
      <c r="J7" s="62"/>
      <c r="K7" s="62"/>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99</v>
      </c>
      <c r="C10" s="40">
        <v>8</v>
      </c>
      <c r="D10" s="10">
        <f>(12+1.5+3)/3.281</f>
        <v>5.0289545870161536</v>
      </c>
      <c r="E10" s="10">
        <v>3.54</v>
      </c>
      <c r="F10" s="10">
        <f>PRODUCT(C10:E10)</f>
        <v>142.41999390429748</v>
      </c>
      <c r="G10" s="36">
        <f>F10</f>
        <v>142.41999390429748</v>
      </c>
      <c r="H10" s="27"/>
      <c r="I10" s="27"/>
      <c r="J10" s="27"/>
      <c r="K10" s="11"/>
      <c r="M10" s="12"/>
    </row>
    <row r="11" spans="1:13" s="1" customFormat="1" ht="41.4" x14ac:dyDescent="0.3">
      <c r="A11" s="38"/>
      <c r="B11" s="39" t="s">
        <v>93</v>
      </c>
      <c r="C11" s="40">
        <v>3</v>
      </c>
      <c r="D11" s="10">
        <f>30/3.281</f>
        <v>9.1435537945748244</v>
      </c>
      <c r="E11" s="10">
        <v>2.4300000000000002</v>
      </c>
      <c r="F11" s="10">
        <f t="shared" ref="F11:F20" si="0">PRODUCT(C11:E11)</f>
        <v>66.656507162450481</v>
      </c>
      <c r="G11" s="36">
        <f t="shared" ref="G11:G20" si="1">F11</f>
        <v>66.656507162450481</v>
      </c>
      <c r="H11" s="27"/>
      <c r="I11" s="27"/>
      <c r="J11" s="27"/>
      <c r="K11" s="11"/>
      <c r="M11" s="12"/>
    </row>
    <row r="12" spans="1:13" s="1" customFormat="1" ht="41.4" x14ac:dyDescent="0.3">
      <c r="A12" s="38"/>
      <c r="B12" s="39" t="s">
        <v>98</v>
      </c>
      <c r="C12" s="40">
        <f>2*3</f>
        <v>6</v>
      </c>
      <c r="D12" s="10">
        <f>(17-0.75)/3.281</f>
        <v>4.9527583053946964</v>
      </c>
      <c r="E12" s="10">
        <v>2.4300000000000002</v>
      </c>
      <c r="F12" s="10">
        <f t="shared" si="0"/>
        <v>72.211216092654681</v>
      </c>
      <c r="G12" s="36">
        <f t="shared" si="1"/>
        <v>72.211216092654681</v>
      </c>
      <c r="H12" s="27"/>
      <c r="I12" s="27"/>
      <c r="J12" s="27"/>
      <c r="K12" s="11"/>
      <c r="M12" s="12"/>
    </row>
    <row r="13" spans="1:13" s="1" customFormat="1" ht="41.4" x14ac:dyDescent="0.3">
      <c r="A13" s="38"/>
      <c r="B13" s="39" t="s">
        <v>50</v>
      </c>
      <c r="C13" s="40">
        <f t="shared" ref="C13:C19" si="2">2*3</f>
        <v>6</v>
      </c>
      <c r="D13" s="10">
        <f>4.583/3.281</f>
        <v>1.3968302346845474</v>
      </c>
      <c r="E13" s="10">
        <v>1.83</v>
      </c>
      <c r="F13" s="10">
        <f t="shared" si="0"/>
        <v>15.337195976836332</v>
      </c>
      <c r="G13" s="36">
        <f t="shared" si="1"/>
        <v>15.337195976836332</v>
      </c>
      <c r="H13" s="27"/>
      <c r="I13" s="27"/>
      <c r="J13" s="27"/>
      <c r="K13" s="11"/>
      <c r="M13" s="12"/>
    </row>
    <row r="14" spans="1:13" s="1" customFormat="1" x14ac:dyDescent="0.3">
      <c r="A14" s="38"/>
      <c r="B14" s="39"/>
      <c r="C14" s="40">
        <f t="shared" si="2"/>
        <v>6</v>
      </c>
      <c r="D14" s="10">
        <f>4.17/3.281</f>
        <v>1.2709539774459007</v>
      </c>
      <c r="E14" s="10">
        <v>1.83</v>
      </c>
      <c r="F14" s="10">
        <f t="shared" si="0"/>
        <v>13.955074672355989</v>
      </c>
      <c r="G14" s="36">
        <f t="shared" si="1"/>
        <v>13.955074672355989</v>
      </c>
      <c r="H14" s="27"/>
      <c r="I14" s="27"/>
      <c r="J14" s="27"/>
      <c r="K14" s="11"/>
      <c r="M14" s="12"/>
    </row>
    <row r="15" spans="1:13" s="1" customFormat="1" x14ac:dyDescent="0.3">
      <c r="A15" s="38"/>
      <c r="B15" s="39"/>
      <c r="C15" s="40">
        <f t="shared" si="2"/>
        <v>6</v>
      </c>
      <c r="D15" s="10">
        <f>3.833/3.281</f>
        <v>1.1682413898201769</v>
      </c>
      <c r="E15" s="10">
        <v>1.83</v>
      </c>
      <c r="F15" s="10">
        <f t="shared" si="0"/>
        <v>12.827290460225543</v>
      </c>
      <c r="G15" s="36">
        <f t="shared" si="1"/>
        <v>12.827290460225543</v>
      </c>
      <c r="H15" s="27"/>
      <c r="I15" s="27"/>
      <c r="J15" s="27"/>
      <c r="K15" s="11"/>
      <c r="M15" s="12"/>
    </row>
    <row r="16" spans="1:13" s="1" customFormat="1" ht="41.4" x14ac:dyDescent="0.3">
      <c r="A16" s="38"/>
      <c r="B16" s="39" t="s">
        <v>49</v>
      </c>
      <c r="C16" s="40">
        <v>3</v>
      </c>
      <c r="D16" s="10">
        <f>3.5/3.281</f>
        <v>1.0667479427003961</v>
      </c>
      <c r="E16" s="10">
        <v>1.83</v>
      </c>
      <c r="F16" s="10">
        <f t="shared" si="0"/>
        <v>5.8564462054251747</v>
      </c>
      <c r="G16" s="36">
        <f t="shared" si="1"/>
        <v>5.8564462054251747</v>
      </c>
      <c r="H16" s="27"/>
      <c r="I16" s="27"/>
      <c r="J16" s="27"/>
      <c r="K16" s="11"/>
      <c r="M16" s="12"/>
    </row>
    <row r="17" spans="1:15" s="1" customFormat="1" x14ac:dyDescent="0.3">
      <c r="A17" s="38"/>
      <c r="B17" s="39"/>
      <c r="C17" s="40">
        <f t="shared" si="2"/>
        <v>6</v>
      </c>
      <c r="D17" s="10">
        <f>2.667/3.281</f>
        <v>0.81286193233770188</v>
      </c>
      <c r="E17" s="10">
        <v>1.83</v>
      </c>
      <c r="F17" s="10">
        <f t="shared" si="0"/>
        <v>8.9252240170679666</v>
      </c>
      <c r="G17" s="36">
        <f t="shared" si="1"/>
        <v>8.9252240170679666</v>
      </c>
      <c r="H17" s="27"/>
      <c r="I17" s="27"/>
      <c r="J17" s="27"/>
      <c r="K17" s="11"/>
      <c r="M17" s="12"/>
    </row>
    <row r="18" spans="1:15" s="1" customFormat="1" x14ac:dyDescent="0.3">
      <c r="A18" s="38"/>
      <c r="B18" s="39"/>
      <c r="C18" s="40">
        <f t="shared" si="2"/>
        <v>6</v>
      </c>
      <c r="D18" s="10">
        <f>1.75/3.281</f>
        <v>0.53337397135019804</v>
      </c>
      <c r="E18" s="10">
        <v>1.83</v>
      </c>
      <c r="F18" s="10">
        <f t="shared" si="0"/>
        <v>5.8564462054251747</v>
      </c>
      <c r="G18" s="36">
        <f t="shared" si="1"/>
        <v>5.8564462054251747</v>
      </c>
      <c r="H18" s="27"/>
      <c r="I18" s="27"/>
      <c r="J18" s="27"/>
      <c r="K18" s="11"/>
      <c r="M18" s="12"/>
    </row>
    <row r="19" spans="1:15" s="1" customFormat="1" x14ac:dyDescent="0.3">
      <c r="A19" s="38"/>
      <c r="B19" s="39"/>
      <c r="C19" s="40">
        <f t="shared" si="2"/>
        <v>6</v>
      </c>
      <c r="D19" s="10">
        <f>13/12/3.281</f>
        <v>0.33018388702631307</v>
      </c>
      <c r="E19" s="10">
        <v>1.83</v>
      </c>
      <c r="F19" s="10">
        <f t="shared" si="0"/>
        <v>3.6254190795489176</v>
      </c>
      <c r="G19" s="36">
        <f t="shared" si="1"/>
        <v>3.6254190795489176</v>
      </c>
      <c r="H19" s="27"/>
      <c r="I19" s="27"/>
      <c r="J19" s="27"/>
      <c r="K19" s="11"/>
      <c r="M19" s="12"/>
    </row>
    <row r="20" spans="1:15" s="1" customFormat="1" ht="27.6" x14ac:dyDescent="0.3">
      <c r="A20" s="38"/>
      <c r="B20" s="39" t="s">
        <v>60</v>
      </c>
      <c r="C20" s="40">
        <v>14</v>
      </c>
      <c r="D20" s="10">
        <f>(25+1.75+1.75)/3.281</f>
        <v>8.686376104846083</v>
      </c>
      <c r="E20" s="10">
        <v>2.4300000000000002</v>
      </c>
      <c r="F20" s="10">
        <f t="shared" si="0"/>
        <v>295.51051508686379</v>
      </c>
      <c r="G20" s="36">
        <f t="shared" si="1"/>
        <v>295.51051508686379</v>
      </c>
      <c r="H20" s="27"/>
      <c r="I20" s="27"/>
      <c r="J20" s="27"/>
      <c r="K20" s="11"/>
      <c r="M20" s="12">
        <f>(142+145)/12</f>
        <v>23.916666666666668</v>
      </c>
      <c r="O20" s="1">
        <f>(174+173)/12</f>
        <v>28.916666666666668</v>
      </c>
    </row>
    <row r="21" spans="1:15" s="1" customFormat="1" x14ac:dyDescent="0.3">
      <c r="A21" s="21"/>
      <c r="B21" s="39" t="s">
        <v>26</v>
      </c>
      <c r="C21" s="22"/>
      <c r="D21" s="23"/>
      <c r="E21" s="24"/>
      <c r="F21" s="24"/>
      <c r="G21" s="27">
        <f>SUM(G10:G20)</f>
        <v>643.18132886315152</v>
      </c>
      <c r="H21" s="25" t="s">
        <v>31</v>
      </c>
      <c r="I21" s="26">
        <v>181.17</v>
      </c>
      <c r="J21" s="27">
        <f>G21*I21</f>
        <v>116525.16135013715</v>
      </c>
      <c r="K21" s="24"/>
    </row>
    <row r="22" spans="1:15" s="1" customFormat="1" x14ac:dyDescent="0.3">
      <c r="A22" s="21"/>
      <c r="B22" s="39" t="s">
        <v>39</v>
      </c>
      <c r="C22" s="22"/>
      <c r="D22" s="23"/>
      <c r="E22" s="24"/>
      <c r="F22" s="24"/>
      <c r="G22" s="27"/>
      <c r="H22" s="25"/>
      <c r="I22" s="26"/>
      <c r="J22" s="27">
        <f>0.13*G21*(1871.42/18.94)</f>
        <v>8261.6743569134269</v>
      </c>
      <c r="K22" s="24"/>
    </row>
    <row r="23" spans="1:15" s="1" customFormat="1" ht="15" x14ac:dyDescent="0.3">
      <c r="A23" s="21"/>
      <c r="B23" s="37"/>
      <c r="C23" s="22"/>
      <c r="D23" s="23"/>
      <c r="E23" s="24"/>
      <c r="F23" s="24"/>
      <c r="G23" s="28"/>
      <c r="H23" s="25"/>
      <c r="I23" s="26"/>
      <c r="J23" s="27"/>
      <c r="K23" s="24"/>
      <c r="O23" s="1">
        <f>14*12+6</f>
        <v>174</v>
      </c>
    </row>
    <row r="24" spans="1:15" s="1" customFormat="1" ht="45" x14ac:dyDescent="0.3">
      <c r="A24" s="38">
        <v>2</v>
      </c>
      <c r="B24" s="37" t="s">
        <v>32</v>
      </c>
      <c r="C24" s="40"/>
      <c r="D24" s="10"/>
      <c r="E24" s="10"/>
      <c r="F24" s="10"/>
      <c r="G24" s="36"/>
      <c r="H24" s="27"/>
      <c r="I24" s="27"/>
      <c r="J24" s="27"/>
      <c r="K24" s="11"/>
      <c r="M24" s="12"/>
    </row>
    <row r="25" spans="1:15" s="1" customFormat="1" x14ac:dyDescent="0.3">
      <c r="A25" s="38"/>
      <c r="B25" s="39"/>
      <c r="C25" s="40">
        <v>2</v>
      </c>
      <c r="D25" s="10">
        <f>17/3.281</f>
        <v>5.1813471502590671</v>
      </c>
      <c r="E25" s="10">
        <f>D20</f>
        <v>8.686376104846083</v>
      </c>
      <c r="F25" s="10"/>
      <c r="G25" s="36">
        <f>PRODUCT(C25:F25)</f>
        <v>90.014260153845413</v>
      </c>
      <c r="H25" s="27"/>
      <c r="I25" s="27"/>
      <c r="J25" s="27"/>
      <c r="K25" s="11"/>
      <c r="M25" s="12"/>
      <c r="N25" s="1">
        <f>(175+175)/12/3.281</f>
        <v>8.8895661891699689</v>
      </c>
      <c r="O25" s="1">
        <f>24.917/3.281</f>
        <v>7.594330996647364</v>
      </c>
    </row>
    <row r="26" spans="1:15" s="1" customFormat="1" x14ac:dyDescent="0.3">
      <c r="A26" s="21"/>
      <c r="B26" s="39" t="s">
        <v>26</v>
      </c>
      <c r="C26" s="22"/>
      <c r="D26" s="23"/>
      <c r="E26" s="24"/>
      <c r="F26" s="24"/>
      <c r="G26" s="27">
        <f>SUM(G25:G25)</f>
        <v>90.014260153845413</v>
      </c>
      <c r="H26" s="25" t="s">
        <v>33</v>
      </c>
      <c r="I26" s="26">
        <v>1070.9000000000001</v>
      </c>
      <c r="J26" s="27">
        <f>G26*I26</f>
        <v>96396.271198753064</v>
      </c>
      <c r="K26" s="24"/>
      <c r="N26" s="1">
        <f>(175+175)/12/3.281</f>
        <v>8.8895661891699689</v>
      </c>
    </row>
    <row r="27" spans="1:15" s="1" customFormat="1" x14ac:dyDescent="0.3">
      <c r="A27" s="21"/>
      <c r="B27" s="39" t="s">
        <v>39</v>
      </c>
      <c r="C27" s="22"/>
      <c r="D27" s="23"/>
      <c r="E27" s="24"/>
      <c r="F27" s="24"/>
      <c r="G27" s="27"/>
      <c r="H27" s="25"/>
      <c r="I27" s="26"/>
      <c r="J27" s="27">
        <f>0.13*G26*8587.63/10</f>
        <v>10049.119092024577</v>
      </c>
      <c r="K27" s="24"/>
    </row>
    <row r="28" spans="1:15" s="1" customFormat="1" x14ac:dyDescent="0.3">
      <c r="A28" s="21"/>
      <c r="B28" s="39"/>
      <c r="C28" s="22"/>
      <c r="D28" s="23"/>
      <c r="E28" s="24"/>
      <c r="F28" s="24"/>
      <c r="G28" s="27"/>
      <c r="H28" s="25"/>
      <c r="I28" s="26"/>
      <c r="J28" s="27"/>
      <c r="K28" s="24"/>
    </row>
    <row r="29" spans="1:15" s="1" customFormat="1" ht="30" x14ac:dyDescent="0.3">
      <c r="A29" s="21">
        <v>3</v>
      </c>
      <c r="B29" s="37" t="s">
        <v>95</v>
      </c>
      <c r="C29" s="22"/>
      <c r="D29" s="23"/>
      <c r="E29" s="24"/>
      <c r="F29" s="24"/>
      <c r="G29" s="27"/>
      <c r="H29" s="25"/>
      <c r="I29" s="26"/>
      <c r="J29" s="27"/>
      <c r="K29" s="24"/>
    </row>
    <row r="30" spans="1:15" s="1" customFormat="1" x14ac:dyDescent="0.3">
      <c r="A30" s="21"/>
      <c r="B30" s="39" t="s">
        <v>57</v>
      </c>
      <c r="C30" s="22">
        <v>8</v>
      </c>
      <c r="D30" s="23">
        <v>0.45</v>
      </c>
      <c r="E30" s="24">
        <v>0.45</v>
      </c>
      <c r="F30" s="24">
        <v>0.9</v>
      </c>
      <c r="G30" s="36">
        <f>PRODUCT(C30:F30)</f>
        <v>1.4580000000000002</v>
      </c>
      <c r="H30" s="25"/>
      <c r="I30" s="26"/>
      <c r="J30" s="27"/>
      <c r="K30" s="24"/>
    </row>
    <row r="31" spans="1:15" s="1" customFormat="1" x14ac:dyDescent="0.3">
      <c r="A31" s="21"/>
      <c r="B31" s="39" t="s">
        <v>94</v>
      </c>
      <c r="C31" s="22">
        <f>2</f>
        <v>2</v>
      </c>
      <c r="D31" s="23">
        <f>25/3.281</f>
        <v>7.6196281621456867</v>
      </c>
      <c r="E31" s="24">
        <v>0.3</v>
      </c>
      <c r="F31" s="24">
        <v>0.45</v>
      </c>
      <c r="G31" s="36">
        <f t="shared" ref="G31:G33" si="3">PRODUCT(C31:F31)</f>
        <v>2.0572996037793354</v>
      </c>
      <c r="H31" s="25"/>
      <c r="I31" s="26"/>
      <c r="J31" s="27"/>
      <c r="K31" s="24"/>
    </row>
    <row r="32" spans="1:15" s="1" customFormat="1" x14ac:dyDescent="0.3">
      <c r="A32" s="21"/>
      <c r="B32" s="39"/>
      <c r="C32" s="22">
        <f>2</f>
        <v>2</v>
      </c>
      <c r="D32" s="23">
        <f>(30-0.75-0.75)/3.281</f>
        <v>8.686376104846083</v>
      </c>
      <c r="E32" s="24">
        <v>0.3</v>
      </c>
      <c r="F32" s="24">
        <v>0.45</v>
      </c>
      <c r="G32" s="36">
        <f t="shared" si="3"/>
        <v>2.3453215483084424</v>
      </c>
      <c r="H32" s="25"/>
      <c r="I32" s="26"/>
      <c r="J32" s="27"/>
      <c r="K32" s="24"/>
    </row>
    <row r="33" spans="1:11" s="1" customFormat="1" x14ac:dyDescent="0.3">
      <c r="A33" s="21"/>
      <c r="B33" s="39" t="s">
        <v>91</v>
      </c>
      <c r="C33" s="22">
        <v>-8</v>
      </c>
      <c r="D33" s="23">
        <v>0.45</v>
      </c>
      <c r="E33" s="24">
        <v>0.45</v>
      </c>
      <c r="F33" s="24">
        <v>0.45</v>
      </c>
      <c r="G33" s="36">
        <f t="shared" si="3"/>
        <v>-0.72900000000000009</v>
      </c>
      <c r="H33" s="25"/>
      <c r="I33" s="26"/>
      <c r="J33" s="27"/>
      <c r="K33" s="24"/>
    </row>
    <row r="34" spans="1:11" s="1" customFormat="1" x14ac:dyDescent="0.3">
      <c r="A34" s="21"/>
      <c r="B34" s="39" t="s">
        <v>26</v>
      </c>
      <c r="C34" s="22"/>
      <c r="D34" s="23"/>
      <c r="E34" s="24"/>
      <c r="F34" s="24"/>
      <c r="G34" s="27">
        <f>SUM(G30:G33)</f>
        <v>5.1316211520877779</v>
      </c>
      <c r="H34" s="25" t="s">
        <v>42</v>
      </c>
      <c r="I34" s="26">
        <v>663.31</v>
      </c>
      <c r="J34" s="27">
        <f>G34*I34</f>
        <v>3403.8556263913438</v>
      </c>
      <c r="K34" s="24"/>
    </row>
    <row r="35" spans="1:11" s="1" customFormat="1" x14ac:dyDescent="0.3">
      <c r="A35" s="21"/>
      <c r="B35" s="39"/>
      <c r="C35" s="22"/>
      <c r="D35" s="23"/>
      <c r="E35" s="24"/>
      <c r="F35" s="24"/>
      <c r="G35" s="27"/>
      <c r="H35" s="25"/>
      <c r="I35" s="26"/>
      <c r="J35" s="27"/>
      <c r="K35" s="24"/>
    </row>
    <row r="36" spans="1:11" s="1" customFormat="1" ht="96.6" x14ac:dyDescent="0.3">
      <c r="A36" s="21">
        <v>4</v>
      </c>
      <c r="B36" s="85" t="s">
        <v>96</v>
      </c>
      <c r="C36" s="22"/>
      <c r="D36" s="23"/>
      <c r="E36" s="24"/>
      <c r="F36" s="24"/>
      <c r="G36" s="27"/>
      <c r="H36" s="25"/>
      <c r="I36" s="26"/>
      <c r="J36" s="27"/>
      <c r="K36" s="24"/>
    </row>
    <row r="37" spans="1:11" s="1" customFormat="1" x14ac:dyDescent="0.3">
      <c r="A37" s="21"/>
      <c r="B37" s="39" t="s">
        <v>97</v>
      </c>
      <c r="C37" s="86">
        <v>0.5</v>
      </c>
      <c r="D37" s="23">
        <f>28.5/3.281</f>
        <v>8.686376104846083</v>
      </c>
      <c r="E37" s="24">
        <f>23.5/3.281</f>
        <v>7.1624504724169453</v>
      </c>
      <c r="F37" s="24">
        <v>0.45</v>
      </c>
      <c r="G37" s="36">
        <f>PRODUCT(C37:F37)</f>
        <v>13.998541193042872</v>
      </c>
      <c r="H37" s="25"/>
      <c r="I37" s="26"/>
      <c r="J37" s="27"/>
      <c r="K37" s="24"/>
    </row>
    <row r="38" spans="1:11" s="1" customFormat="1" x14ac:dyDescent="0.3">
      <c r="A38" s="21"/>
      <c r="B38" s="39" t="s">
        <v>26</v>
      </c>
      <c r="C38" s="22"/>
      <c r="D38" s="23"/>
      <c r="E38" s="24"/>
      <c r="F38" s="24"/>
      <c r="G38" s="27">
        <f>SUM(G34:G37)</f>
        <v>19.13016234513065</v>
      </c>
      <c r="H38" s="25" t="s">
        <v>42</v>
      </c>
      <c r="I38" s="26">
        <v>404.28</v>
      </c>
      <c r="J38" s="27">
        <f>G38*I38</f>
        <v>7733.9420328894184</v>
      </c>
      <c r="K38" s="24"/>
    </row>
    <row r="39" spans="1:11" s="1" customFormat="1" x14ac:dyDescent="0.3">
      <c r="A39" s="21"/>
      <c r="B39" s="85"/>
      <c r="C39" s="22"/>
      <c r="D39" s="23"/>
      <c r="E39" s="24"/>
      <c r="F39" s="24"/>
      <c r="G39" s="27"/>
      <c r="H39" s="25"/>
      <c r="I39" s="26"/>
      <c r="J39" s="27"/>
      <c r="K39" s="24"/>
    </row>
    <row r="40" spans="1:11" s="1" customFormat="1" ht="15" x14ac:dyDescent="0.3">
      <c r="A40" s="21">
        <v>5</v>
      </c>
      <c r="B40" s="37" t="s">
        <v>54</v>
      </c>
      <c r="C40" s="22"/>
      <c r="D40" s="23"/>
      <c r="E40" s="24"/>
      <c r="F40" s="24"/>
      <c r="G40" s="27"/>
      <c r="H40" s="25"/>
      <c r="I40" s="26"/>
      <c r="J40" s="27"/>
      <c r="K40" s="24"/>
    </row>
    <row r="41" spans="1:11" s="1" customFormat="1" x14ac:dyDescent="0.3">
      <c r="A41" s="21"/>
      <c r="B41" s="39" t="str">
        <f>B30</f>
        <v>-for footing</v>
      </c>
      <c r="C41" s="22">
        <f>C10</f>
        <v>8</v>
      </c>
      <c r="D41" s="23">
        <v>0.45</v>
      </c>
      <c r="E41" s="24">
        <v>0.45</v>
      </c>
      <c r="F41" s="24"/>
      <c r="G41" s="36">
        <f>PRODUCT(C41:F41)</f>
        <v>1.62</v>
      </c>
      <c r="H41" s="25"/>
      <c r="I41" s="26"/>
      <c r="J41" s="27"/>
      <c r="K41" s="24"/>
    </row>
    <row r="42" spans="1:11" s="1" customFormat="1" x14ac:dyDescent="0.3">
      <c r="A42" s="21"/>
      <c r="B42" s="39" t="s">
        <v>63</v>
      </c>
      <c r="C42" s="22">
        <v>2</v>
      </c>
      <c r="D42" s="23">
        <f>D31</f>
        <v>7.6196281621456867</v>
      </c>
      <c r="E42" s="24">
        <v>0.23</v>
      </c>
      <c r="F42" s="24"/>
      <c r="G42" s="36">
        <f>PRODUCT(C42:F42)</f>
        <v>3.5050289545870159</v>
      </c>
      <c r="H42" s="25"/>
      <c r="I42" s="26"/>
      <c r="J42" s="27"/>
      <c r="K42" s="24"/>
    </row>
    <row r="43" spans="1:11" s="1" customFormat="1" x14ac:dyDescent="0.3">
      <c r="A43" s="21"/>
      <c r="B43" s="39"/>
      <c r="C43" s="22">
        <v>2</v>
      </c>
      <c r="D43" s="23">
        <f>D32</f>
        <v>8.686376104846083</v>
      </c>
      <c r="E43" s="24">
        <v>0.23</v>
      </c>
      <c r="F43" s="24"/>
      <c r="G43" s="36">
        <f>PRODUCT(C43:F43)</f>
        <v>3.9957330082291982</v>
      </c>
      <c r="H43" s="25"/>
      <c r="I43" s="26"/>
      <c r="J43" s="27"/>
      <c r="K43" s="24"/>
    </row>
    <row r="44" spans="1:11" s="1" customFormat="1" x14ac:dyDescent="0.3">
      <c r="A44" s="21"/>
      <c r="B44" s="39" t="s">
        <v>91</v>
      </c>
      <c r="C44" s="22">
        <v>-8</v>
      </c>
      <c r="D44" s="23">
        <v>0.45</v>
      </c>
      <c r="E44" s="24">
        <v>0.23</v>
      </c>
      <c r="F44" s="24"/>
      <c r="G44" s="36">
        <f t="shared" ref="G44" si="4">PRODUCT(C44:F44)</f>
        <v>-0.82800000000000007</v>
      </c>
      <c r="H44" s="25"/>
      <c r="I44" s="26"/>
      <c r="J44" s="27"/>
      <c r="K44" s="24"/>
    </row>
    <row r="45" spans="1:11" s="1" customFormat="1" x14ac:dyDescent="0.3">
      <c r="A45" s="21"/>
      <c r="B45" s="39" t="s">
        <v>26</v>
      </c>
      <c r="C45" s="22"/>
      <c r="D45" s="23"/>
      <c r="E45" s="24"/>
      <c r="F45" s="24"/>
      <c r="G45" s="27">
        <f>SUM(G41:G44)</f>
        <v>8.2927619628162148</v>
      </c>
      <c r="H45" s="25" t="s">
        <v>33</v>
      </c>
      <c r="I45" s="26">
        <v>1014.97</v>
      </c>
      <c r="J45" s="27">
        <f>G45*I45</f>
        <v>8416.904609399573</v>
      </c>
      <c r="K45" s="24"/>
    </row>
    <row r="46" spans="1:11" s="1" customFormat="1" x14ac:dyDescent="0.3">
      <c r="A46" s="21"/>
      <c r="B46" s="39" t="s">
        <v>39</v>
      </c>
      <c r="C46" s="22"/>
      <c r="D46" s="23"/>
      <c r="E46" s="24"/>
      <c r="F46" s="24"/>
      <c r="G46" s="27"/>
      <c r="H46" s="25"/>
      <c r="I46" s="26"/>
      <c r="J46" s="27">
        <f>0.13*G45*8617.2/10</f>
        <v>928.98504901773867</v>
      </c>
      <c r="K46" s="24"/>
    </row>
    <row r="47" spans="1:11" s="1" customFormat="1" x14ac:dyDescent="0.3">
      <c r="A47" s="21"/>
      <c r="B47" s="39"/>
      <c r="C47" s="22"/>
      <c r="D47" s="23"/>
      <c r="E47" s="24"/>
      <c r="F47" s="24"/>
      <c r="G47" s="27"/>
      <c r="H47" s="25"/>
      <c r="I47" s="26"/>
      <c r="J47" s="27"/>
      <c r="K47" s="24"/>
    </row>
    <row r="48" spans="1:11" s="1" customFormat="1" ht="82.8" x14ac:dyDescent="0.3">
      <c r="A48" s="21">
        <v>6</v>
      </c>
      <c r="B48" s="85" t="s">
        <v>92</v>
      </c>
      <c r="C48" s="22"/>
      <c r="D48" s="23"/>
      <c r="E48" s="24"/>
      <c r="F48" s="24"/>
      <c r="G48" s="27"/>
      <c r="H48" s="25"/>
      <c r="I48" s="26"/>
      <c r="J48" s="27"/>
      <c r="K48" s="24"/>
    </row>
    <row r="49" spans="1:11" s="1" customFormat="1" x14ac:dyDescent="0.3">
      <c r="A49" s="21"/>
      <c r="B49" s="39" t="s">
        <v>56</v>
      </c>
      <c r="C49" s="22">
        <v>1</v>
      </c>
      <c r="D49" s="23">
        <f>D37</f>
        <v>8.686376104846083</v>
      </c>
      <c r="E49" s="24">
        <f>E37</f>
        <v>7.1624504724169453</v>
      </c>
      <c r="F49" s="24">
        <v>0.15</v>
      </c>
      <c r="G49" s="36">
        <f>PRODUCT(C49:F49)</f>
        <v>9.3323607953619128</v>
      </c>
      <c r="H49" s="25"/>
      <c r="I49" s="26"/>
      <c r="J49" s="27"/>
      <c r="K49" s="24"/>
    </row>
    <row r="50" spans="1:11" s="1" customFormat="1" x14ac:dyDescent="0.3">
      <c r="A50" s="21"/>
      <c r="B50" s="39" t="s">
        <v>26</v>
      </c>
      <c r="C50" s="22"/>
      <c r="D50" s="23"/>
      <c r="E50" s="24"/>
      <c r="F50" s="24"/>
      <c r="G50" s="27">
        <f>SUM(G49)</f>
        <v>9.3323607953619128</v>
      </c>
      <c r="H50" s="25" t="s">
        <v>42</v>
      </c>
      <c r="I50" s="26">
        <v>4434.5200000000004</v>
      </c>
      <c r="J50" s="27">
        <f>G50*I50</f>
        <v>41384.540594248312</v>
      </c>
      <c r="K50" s="24"/>
    </row>
    <row r="51" spans="1:11" s="1" customFormat="1" x14ac:dyDescent="0.3">
      <c r="A51" s="21"/>
      <c r="B51" s="39" t="s">
        <v>39</v>
      </c>
      <c r="C51" s="22"/>
      <c r="D51" s="23"/>
      <c r="E51" s="24"/>
      <c r="F51" s="24"/>
      <c r="G51" s="27"/>
      <c r="H51" s="25"/>
      <c r="I51" s="26"/>
      <c r="J51" s="27">
        <f>0.13*G50*14817.6/5</f>
        <v>3595.3629223552221</v>
      </c>
      <c r="K51" s="24"/>
    </row>
    <row r="52" spans="1:11" s="1" customFormat="1" x14ac:dyDescent="0.3">
      <c r="A52" s="21"/>
      <c r="B52" s="39"/>
      <c r="C52" s="22"/>
      <c r="D52" s="23"/>
      <c r="E52" s="24"/>
      <c r="F52" s="24"/>
      <c r="G52" s="27"/>
      <c r="H52" s="25"/>
      <c r="I52" s="26"/>
      <c r="J52" s="27"/>
      <c r="K52" s="24"/>
    </row>
    <row r="53" spans="1:11" s="1" customFormat="1" ht="30" x14ac:dyDescent="0.3">
      <c r="A53" s="21">
        <v>7</v>
      </c>
      <c r="B53" s="37" t="s">
        <v>44</v>
      </c>
      <c r="C53" s="22"/>
      <c r="D53" s="23"/>
      <c r="E53" s="24"/>
      <c r="F53" s="24"/>
      <c r="G53" s="27"/>
      <c r="H53" s="25"/>
      <c r="I53" s="26"/>
      <c r="J53" s="27"/>
      <c r="K53" s="24"/>
    </row>
    <row r="54" spans="1:11" s="1" customFormat="1" x14ac:dyDescent="0.3">
      <c r="A54" s="21"/>
      <c r="B54" s="39" t="str">
        <f>B30</f>
        <v>-for footing</v>
      </c>
      <c r="C54" s="22">
        <v>8</v>
      </c>
      <c r="D54" s="23">
        <v>0.45</v>
      </c>
      <c r="E54" s="24">
        <v>0.45</v>
      </c>
      <c r="F54" s="24">
        <v>0.05</v>
      </c>
      <c r="G54" s="36">
        <f>PRODUCT(C54:F54)</f>
        <v>8.1000000000000016E-2</v>
      </c>
      <c r="H54" s="25"/>
      <c r="I54" s="26"/>
      <c r="J54" s="27"/>
      <c r="K54" s="24"/>
    </row>
    <row r="55" spans="1:11" s="1" customFormat="1" x14ac:dyDescent="0.3">
      <c r="A55" s="21"/>
      <c r="B55" s="39" t="s">
        <v>88</v>
      </c>
      <c r="C55" s="22">
        <v>1</v>
      </c>
      <c r="D55" s="23">
        <f>28.5/3.281</f>
        <v>8.686376104846083</v>
      </c>
      <c r="E55" s="24">
        <f>23.5/3.281</f>
        <v>7.1624504724169453</v>
      </c>
      <c r="F55" s="24">
        <v>7.4999999999999997E-2</v>
      </c>
      <c r="G55" s="36">
        <f>PRODUCT(C55:F55)</f>
        <v>4.6661803976809564</v>
      </c>
      <c r="H55" s="25"/>
      <c r="I55" s="26"/>
      <c r="J55" s="27"/>
      <c r="K55" s="24"/>
    </row>
    <row r="56" spans="1:11" s="1" customFormat="1" x14ac:dyDescent="0.3">
      <c r="A56" s="21"/>
      <c r="B56" s="39" t="s">
        <v>26</v>
      </c>
      <c r="C56" s="22"/>
      <c r="D56" s="23"/>
      <c r="E56" s="24"/>
      <c r="F56" s="24"/>
      <c r="G56" s="27">
        <f>SUM(G54:G55)</f>
        <v>4.7471803976809568</v>
      </c>
      <c r="H56" s="25" t="s">
        <v>42</v>
      </c>
      <c r="I56" s="26">
        <v>12983.1</v>
      </c>
      <c r="J56" s="27">
        <f>G56*I56</f>
        <v>61633.117821131629</v>
      </c>
      <c r="K56" s="24"/>
    </row>
    <row r="57" spans="1:11" s="1" customFormat="1" x14ac:dyDescent="0.3">
      <c r="A57" s="21"/>
      <c r="B57" s="39" t="s">
        <v>39</v>
      </c>
      <c r="C57" s="22"/>
      <c r="D57" s="23"/>
      <c r="E57" s="24"/>
      <c r="F57" s="24"/>
      <c r="G57" s="27"/>
      <c r="H57" s="25"/>
      <c r="I57" s="26"/>
      <c r="J57" s="27">
        <f>0.13*G56*8078.11</f>
        <v>4985.271907500367</v>
      </c>
      <c r="K57" s="24"/>
    </row>
    <row r="58" spans="1:11" s="1" customFormat="1" x14ac:dyDescent="0.3">
      <c r="A58" s="21"/>
      <c r="B58" s="39"/>
      <c r="C58" s="22"/>
      <c r="D58" s="23"/>
      <c r="E58" s="24"/>
      <c r="F58" s="24"/>
      <c r="G58" s="27"/>
      <c r="H58" s="25"/>
      <c r="I58" s="26"/>
      <c r="J58" s="27"/>
      <c r="K58" s="24"/>
    </row>
    <row r="59" spans="1:11" s="1" customFormat="1" ht="43.2" x14ac:dyDescent="0.3">
      <c r="A59" s="21">
        <v>8</v>
      </c>
      <c r="B59" s="37" t="s">
        <v>64</v>
      </c>
      <c r="C59" s="22" t="s">
        <v>65</v>
      </c>
      <c r="D59" s="34" t="s">
        <v>27</v>
      </c>
      <c r="E59" s="35" t="s">
        <v>29</v>
      </c>
      <c r="F59" s="35" t="s">
        <v>66</v>
      </c>
      <c r="G59" s="42" t="s">
        <v>67</v>
      </c>
      <c r="H59" s="25"/>
      <c r="I59" s="26"/>
      <c r="J59" s="27"/>
      <c r="K59" s="24"/>
    </row>
    <row r="60" spans="1:11" s="1" customFormat="1" x14ac:dyDescent="0.3">
      <c r="A60" s="21"/>
      <c r="B60" s="39" t="s">
        <v>63</v>
      </c>
      <c r="C60" s="22">
        <v>2</v>
      </c>
      <c r="D60" s="34">
        <f>24.667/3.281</f>
        <v>7.5181347150259068</v>
      </c>
      <c r="E60" s="35">
        <f t="shared" ref="E60:E62" si="5">8*8/162</f>
        <v>0.39506172839506171</v>
      </c>
      <c r="F60" s="35">
        <f>PRODUCT(C60:E60)</f>
        <v>5.9402545896500989</v>
      </c>
      <c r="G60" s="43">
        <f>F60/1000</f>
        <v>5.9402545896500986E-3</v>
      </c>
      <c r="H60" s="25"/>
      <c r="I60" s="26"/>
      <c r="J60" s="27"/>
      <c r="K60" s="24"/>
    </row>
    <row r="61" spans="1:11" s="1" customFormat="1" x14ac:dyDescent="0.3">
      <c r="A61" s="21"/>
      <c r="B61" s="39" t="s">
        <v>69</v>
      </c>
      <c r="C61" s="22">
        <f>((TRUNC((D60-0.15-0.15-0.15)/0.15,0))+1)</f>
        <v>48</v>
      </c>
      <c r="D61" s="34">
        <f>(0.583+0.17)/3.281</f>
        <v>0.22950320024382809</v>
      </c>
      <c r="E61" s="35">
        <f t="shared" si="5"/>
        <v>0.39506172839506171</v>
      </c>
      <c r="F61" s="35">
        <f>PRODUCT(C61:E61)</f>
        <v>4.352060686105184</v>
      </c>
      <c r="G61" s="84">
        <f>F61/1000</f>
        <v>4.3520606861051844E-3</v>
      </c>
      <c r="H61" s="25"/>
      <c r="I61" s="26"/>
      <c r="J61" s="27"/>
      <c r="K61" s="24"/>
    </row>
    <row r="62" spans="1:11" s="1" customFormat="1" x14ac:dyDescent="0.3">
      <c r="A62" s="21"/>
      <c r="B62" s="39" t="s">
        <v>63</v>
      </c>
      <c r="C62" s="22">
        <v>2</v>
      </c>
      <c r="D62" s="34">
        <f>29.667/3.281</f>
        <v>9.0420603474550436</v>
      </c>
      <c r="E62" s="35">
        <f t="shared" si="5"/>
        <v>0.39506172839506171</v>
      </c>
      <c r="F62" s="35">
        <f>PRODUCT(C62:E62)</f>
        <v>7.1443439782360834</v>
      </c>
      <c r="G62" s="43">
        <f>F62/1000</f>
        <v>7.1443439782360833E-3</v>
      </c>
      <c r="H62" s="25"/>
      <c r="I62" s="26"/>
      <c r="J62" s="27"/>
      <c r="K62" s="24"/>
    </row>
    <row r="63" spans="1:11" s="1" customFormat="1" x14ac:dyDescent="0.3">
      <c r="A63" s="21"/>
      <c r="B63" s="39" t="s">
        <v>69</v>
      </c>
      <c r="C63" s="22">
        <f>((TRUNC((D62-0.15-0.15-0.15)/0.15,0))+1)</f>
        <v>58</v>
      </c>
      <c r="D63" s="34">
        <f>(0.583+0.17)/3.281</f>
        <v>0.22950320024382809</v>
      </c>
      <c r="E63" s="35">
        <f>8*8/162</f>
        <v>0.39506172839506171</v>
      </c>
      <c r="F63" s="35">
        <f>PRODUCT(C63:E63)</f>
        <v>5.2587399957104308</v>
      </c>
      <c r="G63" s="43">
        <f>F63/1000</f>
        <v>5.2587399957104309E-3</v>
      </c>
      <c r="H63" s="25"/>
      <c r="I63" s="26"/>
      <c r="J63" s="27"/>
      <c r="K63" s="24"/>
    </row>
    <row r="64" spans="1:11" s="1" customFormat="1" x14ac:dyDescent="0.3">
      <c r="A64" s="21"/>
      <c r="B64" s="39" t="s">
        <v>26</v>
      </c>
      <c r="C64" s="22"/>
      <c r="D64" s="23"/>
      <c r="E64" s="24"/>
      <c r="F64" s="24"/>
      <c r="G64" s="27">
        <f>SUM(G60:G63)</f>
        <v>2.2695399249701799E-2</v>
      </c>
      <c r="H64" s="25" t="s">
        <v>70</v>
      </c>
      <c r="I64" s="26">
        <v>131940</v>
      </c>
      <c r="J64" s="27">
        <f>G64*I64</f>
        <v>2994.4309770056552</v>
      </c>
      <c r="K64" s="24"/>
    </row>
    <row r="65" spans="1:11" s="1" customFormat="1" x14ac:dyDescent="0.3">
      <c r="A65" s="21"/>
      <c r="B65" s="39" t="s">
        <v>39</v>
      </c>
      <c r="C65" s="22"/>
      <c r="D65" s="23"/>
      <c r="E65" s="24"/>
      <c r="F65" s="24"/>
      <c r="G65" s="27"/>
      <c r="H65" s="25"/>
      <c r="I65" s="26"/>
      <c r="J65" s="27">
        <f>0.13*G64*106200</f>
        <v>313.33268204138301</v>
      </c>
      <c r="K65" s="24"/>
    </row>
    <row r="66" spans="1:11" s="1" customFormat="1" x14ac:dyDescent="0.3">
      <c r="A66" s="21"/>
      <c r="B66" s="39"/>
      <c r="C66" s="22"/>
      <c r="D66" s="23"/>
      <c r="E66" s="24"/>
      <c r="F66" s="24"/>
      <c r="G66" s="27"/>
      <c r="H66" s="25"/>
      <c r="I66" s="26"/>
      <c r="J66" s="27"/>
      <c r="K66" s="24"/>
    </row>
    <row r="67" spans="1:11" s="1" customFormat="1" ht="30" x14ac:dyDescent="0.3">
      <c r="A67" s="21">
        <v>9</v>
      </c>
      <c r="B67" s="37" t="s">
        <v>71</v>
      </c>
      <c r="C67" s="22"/>
      <c r="D67" s="23"/>
      <c r="E67" s="24"/>
      <c r="F67" s="24"/>
      <c r="G67" s="27"/>
      <c r="H67" s="25"/>
      <c r="I67" s="26"/>
      <c r="J67" s="27"/>
      <c r="K67" s="24"/>
    </row>
    <row r="68" spans="1:11" s="1" customFormat="1" x14ac:dyDescent="0.3">
      <c r="A68" s="21"/>
      <c r="B68" s="39" t="s">
        <v>68</v>
      </c>
      <c r="C68" s="22">
        <v>2</v>
      </c>
      <c r="D68" s="23">
        <f>0.23*4</f>
        <v>0.92</v>
      </c>
      <c r="E68" s="24"/>
      <c r="F68" s="24">
        <f>((54-6+34-6)/2)/12/3.281-0.07</f>
        <v>0.89515290053845353</v>
      </c>
      <c r="G68" s="36">
        <f t="shared" ref="G68" si="6">PRODUCT(C68:F68)</f>
        <v>1.6470813369907547</v>
      </c>
      <c r="H68" s="25"/>
      <c r="I68" s="26"/>
      <c r="J68" s="27"/>
      <c r="K68" s="24"/>
    </row>
    <row r="69" spans="1:11" s="1" customFormat="1" x14ac:dyDescent="0.3">
      <c r="A69" s="21"/>
      <c r="B69" s="39" t="s">
        <v>26</v>
      </c>
      <c r="C69" s="22"/>
      <c r="D69" s="23"/>
      <c r="E69" s="24"/>
      <c r="F69" s="24"/>
      <c r="G69" s="27">
        <f>SUM(G68:G68)</f>
        <v>1.6470813369907547</v>
      </c>
      <c r="H69" s="25" t="s">
        <v>33</v>
      </c>
      <c r="I69" s="26">
        <v>915.42</v>
      </c>
      <c r="J69" s="27">
        <f>G69*I69</f>
        <v>1507.7711975080765</v>
      </c>
      <c r="K69" s="24"/>
    </row>
    <row r="70" spans="1:11" s="1" customFormat="1" x14ac:dyDescent="0.3">
      <c r="A70" s="21"/>
      <c r="B70" s="39" t="s">
        <v>39</v>
      </c>
      <c r="C70" s="22"/>
      <c r="D70" s="23"/>
      <c r="E70" s="24"/>
      <c r="F70" s="24"/>
      <c r="G70" s="27"/>
      <c r="H70" s="25"/>
      <c r="I70" s="26"/>
      <c r="J70" s="27">
        <f>0.13*G69*46827.87/100</f>
        <v>100.26810394643805</v>
      </c>
      <c r="K70" s="24"/>
    </row>
    <row r="71" spans="1:11" s="1" customFormat="1" x14ac:dyDescent="0.3">
      <c r="A71" s="21"/>
      <c r="B71" s="39"/>
      <c r="C71" s="22"/>
      <c r="D71" s="23"/>
      <c r="E71" s="24"/>
      <c r="F71" s="24"/>
      <c r="G71" s="27"/>
      <c r="H71" s="25"/>
      <c r="I71" s="26"/>
      <c r="J71" s="27"/>
      <c r="K71" s="24"/>
    </row>
    <row r="72" spans="1:11" s="1" customFormat="1" ht="30" x14ac:dyDescent="0.3">
      <c r="A72" s="21">
        <v>10</v>
      </c>
      <c r="B72" s="37" t="s">
        <v>45</v>
      </c>
      <c r="C72" s="22"/>
      <c r="D72" s="23"/>
      <c r="E72" s="24"/>
      <c r="F72" s="24"/>
      <c r="G72" s="27"/>
      <c r="H72" s="25"/>
      <c r="I72" s="26"/>
      <c r="J72" s="27"/>
      <c r="K72" s="24"/>
    </row>
    <row r="73" spans="1:11" s="1" customFormat="1" x14ac:dyDescent="0.3">
      <c r="A73" s="21"/>
      <c r="B73" s="39" t="str">
        <f>B68</f>
        <v>-for column</v>
      </c>
      <c r="C73" s="22">
        <v>2</v>
      </c>
      <c r="D73" s="23">
        <v>0.23</v>
      </c>
      <c r="E73" s="24">
        <v>0.23</v>
      </c>
      <c r="F73" s="24">
        <v>0.45</v>
      </c>
      <c r="G73" s="36">
        <f t="shared" ref="G73:G75" si="7">PRODUCT(C73:F73)</f>
        <v>4.7610000000000006E-2</v>
      </c>
      <c r="H73" s="25"/>
      <c r="I73" s="26"/>
      <c r="J73" s="27"/>
      <c r="K73" s="24"/>
    </row>
    <row r="74" spans="1:11" s="1" customFormat="1" x14ac:dyDescent="0.3">
      <c r="A74" s="21"/>
      <c r="B74" s="39" t="s">
        <v>61</v>
      </c>
      <c r="C74" s="22">
        <v>2</v>
      </c>
      <c r="D74" s="23">
        <f>D42</f>
        <v>7.6196281621456867</v>
      </c>
      <c r="E74" s="24">
        <v>0.23</v>
      </c>
      <c r="F74" s="24">
        <v>0.1</v>
      </c>
      <c r="G74" s="36">
        <f t="shared" si="7"/>
        <v>0.35050289545870161</v>
      </c>
      <c r="H74" s="25"/>
      <c r="I74" s="26"/>
      <c r="J74" s="27"/>
      <c r="K74" s="24"/>
    </row>
    <row r="75" spans="1:11" s="1" customFormat="1" x14ac:dyDescent="0.3">
      <c r="A75" s="21"/>
      <c r="B75" s="39"/>
      <c r="C75" s="22">
        <v>2</v>
      </c>
      <c r="D75" s="23">
        <f>D43</f>
        <v>8.686376104846083</v>
      </c>
      <c r="E75" s="24">
        <v>0.23</v>
      </c>
      <c r="F75" s="24">
        <v>0.1</v>
      </c>
      <c r="G75" s="36">
        <f t="shared" si="7"/>
        <v>0.39957330082291986</v>
      </c>
      <c r="H75" s="25"/>
      <c r="I75" s="26"/>
      <c r="J75" s="27"/>
      <c r="K75" s="24"/>
    </row>
    <row r="76" spans="1:11" s="1" customFormat="1" x14ac:dyDescent="0.3">
      <c r="A76" s="21"/>
      <c r="B76" s="39" t="s">
        <v>26</v>
      </c>
      <c r="C76" s="22"/>
      <c r="D76" s="23"/>
      <c r="E76" s="24"/>
      <c r="F76" s="24"/>
      <c r="G76" s="27">
        <f>SUM(G73:G75)</f>
        <v>0.79768619628162152</v>
      </c>
      <c r="H76" s="25" t="s">
        <v>42</v>
      </c>
      <c r="I76" s="26">
        <v>13568.9</v>
      </c>
      <c r="J76" s="27">
        <f>G76*I76</f>
        <v>10823.724228725694</v>
      </c>
      <c r="K76" s="24"/>
    </row>
    <row r="77" spans="1:11" s="1" customFormat="1" x14ac:dyDescent="0.3">
      <c r="A77" s="21"/>
      <c r="B77" s="39" t="s">
        <v>39</v>
      </c>
      <c r="C77" s="22"/>
      <c r="D77" s="23"/>
      <c r="E77" s="24"/>
      <c r="F77" s="24"/>
      <c r="G77" s="27"/>
      <c r="H77" s="25"/>
      <c r="I77" s="26"/>
      <c r="J77" s="27">
        <f>0.13*G76*9524.2</f>
        <v>987.6519731813047</v>
      </c>
      <c r="K77" s="24"/>
    </row>
    <row r="78" spans="1:11" s="1" customFormat="1" x14ac:dyDescent="0.3">
      <c r="A78" s="21"/>
      <c r="B78" s="39"/>
      <c r="C78" s="22"/>
      <c r="D78" s="23"/>
      <c r="E78" s="24"/>
      <c r="F78" s="24"/>
      <c r="G78" s="27"/>
      <c r="H78" s="25"/>
      <c r="I78" s="26"/>
      <c r="J78" s="27"/>
      <c r="K78" s="24"/>
    </row>
    <row r="79" spans="1:11" s="1" customFormat="1" ht="30" x14ac:dyDescent="0.3">
      <c r="A79" s="21">
        <v>11</v>
      </c>
      <c r="B79" s="37" t="s">
        <v>53</v>
      </c>
      <c r="C79" s="22"/>
      <c r="D79" s="23"/>
      <c r="E79" s="24"/>
      <c r="F79" s="24"/>
      <c r="G79" s="27"/>
      <c r="H79" s="25"/>
      <c r="I79" s="26"/>
      <c r="J79" s="27"/>
      <c r="K79" s="24"/>
    </row>
    <row r="80" spans="1:11" s="1" customFormat="1" x14ac:dyDescent="0.3">
      <c r="A80" s="21"/>
      <c r="B80" s="39" t="s">
        <v>89</v>
      </c>
      <c r="C80" s="22">
        <v>2</v>
      </c>
      <c r="D80" s="23">
        <f>(29.917-0.75-0.75-0.75)/3.281</f>
        <v>8.4324900944833896</v>
      </c>
      <c r="E80" s="24">
        <v>0.23</v>
      </c>
      <c r="F80" s="24">
        <v>0.75</v>
      </c>
      <c r="G80" s="36">
        <f>PRODUCT(C80:F80)</f>
        <v>2.9092090825967696</v>
      </c>
      <c r="H80" s="25"/>
      <c r="I80" s="26"/>
      <c r="J80" s="27"/>
      <c r="K80" s="24"/>
    </row>
    <row r="81" spans="1:31" s="1" customFormat="1" x14ac:dyDescent="0.3">
      <c r="A81" s="21"/>
      <c r="B81" s="39"/>
      <c r="C81" s="22">
        <v>2</v>
      </c>
      <c r="D81" s="23">
        <f>(9.917+15-0.75)/3.281</f>
        <v>7.3657421517829933</v>
      </c>
      <c r="E81" s="24">
        <v>0.23</v>
      </c>
      <c r="F81" s="24">
        <v>0.75</v>
      </c>
      <c r="G81" s="36">
        <f>PRODUCT(C81:F81)</f>
        <v>2.5411810423651326</v>
      </c>
      <c r="H81" s="25"/>
      <c r="I81" s="26"/>
      <c r="J81" s="27"/>
      <c r="K81" s="24"/>
    </row>
    <row r="82" spans="1:31" s="1" customFormat="1" x14ac:dyDescent="0.3">
      <c r="A82" s="21"/>
      <c r="B82" s="39" t="s">
        <v>90</v>
      </c>
      <c r="C82" s="22">
        <v>-8</v>
      </c>
      <c r="D82" s="23">
        <v>0.23</v>
      </c>
      <c r="E82" s="24">
        <v>0.23</v>
      </c>
      <c r="F82" s="24">
        <f>(F80+F81)/2</f>
        <v>0.75</v>
      </c>
      <c r="G82" s="36">
        <f>PRODUCT(C82:F82)</f>
        <v>-0.31740000000000002</v>
      </c>
      <c r="H82" s="25"/>
      <c r="I82" s="26"/>
      <c r="J82" s="27"/>
      <c r="K82" s="24"/>
    </row>
    <row r="83" spans="1:31" s="1" customFormat="1" x14ac:dyDescent="0.3">
      <c r="A83" s="21"/>
      <c r="B83" s="39" t="s">
        <v>26</v>
      </c>
      <c r="C83" s="22"/>
      <c r="D83" s="23"/>
      <c r="E83" s="24"/>
      <c r="F83" s="24"/>
      <c r="G83" s="27">
        <f>SUM(G80:G82)</f>
        <v>5.1329901249619025</v>
      </c>
      <c r="H83" s="25" t="s">
        <v>42</v>
      </c>
      <c r="I83" s="26">
        <v>14362.76</v>
      </c>
      <c r="J83" s="27">
        <f>G83*I83</f>
        <v>73723.905247197821</v>
      </c>
      <c r="K83" s="24"/>
      <c r="N83" s="1">
        <f>G83*560</f>
        <v>2874.4744699786656</v>
      </c>
    </row>
    <row r="84" spans="1:31" s="1" customFormat="1" x14ac:dyDescent="0.3">
      <c r="A84" s="21"/>
      <c r="B84" s="39" t="s">
        <v>39</v>
      </c>
      <c r="C84" s="22"/>
      <c r="D84" s="23"/>
      <c r="E84" s="24"/>
      <c r="F84" s="24"/>
      <c r="G84" s="27"/>
      <c r="H84" s="25"/>
      <c r="I84" s="26"/>
      <c r="J84" s="27">
        <f>0.13*G83*10311.74</f>
        <v>6880.9077468527048</v>
      </c>
      <c r="K84" s="24"/>
    </row>
    <row r="85" spans="1:31" s="1" customFormat="1" x14ac:dyDescent="0.3">
      <c r="A85" s="21"/>
      <c r="B85" s="39"/>
      <c r="C85" s="22"/>
      <c r="D85" s="23"/>
      <c r="E85" s="24"/>
      <c r="F85" s="24"/>
      <c r="G85" s="27"/>
      <c r="H85" s="25"/>
      <c r="I85" s="26"/>
      <c r="J85" s="27"/>
      <c r="K85" s="24"/>
    </row>
    <row r="86" spans="1:31" s="1" customFormat="1" ht="27.6" x14ac:dyDescent="0.3">
      <c r="A86" s="21">
        <v>12</v>
      </c>
      <c r="B86" s="41" t="s">
        <v>35</v>
      </c>
      <c r="C86" s="22">
        <v>1</v>
      </c>
      <c r="D86" s="23"/>
      <c r="E86" s="24"/>
      <c r="F86" s="24"/>
      <c r="G86" s="36">
        <f>PRODUCT(C86:F86)</f>
        <v>1</v>
      </c>
      <c r="H86" s="25" t="s">
        <v>36</v>
      </c>
      <c r="I86" s="26">
        <v>10000</v>
      </c>
      <c r="J86" s="27">
        <f>G86*I86</f>
        <v>10000</v>
      </c>
      <c r="K86" s="24"/>
    </row>
    <row r="87" spans="1:31" s="1" customFormat="1" x14ac:dyDescent="0.3">
      <c r="A87" s="21"/>
      <c r="B87" s="39"/>
      <c r="C87" s="22"/>
      <c r="D87" s="23"/>
      <c r="E87" s="24"/>
      <c r="F87" s="24"/>
      <c r="G87" s="27"/>
      <c r="H87" s="25"/>
      <c r="I87" s="26"/>
      <c r="J87" s="27"/>
      <c r="K87" s="24"/>
    </row>
    <row r="88" spans="1:31" s="1" customFormat="1" x14ac:dyDescent="0.3">
      <c r="A88" s="21">
        <v>13</v>
      </c>
      <c r="B88" s="41" t="s">
        <v>37</v>
      </c>
      <c r="C88" s="22">
        <v>1</v>
      </c>
      <c r="D88" s="23"/>
      <c r="E88" s="24"/>
      <c r="F88" s="24"/>
      <c r="G88" s="36">
        <f>PRODUCT(C88:F88)</f>
        <v>1</v>
      </c>
      <c r="H88" s="25" t="s">
        <v>55</v>
      </c>
      <c r="I88" s="26">
        <v>500</v>
      </c>
      <c r="J88" s="27">
        <f>G88*I88</f>
        <v>500</v>
      </c>
      <c r="K88" s="24"/>
    </row>
    <row r="89" spans="1:31" s="1" customFormat="1" x14ac:dyDescent="0.3">
      <c r="A89" s="21"/>
      <c r="B89" s="39"/>
      <c r="C89" s="22"/>
      <c r="D89" s="23"/>
      <c r="E89" s="24"/>
      <c r="F89" s="24"/>
      <c r="G89" s="27"/>
      <c r="H89" s="25"/>
      <c r="I89" s="26"/>
      <c r="J89" s="27"/>
      <c r="K89" s="24"/>
    </row>
    <row r="90" spans="1:31" x14ac:dyDescent="0.3">
      <c r="A90" s="9"/>
      <c r="B90" s="20" t="s">
        <v>16</v>
      </c>
      <c r="C90" s="8"/>
      <c r="D90" s="6"/>
      <c r="E90" s="6"/>
      <c r="F90" s="6"/>
      <c r="G90" s="33"/>
      <c r="H90" s="7"/>
      <c r="I90" s="7"/>
      <c r="J90" s="7">
        <f>SUM(J10:J89)</f>
        <v>471146.19871722092</v>
      </c>
      <c r="K90" s="4"/>
      <c r="M90" s="29"/>
      <c r="P90" s="32"/>
      <c r="Q90" s="32"/>
    </row>
    <row r="91" spans="1:31" x14ac:dyDescent="0.3">
      <c r="M91" s="29"/>
      <c r="N91" s="30"/>
      <c r="O91" s="30"/>
      <c r="P91" s="31"/>
      <c r="R91" s="30"/>
      <c r="S91" s="30"/>
      <c r="T91" s="30"/>
      <c r="U91" s="29"/>
      <c r="V91" s="29"/>
      <c r="W91" s="29"/>
      <c r="X91" s="29"/>
      <c r="Y91" s="29"/>
      <c r="Z91" s="29"/>
      <c r="AA91" s="29"/>
      <c r="AB91" s="29"/>
      <c r="AC91" s="29"/>
      <c r="AD91" s="29"/>
      <c r="AE91" s="29"/>
    </row>
    <row r="92" spans="1:31" s="1" customFormat="1" x14ac:dyDescent="0.3">
      <c r="B92" s="11" t="s">
        <v>87</v>
      </c>
      <c r="C92" s="59">
        <f>J90</f>
        <v>471146.19871722092</v>
      </c>
      <c r="D92" s="60"/>
      <c r="E92" s="10">
        <v>100</v>
      </c>
      <c r="F92" s="12"/>
      <c r="G92" s="13"/>
      <c r="H92" s="12"/>
      <c r="I92" s="14"/>
      <c r="J92" s="15"/>
      <c r="K92" s="16"/>
      <c r="M92" s="12"/>
      <c r="N92" s="30"/>
      <c r="O92" s="30"/>
      <c r="P92" s="30"/>
      <c r="Q92" s="30"/>
      <c r="R92" s="30"/>
      <c r="S92" s="30"/>
      <c r="T92" s="30"/>
      <c r="U92" s="12"/>
      <c r="V92" s="12"/>
      <c r="W92" s="12"/>
      <c r="X92" s="12"/>
      <c r="Y92" s="12"/>
      <c r="Z92" s="12"/>
      <c r="AA92" s="12"/>
      <c r="AB92" s="12"/>
      <c r="AC92" s="12"/>
      <c r="AD92" s="12"/>
      <c r="AE92" s="12"/>
    </row>
    <row r="93" spans="1:31" x14ac:dyDescent="0.3">
      <c r="B93" s="11" t="s">
        <v>17</v>
      </c>
      <c r="C93" s="63">
        <v>400000</v>
      </c>
      <c r="D93" s="64"/>
      <c r="E93" s="10"/>
      <c r="M93" s="29"/>
      <c r="N93" s="30"/>
      <c r="O93" s="30"/>
      <c r="P93" s="30"/>
      <c r="Q93" s="30"/>
      <c r="R93" s="30"/>
      <c r="S93" s="30"/>
      <c r="T93" s="30"/>
      <c r="U93" s="29"/>
      <c r="V93" s="29"/>
      <c r="W93" s="29"/>
      <c r="X93" s="29"/>
      <c r="Y93" s="29"/>
      <c r="Z93" s="29"/>
      <c r="AA93" s="29"/>
      <c r="AB93" s="29"/>
      <c r="AC93" s="29"/>
      <c r="AD93" s="29"/>
      <c r="AE93" s="29"/>
    </row>
    <row r="94" spans="1:31" x14ac:dyDescent="0.3">
      <c r="B94" s="11" t="s">
        <v>18</v>
      </c>
      <c r="C94" s="63">
        <f>C93-C96-C97</f>
        <v>380000</v>
      </c>
      <c r="D94" s="64"/>
      <c r="E94" s="10">
        <f>C94/C92*100</f>
        <v>80.654370349292307</v>
      </c>
      <c r="M94" s="29"/>
      <c r="N94" s="29"/>
      <c r="O94" s="29"/>
      <c r="P94" s="29"/>
      <c r="Q94" s="29"/>
      <c r="R94" s="29"/>
      <c r="S94" s="29"/>
      <c r="T94" s="29"/>
      <c r="U94" s="29"/>
      <c r="V94" s="29"/>
      <c r="W94" s="29"/>
      <c r="X94" s="29"/>
      <c r="Y94" s="29"/>
      <c r="Z94" s="29"/>
      <c r="AA94" s="29"/>
      <c r="AB94" s="29"/>
      <c r="AC94" s="29"/>
      <c r="AD94" s="29"/>
      <c r="AE94" s="29"/>
    </row>
    <row r="95" spans="1:31" x14ac:dyDescent="0.3">
      <c r="B95" s="11" t="s">
        <v>19</v>
      </c>
      <c r="C95" s="65">
        <f>C92-C94</f>
        <v>91146.198717220919</v>
      </c>
      <c r="D95" s="65"/>
      <c r="E95" s="10">
        <f>100-E94</f>
        <v>19.345629650707693</v>
      </c>
      <c r="M95" s="29"/>
      <c r="N95" s="29"/>
      <c r="O95" s="29"/>
      <c r="P95" s="29"/>
      <c r="Q95" s="29"/>
      <c r="R95" s="29"/>
      <c r="S95" s="29"/>
      <c r="T95" s="29"/>
      <c r="U95" s="29"/>
      <c r="V95" s="29"/>
      <c r="W95" s="29"/>
      <c r="X95" s="29"/>
      <c r="Y95" s="29"/>
      <c r="Z95" s="29"/>
      <c r="AA95" s="29"/>
      <c r="AB95" s="29"/>
      <c r="AC95" s="29"/>
      <c r="AD95" s="29"/>
      <c r="AE95" s="29"/>
    </row>
    <row r="96" spans="1:31" x14ac:dyDescent="0.3">
      <c r="B96" s="11" t="s">
        <v>20</v>
      </c>
      <c r="C96" s="59">
        <f>C93*0.03</f>
        <v>12000</v>
      </c>
      <c r="D96" s="60"/>
      <c r="E96" s="10">
        <v>3</v>
      </c>
      <c r="M96" s="29"/>
      <c r="N96" s="29"/>
      <c r="O96" s="29"/>
      <c r="P96" s="29"/>
      <c r="Q96" s="29"/>
      <c r="R96" s="29"/>
      <c r="S96" s="29"/>
      <c r="T96" s="29"/>
      <c r="U96" s="29"/>
      <c r="V96" s="29"/>
      <c r="W96" s="29"/>
      <c r="X96" s="29"/>
      <c r="Y96" s="29"/>
      <c r="Z96" s="29"/>
      <c r="AA96" s="29"/>
      <c r="AB96" s="29"/>
      <c r="AC96" s="29"/>
      <c r="AD96" s="29"/>
      <c r="AE96" s="29"/>
    </row>
    <row r="97" spans="2:31" x14ac:dyDescent="0.3">
      <c r="B97" s="11" t="s">
        <v>21</v>
      </c>
      <c r="C97" s="59">
        <f>C93*0.02</f>
        <v>8000</v>
      </c>
      <c r="D97" s="60"/>
      <c r="E97" s="10">
        <v>2</v>
      </c>
      <c r="M97" s="29"/>
      <c r="N97" s="29"/>
      <c r="O97" s="29"/>
      <c r="P97" s="29"/>
      <c r="Q97" s="29"/>
      <c r="R97" s="29"/>
      <c r="S97" s="29"/>
      <c r="T97" s="29"/>
      <c r="U97" s="29"/>
      <c r="V97" s="29"/>
      <c r="W97" s="29"/>
      <c r="X97" s="29"/>
      <c r="Y97" s="29"/>
      <c r="Z97" s="29"/>
      <c r="AA97" s="29"/>
      <c r="AB97" s="29"/>
      <c r="AC97" s="29"/>
      <c r="AD97" s="29"/>
      <c r="AE97" s="29"/>
    </row>
  </sheetData>
  <mergeCells count="15">
    <mergeCell ref="C96:D96"/>
    <mergeCell ref="C97:D97"/>
    <mergeCell ref="A7:F7"/>
    <mergeCell ref="H7:K7"/>
    <mergeCell ref="C92:D92"/>
    <mergeCell ref="C93:D93"/>
    <mergeCell ref="C94:D94"/>
    <mergeCell ref="C95:D95"/>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22" zoomScaleNormal="100" workbookViewId="0">
      <selection activeCell="I35" sqref="I35"/>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2.5546875" customWidth="1"/>
  </cols>
  <sheetData>
    <row r="1" spans="1:13" x14ac:dyDescent="0.3">
      <c r="A1" s="81" t="s">
        <v>0</v>
      </c>
      <c r="B1" s="81"/>
      <c r="C1" s="81"/>
      <c r="D1" s="81"/>
      <c r="E1" s="81"/>
      <c r="F1" s="81"/>
      <c r="G1" s="81"/>
      <c r="H1" s="81"/>
      <c r="I1" s="81"/>
      <c r="J1" s="81"/>
      <c r="K1" s="81"/>
    </row>
    <row r="2" spans="1:13" ht="24.6" x14ac:dyDescent="0.4">
      <c r="A2" s="82" t="s">
        <v>1</v>
      </c>
      <c r="B2" s="82"/>
      <c r="C2" s="82"/>
      <c r="D2" s="82"/>
      <c r="E2" s="82"/>
      <c r="F2" s="82"/>
      <c r="G2" s="82"/>
      <c r="H2" s="82"/>
      <c r="I2" s="82"/>
      <c r="J2" s="82"/>
      <c r="K2" s="82"/>
    </row>
    <row r="3" spans="1:13" s="1" customFormat="1" x14ac:dyDescent="0.3">
      <c r="A3" s="69" t="s">
        <v>2</v>
      </c>
      <c r="B3" s="69"/>
      <c r="C3" s="69"/>
      <c r="D3" s="69"/>
      <c r="E3" s="69"/>
      <c r="F3" s="69"/>
      <c r="G3" s="69"/>
      <c r="H3" s="69"/>
      <c r="I3" s="69"/>
      <c r="J3" s="69"/>
      <c r="K3" s="69"/>
    </row>
    <row r="4" spans="1:13" s="1" customFormat="1" x14ac:dyDescent="0.3">
      <c r="A4" s="69" t="s">
        <v>3</v>
      </c>
      <c r="B4" s="69"/>
      <c r="C4" s="69"/>
      <c r="D4" s="69"/>
      <c r="E4" s="69"/>
      <c r="F4" s="69"/>
      <c r="G4" s="69"/>
      <c r="H4" s="69"/>
      <c r="I4" s="69"/>
      <c r="J4" s="69"/>
      <c r="K4" s="69"/>
    </row>
    <row r="5" spans="1:13" ht="18" x14ac:dyDescent="0.35">
      <c r="A5" s="83" t="s">
        <v>72</v>
      </c>
      <c r="B5" s="83"/>
      <c r="C5" s="83"/>
      <c r="D5" s="83"/>
      <c r="E5" s="83"/>
      <c r="F5" s="83"/>
      <c r="G5" s="83"/>
      <c r="H5" s="83"/>
      <c r="I5" s="83"/>
      <c r="J5" s="83"/>
      <c r="K5" s="83"/>
    </row>
    <row r="6" spans="1:13" ht="18" x14ac:dyDescent="0.35">
      <c r="A6" s="44" t="s">
        <v>73</v>
      </c>
      <c r="B6" s="44"/>
      <c r="C6" s="79">
        <f>F48</f>
        <v>471146.19871722092</v>
      </c>
      <c r="D6" s="80"/>
      <c r="E6" s="45"/>
      <c r="F6" s="44"/>
      <c r="G6" s="44"/>
      <c r="H6" s="44" t="s">
        <v>74</v>
      </c>
      <c r="I6" s="44"/>
      <c r="J6" s="79">
        <f>I48</f>
        <v>481578.64508020174</v>
      </c>
      <c r="K6" s="80"/>
    </row>
    <row r="7" spans="1:13" x14ac:dyDescent="0.3">
      <c r="A7" s="46" t="s">
        <v>75</v>
      </c>
      <c r="B7" s="46"/>
      <c r="C7" s="46"/>
      <c r="D7" s="46"/>
      <c r="F7" s="74"/>
      <c r="G7" s="74"/>
      <c r="I7" s="75" t="s">
        <v>76</v>
      </c>
      <c r="J7" s="75"/>
      <c r="K7" s="75"/>
    </row>
    <row r="8" spans="1:13" ht="15.6" x14ac:dyDescent="0.3">
      <c r="A8" s="76" t="str">
        <f>'[10]callapsible gate added'!A6:F6</f>
        <v>Project:- राष्ट्रिय मा. बि. वाल निर्माण</v>
      </c>
      <c r="B8" s="76"/>
      <c r="C8" s="76"/>
      <c r="D8" s="76"/>
      <c r="E8" s="76"/>
      <c r="F8" s="76"/>
      <c r="I8" s="77" t="s">
        <v>77</v>
      </c>
      <c r="J8" s="77"/>
      <c r="K8" s="77"/>
    </row>
    <row r="9" spans="1:13" x14ac:dyDescent="0.3">
      <c r="A9" s="78" t="str">
        <f>'[10]callapsible gate added'!A7:F7</f>
        <v>Location:- Shankharapur Municipality 9</v>
      </c>
      <c r="B9" s="78"/>
      <c r="C9" s="78"/>
      <c r="D9" s="78"/>
      <c r="E9" s="78"/>
      <c r="F9" s="78"/>
      <c r="I9" s="77" t="s">
        <v>78</v>
      </c>
      <c r="J9" s="77"/>
      <c r="K9" s="77"/>
    </row>
    <row r="11" spans="1:13" x14ac:dyDescent="0.3">
      <c r="A11" s="72" t="s">
        <v>79</v>
      </c>
      <c r="B11" s="72" t="s">
        <v>80</v>
      </c>
      <c r="C11" s="72" t="s">
        <v>12</v>
      </c>
      <c r="D11" s="73" t="s">
        <v>81</v>
      </c>
      <c r="E11" s="73"/>
      <c r="F11" s="73"/>
      <c r="G11" s="73" t="s">
        <v>82</v>
      </c>
      <c r="H11" s="73"/>
      <c r="I11" s="73"/>
      <c r="J11" s="72" t="s">
        <v>83</v>
      </c>
      <c r="K11" s="71" t="s">
        <v>15</v>
      </c>
    </row>
    <row r="12" spans="1:13" x14ac:dyDescent="0.3">
      <c r="A12" s="72"/>
      <c r="B12" s="72"/>
      <c r="C12" s="72"/>
      <c r="D12" s="47" t="s">
        <v>84</v>
      </c>
      <c r="E12" s="47" t="s">
        <v>13</v>
      </c>
      <c r="F12" s="47" t="s">
        <v>14</v>
      </c>
      <c r="G12" s="47" t="s">
        <v>84</v>
      </c>
      <c r="H12" s="47" t="s">
        <v>13</v>
      </c>
      <c r="I12" s="47" t="s">
        <v>14</v>
      </c>
      <c r="J12" s="72"/>
      <c r="K12" s="71"/>
    </row>
    <row r="13" spans="1:13" s="1" customFormat="1" ht="30" x14ac:dyDescent="0.3">
      <c r="A13" s="48">
        <f>'change estimate'!A9</f>
        <v>1</v>
      </c>
      <c r="B13" s="49" t="str">
        <f>'change estimate'!B9</f>
        <v>sfnf] kmnfd] kfO{ksf] 6«; agfO{ h8fg ug]{ sfd</v>
      </c>
      <c r="C13" s="10" t="str">
        <f>'change estimate'!H21</f>
        <v>Kg</v>
      </c>
      <c r="D13" s="10">
        <f>'change estimate'!G21</f>
        <v>643.18132886315152</v>
      </c>
      <c r="E13" s="10">
        <f>'change estimate'!I21</f>
        <v>181.17</v>
      </c>
      <c r="F13" s="10">
        <f>D13*E13</f>
        <v>116525.16135013715</v>
      </c>
      <c r="G13" s="10">
        <f>V!G23</f>
        <v>599.330252971655</v>
      </c>
      <c r="H13" s="10">
        <f>V!I23</f>
        <v>181.17</v>
      </c>
      <c r="I13" s="10">
        <f>G13*H13</f>
        <v>108580.66193087473</v>
      </c>
      <c r="J13" s="50">
        <f>I13-F13</f>
        <v>-7944.4994192624144</v>
      </c>
      <c r="K13" s="51"/>
      <c r="M13" s="1">
        <f>1.25*F13</f>
        <v>145656.45168767142</v>
      </c>
    </row>
    <row r="14" spans="1:13" s="1" customFormat="1" ht="15.6" x14ac:dyDescent="0.3">
      <c r="A14" s="48"/>
      <c r="B14" s="53" t="str">
        <f>'change estimate'!B22</f>
        <v>-VAT 13% for materials</v>
      </c>
      <c r="C14" s="10"/>
      <c r="D14" s="10"/>
      <c r="E14" s="10"/>
      <c r="F14" s="10">
        <f>'change estimate'!J22</f>
        <v>8261.6743569134269</v>
      </c>
      <c r="G14" s="10"/>
      <c r="H14" s="10"/>
      <c r="I14" s="10">
        <f>V!J24</f>
        <v>7698.4065925083369</v>
      </c>
      <c r="J14" s="50">
        <f>I14-F14</f>
        <v>-563.26776440509002</v>
      </c>
      <c r="K14" s="51"/>
      <c r="M14" s="1">
        <f t="shared" ref="M14:M46" si="0">1.25*F14</f>
        <v>10327.092946141784</v>
      </c>
    </row>
    <row r="15" spans="1:13" s="1" customFormat="1" x14ac:dyDescent="0.3">
      <c r="A15" s="54"/>
      <c r="B15" s="54"/>
      <c r="C15" s="10"/>
      <c r="D15" s="10"/>
      <c r="E15" s="10"/>
      <c r="F15" s="10"/>
      <c r="G15" s="10"/>
      <c r="H15" s="10"/>
      <c r="I15" s="10"/>
      <c r="J15" s="50"/>
      <c r="K15" s="51"/>
    </row>
    <row r="16" spans="1:13" s="1" customFormat="1" ht="30" x14ac:dyDescent="0.3">
      <c r="A16" s="48">
        <f>'change estimate'!A24</f>
        <v>2</v>
      </c>
      <c r="B16" s="49" t="str">
        <f>'change estimate'!B24</f>
        <v xml:space="preserve">).#^ lblv ).$ dL.dL.afSnf] sf]?u]6]8 /+lug ss{6 kftfsf] 5fgf 5fpg] sfd </v>
      </c>
      <c r="C16" s="10" t="str">
        <f>'change estimate'!H26</f>
        <v>sqm</v>
      </c>
      <c r="D16" s="10">
        <f>'change estimate'!G26</f>
        <v>90.014260153845413</v>
      </c>
      <c r="E16" s="10">
        <f>'change estimate'!I26</f>
        <v>1070.9000000000001</v>
      </c>
      <c r="F16" s="10">
        <f>D16*E16</f>
        <v>96396.271198753064</v>
      </c>
      <c r="G16" s="10">
        <f>V!G28</f>
        <v>84.045822367586851</v>
      </c>
      <c r="H16" s="10">
        <f>V!I28</f>
        <v>1070.9000000000001</v>
      </c>
      <c r="I16" s="10">
        <f>G16*H16</f>
        <v>90004.671173448762</v>
      </c>
      <c r="J16" s="50">
        <f>I16-F16</f>
        <v>-6391.6000253043021</v>
      </c>
      <c r="K16" s="51"/>
      <c r="M16" s="1">
        <f t="shared" si="0"/>
        <v>120495.33899844132</v>
      </c>
    </row>
    <row r="17" spans="1:13" s="1" customFormat="1" ht="15.6" x14ac:dyDescent="0.3">
      <c r="A17" s="48"/>
      <c r="B17" s="53" t="str">
        <f>'change estimate'!B27</f>
        <v>-VAT 13% for materials</v>
      </c>
      <c r="C17" s="10"/>
      <c r="D17" s="10"/>
      <c r="E17" s="10"/>
      <c r="F17" s="10">
        <f>'change estimate'!J27</f>
        <v>10049.119092024577</v>
      </c>
      <c r="G17" s="10"/>
      <c r="H17" s="10"/>
      <c r="I17" s="10">
        <f>V!J29</f>
        <v>9382.8075320012777</v>
      </c>
      <c r="J17" s="50">
        <f>I17-F17</f>
        <v>-666.31156002329953</v>
      </c>
      <c r="K17" s="51"/>
      <c r="M17" s="1">
        <f t="shared" si="0"/>
        <v>12561.398865030722</v>
      </c>
    </row>
    <row r="18" spans="1:13" s="1" customFormat="1" x14ac:dyDescent="0.3">
      <c r="A18" s="54"/>
      <c r="B18" s="54"/>
      <c r="C18" s="10"/>
      <c r="D18" s="10"/>
      <c r="E18" s="10"/>
      <c r="F18" s="10"/>
      <c r="G18" s="10"/>
      <c r="H18" s="10"/>
      <c r="I18" s="10"/>
      <c r="J18" s="50"/>
      <c r="K18" s="51"/>
    </row>
    <row r="19" spans="1:13" s="1" customFormat="1" ht="30" x14ac:dyDescent="0.3">
      <c r="A19" s="48">
        <f>'change estimate'!A29</f>
        <v>3</v>
      </c>
      <c r="B19" s="49" t="str">
        <f>'change estimate'!B29</f>
        <v xml:space="preserve">g/d k|sf/sf] Sn] / l;N6L df6f]df ;j} lsl;dsf] vGg] k'g]{ sfd </v>
      </c>
      <c r="C19" s="10" t="str">
        <f>'change estimate'!H34</f>
        <v>cum</v>
      </c>
      <c r="D19" s="10">
        <f>'change estimate'!G34</f>
        <v>5.1316211520877779</v>
      </c>
      <c r="E19" s="10">
        <f>'change estimate'!I34</f>
        <v>663.31</v>
      </c>
      <c r="F19" s="10">
        <f>D19*E19</f>
        <v>3403.8556263913438</v>
      </c>
      <c r="G19" s="10">
        <f>V!G36</f>
        <v>3.654973788479122</v>
      </c>
      <c r="H19" s="10">
        <f>V!I36</f>
        <v>663.31</v>
      </c>
      <c r="I19" s="10">
        <f>G19*H19</f>
        <v>2424.3806636360864</v>
      </c>
      <c r="J19" s="50">
        <f>I19-F19</f>
        <v>-979.47496275525737</v>
      </c>
      <c r="K19" s="51"/>
      <c r="M19" s="1">
        <f t="shared" si="0"/>
        <v>4254.8195329891796</v>
      </c>
    </row>
    <row r="20" spans="1:13" s="1" customFormat="1" x14ac:dyDescent="0.3">
      <c r="A20" s="54"/>
      <c r="B20" s="54"/>
      <c r="C20" s="10"/>
      <c r="D20" s="10"/>
      <c r="E20" s="10"/>
      <c r="F20" s="10"/>
      <c r="G20" s="10"/>
      <c r="H20" s="10"/>
      <c r="I20" s="10"/>
      <c r="J20" s="50"/>
      <c r="K20" s="51"/>
    </row>
    <row r="21" spans="1:13" s="1" customFormat="1" ht="82.8" x14ac:dyDescent="0.3">
      <c r="A21" s="48">
        <f>'change estimate'!A36</f>
        <v>4</v>
      </c>
      <c r="B21" s="87" t="str">
        <f>'change estimate'!B36</f>
        <v>Providing suitable material and Back filling behind abutment, wing wall and return wall complete as per Drawing and Technical Specifications., locally available material including compaction by tamping rod(without watering)</v>
      </c>
      <c r="C21" s="10" t="str">
        <f>'change estimate'!H38</f>
        <v>cum</v>
      </c>
      <c r="D21" s="10">
        <f>'change estimate'!G38</f>
        <v>19.13016234513065</v>
      </c>
      <c r="E21" s="10">
        <f>'change estimate'!I38</f>
        <v>404.28</v>
      </c>
      <c r="F21" s="10">
        <f>D21*E21</f>
        <v>7733.9420328894184</v>
      </c>
      <c r="G21" s="10">
        <f>V!G40</f>
        <v>13.908475843526048</v>
      </c>
      <c r="H21" s="10">
        <f>V!I40</f>
        <v>404.28</v>
      </c>
      <c r="I21" s="10">
        <f>G21*H21</f>
        <v>5622.9186140207103</v>
      </c>
      <c r="J21" s="50">
        <f>I21-F21</f>
        <v>-2111.0234188687082</v>
      </c>
      <c r="K21" s="51"/>
      <c r="M21" s="1">
        <f t="shared" ref="M21:M22" si="1">1.25*F21</f>
        <v>9667.4275411117724</v>
      </c>
    </row>
    <row r="22" spans="1:13" s="1" customFormat="1" x14ac:dyDescent="0.3">
      <c r="A22" s="54"/>
      <c r="B22" s="54"/>
      <c r="C22" s="10"/>
      <c r="D22" s="10"/>
      <c r="E22" s="10"/>
      <c r="F22" s="10"/>
      <c r="G22" s="10"/>
      <c r="H22" s="10"/>
      <c r="I22" s="10"/>
      <c r="J22" s="50"/>
      <c r="K22" s="51"/>
    </row>
    <row r="23" spans="1:13" s="1" customFormat="1" ht="15" x14ac:dyDescent="0.3">
      <c r="A23" s="48">
        <f>'change estimate'!A40</f>
        <v>5</v>
      </c>
      <c r="B23" s="49" t="str">
        <f>'change estimate'!B40</f>
        <v>;'Vvf O{6f RofK6f] 5fKg] sfd</v>
      </c>
      <c r="C23" s="10" t="str">
        <f>'change estimate'!H45</f>
        <v>sqm</v>
      </c>
      <c r="D23" s="10">
        <f>'change estimate'!G45</f>
        <v>8.2927619628162148</v>
      </c>
      <c r="E23" s="10">
        <f>'change estimate'!I45</f>
        <v>1014.97</v>
      </c>
      <c r="F23" s="10">
        <f>D23*E23</f>
        <v>8416.904609399573</v>
      </c>
      <c r="G23" s="10">
        <f>V!G47</f>
        <v>8.2694885705577583</v>
      </c>
      <c r="H23" s="10">
        <f>V!I47</f>
        <v>1014.97</v>
      </c>
      <c r="I23" s="10">
        <f>G23*H23</f>
        <v>8393.2828144590076</v>
      </c>
      <c r="J23" s="50">
        <f>I23-F23</f>
        <v>-23.621794940565451</v>
      </c>
      <c r="K23" s="51"/>
      <c r="M23" s="1">
        <f t="shared" si="0"/>
        <v>10521.130761749466</v>
      </c>
    </row>
    <row r="24" spans="1:13" s="1" customFormat="1" ht="15.6" x14ac:dyDescent="0.3">
      <c r="A24" s="48"/>
      <c r="B24" s="53" t="str">
        <f>'change estimate'!B46</f>
        <v>-VAT 13% for materials</v>
      </c>
      <c r="C24" s="10"/>
      <c r="D24" s="10"/>
      <c r="E24" s="10"/>
      <c r="F24" s="10">
        <f>'change estimate'!J46</f>
        <v>928.98504901773867</v>
      </c>
      <c r="G24" s="10"/>
      <c r="H24" s="10"/>
      <c r="I24" s="10">
        <f>V!J48</f>
        <v>926.37787983273427</v>
      </c>
      <c r="J24" s="50">
        <f>I24-F24</f>
        <v>-2.607169185004409</v>
      </c>
      <c r="K24" s="51"/>
      <c r="M24" s="1">
        <f t="shared" si="0"/>
        <v>1161.2313112721733</v>
      </c>
    </row>
    <row r="25" spans="1:13" s="1" customFormat="1" x14ac:dyDescent="0.3">
      <c r="A25" s="54"/>
      <c r="B25" s="54"/>
      <c r="C25" s="10"/>
      <c r="D25" s="10"/>
      <c r="E25" s="10"/>
      <c r="F25" s="10"/>
      <c r="G25" s="10"/>
      <c r="H25" s="10"/>
      <c r="I25" s="10"/>
      <c r="J25" s="50"/>
      <c r="K25" s="51"/>
    </row>
    <row r="26" spans="1:13" s="1" customFormat="1" ht="69" x14ac:dyDescent="0.3">
      <c r="A26" s="48">
        <f>'change estimate'!A48</f>
        <v>6</v>
      </c>
      <c r="B26" s="87" t="str">
        <f>'change estimate'!B48</f>
        <v>Providing and laying of hand pack locally available Stone soling with 150 to 200 mm thick stones and packing with smaller stone on prepared surface as per Drawing and Technical Specifications.</v>
      </c>
      <c r="C26" s="10" t="str">
        <f>'change estimate'!H50</f>
        <v>cum</v>
      </c>
      <c r="D26" s="10">
        <f>'change estimate'!G50</f>
        <v>9.3323607953619128</v>
      </c>
      <c r="E26" s="10">
        <f>'change estimate'!I50</f>
        <v>4434.5200000000004</v>
      </c>
      <c r="F26" s="10">
        <f>D26*E26</f>
        <v>41384.540594248312</v>
      </c>
      <c r="G26" s="10">
        <f>V!G52</f>
        <v>9.2723172290173643</v>
      </c>
      <c r="H26" s="10">
        <f>V!I52</f>
        <v>4434.5200000000004</v>
      </c>
      <c r="I26" s="10">
        <f>G26*H26</f>
        <v>41118.276198422085</v>
      </c>
      <c r="J26" s="50">
        <f>I26-F26</f>
        <v>-266.26439582622697</v>
      </c>
      <c r="K26" s="51"/>
      <c r="M26" s="1">
        <f t="shared" si="0"/>
        <v>51730.675742810388</v>
      </c>
    </row>
    <row r="27" spans="1:13" s="1" customFormat="1" ht="15.6" x14ac:dyDescent="0.3">
      <c r="A27" s="48"/>
      <c r="B27" s="53" t="str">
        <f>'400000 final'!B47</f>
        <v>-VAT 13% for materials</v>
      </c>
      <c r="C27" s="10"/>
      <c r="D27" s="10"/>
      <c r="E27" s="10"/>
      <c r="F27" s="10">
        <f>'change estimate'!J51</f>
        <v>3595.3629223552221</v>
      </c>
      <c r="G27" s="10"/>
      <c r="H27" s="10"/>
      <c r="I27" s="10">
        <f>V!J53</f>
        <v>3572.2306820898802</v>
      </c>
      <c r="J27" s="50">
        <f>I27-F27</f>
        <v>-23.132240265341807</v>
      </c>
      <c r="K27" s="51"/>
      <c r="M27" s="1">
        <f t="shared" si="0"/>
        <v>4494.2036529440275</v>
      </c>
    </row>
    <row r="28" spans="1:13" s="1" customFormat="1" x14ac:dyDescent="0.3">
      <c r="A28" s="54"/>
      <c r="B28" s="54"/>
      <c r="C28" s="10"/>
      <c r="D28" s="10"/>
      <c r="E28" s="10"/>
      <c r="F28" s="10"/>
      <c r="G28" s="10"/>
      <c r="H28" s="10"/>
      <c r="I28" s="10"/>
      <c r="J28" s="50"/>
      <c r="K28" s="51"/>
    </row>
    <row r="29" spans="1:13" s="1" customFormat="1" ht="30" x14ac:dyDescent="0.3">
      <c r="A29" s="48">
        <f>'change estimate'!A53</f>
        <v>7</v>
      </c>
      <c r="B29" s="49" t="str">
        <f>'change estimate'!B53</f>
        <v xml:space="preserve">hu leQf kvf{ndf l;d]G6 s+lqm6 ug]{ sfd -lk=;L=;L= !M@M$_  </v>
      </c>
      <c r="C29" s="10" t="str">
        <f>'change estimate'!H56</f>
        <v>cum</v>
      </c>
      <c r="D29" s="10">
        <f>'change estimate'!G56</f>
        <v>4.7471803976809568</v>
      </c>
      <c r="E29" s="10">
        <f>'change estimate'!I56</f>
        <v>12983.1</v>
      </c>
      <c r="F29" s="10">
        <f>D29*E29</f>
        <v>61633.117821131629</v>
      </c>
      <c r="G29" s="10">
        <f>V!G58</f>
        <v>5.2295294215185733</v>
      </c>
      <c r="H29" s="10">
        <f>V!I58</f>
        <v>12983.1</v>
      </c>
      <c r="I29" s="10">
        <f>G29*H29</f>
        <v>67895.503432517784</v>
      </c>
      <c r="J29" s="50">
        <f>I29-F29</f>
        <v>6262.3856113861548</v>
      </c>
      <c r="K29" s="51"/>
      <c r="M29" s="1">
        <f t="shared" si="0"/>
        <v>77041.397276414529</v>
      </c>
    </row>
    <row r="30" spans="1:13" s="1" customFormat="1" ht="15.6" x14ac:dyDescent="0.3">
      <c r="A30" s="48"/>
      <c r="B30" s="53" t="str">
        <f>'change estimate'!B57</f>
        <v>-VAT 13% for materials</v>
      </c>
      <c r="C30" s="10"/>
      <c r="D30" s="10"/>
      <c r="E30" s="10"/>
      <c r="F30" s="10">
        <f>'change estimate'!J57</f>
        <v>4985.271907500367</v>
      </c>
      <c r="G30" s="10"/>
      <c r="H30" s="10"/>
      <c r="I30" s="10">
        <f>V!J59</f>
        <v>5491.8128089842421</v>
      </c>
      <c r="J30" s="50">
        <f>I30-F30</f>
        <v>506.54090148387513</v>
      </c>
      <c r="K30" s="51"/>
      <c r="M30" s="1">
        <f t="shared" si="0"/>
        <v>6231.5898843754585</v>
      </c>
    </row>
    <row r="31" spans="1:13" s="1" customFormat="1" x14ac:dyDescent="0.3">
      <c r="A31" s="54"/>
      <c r="B31" s="54"/>
      <c r="C31" s="10"/>
      <c r="D31" s="10"/>
      <c r="E31" s="10"/>
      <c r="F31" s="10"/>
      <c r="G31" s="10"/>
      <c r="H31" s="10"/>
      <c r="I31" s="10"/>
      <c r="J31" s="50"/>
      <c r="K31" s="51"/>
    </row>
    <row r="32" spans="1:13" s="1" customFormat="1" ht="30" x14ac:dyDescent="0.3">
      <c r="A32" s="48">
        <f>'change estimate'!A59</f>
        <v>8</v>
      </c>
      <c r="B32" s="49" t="str">
        <f>'change estimate'!B59</f>
        <v>cf/=;L=;L= nflu kmnfd] 808L sf6\g], df]8\g] #) dL6/ ;Dd</v>
      </c>
      <c r="C32" s="10" t="str">
        <f>'change estimate'!H64</f>
        <v>MT</v>
      </c>
      <c r="D32" s="10">
        <f>'change estimate'!G64</f>
        <v>2.2695399249701799E-2</v>
      </c>
      <c r="E32" s="10">
        <f>'change estimate'!I64</f>
        <v>131940</v>
      </c>
      <c r="F32" s="10">
        <f>D32*E32</f>
        <v>2994.4309770056552</v>
      </c>
      <c r="G32" s="10">
        <f>V!G66</f>
        <v>2.8221467157834794E-2</v>
      </c>
      <c r="H32" s="10">
        <f>V!I66</f>
        <v>131940</v>
      </c>
      <c r="I32" s="10">
        <f>G32*H32</f>
        <v>3723.5403768047227</v>
      </c>
      <c r="J32" s="50">
        <f>I32-F32</f>
        <v>729.10939979906743</v>
      </c>
      <c r="K32" s="51"/>
      <c r="M32" s="1">
        <f t="shared" si="0"/>
        <v>3743.038721257069</v>
      </c>
    </row>
    <row r="33" spans="1:13" s="1" customFormat="1" ht="15.6" x14ac:dyDescent="0.3">
      <c r="A33" s="48"/>
      <c r="B33" s="53" t="str">
        <f>'change estimate'!B65</f>
        <v>-VAT 13% for materials</v>
      </c>
      <c r="C33" s="10"/>
      <c r="D33" s="10"/>
      <c r="E33" s="10"/>
      <c r="F33" s="10">
        <f>'change estimate'!J65</f>
        <v>313.33268204138301</v>
      </c>
      <c r="G33" s="10"/>
      <c r="H33" s="10"/>
      <c r="I33" s="10">
        <f>V!J67</f>
        <v>389.62557558106715</v>
      </c>
      <c r="J33" s="50">
        <f>I33-F33</f>
        <v>76.292893539684144</v>
      </c>
      <c r="K33" s="51"/>
      <c r="M33" s="1">
        <f t="shared" si="0"/>
        <v>391.66585255172879</v>
      </c>
    </row>
    <row r="34" spans="1:13" s="1" customFormat="1" x14ac:dyDescent="0.3">
      <c r="A34" s="54"/>
      <c r="B34" s="54"/>
      <c r="C34" s="10"/>
      <c r="D34" s="10"/>
      <c r="E34" s="10"/>
      <c r="F34" s="10"/>
      <c r="G34" s="10"/>
      <c r="H34" s="10"/>
      <c r="I34" s="10"/>
      <c r="J34" s="50"/>
      <c r="K34" s="51"/>
    </row>
    <row r="35" spans="1:13" s="1" customFormat="1" ht="30" x14ac:dyDescent="0.3">
      <c r="A35" s="48">
        <f>'change estimate'!A67</f>
        <v>9</v>
      </c>
      <c r="B35" s="49" t="str">
        <f>'change estimate'!B67</f>
        <v>kmnfd]sf] kfOk / KnfOaf]8{af6 kmdf{ agfpg] sfd</v>
      </c>
      <c r="C35" s="10" t="str">
        <f>'change estimate'!H69</f>
        <v>sqm</v>
      </c>
      <c r="D35" s="10">
        <f>'change estimate'!G69</f>
        <v>1.6470813369907547</v>
      </c>
      <c r="E35" s="10">
        <f>'change estimate'!I69</f>
        <v>915.42</v>
      </c>
      <c r="F35" s="10">
        <f>D35*E35</f>
        <v>1507.7711975080765</v>
      </c>
      <c r="G35" s="10">
        <f>V!G71</f>
        <v>1.6470813369907547</v>
      </c>
      <c r="H35" s="10">
        <f>V!I71</f>
        <v>915.42</v>
      </c>
      <c r="I35" s="10">
        <f>G35*H35</f>
        <v>1507.7711975080765</v>
      </c>
      <c r="J35" s="50">
        <f>I35-F35</f>
        <v>0</v>
      </c>
      <c r="K35" s="51"/>
      <c r="M35" s="1">
        <f t="shared" ref="M35:M37" si="2">1.25*F35</f>
        <v>1884.7139968850956</v>
      </c>
    </row>
    <row r="36" spans="1:13" s="1" customFormat="1" ht="15.6" x14ac:dyDescent="0.3">
      <c r="A36" s="48"/>
      <c r="B36" s="53" t="str">
        <f>'change estimate'!B70</f>
        <v>-VAT 13% for materials</v>
      </c>
      <c r="C36" s="10"/>
      <c r="D36" s="10"/>
      <c r="E36" s="10"/>
      <c r="F36" s="10">
        <f>'change estimate'!J70</f>
        <v>100.26810394643805</v>
      </c>
      <c r="G36" s="10"/>
      <c r="H36" s="10"/>
      <c r="I36" s="10">
        <f>V!J72</f>
        <v>100.26810394643805</v>
      </c>
      <c r="J36" s="50">
        <f>I36-F36</f>
        <v>0</v>
      </c>
      <c r="K36" s="51"/>
      <c r="M36" s="1">
        <f t="shared" si="2"/>
        <v>125.33512993304755</v>
      </c>
    </row>
    <row r="37" spans="1:13" s="1" customFormat="1" x14ac:dyDescent="0.3">
      <c r="A37" s="54"/>
      <c r="B37" s="54"/>
      <c r="C37" s="10"/>
      <c r="D37" s="10"/>
      <c r="E37" s="10"/>
      <c r="F37" s="10"/>
      <c r="G37" s="10"/>
      <c r="H37" s="10"/>
      <c r="I37" s="10"/>
      <c r="J37" s="50"/>
      <c r="K37" s="51"/>
    </row>
    <row r="38" spans="1:13" s="1" customFormat="1" ht="30" x14ac:dyDescent="0.3">
      <c r="A38" s="48">
        <f>'change estimate'!A72</f>
        <v>10</v>
      </c>
      <c r="B38" s="49" t="str">
        <f>'change estimate'!B72</f>
        <v xml:space="preserve">d]lzgsf] k|of]u u/L ;'k/ :6«Sr/df l;d]G6 s+lqm6 ug]{ sfd -!M!=%M#_ </v>
      </c>
      <c r="C38" s="10" t="str">
        <f>'change estimate'!H76</f>
        <v>cum</v>
      </c>
      <c r="D38" s="10">
        <f>'change estimate'!G76</f>
        <v>0.79768619628162152</v>
      </c>
      <c r="E38" s="10">
        <f>'change estimate'!I76</f>
        <v>13568.9</v>
      </c>
      <c r="F38" s="10">
        <f>D38*E38</f>
        <v>10823.724228725694</v>
      </c>
      <c r="G38" s="10">
        <f>V!G78</f>
        <v>0.98229607131971974</v>
      </c>
      <c r="H38" s="10">
        <f>V!I78</f>
        <v>13568.9</v>
      </c>
      <c r="I38" s="10">
        <f>G38*H38</f>
        <v>13328.677162130145</v>
      </c>
      <c r="J38" s="50">
        <f>I38-F38</f>
        <v>2504.952933404451</v>
      </c>
      <c r="K38" s="51"/>
      <c r="M38" s="1">
        <f t="shared" ref="M38:M40" si="3">1.25*F38</f>
        <v>13529.655285907118</v>
      </c>
    </row>
    <row r="39" spans="1:13" s="1" customFormat="1" ht="15.6" x14ac:dyDescent="0.3">
      <c r="A39" s="48"/>
      <c r="B39" s="53" t="str">
        <f>'change estimate'!B77</f>
        <v>-VAT 13% for materials</v>
      </c>
      <c r="C39" s="10"/>
      <c r="D39" s="10"/>
      <c r="E39" s="10"/>
      <c r="F39" s="10">
        <f>'change estimate'!J77</f>
        <v>987.6519731813047</v>
      </c>
      <c r="G39" s="10"/>
      <c r="H39" s="10"/>
      <c r="I39" s="10">
        <f>V!J79</f>
        <v>1216.2259515202259</v>
      </c>
      <c r="J39" s="50">
        <f>I39-F39</f>
        <v>228.57397833892117</v>
      </c>
      <c r="K39" s="51"/>
      <c r="M39" s="1">
        <f t="shared" si="3"/>
        <v>1234.5649664766308</v>
      </c>
    </row>
    <row r="40" spans="1:13" s="1" customFormat="1" x14ac:dyDescent="0.3">
      <c r="A40" s="54"/>
      <c r="B40" s="54"/>
      <c r="C40" s="10"/>
      <c r="D40" s="10"/>
      <c r="E40" s="10"/>
      <c r="F40" s="10"/>
      <c r="G40" s="10"/>
      <c r="H40" s="10"/>
      <c r="I40" s="10"/>
      <c r="J40" s="50"/>
      <c r="K40" s="51"/>
    </row>
    <row r="41" spans="1:13" s="1" customFormat="1" ht="30" x14ac:dyDescent="0.3">
      <c r="A41" s="48">
        <f>'change estimate'!A79</f>
        <v>11</v>
      </c>
      <c r="B41" s="49" t="str">
        <f>'change estimate'!B79</f>
        <v>e'O{+tNnfdf lrDgL e§fsf] O{+6fsf] uf/f] l;d]G6 d;nf -!M^_ df</v>
      </c>
      <c r="C41" s="10" t="str">
        <f>'change estimate'!H83</f>
        <v>cum</v>
      </c>
      <c r="D41" s="10">
        <f>'change estimate'!G83</f>
        <v>5.1329901249619025</v>
      </c>
      <c r="E41" s="10">
        <f>'change estimate'!I83</f>
        <v>14362.76</v>
      </c>
      <c r="F41" s="10">
        <f>D41*E41</f>
        <v>73723.905247197821</v>
      </c>
      <c r="G41" s="10">
        <f>V!G86</f>
        <v>6.3490663750314562</v>
      </c>
      <c r="H41" s="10">
        <f>V!I86</f>
        <v>14362.76</v>
      </c>
      <c r="I41" s="10">
        <f>G41*H41</f>
        <v>91190.116568646801</v>
      </c>
      <c r="J41" s="50">
        <f>I41-F41</f>
        <v>17466.21132144898</v>
      </c>
      <c r="K41" s="51"/>
      <c r="M41" s="1">
        <f t="shared" si="0"/>
        <v>92154.88155899728</v>
      </c>
    </row>
    <row r="42" spans="1:13" s="1" customFormat="1" ht="15.6" x14ac:dyDescent="0.3">
      <c r="A42" s="48"/>
      <c r="B42" s="53" t="str">
        <f>'change estimate'!B84</f>
        <v>-VAT 13% for materials</v>
      </c>
      <c r="C42" s="10"/>
      <c r="D42" s="10"/>
      <c r="E42" s="10"/>
      <c r="F42" s="10">
        <f>'change estimate'!J84</f>
        <v>6880.9077468527048</v>
      </c>
      <c r="G42" s="10"/>
      <c r="H42" s="10"/>
      <c r="I42" s="10">
        <f>V!J87</f>
        <v>8511.0898212686934</v>
      </c>
      <c r="J42" s="50">
        <f>I42-F42</f>
        <v>1630.1820744159886</v>
      </c>
      <c r="K42" s="51"/>
      <c r="M42" s="1">
        <f t="shared" si="0"/>
        <v>8601.1346835658806</v>
      </c>
    </row>
    <row r="43" spans="1:13" s="1" customFormat="1" x14ac:dyDescent="0.3">
      <c r="A43" s="54"/>
      <c r="B43" s="54"/>
      <c r="C43" s="10"/>
      <c r="D43" s="10"/>
      <c r="E43" s="10"/>
      <c r="F43" s="10"/>
      <c r="G43" s="10"/>
      <c r="H43" s="10"/>
      <c r="I43" s="10"/>
      <c r="J43" s="50"/>
      <c r="K43" s="51"/>
    </row>
    <row r="44" spans="1:13" s="1" customFormat="1" ht="15.6" x14ac:dyDescent="0.3">
      <c r="A44" s="48">
        <f>'change estimate'!A86</f>
        <v>12</v>
      </c>
      <c r="B44" s="52" t="str">
        <f>'change estimate'!B86</f>
        <v>Provisional sum for unforseen works</v>
      </c>
      <c r="C44" s="10" t="str">
        <f>'change estimate'!H86</f>
        <v>PS</v>
      </c>
      <c r="D44" s="10">
        <f>'change estimate'!G86</f>
        <v>1</v>
      </c>
      <c r="E44" s="10">
        <f>'change estimate'!I86</f>
        <v>10000</v>
      </c>
      <c r="F44" s="10">
        <f>D44*E44</f>
        <v>10000</v>
      </c>
      <c r="G44" s="10">
        <f>V!G89</f>
        <v>1</v>
      </c>
      <c r="H44" s="10">
        <f>V!I89</f>
        <v>10000</v>
      </c>
      <c r="I44" s="10">
        <f>G44*H44</f>
        <v>10000</v>
      </c>
      <c r="J44" s="50">
        <f>I44-F44</f>
        <v>0</v>
      </c>
      <c r="K44" s="51"/>
      <c r="M44" s="1">
        <f t="shared" si="0"/>
        <v>12500</v>
      </c>
    </row>
    <row r="45" spans="1:13" s="1" customFormat="1" x14ac:dyDescent="0.3">
      <c r="A45" s="54"/>
      <c r="B45" s="54"/>
      <c r="C45" s="10"/>
      <c r="D45" s="10"/>
      <c r="E45" s="10"/>
      <c r="F45" s="10"/>
      <c r="G45" s="10"/>
      <c r="H45" s="10"/>
      <c r="I45" s="10"/>
      <c r="J45" s="50"/>
      <c r="K45" s="51"/>
    </row>
    <row r="46" spans="1:13" s="1" customFormat="1" x14ac:dyDescent="0.3">
      <c r="A46" s="48">
        <f>'change estimate'!A88</f>
        <v>13</v>
      </c>
      <c r="B46" s="55" t="str">
        <f>'change estimate'!B88</f>
        <v>Information board</v>
      </c>
      <c r="C46" s="10" t="str">
        <f>'change estimate'!H88</f>
        <v>no.</v>
      </c>
      <c r="D46" s="10">
        <f>'change estimate'!G88</f>
        <v>1</v>
      </c>
      <c r="E46" s="10">
        <f>'change estimate'!I88</f>
        <v>500</v>
      </c>
      <c r="F46" s="10">
        <f>D46*E46</f>
        <v>500</v>
      </c>
      <c r="G46" s="10">
        <f>V!G91</f>
        <v>1</v>
      </c>
      <c r="H46" s="10">
        <f>V!I91</f>
        <v>500</v>
      </c>
      <c r="I46" s="10">
        <f>G46*H46</f>
        <v>500</v>
      </c>
      <c r="J46" s="50">
        <f>I46-F46</f>
        <v>0</v>
      </c>
      <c r="K46" s="51"/>
      <c r="M46" s="1">
        <f t="shared" si="0"/>
        <v>625</v>
      </c>
    </row>
    <row r="47" spans="1:13" s="1" customFormat="1" x14ac:dyDescent="0.3">
      <c r="A47" s="54"/>
      <c r="B47" s="54"/>
      <c r="C47" s="10"/>
      <c r="D47" s="10"/>
      <c r="E47" s="10"/>
      <c r="F47" s="10"/>
      <c r="G47" s="10"/>
      <c r="H47" s="10"/>
      <c r="I47" s="10"/>
      <c r="J47" s="50"/>
      <c r="K47" s="51"/>
    </row>
    <row r="48" spans="1:13" x14ac:dyDescent="0.3">
      <c r="A48" s="4"/>
      <c r="B48" s="56" t="s">
        <v>85</v>
      </c>
      <c r="C48" s="56"/>
      <c r="D48" s="7"/>
      <c r="E48" s="7"/>
      <c r="F48" s="7">
        <f>SUM(F13:F46)</f>
        <v>471146.19871722092</v>
      </c>
      <c r="G48" s="7"/>
      <c r="H48" s="7"/>
      <c r="I48" s="7">
        <f>SUM(I13:I46)</f>
        <v>481578.64508020174</v>
      </c>
      <c r="J48" s="57">
        <f>I48-F48</f>
        <v>10432.446362980816</v>
      </c>
      <c r="K48" s="4"/>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0"/>
  <sheetViews>
    <sheetView tabSelected="1" topLeftCell="A34" zoomScaleNormal="100" zoomScaleSheetLayoutView="100" workbookViewId="0">
      <selection activeCell="I43" sqref="I43"/>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7" t="s">
        <v>0</v>
      </c>
      <c r="B1" s="67"/>
      <c r="C1" s="67"/>
      <c r="D1" s="67"/>
      <c r="E1" s="67"/>
      <c r="F1" s="67"/>
      <c r="G1" s="67"/>
      <c r="H1" s="67"/>
      <c r="I1" s="67"/>
      <c r="J1" s="67"/>
      <c r="K1" s="67"/>
    </row>
    <row r="2" spans="1:13" s="1" customFormat="1" ht="22.8" x14ac:dyDescent="0.3">
      <c r="A2" s="68" t="s">
        <v>1</v>
      </c>
      <c r="B2" s="68"/>
      <c r="C2" s="68"/>
      <c r="D2" s="68"/>
      <c r="E2" s="68"/>
      <c r="F2" s="68"/>
      <c r="G2" s="68"/>
      <c r="H2" s="68"/>
      <c r="I2" s="68"/>
      <c r="J2" s="68"/>
      <c r="K2" s="68"/>
    </row>
    <row r="3" spans="1:13" s="1" customFormat="1" x14ac:dyDescent="0.3">
      <c r="A3" s="69" t="s">
        <v>2</v>
      </c>
      <c r="B3" s="69"/>
      <c r="C3" s="69"/>
      <c r="D3" s="69"/>
      <c r="E3" s="69"/>
      <c r="F3" s="69"/>
      <c r="G3" s="69"/>
      <c r="H3" s="69"/>
      <c r="I3" s="69"/>
      <c r="J3" s="69"/>
      <c r="K3" s="69"/>
    </row>
    <row r="4" spans="1:13" s="1" customFormat="1" x14ac:dyDescent="0.3">
      <c r="A4" s="69" t="s">
        <v>3</v>
      </c>
      <c r="B4" s="69"/>
      <c r="C4" s="69"/>
      <c r="D4" s="69"/>
      <c r="E4" s="69"/>
      <c r="F4" s="69"/>
      <c r="G4" s="69"/>
      <c r="H4" s="69"/>
      <c r="I4" s="69"/>
      <c r="J4" s="69"/>
      <c r="K4" s="69"/>
    </row>
    <row r="5" spans="1:13" ht="17.399999999999999" x14ac:dyDescent="0.3">
      <c r="A5" s="70" t="s">
        <v>86</v>
      </c>
      <c r="B5" s="70"/>
      <c r="C5" s="70"/>
      <c r="D5" s="70"/>
      <c r="E5" s="70"/>
      <c r="F5" s="70"/>
      <c r="G5" s="70"/>
      <c r="H5" s="70"/>
      <c r="I5" s="70"/>
      <c r="J5" s="70"/>
      <c r="K5" s="70"/>
    </row>
    <row r="6" spans="1:13" ht="18" x14ac:dyDescent="0.35">
      <c r="A6" s="66" t="s">
        <v>34</v>
      </c>
      <c r="B6" s="66"/>
      <c r="C6" s="66"/>
      <c r="D6" s="66"/>
      <c r="E6" s="66"/>
      <c r="F6" s="66"/>
      <c r="G6" s="66"/>
      <c r="H6" s="62" t="s">
        <v>24</v>
      </c>
      <c r="I6" s="62"/>
      <c r="J6" s="62"/>
      <c r="K6" s="62"/>
    </row>
    <row r="7" spans="1:13" ht="15.6" x14ac:dyDescent="0.3">
      <c r="A7" s="61" t="s">
        <v>23</v>
      </c>
      <c r="B7" s="61"/>
      <c r="C7" s="61"/>
      <c r="D7" s="61"/>
      <c r="E7" s="61"/>
      <c r="F7" s="61"/>
      <c r="G7" s="2"/>
      <c r="H7" s="62" t="s">
        <v>25</v>
      </c>
      <c r="I7" s="62"/>
      <c r="J7" s="62"/>
      <c r="K7" s="62"/>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99</v>
      </c>
      <c r="C10" s="40">
        <v>3</v>
      </c>
      <c r="D10" s="10">
        <f>(10+(2.833-0.17-0.17-0.17))/3.281</f>
        <v>3.755867113684852</v>
      </c>
      <c r="E10" s="10">
        <v>3.54</v>
      </c>
      <c r="F10" s="10">
        <f>PRODUCT(C10:E10)</f>
        <v>39.88730874733313</v>
      </c>
      <c r="G10" s="36">
        <f>F10</f>
        <v>39.88730874733313</v>
      </c>
      <c r="H10" s="27"/>
      <c r="I10" s="27"/>
      <c r="J10" s="27"/>
      <c r="K10" s="11"/>
      <c r="M10" s="12"/>
    </row>
    <row r="11" spans="1:13" s="1" customFormat="1" x14ac:dyDescent="0.3">
      <c r="A11" s="38"/>
      <c r="B11" s="39"/>
      <c r="C11" s="40">
        <v>2</v>
      </c>
      <c r="D11" s="10">
        <f>(D10+D12)/2</f>
        <v>3.9337092349893323</v>
      </c>
      <c r="E11" s="10">
        <v>3.54</v>
      </c>
      <c r="F11" s="10">
        <f t="shared" ref="F11:F12" si="0">PRODUCT(C11:E11)</f>
        <v>27.850661383724475</v>
      </c>
      <c r="G11" s="36">
        <f t="shared" ref="G11:G12" si="1">F11</f>
        <v>27.850661383724475</v>
      </c>
      <c r="H11" s="27"/>
      <c r="I11" s="27"/>
      <c r="J11" s="27"/>
      <c r="K11" s="11"/>
      <c r="M11" s="12"/>
    </row>
    <row r="12" spans="1:13" s="1" customFormat="1" x14ac:dyDescent="0.3">
      <c r="A12" s="38"/>
      <c r="B12" s="39"/>
      <c r="C12" s="40">
        <v>3</v>
      </c>
      <c r="D12" s="10">
        <f>(10+(4-0.17-0.17-0.17))/3.281</f>
        <v>4.1115513562938126</v>
      </c>
      <c r="E12" s="10">
        <v>3.54</v>
      </c>
      <c r="F12" s="10">
        <f t="shared" si="0"/>
        <v>43.664675403840292</v>
      </c>
      <c r="G12" s="36">
        <f t="shared" si="1"/>
        <v>43.664675403840292</v>
      </c>
      <c r="H12" s="27"/>
      <c r="I12" s="27"/>
      <c r="J12" s="27"/>
      <c r="K12" s="11"/>
      <c r="M12" s="12"/>
    </row>
    <row r="13" spans="1:13" s="1" customFormat="1" ht="41.4" x14ac:dyDescent="0.3">
      <c r="A13" s="38"/>
      <c r="B13" s="39" t="s">
        <v>93</v>
      </c>
      <c r="C13" s="40">
        <v>3</v>
      </c>
      <c r="D13" s="10">
        <f>(175+175)/12/3.281</f>
        <v>8.8895661891699689</v>
      </c>
      <c r="E13" s="10">
        <v>2.4300000000000002</v>
      </c>
      <c r="F13" s="10">
        <f t="shared" ref="F13:F22" si="2">PRODUCT(C13:E13)</f>
        <v>64.804937519049076</v>
      </c>
      <c r="G13" s="36">
        <f t="shared" ref="G13:G22" si="3">F13</f>
        <v>64.804937519049076</v>
      </c>
      <c r="H13" s="27"/>
      <c r="I13" s="27"/>
      <c r="J13" s="27"/>
      <c r="K13" s="11"/>
      <c r="M13" s="12"/>
    </row>
    <row r="14" spans="1:13" s="1" customFormat="1" ht="41.4" x14ac:dyDescent="0.3">
      <c r="A14" s="38"/>
      <c r="B14" s="39" t="s">
        <v>98</v>
      </c>
      <c r="C14" s="40">
        <f>2*3</f>
        <v>6</v>
      </c>
      <c r="D14" s="10">
        <f>(16.5-0.833)/3.281</f>
        <v>4.7750685766534593</v>
      </c>
      <c r="E14" s="10">
        <v>2.4300000000000002</v>
      </c>
      <c r="F14" s="10">
        <f t="shared" si="2"/>
        <v>69.620499847607434</v>
      </c>
      <c r="G14" s="36">
        <f t="shared" si="3"/>
        <v>69.620499847607434</v>
      </c>
      <c r="H14" s="27"/>
      <c r="I14" s="27"/>
      <c r="J14" s="27"/>
      <c r="K14" s="11"/>
      <c r="M14" s="12"/>
    </row>
    <row r="15" spans="1:13" s="1" customFormat="1" ht="41.4" x14ac:dyDescent="0.3">
      <c r="A15" s="38"/>
      <c r="B15" s="39" t="s">
        <v>50</v>
      </c>
      <c r="C15" s="40">
        <f t="shared" ref="C15:C21" si="4">2*3</f>
        <v>6</v>
      </c>
      <c r="D15" s="10">
        <f>4.25/3.281</f>
        <v>1.2953367875647668</v>
      </c>
      <c r="E15" s="10">
        <v>1.83</v>
      </c>
      <c r="F15" s="10">
        <f t="shared" si="2"/>
        <v>14.222797927461139</v>
      </c>
      <c r="G15" s="36">
        <f t="shared" si="3"/>
        <v>14.222797927461139</v>
      </c>
      <c r="H15" s="27"/>
      <c r="I15" s="27"/>
      <c r="J15" s="27"/>
      <c r="K15" s="11"/>
      <c r="M15" s="12"/>
    </row>
    <row r="16" spans="1:13" s="1" customFormat="1" x14ac:dyDescent="0.3">
      <c r="A16" s="38"/>
      <c r="B16" s="39"/>
      <c r="C16" s="40">
        <f t="shared" si="4"/>
        <v>6</v>
      </c>
      <c r="D16" s="10">
        <f>4.42/3.281</f>
        <v>1.3471502590673574</v>
      </c>
      <c r="E16" s="10">
        <v>1.83</v>
      </c>
      <c r="F16" s="10">
        <f t="shared" si="2"/>
        <v>14.791709844559586</v>
      </c>
      <c r="G16" s="36">
        <f t="shared" si="3"/>
        <v>14.791709844559586</v>
      </c>
      <c r="H16" s="27"/>
      <c r="I16" s="27"/>
      <c r="J16" s="27"/>
      <c r="K16" s="11"/>
      <c r="M16" s="12"/>
    </row>
    <row r="17" spans="1:15" s="1" customFormat="1" x14ac:dyDescent="0.3">
      <c r="A17" s="38"/>
      <c r="B17" s="39"/>
      <c r="C17" s="40">
        <f t="shared" si="4"/>
        <v>6</v>
      </c>
      <c r="D17" s="10">
        <f>4.833/3.281</f>
        <v>1.4730265163060043</v>
      </c>
      <c r="E17" s="10">
        <v>1.83</v>
      </c>
      <c r="F17" s="10">
        <f t="shared" si="2"/>
        <v>16.17383114903993</v>
      </c>
      <c r="G17" s="36">
        <f t="shared" si="3"/>
        <v>16.17383114903993</v>
      </c>
      <c r="H17" s="27"/>
      <c r="I17" s="27"/>
      <c r="J17" s="27"/>
      <c r="K17" s="11"/>
      <c r="M17" s="12"/>
    </row>
    <row r="18" spans="1:15" s="1" customFormat="1" ht="41.4" x14ac:dyDescent="0.3">
      <c r="A18" s="38"/>
      <c r="B18" s="39" t="s">
        <v>49</v>
      </c>
      <c r="C18" s="40">
        <f t="shared" si="4"/>
        <v>6</v>
      </c>
      <c r="D18" s="10">
        <f>2.833/3.281</f>
        <v>0.86345626333434933</v>
      </c>
      <c r="E18" s="10">
        <v>1.83</v>
      </c>
      <c r="F18" s="10">
        <f t="shared" si="2"/>
        <v>9.4807497714111566</v>
      </c>
      <c r="G18" s="36">
        <f t="shared" si="3"/>
        <v>9.4807497714111566</v>
      </c>
      <c r="H18" s="27"/>
      <c r="I18" s="27"/>
      <c r="J18" s="27"/>
      <c r="K18" s="11"/>
      <c r="M18" s="12"/>
    </row>
    <row r="19" spans="1:15" s="1" customFormat="1" x14ac:dyDescent="0.3">
      <c r="A19" s="38"/>
      <c r="B19" s="39"/>
      <c r="C19" s="40">
        <f t="shared" si="4"/>
        <v>6</v>
      </c>
      <c r="D19" s="10">
        <f>2/3.281</f>
        <v>0.6095702529716549</v>
      </c>
      <c r="E19" s="10">
        <v>1.83</v>
      </c>
      <c r="F19" s="10">
        <f t="shared" si="2"/>
        <v>6.6930813776287712</v>
      </c>
      <c r="G19" s="36">
        <f t="shared" si="3"/>
        <v>6.6930813776287712</v>
      </c>
      <c r="H19" s="27"/>
      <c r="I19" s="27"/>
      <c r="J19" s="27"/>
      <c r="K19" s="11"/>
      <c r="M19" s="12"/>
    </row>
    <row r="20" spans="1:15" s="1" customFormat="1" x14ac:dyDescent="0.3">
      <c r="A20" s="38"/>
      <c r="B20" s="39"/>
      <c r="C20" s="40">
        <f t="shared" si="4"/>
        <v>6</v>
      </c>
      <c r="D20" s="10">
        <f>1.333/3.281</f>
        <v>0.40627857360560804</v>
      </c>
      <c r="E20" s="10">
        <v>1.83</v>
      </c>
      <c r="F20" s="10">
        <f t="shared" si="2"/>
        <v>4.4609387381895766</v>
      </c>
      <c r="G20" s="36">
        <f t="shared" si="3"/>
        <v>4.4609387381895766</v>
      </c>
      <c r="H20" s="27"/>
      <c r="I20" s="27"/>
      <c r="J20" s="27"/>
      <c r="K20" s="11"/>
      <c r="M20" s="12"/>
    </row>
    <row r="21" spans="1:15" s="1" customFormat="1" x14ac:dyDescent="0.3">
      <c r="A21" s="38"/>
      <c r="B21" s="39"/>
      <c r="C21" s="40">
        <f t="shared" si="4"/>
        <v>6</v>
      </c>
      <c r="D21" s="10">
        <f>6/12/3.281</f>
        <v>0.15239256324291373</v>
      </c>
      <c r="E21" s="10">
        <v>1.83</v>
      </c>
      <c r="F21" s="10">
        <f t="shared" si="2"/>
        <v>1.6732703444071928</v>
      </c>
      <c r="G21" s="36">
        <f t="shared" si="3"/>
        <v>1.6732703444071928</v>
      </c>
      <c r="H21" s="27"/>
      <c r="I21" s="27"/>
      <c r="J21" s="27"/>
      <c r="K21" s="11"/>
      <c r="M21" s="12"/>
    </row>
    <row r="22" spans="1:15" s="1" customFormat="1" ht="27.6" x14ac:dyDescent="0.3">
      <c r="A22" s="38"/>
      <c r="B22" s="39" t="s">
        <v>60</v>
      </c>
      <c r="C22" s="40">
        <v>14</v>
      </c>
      <c r="D22" s="10">
        <f>(142/12+145/12+22/12+22/12)/3.281</f>
        <v>8.4069897389007409</v>
      </c>
      <c r="E22" s="10">
        <v>2.4300000000000002</v>
      </c>
      <c r="F22" s="10">
        <f t="shared" si="2"/>
        <v>286.0057909174032</v>
      </c>
      <c r="G22" s="36">
        <f t="shared" si="3"/>
        <v>286.0057909174032</v>
      </c>
      <c r="H22" s="27"/>
      <c r="I22" s="27"/>
      <c r="J22" s="27"/>
      <c r="K22" s="11"/>
      <c r="M22" s="12">
        <f>(142+145)/12</f>
        <v>23.916666666666668</v>
      </c>
      <c r="O22" s="1">
        <f>(174+173)/12</f>
        <v>28.916666666666668</v>
      </c>
    </row>
    <row r="23" spans="1:15" s="1" customFormat="1" x14ac:dyDescent="0.3">
      <c r="A23" s="21"/>
      <c r="B23" s="39" t="s">
        <v>26</v>
      </c>
      <c r="C23" s="22"/>
      <c r="D23" s="23"/>
      <c r="E23" s="24"/>
      <c r="F23" s="24"/>
      <c r="G23" s="27">
        <f>SUM(G10:G22)</f>
        <v>599.330252971655</v>
      </c>
      <c r="H23" s="25" t="s">
        <v>31</v>
      </c>
      <c r="I23" s="26">
        <v>181.17</v>
      </c>
      <c r="J23" s="27">
        <f>G23*I23</f>
        <v>108580.66193087473</v>
      </c>
      <c r="K23" s="24"/>
    </row>
    <row r="24" spans="1:15" s="1" customFormat="1" x14ac:dyDescent="0.3">
      <c r="A24" s="21"/>
      <c r="B24" s="39" t="s">
        <v>39</v>
      </c>
      <c r="C24" s="22"/>
      <c r="D24" s="23"/>
      <c r="E24" s="24"/>
      <c r="F24" s="24"/>
      <c r="G24" s="27"/>
      <c r="H24" s="25"/>
      <c r="I24" s="26"/>
      <c r="J24" s="27">
        <f>0.13*G23*(1871.42/18.94)</f>
        <v>7698.4065925083369</v>
      </c>
      <c r="K24" s="24"/>
    </row>
    <row r="25" spans="1:15" s="1" customFormat="1" ht="15" x14ac:dyDescent="0.3">
      <c r="A25" s="21"/>
      <c r="B25" s="37"/>
      <c r="C25" s="22"/>
      <c r="D25" s="23"/>
      <c r="E25" s="24"/>
      <c r="F25" s="24"/>
      <c r="G25" s="28"/>
      <c r="H25" s="25"/>
      <c r="I25" s="26"/>
      <c r="J25" s="27"/>
      <c r="K25" s="24"/>
      <c r="O25" s="1">
        <f>14*12+6</f>
        <v>174</v>
      </c>
    </row>
    <row r="26" spans="1:15" s="1" customFormat="1" ht="45" x14ac:dyDescent="0.3">
      <c r="A26" s="38">
        <v>2</v>
      </c>
      <c r="B26" s="37" t="s">
        <v>32</v>
      </c>
      <c r="C26" s="40"/>
      <c r="D26" s="10"/>
      <c r="E26" s="10"/>
      <c r="F26" s="10"/>
      <c r="G26" s="36"/>
      <c r="H26" s="27"/>
      <c r="I26" s="27"/>
      <c r="J26" s="27"/>
      <c r="K26" s="11"/>
      <c r="M26" s="12"/>
    </row>
    <row r="27" spans="1:15" s="1" customFormat="1" x14ac:dyDescent="0.3">
      <c r="A27" s="38"/>
      <c r="B27" s="39"/>
      <c r="C27" s="40">
        <v>2</v>
      </c>
      <c r="D27" s="10">
        <f>16.5/3.281</f>
        <v>5.0289545870161536</v>
      </c>
      <c r="E27" s="10">
        <f>(142/12+145/12+21/12+21/12)/3.281</f>
        <v>8.3561922178197712</v>
      </c>
      <c r="F27" s="10"/>
      <c r="G27" s="36">
        <f>PRODUCT(C27:F27)</f>
        <v>84.045822367586851</v>
      </c>
      <c r="H27" s="27"/>
      <c r="I27" s="27"/>
      <c r="J27" s="27"/>
      <c r="K27" s="11"/>
      <c r="M27" s="12"/>
      <c r="N27" s="1">
        <f>(175+175)/12/3.281</f>
        <v>8.8895661891699689</v>
      </c>
      <c r="O27" s="1">
        <f>24.917/3.281</f>
        <v>7.594330996647364</v>
      </c>
    </row>
    <row r="28" spans="1:15" s="1" customFormat="1" x14ac:dyDescent="0.3">
      <c r="A28" s="21"/>
      <c r="B28" s="39" t="s">
        <v>26</v>
      </c>
      <c r="C28" s="22"/>
      <c r="D28" s="23"/>
      <c r="E28" s="24"/>
      <c r="F28" s="24"/>
      <c r="G28" s="27">
        <f>SUM(G27:G27)</f>
        <v>84.045822367586851</v>
      </c>
      <c r="H28" s="25" t="s">
        <v>33</v>
      </c>
      <c r="I28" s="26">
        <v>1070.9000000000001</v>
      </c>
      <c r="J28" s="27">
        <f>G28*I28</f>
        <v>90004.671173448762</v>
      </c>
      <c r="K28" s="24"/>
      <c r="N28" s="1">
        <f>(175+175)/12/3.281</f>
        <v>8.8895661891699689</v>
      </c>
    </row>
    <row r="29" spans="1:15" s="1" customFormat="1" x14ac:dyDescent="0.3">
      <c r="A29" s="21"/>
      <c r="B29" s="39" t="s">
        <v>39</v>
      </c>
      <c r="C29" s="22"/>
      <c r="D29" s="23"/>
      <c r="E29" s="24"/>
      <c r="F29" s="24"/>
      <c r="G29" s="27"/>
      <c r="H29" s="25"/>
      <c r="I29" s="26"/>
      <c r="J29" s="27">
        <f>0.13*G28*8587.63/10</f>
        <v>9382.8075320012777</v>
      </c>
      <c r="K29" s="24"/>
    </row>
    <row r="30" spans="1:15" s="1" customFormat="1" x14ac:dyDescent="0.3">
      <c r="A30" s="21"/>
      <c r="B30" s="39"/>
      <c r="C30" s="22"/>
      <c r="D30" s="23"/>
      <c r="E30" s="24"/>
      <c r="F30" s="24"/>
      <c r="G30" s="27"/>
      <c r="H30" s="25"/>
      <c r="I30" s="26"/>
      <c r="J30" s="27"/>
      <c r="K30" s="24"/>
    </row>
    <row r="31" spans="1:15" s="1" customFormat="1" ht="30" x14ac:dyDescent="0.3">
      <c r="A31" s="21">
        <v>3</v>
      </c>
      <c r="B31" s="37" t="s">
        <v>95</v>
      </c>
      <c r="C31" s="22"/>
      <c r="D31" s="23"/>
      <c r="E31" s="24"/>
      <c r="F31" s="24"/>
      <c r="G31" s="27"/>
      <c r="H31" s="25"/>
      <c r="I31" s="26"/>
      <c r="J31" s="27"/>
      <c r="K31" s="24"/>
    </row>
    <row r="32" spans="1:15" s="1" customFormat="1" x14ac:dyDescent="0.3">
      <c r="A32" s="21"/>
      <c r="B32" s="39" t="s">
        <v>57</v>
      </c>
      <c r="C32" s="22">
        <f>3*2+2</f>
        <v>8</v>
      </c>
      <c r="D32" s="23">
        <v>0.45</v>
      </c>
      <c r="E32" s="24">
        <v>0.45</v>
      </c>
      <c r="F32" s="24">
        <f>0.75</f>
        <v>0.75</v>
      </c>
      <c r="G32" s="36">
        <f>PRODUCT(C32:F32)</f>
        <v>1.2150000000000001</v>
      </c>
      <c r="H32" s="25"/>
      <c r="I32" s="26"/>
      <c r="J32" s="27"/>
      <c r="K32" s="24"/>
    </row>
    <row r="33" spans="1:11" s="1" customFormat="1" x14ac:dyDescent="0.3">
      <c r="A33" s="21"/>
      <c r="B33" s="39" t="s">
        <v>94</v>
      </c>
      <c r="C33" s="22">
        <f>2</f>
        <v>2</v>
      </c>
      <c r="D33" s="23">
        <f>(9.917+15)/3.281</f>
        <v>7.594330996647364</v>
      </c>
      <c r="E33" s="24">
        <v>0.3</v>
      </c>
      <c r="F33" s="24">
        <v>0.3</v>
      </c>
      <c r="G33" s="36">
        <f t="shared" ref="G33:G35" si="5">PRODUCT(C33:F33)</f>
        <v>1.3669795793965254</v>
      </c>
      <c r="H33" s="25"/>
      <c r="I33" s="26"/>
      <c r="J33" s="27"/>
      <c r="K33" s="24"/>
    </row>
    <row r="34" spans="1:11" s="1" customFormat="1" x14ac:dyDescent="0.3">
      <c r="A34" s="21"/>
      <c r="B34" s="39"/>
      <c r="C34" s="22">
        <f>2</f>
        <v>2</v>
      </c>
      <c r="D34" s="23">
        <f>(29.917-1.5)/3.281</f>
        <v>8.6610789393477603</v>
      </c>
      <c r="E34" s="24">
        <v>0.3</v>
      </c>
      <c r="F34" s="24">
        <v>0.3</v>
      </c>
      <c r="G34" s="36">
        <f t="shared" si="5"/>
        <v>1.5589942090825966</v>
      </c>
      <c r="H34" s="25"/>
      <c r="I34" s="26"/>
      <c r="J34" s="27"/>
      <c r="K34" s="24"/>
    </row>
    <row r="35" spans="1:11" s="1" customFormat="1" x14ac:dyDescent="0.3">
      <c r="A35" s="21"/>
      <c r="B35" s="39" t="s">
        <v>91</v>
      </c>
      <c r="C35" s="22">
        <v>-8</v>
      </c>
      <c r="D35" s="23">
        <v>0.45</v>
      </c>
      <c r="E35" s="24">
        <v>0.45</v>
      </c>
      <c r="F35" s="24">
        <v>0.3</v>
      </c>
      <c r="G35" s="36">
        <f t="shared" si="5"/>
        <v>-0.48599999999999999</v>
      </c>
      <c r="H35" s="25"/>
      <c r="I35" s="26"/>
      <c r="J35" s="27"/>
      <c r="K35" s="24"/>
    </row>
    <row r="36" spans="1:11" s="1" customFormat="1" x14ac:dyDescent="0.3">
      <c r="A36" s="21"/>
      <c r="B36" s="39" t="s">
        <v>26</v>
      </c>
      <c r="C36" s="22"/>
      <c r="D36" s="23"/>
      <c r="E36" s="24"/>
      <c r="F36" s="24"/>
      <c r="G36" s="27">
        <f>SUM(G32:G35)</f>
        <v>3.654973788479122</v>
      </c>
      <c r="H36" s="25" t="s">
        <v>42</v>
      </c>
      <c r="I36" s="26">
        <v>663.31</v>
      </c>
      <c r="J36" s="27">
        <f>G36*I36</f>
        <v>2424.3806636360864</v>
      </c>
      <c r="K36" s="24"/>
    </row>
    <row r="37" spans="1:11" s="1" customFormat="1" x14ac:dyDescent="0.3">
      <c r="A37" s="21"/>
      <c r="B37" s="39"/>
      <c r="C37" s="22"/>
      <c r="D37" s="23"/>
      <c r="E37" s="24"/>
      <c r="F37" s="24"/>
      <c r="G37" s="27"/>
      <c r="H37" s="25"/>
      <c r="I37" s="26"/>
      <c r="J37" s="27"/>
      <c r="K37" s="24"/>
    </row>
    <row r="38" spans="1:11" s="1" customFormat="1" ht="96.6" x14ac:dyDescent="0.3">
      <c r="A38" s="21">
        <v>4</v>
      </c>
      <c r="B38" s="85" t="s">
        <v>96</v>
      </c>
      <c r="C38" s="22"/>
      <c r="D38" s="23"/>
      <c r="E38" s="24"/>
      <c r="F38" s="24"/>
      <c r="G38" s="27"/>
      <c r="H38" s="25"/>
      <c r="I38" s="26"/>
      <c r="J38" s="27"/>
      <c r="K38" s="24"/>
    </row>
    <row r="39" spans="1:11" s="1" customFormat="1" x14ac:dyDescent="0.3">
      <c r="A39" s="21"/>
      <c r="B39" s="39" t="s">
        <v>97</v>
      </c>
      <c r="C39" s="86">
        <v>0.5</v>
      </c>
      <c r="D39" s="23">
        <f>(29.917-0.75-0.75)/3.281</f>
        <v>8.6610789393477603</v>
      </c>
      <c r="E39" s="24">
        <f>(9.917+15-0.75-0.75)/3.281</f>
        <v>7.1371533069186226</v>
      </c>
      <c r="F39" s="24">
        <v>0.45</v>
      </c>
      <c r="G39" s="36">
        <f>PRODUCT(C39:F39)</f>
        <v>13.908475843526048</v>
      </c>
      <c r="H39" s="25"/>
      <c r="I39" s="26"/>
      <c r="J39" s="27"/>
      <c r="K39" s="24"/>
    </row>
    <row r="40" spans="1:11" s="1" customFormat="1" x14ac:dyDescent="0.3">
      <c r="A40" s="21"/>
      <c r="B40" s="39" t="s">
        <v>26</v>
      </c>
      <c r="C40" s="22"/>
      <c r="D40" s="23"/>
      <c r="E40" s="24"/>
      <c r="F40" s="24"/>
      <c r="G40" s="27">
        <f>SUM(G39)</f>
        <v>13.908475843526048</v>
      </c>
      <c r="H40" s="25" t="s">
        <v>42</v>
      </c>
      <c r="I40" s="26">
        <v>404.28</v>
      </c>
      <c r="J40" s="27">
        <f>G40*I40</f>
        <v>5622.9186140207103</v>
      </c>
      <c r="K40" s="24"/>
    </row>
    <row r="41" spans="1:11" s="1" customFormat="1" x14ac:dyDescent="0.3">
      <c r="A41" s="21"/>
      <c r="B41" s="85"/>
      <c r="C41" s="22"/>
      <c r="D41" s="23"/>
      <c r="E41" s="24"/>
      <c r="F41" s="24"/>
      <c r="G41" s="27"/>
      <c r="H41" s="25"/>
      <c r="I41" s="26"/>
      <c r="J41" s="27"/>
      <c r="K41" s="24"/>
    </row>
    <row r="42" spans="1:11" s="1" customFormat="1" ht="15" x14ac:dyDescent="0.3">
      <c r="A42" s="21">
        <v>5</v>
      </c>
      <c r="B42" s="37" t="s">
        <v>54</v>
      </c>
      <c r="C42" s="22"/>
      <c r="D42" s="23"/>
      <c r="E42" s="24"/>
      <c r="F42" s="24"/>
      <c r="G42" s="27"/>
      <c r="H42" s="25"/>
      <c r="I42" s="26"/>
      <c r="J42" s="27"/>
      <c r="K42" s="24"/>
    </row>
    <row r="43" spans="1:11" s="1" customFormat="1" x14ac:dyDescent="0.3">
      <c r="A43" s="21"/>
      <c r="B43" s="39" t="str">
        <f>B32</f>
        <v>-for footing</v>
      </c>
      <c r="C43" s="22">
        <v>8</v>
      </c>
      <c r="D43" s="23">
        <v>0.45</v>
      </c>
      <c r="E43" s="24">
        <v>0.45</v>
      </c>
      <c r="F43" s="24"/>
      <c r="G43" s="36">
        <f>PRODUCT(C43:F43)</f>
        <v>1.62</v>
      </c>
      <c r="H43" s="25"/>
      <c r="I43" s="26"/>
      <c r="J43" s="27"/>
      <c r="K43" s="24"/>
    </row>
    <row r="44" spans="1:11" s="1" customFormat="1" x14ac:dyDescent="0.3">
      <c r="A44" s="21"/>
      <c r="B44" s="39" t="s">
        <v>63</v>
      </c>
      <c r="C44" s="22">
        <v>2</v>
      </c>
      <c r="D44" s="23">
        <f>(29.917-1.5)/3.281</f>
        <v>8.6610789393477603</v>
      </c>
      <c r="E44" s="24">
        <v>0.23</v>
      </c>
      <c r="F44" s="24"/>
      <c r="G44" s="36">
        <f>PRODUCT(C44:F44)</f>
        <v>3.9840963120999699</v>
      </c>
      <c r="H44" s="25"/>
      <c r="I44" s="26"/>
      <c r="J44" s="27"/>
      <c r="K44" s="24"/>
    </row>
    <row r="45" spans="1:11" s="1" customFormat="1" x14ac:dyDescent="0.3">
      <c r="A45" s="21"/>
      <c r="B45" s="39"/>
      <c r="C45" s="22">
        <v>2</v>
      </c>
      <c r="D45" s="23">
        <f>(9.917+15)/3.281</f>
        <v>7.594330996647364</v>
      </c>
      <c r="E45" s="24">
        <v>0.23</v>
      </c>
      <c r="F45" s="24"/>
      <c r="G45" s="36">
        <f>PRODUCT(C45:F45)</f>
        <v>3.4933922584577877</v>
      </c>
      <c r="H45" s="25"/>
      <c r="I45" s="26"/>
      <c r="J45" s="27"/>
      <c r="K45" s="24"/>
    </row>
    <row r="46" spans="1:11" s="1" customFormat="1" x14ac:dyDescent="0.3">
      <c r="A46" s="21"/>
      <c r="B46" s="39" t="s">
        <v>91</v>
      </c>
      <c r="C46" s="22">
        <v>-8</v>
      </c>
      <c r="D46" s="23">
        <v>0.45</v>
      </c>
      <c r="E46" s="24">
        <v>0.23</v>
      </c>
      <c r="F46" s="24"/>
      <c r="G46" s="36">
        <f t="shared" ref="G46" si="6">PRODUCT(C46:F46)</f>
        <v>-0.82800000000000007</v>
      </c>
      <c r="H46" s="25"/>
      <c r="I46" s="26"/>
      <c r="J46" s="27"/>
      <c r="K46" s="24"/>
    </row>
    <row r="47" spans="1:11" s="1" customFormat="1" x14ac:dyDescent="0.3">
      <c r="A47" s="21"/>
      <c r="B47" s="39" t="s">
        <v>26</v>
      </c>
      <c r="C47" s="22"/>
      <c r="D47" s="23"/>
      <c r="E47" s="24"/>
      <c r="F47" s="24"/>
      <c r="G47" s="27">
        <f>SUM(G43:G46)</f>
        <v>8.2694885705577583</v>
      </c>
      <c r="H47" s="25" t="s">
        <v>33</v>
      </c>
      <c r="I47" s="26">
        <v>1014.97</v>
      </c>
      <c r="J47" s="27">
        <f>G47*I47</f>
        <v>8393.2828144590076</v>
      </c>
      <c r="K47" s="24"/>
    </row>
    <row r="48" spans="1:11" s="1" customFormat="1" x14ac:dyDescent="0.3">
      <c r="A48" s="21"/>
      <c r="B48" s="39" t="s">
        <v>39</v>
      </c>
      <c r="C48" s="22"/>
      <c r="D48" s="23"/>
      <c r="E48" s="24"/>
      <c r="F48" s="24"/>
      <c r="G48" s="27"/>
      <c r="H48" s="25"/>
      <c r="I48" s="26"/>
      <c r="J48" s="27">
        <f>0.13*G47*8617.2/10</f>
        <v>926.37787983273427</v>
      </c>
      <c r="K48" s="24"/>
    </row>
    <row r="49" spans="1:11" s="1" customFormat="1" x14ac:dyDescent="0.3">
      <c r="A49" s="21"/>
      <c r="B49" s="39"/>
      <c r="C49" s="22"/>
      <c r="D49" s="23"/>
      <c r="E49" s="24"/>
      <c r="F49" s="24"/>
      <c r="G49" s="27"/>
      <c r="H49" s="25"/>
      <c r="I49" s="26"/>
      <c r="J49" s="27"/>
      <c r="K49" s="24"/>
    </row>
    <row r="50" spans="1:11" s="1" customFormat="1" ht="82.8" x14ac:dyDescent="0.3">
      <c r="A50" s="21">
        <v>7</v>
      </c>
      <c r="B50" s="85" t="s">
        <v>92</v>
      </c>
      <c r="C50" s="22"/>
      <c r="D50" s="23"/>
      <c r="E50" s="24"/>
      <c r="F50" s="24"/>
      <c r="G50" s="27"/>
      <c r="H50" s="25"/>
      <c r="I50" s="26"/>
      <c r="J50" s="27"/>
      <c r="K50" s="24"/>
    </row>
    <row r="51" spans="1:11" s="1" customFormat="1" x14ac:dyDescent="0.3">
      <c r="A51" s="21"/>
      <c r="B51" s="39" t="s">
        <v>56</v>
      </c>
      <c r="C51" s="22">
        <v>1</v>
      </c>
      <c r="D51" s="23">
        <f>(29.917-0.75-0.75)/3.281</f>
        <v>8.6610789393477603</v>
      </c>
      <c r="E51" s="24">
        <f>(9.917+15-0.75-0.75)/3.281</f>
        <v>7.1371533069186226</v>
      </c>
      <c r="F51" s="24">
        <v>0.15</v>
      </c>
      <c r="G51" s="36">
        <f>PRODUCT(C51:F51)</f>
        <v>9.2723172290173643</v>
      </c>
      <c r="H51" s="25"/>
      <c r="I51" s="26"/>
      <c r="J51" s="27"/>
      <c r="K51" s="24"/>
    </row>
    <row r="52" spans="1:11" s="1" customFormat="1" x14ac:dyDescent="0.3">
      <c r="A52" s="21"/>
      <c r="B52" s="39" t="s">
        <v>26</v>
      </c>
      <c r="C52" s="22"/>
      <c r="D52" s="23"/>
      <c r="E52" s="24"/>
      <c r="F52" s="24"/>
      <c r="G52" s="27">
        <f>SUM(G51)</f>
        <v>9.2723172290173643</v>
      </c>
      <c r="H52" s="25" t="s">
        <v>42</v>
      </c>
      <c r="I52" s="26">
        <v>4434.5200000000004</v>
      </c>
      <c r="J52" s="27">
        <f>G52*I52</f>
        <v>41118.276198422085</v>
      </c>
      <c r="K52" s="24"/>
    </row>
    <row r="53" spans="1:11" s="1" customFormat="1" x14ac:dyDescent="0.3">
      <c r="A53" s="21"/>
      <c r="B53" s="39" t="s">
        <v>39</v>
      </c>
      <c r="C53" s="22"/>
      <c r="D53" s="23"/>
      <c r="E53" s="24"/>
      <c r="F53" s="24"/>
      <c r="G53" s="27"/>
      <c r="H53" s="25"/>
      <c r="I53" s="26"/>
      <c r="J53" s="27">
        <f>0.13*G52*14817.6/5</f>
        <v>3572.2306820898802</v>
      </c>
      <c r="K53" s="24"/>
    </row>
    <row r="54" spans="1:11" s="1" customFormat="1" x14ac:dyDescent="0.3">
      <c r="A54" s="21"/>
      <c r="B54" s="39"/>
      <c r="C54" s="22"/>
      <c r="D54" s="23"/>
      <c r="E54" s="24"/>
      <c r="F54" s="24"/>
      <c r="G54" s="27"/>
      <c r="H54" s="25"/>
      <c r="I54" s="26"/>
      <c r="J54" s="27"/>
      <c r="K54" s="24"/>
    </row>
    <row r="55" spans="1:11" s="1" customFormat="1" ht="30" x14ac:dyDescent="0.3">
      <c r="A55" s="21">
        <v>8</v>
      </c>
      <c r="B55" s="37" t="s">
        <v>44</v>
      </c>
      <c r="C55" s="22"/>
      <c r="D55" s="23"/>
      <c r="E55" s="24"/>
      <c r="F55" s="24"/>
      <c r="G55" s="27"/>
      <c r="H55" s="25"/>
      <c r="I55" s="26"/>
      <c r="J55" s="27"/>
      <c r="K55" s="24"/>
    </row>
    <row r="56" spans="1:11" s="1" customFormat="1" x14ac:dyDescent="0.3">
      <c r="A56" s="21"/>
      <c r="B56" s="39" t="str">
        <f>B32</f>
        <v>-for footing</v>
      </c>
      <c r="C56" s="22">
        <f>C43</f>
        <v>8</v>
      </c>
      <c r="D56" s="23">
        <v>0.3</v>
      </c>
      <c r="E56" s="24">
        <v>0.3</v>
      </c>
      <c r="F56" s="24">
        <v>0.05</v>
      </c>
      <c r="G56" s="36">
        <f>PRODUCT(C56:F56)</f>
        <v>3.5999999999999997E-2</v>
      </c>
      <c r="H56" s="25"/>
      <c r="I56" s="26"/>
      <c r="J56" s="27"/>
      <c r="K56" s="24"/>
    </row>
    <row r="57" spans="1:11" s="1" customFormat="1" x14ac:dyDescent="0.3">
      <c r="A57" s="21"/>
      <c r="B57" s="39" t="s">
        <v>88</v>
      </c>
      <c r="C57" s="22">
        <v>1</v>
      </c>
      <c r="D57" s="23">
        <f>29.917/3.281</f>
        <v>9.1182566290765017</v>
      </c>
      <c r="E57" s="24">
        <f>(9.917+15)/3.281</f>
        <v>7.594330996647364</v>
      </c>
      <c r="F57" s="24">
        <v>7.4999999999999997E-2</v>
      </c>
      <c r="G57" s="36">
        <f>PRODUCT(C57:F57)</f>
        <v>5.1935294215185737</v>
      </c>
      <c r="H57" s="25"/>
      <c r="I57" s="26"/>
      <c r="J57" s="27"/>
      <c r="K57" s="24"/>
    </row>
    <row r="58" spans="1:11" s="1" customFormat="1" x14ac:dyDescent="0.3">
      <c r="A58" s="21"/>
      <c r="B58" s="39" t="s">
        <v>26</v>
      </c>
      <c r="C58" s="22"/>
      <c r="D58" s="23"/>
      <c r="E58" s="24"/>
      <c r="F58" s="24"/>
      <c r="G58" s="27">
        <f>SUM(G56:G57)</f>
        <v>5.2295294215185733</v>
      </c>
      <c r="H58" s="25" t="s">
        <v>42</v>
      </c>
      <c r="I58" s="26">
        <v>12983.1</v>
      </c>
      <c r="J58" s="27">
        <f>G58*I58</f>
        <v>67895.503432517784</v>
      </c>
      <c r="K58" s="24"/>
    </row>
    <row r="59" spans="1:11" s="1" customFormat="1" x14ac:dyDescent="0.3">
      <c r="A59" s="21"/>
      <c r="B59" s="39" t="s">
        <v>39</v>
      </c>
      <c r="C59" s="22"/>
      <c r="D59" s="23"/>
      <c r="E59" s="24"/>
      <c r="F59" s="24"/>
      <c r="G59" s="27"/>
      <c r="H59" s="25"/>
      <c r="I59" s="26"/>
      <c r="J59" s="27">
        <f>0.13*G58*8078.11</f>
        <v>5491.8128089842421</v>
      </c>
      <c r="K59" s="24"/>
    </row>
    <row r="60" spans="1:11" s="1" customFormat="1" x14ac:dyDescent="0.3">
      <c r="A60" s="21"/>
      <c r="B60" s="39"/>
      <c r="C60" s="22"/>
      <c r="D60" s="23"/>
      <c r="E60" s="24"/>
      <c r="F60" s="24"/>
      <c r="G60" s="27"/>
      <c r="H60" s="25"/>
      <c r="I60" s="26"/>
      <c r="J60" s="27"/>
      <c r="K60" s="24"/>
    </row>
    <row r="61" spans="1:11" s="1" customFormat="1" ht="43.2" x14ac:dyDescent="0.3">
      <c r="A61" s="21">
        <v>9</v>
      </c>
      <c r="B61" s="37" t="s">
        <v>64</v>
      </c>
      <c r="C61" s="22" t="s">
        <v>65</v>
      </c>
      <c r="D61" s="34" t="s">
        <v>27</v>
      </c>
      <c r="E61" s="35" t="s">
        <v>29</v>
      </c>
      <c r="F61" s="35" t="s">
        <v>66</v>
      </c>
      <c r="G61" s="42" t="s">
        <v>67</v>
      </c>
      <c r="H61" s="25"/>
      <c r="I61" s="26"/>
      <c r="J61" s="27"/>
      <c r="K61" s="24"/>
    </row>
    <row r="62" spans="1:11" s="1" customFormat="1" x14ac:dyDescent="0.3">
      <c r="A62" s="21"/>
      <c r="B62" s="39" t="s">
        <v>63</v>
      </c>
      <c r="C62" s="22">
        <v>2</v>
      </c>
      <c r="D62" s="34">
        <f>(142+145)/12/3.281</f>
        <v>7.289444275119374</v>
      </c>
      <c r="E62" s="35">
        <f>10*10/162</f>
        <v>0.61728395061728392</v>
      </c>
      <c r="F62" s="35">
        <f>PRODUCT(C62:E62)</f>
        <v>8.9993139199004606</v>
      </c>
      <c r="G62" s="43">
        <f>F62/1000</f>
        <v>8.9993139199004597E-3</v>
      </c>
      <c r="H62" s="25"/>
      <c r="I62" s="26"/>
      <c r="J62" s="27"/>
      <c r="K62" s="24"/>
    </row>
    <row r="63" spans="1:11" s="1" customFormat="1" x14ac:dyDescent="0.3">
      <c r="A63" s="21"/>
      <c r="B63" s="39" t="s">
        <v>69</v>
      </c>
      <c r="C63" s="22">
        <f>((TRUNC((D62-0.15-0.15-0.15)/0.15,0))+1)-5</f>
        <v>41</v>
      </c>
      <c r="D63" s="34">
        <f>(0.583+0.17)/3.281</f>
        <v>0.22950320024382809</v>
      </c>
      <c r="E63" s="35">
        <f>8*8/162</f>
        <v>0.39506172839506171</v>
      </c>
      <c r="F63" s="35">
        <f>PRODUCT(C63:E63)</f>
        <v>3.7173851693815116</v>
      </c>
      <c r="G63" s="84">
        <f>F63/1000</f>
        <v>3.7173851693815116E-3</v>
      </c>
      <c r="H63" s="25"/>
      <c r="I63" s="26"/>
      <c r="J63" s="27"/>
      <c r="K63" s="24"/>
    </row>
    <row r="64" spans="1:11" s="1" customFormat="1" x14ac:dyDescent="0.3">
      <c r="A64" s="21"/>
      <c r="B64" s="39" t="s">
        <v>63</v>
      </c>
      <c r="C64" s="22">
        <v>2</v>
      </c>
      <c r="D64" s="34">
        <f>(174+173)/12/3.281</f>
        <v>8.8133699075485108</v>
      </c>
      <c r="E64" s="35">
        <f>10*10/162</f>
        <v>0.61728395061728392</v>
      </c>
      <c r="F64" s="35">
        <f>PRODUCT(C64:E64)</f>
        <v>10.880703589566062</v>
      </c>
      <c r="G64" s="43">
        <f>F64/1000</f>
        <v>1.0880703589566063E-2</v>
      </c>
      <c r="H64" s="25"/>
      <c r="I64" s="26"/>
      <c r="J64" s="27"/>
      <c r="K64" s="24"/>
    </row>
    <row r="65" spans="1:11" s="1" customFormat="1" x14ac:dyDescent="0.3">
      <c r="A65" s="21"/>
      <c r="B65" s="39" t="s">
        <v>69</v>
      </c>
      <c r="C65" s="22">
        <f>((TRUNC((D64-0.15-0.15-0.15)/0.15,0))+1)-5</f>
        <v>51</v>
      </c>
      <c r="D65" s="34">
        <f>(0.583+0.17)/3.281</f>
        <v>0.22950320024382809</v>
      </c>
      <c r="E65" s="35">
        <f>8*8/162</f>
        <v>0.39506172839506171</v>
      </c>
      <c r="F65" s="35">
        <f>PRODUCT(C65:E65)</f>
        <v>4.6240644789867584</v>
      </c>
      <c r="G65" s="43">
        <f>F65/1000</f>
        <v>4.624064478986758E-3</v>
      </c>
      <c r="H65" s="25"/>
      <c r="I65" s="26"/>
      <c r="J65" s="27"/>
      <c r="K65" s="24"/>
    </row>
    <row r="66" spans="1:11" s="1" customFormat="1" x14ac:dyDescent="0.3">
      <c r="A66" s="21"/>
      <c r="B66" s="39" t="s">
        <v>26</v>
      </c>
      <c r="C66" s="22"/>
      <c r="D66" s="23"/>
      <c r="E66" s="24"/>
      <c r="F66" s="24"/>
      <c r="G66" s="27">
        <f>SUM(G62:G65)</f>
        <v>2.8221467157834794E-2</v>
      </c>
      <c r="H66" s="25" t="s">
        <v>70</v>
      </c>
      <c r="I66" s="26">
        <v>131940</v>
      </c>
      <c r="J66" s="27">
        <f>G66*I66</f>
        <v>3723.5403768047227</v>
      </c>
      <c r="K66" s="24"/>
    </row>
    <row r="67" spans="1:11" s="1" customFormat="1" x14ac:dyDescent="0.3">
      <c r="A67" s="21"/>
      <c r="B67" s="39" t="s">
        <v>39</v>
      </c>
      <c r="C67" s="22"/>
      <c r="D67" s="23"/>
      <c r="E67" s="24"/>
      <c r="F67" s="24"/>
      <c r="G67" s="27"/>
      <c r="H67" s="25"/>
      <c r="I67" s="26"/>
      <c r="J67" s="27">
        <f>0.13*G66*106200</f>
        <v>389.62557558106715</v>
      </c>
      <c r="K67" s="24"/>
    </row>
    <row r="68" spans="1:11" s="1" customFormat="1" x14ac:dyDescent="0.3">
      <c r="A68" s="21"/>
      <c r="B68" s="39"/>
      <c r="C68" s="22"/>
      <c r="D68" s="23"/>
      <c r="E68" s="24"/>
      <c r="F68" s="24"/>
      <c r="G68" s="27"/>
      <c r="H68" s="25"/>
      <c r="I68" s="26"/>
      <c r="J68" s="27"/>
      <c r="K68" s="24"/>
    </row>
    <row r="69" spans="1:11" s="1" customFormat="1" ht="30" x14ac:dyDescent="0.3">
      <c r="A69" s="21">
        <v>10</v>
      </c>
      <c r="B69" s="37" t="s">
        <v>71</v>
      </c>
      <c r="C69" s="22"/>
      <c r="D69" s="23"/>
      <c r="E69" s="24"/>
      <c r="F69" s="24"/>
      <c r="G69" s="27"/>
      <c r="H69" s="25"/>
      <c r="I69" s="26"/>
      <c r="J69" s="27"/>
      <c r="K69" s="24"/>
    </row>
    <row r="70" spans="1:11" s="1" customFormat="1" x14ac:dyDescent="0.3">
      <c r="A70" s="21"/>
      <c r="B70" s="39" t="s">
        <v>68</v>
      </c>
      <c r="C70" s="22">
        <v>2</v>
      </c>
      <c r="D70" s="23">
        <f>0.23*4</f>
        <v>0.92</v>
      </c>
      <c r="E70" s="24"/>
      <c r="F70" s="24">
        <f>((54-6+34-6)/2)/12/3.281-0.07</f>
        <v>0.89515290053845353</v>
      </c>
      <c r="G70" s="36">
        <f t="shared" ref="G70" si="7">PRODUCT(C70:F70)</f>
        <v>1.6470813369907547</v>
      </c>
      <c r="H70" s="25"/>
      <c r="I70" s="26"/>
      <c r="J70" s="27"/>
      <c r="K70" s="24"/>
    </row>
    <row r="71" spans="1:11" s="1" customFormat="1" x14ac:dyDescent="0.3">
      <c r="A71" s="21"/>
      <c r="B71" s="39" t="s">
        <v>26</v>
      </c>
      <c r="C71" s="22"/>
      <c r="D71" s="23"/>
      <c r="E71" s="24"/>
      <c r="F71" s="24"/>
      <c r="G71" s="27">
        <f>SUM(G70:G70)</f>
        <v>1.6470813369907547</v>
      </c>
      <c r="H71" s="25" t="s">
        <v>33</v>
      </c>
      <c r="I71" s="26">
        <v>915.42</v>
      </c>
      <c r="J71" s="27">
        <f>G71*I71</f>
        <v>1507.7711975080765</v>
      </c>
      <c r="K71" s="24"/>
    </row>
    <row r="72" spans="1:11" s="1" customFormat="1" x14ac:dyDescent="0.3">
      <c r="A72" s="21"/>
      <c r="B72" s="39" t="s">
        <v>39</v>
      </c>
      <c r="C72" s="22"/>
      <c r="D72" s="23"/>
      <c r="E72" s="24"/>
      <c r="F72" s="24"/>
      <c r="G72" s="27"/>
      <c r="H72" s="25"/>
      <c r="I72" s="26"/>
      <c r="J72" s="27">
        <f>0.13*G71*46827.87/100</f>
        <v>100.26810394643805</v>
      </c>
      <c r="K72" s="24"/>
    </row>
    <row r="73" spans="1:11" s="1" customFormat="1" x14ac:dyDescent="0.3">
      <c r="A73" s="21"/>
      <c r="B73" s="39"/>
      <c r="C73" s="22"/>
      <c r="D73" s="23"/>
      <c r="E73" s="24"/>
      <c r="F73" s="24"/>
      <c r="G73" s="27"/>
      <c r="H73" s="25"/>
      <c r="I73" s="26"/>
      <c r="J73" s="27"/>
      <c r="K73" s="24"/>
    </row>
    <row r="74" spans="1:11" s="1" customFormat="1" ht="30" x14ac:dyDescent="0.3">
      <c r="A74" s="21">
        <v>11</v>
      </c>
      <c r="B74" s="37" t="s">
        <v>45</v>
      </c>
      <c r="C74" s="22"/>
      <c r="D74" s="23"/>
      <c r="E74" s="24"/>
      <c r="F74" s="24"/>
      <c r="G74" s="27"/>
      <c r="H74" s="25"/>
      <c r="I74" s="26"/>
      <c r="J74" s="27"/>
      <c r="K74" s="24"/>
    </row>
    <row r="75" spans="1:11" s="1" customFormat="1" x14ac:dyDescent="0.3">
      <c r="A75" s="21"/>
      <c r="B75" s="39" t="str">
        <f>B70</f>
        <v>-for column</v>
      </c>
      <c r="C75" s="22">
        <v>2</v>
      </c>
      <c r="D75" s="23">
        <v>0.23</v>
      </c>
      <c r="E75" s="24">
        <v>0.23</v>
      </c>
      <c r="F75" s="24">
        <v>0.45</v>
      </c>
      <c r="G75" s="36">
        <f t="shared" ref="G75:G77" si="8">PRODUCT(C75:F75)</f>
        <v>4.7610000000000006E-2</v>
      </c>
      <c r="H75" s="25"/>
      <c r="I75" s="26"/>
      <c r="J75" s="27"/>
      <c r="K75" s="24"/>
    </row>
    <row r="76" spans="1:11" s="1" customFormat="1" x14ac:dyDescent="0.3">
      <c r="A76" s="21"/>
      <c r="B76" s="39" t="s">
        <v>61</v>
      </c>
      <c r="C76" s="22">
        <v>2</v>
      </c>
      <c r="D76" s="23">
        <f>(29.917-0.75-0.75)/3.281</f>
        <v>8.6610789393477603</v>
      </c>
      <c r="E76" s="24">
        <v>0.23</v>
      </c>
      <c r="F76" s="24">
        <v>0.125</v>
      </c>
      <c r="G76" s="36">
        <f t="shared" si="8"/>
        <v>0.49801203901249624</v>
      </c>
      <c r="H76" s="25"/>
      <c r="I76" s="26"/>
      <c r="J76" s="27"/>
      <c r="K76" s="24"/>
    </row>
    <row r="77" spans="1:11" s="1" customFormat="1" x14ac:dyDescent="0.3">
      <c r="A77" s="21"/>
      <c r="B77" s="39"/>
      <c r="C77" s="22">
        <v>2</v>
      </c>
      <c r="D77" s="23">
        <f>(9.917+15)/3.281</f>
        <v>7.594330996647364</v>
      </c>
      <c r="E77" s="24">
        <v>0.23</v>
      </c>
      <c r="F77" s="24">
        <v>0.125</v>
      </c>
      <c r="G77" s="36">
        <f t="shared" si="8"/>
        <v>0.43667403230722346</v>
      </c>
      <c r="H77" s="25"/>
      <c r="I77" s="26"/>
      <c r="J77" s="27"/>
      <c r="K77" s="24"/>
    </row>
    <row r="78" spans="1:11" s="1" customFormat="1" x14ac:dyDescent="0.3">
      <c r="A78" s="21"/>
      <c r="B78" s="39" t="s">
        <v>26</v>
      </c>
      <c r="C78" s="22"/>
      <c r="D78" s="23"/>
      <c r="E78" s="24"/>
      <c r="F78" s="24"/>
      <c r="G78" s="27">
        <f>SUM(G75:G77)</f>
        <v>0.98229607131971974</v>
      </c>
      <c r="H78" s="25" t="s">
        <v>42</v>
      </c>
      <c r="I78" s="26">
        <v>13568.9</v>
      </c>
      <c r="J78" s="27">
        <f>G78*I78</f>
        <v>13328.677162130145</v>
      </c>
      <c r="K78" s="24"/>
    </row>
    <row r="79" spans="1:11" s="1" customFormat="1" x14ac:dyDescent="0.3">
      <c r="A79" s="21"/>
      <c r="B79" s="39" t="s">
        <v>39</v>
      </c>
      <c r="C79" s="22"/>
      <c r="D79" s="23"/>
      <c r="E79" s="24"/>
      <c r="F79" s="24"/>
      <c r="G79" s="27"/>
      <c r="H79" s="25"/>
      <c r="I79" s="26"/>
      <c r="J79" s="27">
        <f>0.13*G78*9524.2</f>
        <v>1216.2259515202259</v>
      </c>
      <c r="K79" s="24"/>
    </row>
    <row r="80" spans="1:11" s="1" customFormat="1" x14ac:dyDescent="0.3">
      <c r="A80" s="21"/>
      <c r="B80" s="39"/>
      <c r="C80" s="22"/>
      <c r="D80" s="23"/>
      <c r="E80" s="24"/>
      <c r="F80" s="24"/>
      <c r="G80" s="27"/>
      <c r="H80" s="25"/>
      <c r="I80" s="26"/>
      <c r="J80" s="27"/>
      <c r="K80" s="24"/>
    </row>
    <row r="81" spans="1:31" s="1" customFormat="1" ht="30" x14ac:dyDescent="0.3">
      <c r="A81" s="21">
        <v>12</v>
      </c>
      <c r="B81" s="37" t="s">
        <v>53</v>
      </c>
      <c r="C81" s="22"/>
      <c r="D81" s="23"/>
      <c r="E81" s="24"/>
      <c r="F81" s="24"/>
      <c r="G81" s="27"/>
      <c r="H81" s="25"/>
      <c r="I81" s="26"/>
      <c r="J81" s="27"/>
      <c r="K81" s="24"/>
    </row>
    <row r="82" spans="1:31" s="1" customFormat="1" x14ac:dyDescent="0.3">
      <c r="A82" s="21"/>
      <c r="B82" s="39" t="s">
        <v>57</v>
      </c>
      <c r="C82" s="22">
        <v>6</v>
      </c>
      <c r="D82" s="23">
        <v>0.45</v>
      </c>
      <c r="E82" s="24">
        <v>0.45</v>
      </c>
      <c r="F82" s="24">
        <v>7.4999999999999997E-2</v>
      </c>
      <c r="G82" s="36">
        <f>PRODUCT(C82:F82)</f>
        <v>9.1124999999999998E-2</v>
      </c>
      <c r="H82" s="25"/>
      <c r="I82" s="26"/>
      <c r="J82" s="27"/>
      <c r="K82" s="24"/>
    </row>
    <row r="83" spans="1:31" s="1" customFormat="1" x14ac:dyDescent="0.3">
      <c r="A83" s="21"/>
      <c r="B83" s="39" t="s">
        <v>89</v>
      </c>
      <c r="C83" s="22">
        <v>2</v>
      </c>
      <c r="D83" s="23">
        <f>(29.917-0.75-0.75-0.75)/3.281</f>
        <v>8.4324900944833896</v>
      </c>
      <c r="E83" s="24">
        <v>0.23</v>
      </c>
      <c r="F83" s="24">
        <f>(47-2)/12/3.281-(45-36)/12/3.281</f>
        <v>0.91435537945748246</v>
      </c>
      <c r="G83" s="36">
        <f>PRODUCT(C83:F83)</f>
        <v>3.5467346328518983</v>
      </c>
      <c r="H83" s="25"/>
      <c r="I83" s="26"/>
      <c r="J83" s="27"/>
      <c r="K83" s="24"/>
    </row>
    <row r="84" spans="1:31" s="1" customFormat="1" x14ac:dyDescent="0.3">
      <c r="A84" s="21"/>
      <c r="B84" s="39"/>
      <c r="C84" s="22">
        <v>2</v>
      </c>
      <c r="D84" s="23">
        <f>(9.917+15-0.75)/3.281</f>
        <v>7.3657421517829933</v>
      </c>
      <c r="E84" s="24">
        <v>0.23</v>
      </c>
      <c r="F84" s="24">
        <f>(2.833-0.17)/3.281</f>
        <v>0.81164279183175869</v>
      </c>
      <c r="G84" s="36">
        <f>PRODUCT(C84:F84)</f>
        <v>2.7500417010335667</v>
      </c>
      <c r="H84" s="25"/>
      <c r="I84" s="26"/>
      <c r="J84" s="27"/>
      <c r="K84" s="24"/>
    </row>
    <row r="85" spans="1:31" s="1" customFormat="1" x14ac:dyDescent="0.3">
      <c r="A85" s="21"/>
      <c r="B85" s="39" t="s">
        <v>90</v>
      </c>
      <c r="C85" s="22">
        <v>-8</v>
      </c>
      <c r="D85" s="23">
        <v>7.4999999999999997E-2</v>
      </c>
      <c r="E85" s="24">
        <v>7.4999999999999997E-2</v>
      </c>
      <c r="F85" s="24">
        <f>(F83+F84)/2</f>
        <v>0.86299908564462058</v>
      </c>
      <c r="G85" s="36">
        <f>PRODUCT(C85:F85)</f>
        <v>-3.8834958854007923E-2</v>
      </c>
      <c r="H85" s="25"/>
      <c r="I85" s="26"/>
      <c r="J85" s="27"/>
      <c r="K85" s="24"/>
    </row>
    <row r="86" spans="1:31" s="1" customFormat="1" x14ac:dyDescent="0.3">
      <c r="A86" s="21"/>
      <c r="B86" s="39" t="s">
        <v>26</v>
      </c>
      <c r="C86" s="22"/>
      <c r="D86" s="23"/>
      <c r="E86" s="24"/>
      <c r="F86" s="24"/>
      <c r="G86" s="27">
        <f>SUM(G82:G85)</f>
        <v>6.3490663750314562</v>
      </c>
      <c r="H86" s="25" t="s">
        <v>42</v>
      </c>
      <c r="I86" s="26">
        <v>14362.76</v>
      </c>
      <c r="J86" s="27">
        <f>G86*I86</f>
        <v>91190.116568646801</v>
      </c>
      <c r="K86" s="24"/>
      <c r="N86" s="1">
        <f>G86*560</f>
        <v>3555.4771700176157</v>
      </c>
    </row>
    <row r="87" spans="1:31" s="1" customFormat="1" x14ac:dyDescent="0.3">
      <c r="A87" s="21"/>
      <c r="B87" s="39" t="s">
        <v>39</v>
      </c>
      <c r="C87" s="22"/>
      <c r="D87" s="23"/>
      <c r="E87" s="24"/>
      <c r="F87" s="24"/>
      <c r="G87" s="27"/>
      <c r="H87" s="25"/>
      <c r="I87" s="26"/>
      <c r="J87" s="27">
        <f>0.13*G86*10311.74</f>
        <v>8511.0898212686934</v>
      </c>
      <c r="K87" s="24"/>
    </row>
    <row r="88" spans="1:31" s="1" customFormat="1" x14ac:dyDescent="0.3">
      <c r="A88" s="21"/>
      <c r="B88" s="39"/>
      <c r="C88" s="22"/>
      <c r="D88" s="23"/>
      <c r="E88" s="24"/>
      <c r="F88" s="24"/>
      <c r="G88" s="27"/>
      <c r="H88" s="25"/>
      <c r="I88" s="26"/>
      <c r="J88" s="27"/>
      <c r="K88" s="24"/>
    </row>
    <row r="89" spans="1:31" s="1" customFormat="1" ht="27.6" x14ac:dyDescent="0.3">
      <c r="A89" s="21">
        <v>13</v>
      </c>
      <c r="B89" s="41" t="s">
        <v>35</v>
      </c>
      <c r="C89" s="22">
        <v>1</v>
      </c>
      <c r="D89" s="23"/>
      <c r="E89" s="24"/>
      <c r="F89" s="24"/>
      <c r="G89" s="36">
        <f>PRODUCT(C89:F89)</f>
        <v>1</v>
      </c>
      <c r="H89" s="25" t="s">
        <v>36</v>
      </c>
      <c r="I89" s="26">
        <v>10000</v>
      </c>
      <c r="J89" s="27">
        <f>G89*I89</f>
        <v>10000</v>
      </c>
      <c r="K89" s="24"/>
    </row>
    <row r="90" spans="1:31" s="1" customFormat="1" x14ac:dyDescent="0.3">
      <c r="A90" s="21"/>
      <c r="B90" s="39"/>
      <c r="C90" s="22"/>
      <c r="D90" s="23"/>
      <c r="E90" s="24"/>
      <c r="F90" s="24"/>
      <c r="G90" s="27"/>
      <c r="H90" s="25"/>
      <c r="I90" s="26"/>
      <c r="J90" s="27"/>
      <c r="K90" s="24"/>
    </row>
    <row r="91" spans="1:31" s="1" customFormat="1" x14ac:dyDescent="0.3">
      <c r="A91" s="21">
        <v>14</v>
      </c>
      <c r="B91" s="41" t="s">
        <v>37</v>
      </c>
      <c r="C91" s="22">
        <v>1</v>
      </c>
      <c r="D91" s="23"/>
      <c r="E91" s="24"/>
      <c r="F91" s="24"/>
      <c r="G91" s="36">
        <f>PRODUCT(C91:F91)</f>
        <v>1</v>
      </c>
      <c r="H91" s="25" t="s">
        <v>55</v>
      </c>
      <c r="I91" s="26">
        <v>500</v>
      </c>
      <c r="J91" s="27">
        <f>G91*I91</f>
        <v>500</v>
      </c>
      <c r="K91" s="24"/>
    </row>
    <row r="92" spans="1:31" s="1" customFormat="1" x14ac:dyDescent="0.3">
      <c r="A92" s="21"/>
      <c r="B92" s="39"/>
      <c r="C92" s="22"/>
      <c r="D92" s="23"/>
      <c r="E92" s="24"/>
      <c r="F92" s="24"/>
      <c r="G92" s="27"/>
      <c r="H92" s="25"/>
      <c r="I92" s="26"/>
      <c r="J92" s="27"/>
      <c r="K92" s="24"/>
    </row>
    <row r="93" spans="1:31" x14ac:dyDescent="0.3">
      <c r="A93" s="9"/>
      <c r="B93" s="20" t="s">
        <v>16</v>
      </c>
      <c r="C93" s="8"/>
      <c r="D93" s="6"/>
      <c r="E93" s="6"/>
      <c r="F93" s="6"/>
      <c r="G93" s="33"/>
      <c r="H93" s="7"/>
      <c r="I93" s="7"/>
      <c r="J93" s="7">
        <f>SUM(J10:J92)</f>
        <v>481578.64508020174</v>
      </c>
      <c r="K93" s="4"/>
      <c r="M93" s="29"/>
      <c r="P93" s="32"/>
      <c r="Q93" s="32"/>
    </row>
    <row r="94" spans="1:31" x14ac:dyDescent="0.3">
      <c r="M94" s="29"/>
      <c r="N94" s="30"/>
      <c r="O94" s="30"/>
      <c r="P94" s="31"/>
      <c r="R94" s="30"/>
      <c r="S94" s="30"/>
      <c r="T94" s="30"/>
      <c r="U94" s="29"/>
      <c r="V94" s="29"/>
      <c r="W94" s="29"/>
      <c r="X94" s="29"/>
      <c r="Y94" s="29"/>
      <c r="Z94" s="29"/>
      <c r="AA94" s="29"/>
      <c r="AB94" s="29"/>
      <c r="AC94" s="29"/>
      <c r="AD94" s="29"/>
      <c r="AE94" s="29"/>
    </row>
    <row r="95" spans="1:31" s="1" customFormat="1" x14ac:dyDescent="0.3">
      <c r="B95" s="11" t="s">
        <v>87</v>
      </c>
      <c r="C95" s="59">
        <f>J93</f>
        <v>481578.64508020174</v>
      </c>
      <c r="D95" s="60"/>
      <c r="E95" s="10">
        <v>100</v>
      </c>
      <c r="F95" s="12"/>
      <c r="G95" s="13"/>
      <c r="H95" s="12"/>
      <c r="I95" s="14"/>
      <c r="J95" s="15"/>
      <c r="K95" s="16"/>
      <c r="M95" s="12"/>
      <c r="N95" s="30"/>
      <c r="O95" s="30"/>
      <c r="P95" s="30"/>
      <c r="Q95" s="30"/>
      <c r="R95" s="30"/>
      <c r="S95" s="30"/>
      <c r="T95" s="30"/>
      <c r="U95" s="12"/>
      <c r="V95" s="12"/>
      <c r="W95" s="12"/>
      <c r="X95" s="12"/>
      <c r="Y95" s="12"/>
      <c r="Z95" s="12"/>
      <c r="AA95" s="12"/>
      <c r="AB95" s="12"/>
      <c r="AC95" s="12"/>
      <c r="AD95" s="12"/>
      <c r="AE95" s="12"/>
    </row>
    <row r="96" spans="1:31" x14ac:dyDescent="0.3">
      <c r="B96" s="11" t="s">
        <v>17</v>
      </c>
      <c r="C96" s="63">
        <v>400000</v>
      </c>
      <c r="D96" s="64"/>
      <c r="E96" s="10"/>
      <c r="M96" s="29"/>
      <c r="N96" s="30"/>
      <c r="O96" s="30"/>
      <c r="P96" s="30"/>
      <c r="Q96" s="30"/>
      <c r="R96" s="30"/>
      <c r="S96" s="30"/>
      <c r="T96" s="30"/>
      <c r="U96" s="29"/>
      <c r="V96" s="29"/>
      <c r="W96" s="29"/>
      <c r="X96" s="29"/>
      <c r="Y96" s="29"/>
      <c r="Z96" s="29"/>
      <c r="AA96" s="29"/>
      <c r="AB96" s="29"/>
      <c r="AC96" s="29"/>
      <c r="AD96" s="29"/>
      <c r="AE96" s="29"/>
    </row>
    <row r="97" spans="2:31" x14ac:dyDescent="0.3">
      <c r="B97" s="11" t="s">
        <v>18</v>
      </c>
      <c r="C97" s="63">
        <f>C96-C99-C100</f>
        <v>380000</v>
      </c>
      <c r="D97" s="64"/>
      <c r="E97" s="10">
        <f>C97/C95*100</f>
        <v>78.907153355339304</v>
      </c>
      <c r="M97" s="29"/>
      <c r="N97" s="29"/>
      <c r="O97" s="29"/>
      <c r="P97" s="29"/>
      <c r="Q97" s="29"/>
      <c r="R97" s="29"/>
      <c r="S97" s="29"/>
      <c r="T97" s="29"/>
      <c r="U97" s="29"/>
      <c r="V97" s="29"/>
      <c r="W97" s="29"/>
      <c r="X97" s="29"/>
      <c r="Y97" s="29"/>
      <c r="Z97" s="29"/>
      <c r="AA97" s="29"/>
      <c r="AB97" s="29"/>
      <c r="AC97" s="29"/>
      <c r="AD97" s="29"/>
      <c r="AE97" s="29"/>
    </row>
    <row r="98" spans="2:31" x14ac:dyDescent="0.3">
      <c r="B98" s="11" t="s">
        <v>19</v>
      </c>
      <c r="C98" s="65">
        <f>C95-C97</f>
        <v>101578.64508020174</v>
      </c>
      <c r="D98" s="65"/>
      <c r="E98" s="10">
        <f>100-E97</f>
        <v>21.092846644660696</v>
      </c>
      <c r="M98" s="29"/>
      <c r="N98" s="29"/>
      <c r="O98" s="29"/>
      <c r="P98" s="29"/>
      <c r="Q98" s="29"/>
      <c r="R98" s="29"/>
      <c r="S98" s="29"/>
      <c r="T98" s="29"/>
      <c r="U98" s="29"/>
      <c r="V98" s="29"/>
      <c r="W98" s="29"/>
      <c r="X98" s="29"/>
      <c r="Y98" s="29"/>
      <c r="Z98" s="29"/>
      <c r="AA98" s="29"/>
      <c r="AB98" s="29"/>
      <c r="AC98" s="29"/>
      <c r="AD98" s="29"/>
      <c r="AE98" s="29"/>
    </row>
    <row r="99" spans="2:31" x14ac:dyDescent="0.3">
      <c r="B99" s="11" t="s">
        <v>20</v>
      </c>
      <c r="C99" s="59">
        <f>C96*0.03</f>
        <v>12000</v>
      </c>
      <c r="D99" s="60"/>
      <c r="E99" s="10">
        <v>3</v>
      </c>
      <c r="M99" s="29"/>
      <c r="N99" s="29"/>
      <c r="O99" s="29"/>
      <c r="P99" s="29"/>
      <c r="Q99" s="29"/>
      <c r="R99" s="29"/>
      <c r="S99" s="29"/>
      <c r="T99" s="29"/>
      <c r="U99" s="29"/>
      <c r="V99" s="29"/>
      <c r="W99" s="29"/>
      <c r="X99" s="29"/>
      <c r="Y99" s="29"/>
      <c r="Z99" s="29"/>
      <c r="AA99" s="29"/>
      <c r="AB99" s="29"/>
      <c r="AC99" s="29"/>
      <c r="AD99" s="29"/>
      <c r="AE99" s="29"/>
    </row>
    <row r="100" spans="2:31" x14ac:dyDescent="0.3">
      <c r="B100" s="11" t="s">
        <v>21</v>
      </c>
      <c r="C100" s="59">
        <f>C96*0.02</f>
        <v>8000</v>
      </c>
      <c r="D100" s="60"/>
      <c r="E100" s="10">
        <v>2</v>
      </c>
      <c r="M100" s="29"/>
      <c r="N100" s="29"/>
      <c r="O100" s="29"/>
      <c r="P100" s="29"/>
      <c r="Q100" s="29"/>
      <c r="R100" s="29"/>
      <c r="S100" s="29"/>
      <c r="T100" s="29"/>
      <c r="U100" s="29"/>
      <c r="V100" s="29"/>
      <c r="W100" s="29"/>
      <c r="X100" s="29"/>
      <c r="Y100" s="29"/>
      <c r="Z100" s="29"/>
      <c r="AA100" s="29"/>
      <c r="AB100" s="29"/>
      <c r="AC100" s="29"/>
      <c r="AD100" s="29"/>
      <c r="AE100" s="29"/>
    </row>
  </sheetData>
  <mergeCells count="15">
    <mergeCell ref="A6:G6"/>
    <mergeCell ref="H6:K6"/>
    <mergeCell ref="A1:K1"/>
    <mergeCell ref="A2:K2"/>
    <mergeCell ref="A3:K3"/>
    <mergeCell ref="A4:K4"/>
    <mergeCell ref="A5:K5"/>
    <mergeCell ref="C99:D99"/>
    <mergeCell ref="C100:D100"/>
    <mergeCell ref="A7:F7"/>
    <mergeCell ref="H7:K7"/>
    <mergeCell ref="C95:D95"/>
    <mergeCell ref="C96:D96"/>
    <mergeCell ref="C97:D97"/>
    <mergeCell ref="C98:D98"/>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new</vt:lpstr>
      <vt:lpstr>as per mistry</vt:lpstr>
      <vt:lpstr>final</vt:lpstr>
      <vt:lpstr>400000 final</vt:lpstr>
      <vt:lpstr>change estimate</vt:lpstr>
      <vt:lpstr>WCR</vt:lpstr>
      <vt:lpstr>V</vt:lpstr>
      <vt:lpstr>'400000 final'!Print_Area</vt:lpstr>
      <vt:lpstr>'as per mistry'!Print_Area</vt:lpstr>
      <vt:lpstr>'change estimate'!Print_Area</vt:lpstr>
      <vt:lpstr>final!Print_Area</vt:lpstr>
      <vt:lpstr>new!Print_Area</vt:lpstr>
      <vt:lpstr>V!Print_Area</vt:lpstr>
      <vt:lpstr>'400000 final'!Print_Titles</vt:lpstr>
      <vt:lpstr>'as per mistry'!Print_Titles</vt:lpstr>
      <vt:lpstr>'change estimate'!Print_Titles</vt:lpstr>
      <vt:lpstr>final!Print_Titles</vt:lpstr>
      <vt:lpstr>new!Print_Titles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2025-02-06T08:09:46Z</cp:lastPrinted>
  <dcterms:created xsi:type="dcterms:W3CDTF">2015-06-05T18:17:20Z</dcterms:created>
  <dcterms:modified xsi:type="dcterms:W3CDTF">2025-07-02T17:54:21Z</dcterms:modified>
</cp:coreProperties>
</file>