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1" activeTab="3"/>
  </bookViews>
  <sheets>
    <sheet name="Estimate" sheetId="15" r:id="rId1"/>
    <sheet name="WCR" sheetId="7" r:id="rId2"/>
    <sheet name="Valuation" sheetId="16" r:id="rId3"/>
    <sheet name="Sheet3" sheetId="17"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62913"/>
</workbook>
</file>

<file path=xl/calcChain.xml><?xml version="1.0" encoding="utf-8"?>
<calcChain xmlns="http://schemas.openxmlformats.org/spreadsheetml/2006/main">
  <c r="J6" i="17" l="1"/>
  <c r="J7" i="17"/>
  <c r="J8" i="17"/>
  <c r="J9" i="17"/>
  <c r="J10" i="17"/>
  <c r="J11" i="17"/>
  <c r="J12" i="17"/>
  <c r="J5" i="17"/>
  <c r="I5" i="17"/>
  <c r="I6" i="17"/>
  <c r="I7" i="17"/>
  <c r="I8" i="17"/>
  <c r="I9" i="17"/>
  <c r="I10" i="17"/>
  <c r="I11" i="17"/>
  <c r="I12" i="17"/>
  <c r="I14" i="17"/>
  <c r="H14" i="17"/>
  <c r="H12" i="17"/>
  <c r="H11" i="17"/>
  <c r="I15" i="17"/>
  <c r="H5" i="17"/>
  <c r="H9" i="17"/>
  <c r="H6" i="17"/>
  <c r="H10" i="17"/>
  <c r="H8" i="17"/>
  <c r="H7" i="17"/>
  <c r="G34" i="16" l="1"/>
  <c r="G23" i="7"/>
  <c r="G27" i="16"/>
  <c r="G21" i="16"/>
  <c r="G17" i="7" s="1"/>
  <c r="G17" i="16"/>
  <c r="G15" i="7" s="1"/>
  <c r="D10" i="16"/>
  <c r="G10" i="16" s="1"/>
  <c r="G12" i="16" s="1"/>
  <c r="M26" i="7"/>
  <c r="H29" i="7"/>
  <c r="G29" i="7"/>
  <c r="E29" i="7"/>
  <c r="D29" i="7"/>
  <c r="C29" i="7"/>
  <c r="B29" i="7"/>
  <c r="A29" i="7"/>
  <c r="H26" i="7"/>
  <c r="F27" i="7"/>
  <c r="M27" i="7" s="1"/>
  <c r="E26" i="7"/>
  <c r="D26" i="7"/>
  <c r="C26" i="7"/>
  <c r="H23" i="7"/>
  <c r="F24" i="7"/>
  <c r="E23" i="7"/>
  <c r="D23" i="7"/>
  <c r="C23" i="7"/>
  <c r="B27" i="7"/>
  <c r="A26" i="7"/>
  <c r="B26" i="7"/>
  <c r="B24" i="7"/>
  <c r="B23" i="7"/>
  <c r="A23" i="7"/>
  <c r="H20" i="7"/>
  <c r="G20" i="7"/>
  <c r="F21" i="7"/>
  <c r="E20" i="7"/>
  <c r="D20" i="7"/>
  <c r="C20" i="7"/>
  <c r="B21" i="7"/>
  <c r="B20" i="7"/>
  <c r="A20" i="7"/>
  <c r="H17" i="7"/>
  <c r="F18" i="7"/>
  <c r="E17" i="7"/>
  <c r="D17" i="7"/>
  <c r="C17" i="7"/>
  <c r="B18" i="7"/>
  <c r="B17" i="7"/>
  <c r="A17" i="7"/>
  <c r="H15" i="7"/>
  <c r="E15" i="7"/>
  <c r="D15" i="7"/>
  <c r="C15" i="7"/>
  <c r="B15" i="7"/>
  <c r="A15" i="7"/>
  <c r="H13" i="7"/>
  <c r="E13" i="7"/>
  <c r="D13" i="7"/>
  <c r="C13" i="7"/>
  <c r="B13" i="7"/>
  <c r="A13" i="7"/>
  <c r="D31" i="16"/>
  <c r="F11" i="16"/>
  <c r="E4" i="17"/>
  <c r="E5" i="17"/>
  <c r="E6" i="17"/>
  <c r="E7" i="17"/>
  <c r="E8" i="17"/>
  <c r="E9" i="17"/>
  <c r="E10" i="17"/>
  <c r="E11" i="17"/>
  <c r="E12" i="17"/>
  <c r="E13" i="17"/>
  <c r="E14" i="17"/>
  <c r="E15" i="17"/>
  <c r="E16" i="17"/>
  <c r="E17" i="17"/>
  <c r="E3" i="17"/>
  <c r="C51" i="16"/>
  <c r="C50" i="16"/>
  <c r="C48" i="16" s="1"/>
  <c r="G42" i="16"/>
  <c r="J42" i="16" s="1"/>
  <c r="G38" i="16"/>
  <c r="G39" i="16" s="1"/>
  <c r="G33" i="16"/>
  <c r="E32" i="16"/>
  <c r="G32" i="16"/>
  <c r="E31" i="16"/>
  <c r="E25" i="16"/>
  <c r="E26" i="16" s="1"/>
  <c r="D25" i="16"/>
  <c r="D26" i="16" s="1"/>
  <c r="D20" i="16"/>
  <c r="G20" i="16" s="1"/>
  <c r="B20" i="16"/>
  <c r="G16" i="16"/>
  <c r="D15" i="16"/>
  <c r="G11" i="16"/>
  <c r="C53" i="15"/>
  <c r="C52" i="15"/>
  <c r="C50" i="15" s="1"/>
  <c r="G44" i="15"/>
  <c r="J44" i="15" s="1"/>
  <c r="G40" i="15"/>
  <c r="E40" i="15"/>
  <c r="D39" i="15"/>
  <c r="G39" i="15" s="1"/>
  <c r="G41" i="15" s="1"/>
  <c r="G38" i="15"/>
  <c r="D38" i="15"/>
  <c r="G33" i="15"/>
  <c r="E32" i="15"/>
  <c r="D32" i="15"/>
  <c r="G32" i="15" s="1"/>
  <c r="E31" i="15"/>
  <c r="D31" i="15"/>
  <c r="G31" i="15" s="1"/>
  <c r="G34" i="15" s="1"/>
  <c r="E25" i="15"/>
  <c r="E26" i="15" s="1"/>
  <c r="D25" i="15"/>
  <c r="D26" i="15" s="1"/>
  <c r="G26" i="15" s="1"/>
  <c r="G20" i="15"/>
  <c r="G21" i="15" s="1"/>
  <c r="D20" i="15"/>
  <c r="B20" i="15"/>
  <c r="G16" i="15"/>
  <c r="D15" i="15"/>
  <c r="G15" i="15" s="1"/>
  <c r="G17" i="15" s="1"/>
  <c r="J17" i="15" s="1"/>
  <c r="G11" i="15"/>
  <c r="G10" i="15"/>
  <c r="G12" i="15" s="1"/>
  <c r="J12" i="15" s="1"/>
  <c r="D10" i="15"/>
  <c r="F26" i="7" l="1"/>
  <c r="G26" i="16"/>
  <c r="G26" i="7"/>
  <c r="I26" i="7" s="1"/>
  <c r="G31" i="16"/>
  <c r="J40" i="16"/>
  <c r="I27" i="7" s="1"/>
  <c r="J27" i="7" s="1"/>
  <c r="J39" i="16"/>
  <c r="J22" i="16"/>
  <c r="I18" i="7" s="1"/>
  <c r="J21" i="16"/>
  <c r="G15" i="16"/>
  <c r="J17" i="16" s="1"/>
  <c r="G25" i="16"/>
  <c r="J22" i="15"/>
  <c r="J21" i="15"/>
  <c r="J35" i="15"/>
  <c r="J34" i="15"/>
  <c r="J42" i="15"/>
  <c r="J41" i="15"/>
  <c r="G25" i="15"/>
  <c r="G27" i="15" s="1"/>
  <c r="L36" i="7"/>
  <c r="M36" i="7" s="1"/>
  <c r="J12" i="16" l="1"/>
  <c r="G13" i="7"/>
  <c r="J26" i="7"/>
  <c r="J34" i="16"/>
  <c r="J35" i="16"/>
  <c r="I24" i="7" s="1"/>
  <c r="J28" i="16"/>
  <c r="I21" i="7" s="1"/>
  <c r="J27" i="16"/>
  <c r="J28" i="15"/>
  <c r="J27" i="15"/>
  <c r="J46" i="15" s="1"/>
  <c r="C48" i="15" s="1"/>
  <c r="M18" i="7"/>
  <c r="J44" i="16" l="1"/>
  <c r="C46" i="16" s="1"/>
  <c r="C49" i="16" s="1"/>
  <c r="C51" i="15"/>
  <c r="E50" i="15"/>
  <c r="E51" i="15" s="1"/>
  <c r="M21" i="7"/>
  <c r="J21" i="7"/>
  <c r="M24" i="7"/>
  <c r="E48" i="16" l="1"/>
  <c r="E49" i="16" s="1"/>
  <c r="J24" i="7"/>
  <c r="J18" i="7" l="1"/>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<sst xmlns="http://schemas.openxmlformats.org/spreadsheetml/2006/main" count="172" uniqueCount="93">
  <si>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</si>
  <si>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</si>
  <si>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</si>
  <si>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</si>
  <si>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</si>
  <si>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</si>
  <si>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</si>
  <si>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</si>
  <si>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</si>
  <si>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</si>
  <si>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</si>
  <si>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</si>
  <si>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</si>
  <si>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</si>
  <si>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</si>
  <si>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</si>
  <si>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</si>
  <si>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</si>
  <si>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</si>
  <si>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</si>
  <si>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</si>
  <si>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</si>
  <si>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</si>
  <si>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</si>
  <si>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</si>
  <si>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</si>
  <si>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</si>
  <si>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</si>
  <si>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</si>
  <si>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</si>
  <si>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</si>
  <si>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</si>
  <si>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</si>
  <si>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</si>
  <si>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</si>
  <si>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</si>
  <si>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</si>
  <si>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</si>
  <si>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</si>
  <si>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</si>
  <si>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</si>
  <si>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</si>
  <si>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</si>
  <si>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</si>
  <si>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Detail Valuated Sheet</t>
  </si>
  <si>
    <t>Total Valuated</t>
  </si>
  <si>
    <t>g/d k|sf/sf] Sn] / l;N6L df6f]df ;j} lsl;dsf] vGg] sfd</t>
  </si>
  <si>
    <t>sqm</t>
  </si>
  <si>
    <t xml:space="preserve">Date:2081/10/24       </t>
  </si>
  <si>
    <t xml:space="preserve">Project:- सेतीदेवी मन्दिर जाने बाटो निर्माण </t>
  </si>
  <si>
    <t>Date:2081/09/29</t>
  </si>
  <si>
    <t>-For wall</t>
  </si>
  <si>
    <t xml:space="preserve">l;d]G6 d;nfsf] uf/f]af6 O{6f lemls nfu]sf] d;nf ;kmf ug]{ tyf k'gM k|of]u ug]{ ;lsg] u/L yGsfpg] sfd . </t>
  </si>
  <si>
    <t>-Road</t>
  </si>
  <si>
    <t>;'Vvf O{6f RofK6f] 5fKg] sfd</t>
  </si>
  <si>
    <t>Providing and laying of Plain/Reinforced Cement Concrete in Foundation complete as per Drawing and Technical Specifications, PCC Grade M 15</t>
  </si>
  <si>
    <t>-for wall at entrance</t>
  </si>
  <si>
    <t xml:space="preserve">e'O{+tNnfdf lrDgL e§fsf] O{+6fsf] uf/f] l;d]G6 d;nf -!M^_ df </t>
  </si>
  <si>
    <t>-Side wall</t>
  </si>
  <si>
    <t>-at entrance</t>
  </si>
  <si>
    <t xml:space="preserve">dfn;fdfg pknAw u/L %) dL=dL= df]6f] x]eL 8o"6L OG6/nls+u s+lqm6Ans %) dL=dL=df]6fOsf] qm;/ 8:6 dfyL /fvL la5ofpg]] sfd k'/f </t>
  </si>
  <si>
    <t>-for flooring</t>
  </si>
  <si>
    <t>m2</t>
  </si>
  <si>
    <t>chainage</t>
  </si>
  <si>
    <t>Width</t>
  </si>
  <si>
    <t>0+000</t>
  </si>
  <si>
    <t>0+004.5</t>
  </si>
  <si>
    <t>0+018 to 0+022.5</t>
  </si>
  <si>
    <t>0+004.5 to 0+009</t>
  </si>
  <si>
    <t>0+009 to 0+013.5</t>
  </si>
  <si>
    <t>0+013.5 to 0+018</t>
  </si>
  <si>
    <t>0+022.5 to 0+027</t>
  </si>
  <si>
    <t>0+027 to 0+031.5</t>
  </si>
  <si>
    <t>0+031.5 to 0+036</t>
  </si>
  <si>
    <t>0+036 to 0+040.5</t>
  </si>
  <si>
    <t>0+040.5 to 0+045</t>
  </si>
  <si>
    <t>0+045 to 0+049.5</t>
  </si>
  <si>
    <t>0+049.5 to 0+054</t>
  </si>
  <si>
    <t>0+054 to 0+058.5</t>
  </si>
  <si>
    <t>0+058.5 to 0+063</t>
  </si>
  <si>
    <t>0+063 to 0+067.5</t>
  </si>
  <si>
    <t>Avg. Width</t>
  </si>
  <si>
    <t>Brick</t>
  </si>
  <si>
    <t>sand</t>
  </si>
  <si>
    <t>cement</t>
  </si>
  <si>
    <t>aggregate</t>
  </si>
  <si>
    <t>water</t>
  </si>
  <si>
    <t>formwork</t>
  </si>
  <si>
    <t>valuated</t>
  </si>
  <si>
    <t>interlock</t>
  </si>
  <si>
    <t>VAT</t>
  </si>
  <si>
    <t>stone dust</t>
  </si>
  <si>
    <t>With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</si>
</sst>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5"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5" fillId="3" borderId="2" xfId="0" quotePrefix="1" applyFont="1" applyFill="1" applyBorder="1" applyAlignment="1">
      <alignment wrapText="1"/>
    </xf>
    <xf numFmtId="1" fontId="15" fillId="0" borderId="2" xfId="0" applyNumberFormat="1" applyFont="1" applyFill="1" applyBorder="1" applyAlignment="1">
      <alignment vertical="center" wrapText="1"/>
    </xf>
    <xf numFmtId="0" fontId="3" fillId="0" borderId="0" xfId="0" applyFont="1" applyBorder="1"/>
    <xf numFmtId="0" fontId="3" fillId="0" borderId="0" xfId="0" applyFont="1" applyBorder="1" applyAlignment="1">
      <alignment horizontal="right" wrapText="1"/>
    </xf>
    <xf numFmtId="165"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2" fontId="0" fillId="0" borderId="0" xfId="0" applyNumberFormat="1"/>
    <xf numFmtId="0" fontId="15" fillId="3" borderId="2" xfId="0" quotePrefix="1" applyFont="1" applyFill="1" applyBorder="1" applyAlignment="1">
      <alignment vertical="center" wrapText="1"/>
    </xf>
    <xf numFmtId="165" fontId="10" fillId="0" borderId="2" xfId="0" applyNumberFormat="1" applyFont="1" applyBorder="1" applyAlignment="1">
      <alignment vertical="center"/>
    </xf>
    <xf numFmtId="0" fontId="2" fillId="0" borderId="0" xfId="0" applyFont="1"/>
    <xf numFmtId="1" fontId="8" fillId="0" borderId="2" xfId="0" applyNumberFormat="1"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31" workbookViewId="0">
      <selection activeCell="B41" sqref="B4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1" x14ac:dyDescent="0.3">
      <c r="A1" s="60" t="s">
        <v>0</v>
      </c>
      <c r="B1" s="60"/>
      <c r="C1" s="60"/>
      <c r="D1" s="60"/>
      <c r="E1" s="60"/>
      <c r="F1" s="60"/>
      <c r="G1" s="60"/>
      <c r="H1" s="60"/>
      <c r="I1" s="60"/>
      <c r="J1" s="60"/>
      <c r="K1" s="60"/>
    </row>
    <row r="2" spans="1:11" ht="22.8" x14ac:dyDescent="0.3">
      <c r="A2" s="61" t="s">
        <v>1</v>
      </c>
      <c r="B2" s="61"/>
      <c r="C2" s="61"/>
      <c r="D2" s="61"/>
      <c r="E2" s="61"/>
      <c r="F2" s="61"/>
      <c r="G2" s="61"/>
      <c r="H2" s="61"/>
      <c r="I2" s="61"/>
      <c r="J2" s="61"/>
      <c r="K2" s="61"/>
    </row>
    <row r="3" spans="1:11" x14ac:dyDescent="0.3">
      <c r="A3" s="62" t="s">
        <v>2</v>
      </c>
      <c r="B3" s="62"/>
      <c r="C3" s="62"/>
      <c r="D3" s="62"/>
      <c r="E3" s="62"/>
      <c r="F3" s="62"/>
      <c r="G3" s="62"/>
      <c r="H3" s="62"/>
      <c r="I3" s="62"/>
      <c r="J3" s="62"/>
      <c r="K3" s="62"/>
    </row>
    <row r="4" spans="1:11" x14ac:dyDescent="0.3">
      <c r="A4" s="62" t="s">
        <v>3</v>
      </c>
      <c r="B4" s="62"/>
      <c r="C4" s="62"/>
      <c r="D4" s="62"/>
      <c r="E4" s="62"/>
      <c r="F4" s="62"/>
      <c r="G4" s="62"/>
      <c r="H4" s="62"/>
      <c r="I4" s="62"/>
      <c r="J4" s="62"/>
      <c r="K4" s="62"/>
    </row>
    <row r="5" spans="1:11" ht="17.399999999999999" x14ac:dyDescent="0.3">
      <c r="A5" s="63" t="s">
        <v>4</v>
      </c>
      <c r="B5" s="63"/>
      <c r="C5" s="63"/>
      <c r="D5" s="63"/>
      <c r="E5" s="63"/>
      <c r="F5" s="63"/>
      <c r="G5" s="63"/>
      <c r="H5" s="63"/>
      <c r="I5" s="63"/>
      <c r="J5" s="63"/>
      <c r="K5" s="63"/>
    </row>
    <row r="6" spans="1:11" ht="15.6" x14ac:dyDescent="0.3">
      <c r="A6" s="58" t="s">
        <v>49</v>
      </c>
      <c r="B6" s="58"/>
      <c r="C6" s="58"/>
      <c r="D6" s="58"/>
      <c r="E6" s="58"/>
      <c r="F6" s="58"/>
      <c r="G6" s="1"/>
      <c r="H6" s="59" t="s">
        <v>5</v>
      </c>
      <c r="I6" s="59"/>
      <c r="J6" s="59"/>
      <c r="K6" s="59"/>
    </row>
    <row r="7" spans="1:11" ht="15.6" x14ac:dyDescent="0.3">
      <c r="A7" s="65" t="s">
        <v>6</v>
      </c>
      <c r="B7" s="65"/>
      <c r="C7" s="65"/>
      <c r="D7" s="65"/>
      <c r="E7" s="65"/>
      <c r="F7" s="65"/>
      <c r="G7" s="2"/>
      <c r="H7" s="66" t="s">
        <v>50</v>
      </c>
      <c r="I7" s="66"/>
      <c r="J7" s="66"/>
      <c r="K7" s="66"/>
    </row>
    <row r="8" spans="1:11" ht="15.6" x14ac:dyDescent="0.3">
      <c r="A8" s="3" t="s">
        <v>7</v>
      </c>
      <c r="B8" s="4" t="s">
        <v>8</v>
      </c>
      <c r="C8" s="3" t="s">
        <v>9</v>
      </c>
      <c r="D8" s="5" t="s">
        <v>10</v>
      </c>
      <c r="E8" s="5" t="s">
        <v>11</v>
      </c>
      <c r="F8" s="5" t="s">
        <v>12</v>
      </c>
      <c r="G8" s="5" t="s">
        <v>13</v>
      </c>
      <c r="H8" s="3" t="s">
        <v>14</v>
      </c>
      <c r="I8" s="5" t="s">
        <v>15</v>
      </c>
      <c r="J8" s="5" t="s">
        <v>16</v>
      </c>
      <c r="K8" s="6" t="s">
        <v>17</v>
      </c>
    </row>
    <row r="9" spans="1:11" ht="30.6" x14ac:dyDescent="0.3">
      <c r="A9" s="26">
        <v>1</v>
      </c>
      <c r="B9" s="80" t="s">
        <v>46</v>
      </c>
      <c r="C9" s="17"/>
      <c r="D9" s="17"/>
      <c r="E9" s="17"/>
      <c r="F9" s="17"/>
      <c r="G9" s="17"/>
      <c r="H9" s="17"/>
      <c r="I9" s="17"/>
      <c r="J9" s="17"/>
      <c r="K9" s="17"/>
    </row>
    <row r="10" spans="1:11" x14ac:dyDescent="0.3">
      <c r="A10" s="8"/>
      <c r="B10" s="9" t="s">
        <v>51</v>
      </c>
      <c r="C10" s="17">
        <v>1</v>
      </c>
      <c r="D10" s="18">
        <f>D38</f>
        <v>57</v>
      </c>
      <c r="E10" s="18">
        <v>0.21</v>
      </c>
      <c r="F10" s="18">
        <v>1</v>
      </c>
      <c r="G10" s="19">
        <f>PRODUCT(C10:F10)</f>
        <v>11.969999999999999</v>
      </c>
      <c r="H10" s="20"/>
      <c r="I10" s="20"/>
      <c r="J10" s="20"/>
      <c r="K10" s="12"/>
    </row>
    <row r="11" spans="1:11" x14ac:dyDescent="0.3">
      <c r="A11" s="8"/>
      <c r="B11" s="9"/>
      <c r="C11" s="17">
        <v>1</v>
      </c>
      <c r="D11" s="18">
        <v>8</v>
      </c>
      <c r="E11" s="18">
        <v>0.23</v>
      </c>
      <c r="F11" s="18">
        <v>0.6</v>
      </c>
      <c r="G11" s="19">
        <f>PRODUCT(C11:F11)</f>
        <v>1.1040000000000001</v>
      </c>
      <c r="H11" s="20"/>
      <c r="I11" s="20"/>
      <c r="J11" s="20"/>
      <c r="K11" s="12"/>
    </row>
    <row r="12" spans="1:11" x14ac:dyDescent="0.3">
      <c r="A12" s="8"/>
      <c r="B12" s="9" t="s">
        <v>18</v>
      </c>
      <c r="C12" s="10"/>
      <c r="D12" s="11"/>
      <c r="E12" s="12"/>
      <c r="F12" s="12"/>
      <c r="G12" s="13">
        <f>SUM(G10:G11)</f>
        <v>13.073999999999998</v>
      </c>
      <c r="H12" s="14" t="s">
        <v>19</v>
      </c>
      <c r="I12" s="13">
        <v>663.31</v>
      </c>
      <c r="J12" s="15">
        <f>G12*I12</f>
        <v>8672.1149399999977</v>
      </c>
      <c r="K12" s="12"/>
    </row>
    <row r="13" spans="1:11" x14ac:dyDescent="0.3">
      <c r="A13" s="8"/>
      <c r="B13" s="9"/>
      <c r="C13" s="10"/>
      <c r="D13" s="11"/>
      <c r="E13" s="12"/>
      <c r="F13" s="12"/>
      <c r="G13" s="13"/>
      <c r="H13" s="14"/>
      <c r="I13" s="13"/>
      <c r="J13" s="15"/>
      <c r="K13" s="12"/>
    </row>
    <row r="14" spans="1:11" ht="45.6" x14ac:dyDescent="0.3">
      <c r="A14" s="8">
        <v>2</v>
      </c>
      <c r="B14" s="80" t="s">
        <v>52</v>
      </c>
      <c r="C14" s="10"/>
      <c r="D14" s="11"/>
      <c r="E14" s="12"/>
      <c r="F14" s="12"/>
      <c r="G14" s="13"/>
      <c r="H14" s="14"/>
      <c r="I14" s="13"/>
      <c r="J14" s="15"/>
      <c r="K14" s="12"/>
    </row>
    <row r="15" spans="1:11" x14ac:dyDescent="0.3">
      <c r="A15" s="8"/>
      <c r="B15" s="9" t="s">
        <v>53</v>
      </c>
      <c r="C15" s="17">
        <v>1</v>
      </c>
      <c r="D15" s="18">
        <f>(7-0.75)/3.281</f>
        <v>1.9049070405364217</v>
      </c>
      <c r="E15" s="18">
        <v>0.1</v>
      </c>
      <c r="F15" s="18">
        <v>1</v>
      </c>
      <c r="G15" s="19">
        <f>(PRODUCT(C15:F15))*560*0.5</f>
        <v>53.337397135019813</v>
      </c>
      <c r="H15" s="20"/>
      <c r="I15" s="20"/>
      <c r="J15" s="20"/>
      <c r="K15" s="12"/>
    </row>
    <row r="16" spans="1:11" x14ac:dyDescent="0.3">
      <c r="A16" s="8"/>
      <c r="B16" s="9"/>
      <c r="C16" s="17">
        <v>1</v>
      </c>
      <c r="D16" s="18">
        <v>0.75</v>
      </c>
      <c r="E16" s="18">
        <v>0.23</v>
      </c>
      <c r="F16" s="18">
        <v>1</v>
      </c>
      <c r="G16" s="19">
        <f>(PRODUCT(C16:F16))*560*0.5</f>
        <v>48.300000000000004</v>
      </c>
      <c r="H16" s="20"/>
      <c r="I16" s="20"/>
      <c r="J16" s="20"/>
      <c r="K16" s="12"/>
    </row>
    <row r="17" spans="1:11" x14ac:dyDescent="0.3">
      <c r="A17" s="8"/>
      <c r="B17" s="9" t="s">
        <v>18</v>
      </c>
      <c r="C17" s="10"/>
      <c r="D17" s="11"/>
      <c r="E17" s="12"/>
      <c r="F17" s="12"/>
      <c r="G17" s="13">
        <f>SUM(G15:G16)</f>
        <v>101.63739713501982</v>
      </c>
      <c r="H17" s="14" t="s">
        <v>19</v>
      </c>
      <c r="I17" s="13">
        <v>6.52</v>
      </c>
      <c r="J17" s="15">
        <f>G17*I17</f>
        <v>662.67582932032917</v>
      </c>
      <c r="K17" s="12"/>
    </row>
    <row r="18" spans="1:11" x14ac:dyDescent="0.3">
      <c r="A18" s="8"/>
      <c r="B18" s="9"/>
      <c r="C18" s="10"/>
      <c r="D18" s="11"/>
      <c r="E18" s="12"/>
      <c r="F18" s="12"/>
      <c r="G18" s="13"/>
      <c r="H18" s="14"/>
      <c r="I18" s="13"/>
      <c r="J18" s="15"/>
      <c r="K18" s="12"/>
    </row>
    <row r="19" spans="1:11" ht="15" x14ac:dyDescent="0.3">
      <c r="A19" s="8">
        <v>3</v>
      </c>
      <c r="B19" s="81" t="s">
        <v>54</v>
      </c>
      <c r="C19" s="10"/>
      <c r="D19" s="11"/>
      <c r="E19" s="12"/>
      <c r="F19" s="12"/>
      <c r="G19" s="13"/>
      <c r="H19" s="14"/>
      <c r="I19" s="13"/>
      <c r="J19" s="15"/>
      <c r="K19" s="12"/>
    </row>
    <row r="20" spans="1:11" x14ac:dyDescent="0.3">
      <c r="A20" s="8"/>
      <c r="B20" s="9" t="str">
        <f>B10</f>
        <v>-For wall</v>
      </c>
      <c r="C20" s="10">
        <v>1</v>
      </c>
      <c r="D20" s="11">
        <f>8</f>
        <v>8</v>
      </c>
      <c r="E20" s="12">
        <v>0.23</v>
      </c>
      <c r="F20" s="12"/>
      <c r="G20" s="19">
        <f>PRODUCT(C20:F20)</f>
        <v>1.84</v>
      </c>
      <c r="H20" s="14"/>
      <c r="I20" s="13"/>
      <c r="J20" s="15"/>
      <c r="K20" s="12"/>
    </row>
    <row r="21" spans="1:11" x14ac:dyDescent="0.3">
      <c r="A21" s="8"/>
      <c r="B21" s="9" t="s">
        <v>18</v>
      </c>
      <c r="C21" s="10"/>
      <c r="D21" s="11"/>
      <c r="E21" s="12"/>
      <c r="F21" s="12"/>
      <c r="G21" s="13">
        <f>SUM(G20:G20)</f>
        <v>1.84</v>
      </c>
      <c r="H21" s="14" t="s">
        <v>47</v>
      </c>
      <c r="I21" s="13">
        <v>1014.97</v>
      </c>
      <c r="J21" s="15">
        <f>G21*I21</f>
        <v>1867.5448000000001</v>
      </c>
      <c r="K21" s="12"/>
    </row>
    <row r="22" spans="1:11" x14ac:dyDescent="0.3">
      <c r="A22" s="8"/>
      <c r="B22" s="9" t="s">
        <v>20</v>
      </c>
      <c r="C22" s="10"/>
      <c r="D22" s="11"/>
      <c r="E22" s="12"/>
      <c r="F22" s="12"/>
      <c r="G22" s="13"/>
      <c r="H22" s="14"/>
      <c r="I22" s="13"/>
      <c r="J22" s="15">
        <f>0.13*G21*8617.2/10</f>
        <v>206.12342400000003</v>
      </c>
      <c r="K22" s="12"/>
    </row>
    <row r="23" spans="1:11" x14ac:dyDescent="0.3">
      <c r="A23" s="8"/>
      <c r="B23" s="9"/>
      <c r="C23" s="10"/>
      <c r="D23" s="11"/>
      <c r="E23" s="12"/>
      <c r="F23" s="12"/>
      <c r="G23" s="13"/>
      <c r="H23" s="14"/>
      <c r="I23" s="13"/>
      <c r="J23" s="15"/>
      <c r="K23" s="12"/>
    </row>
    <row r="24" spans="1:11" ht="69" x14ac:dyDescent="0.3">
      <c r="A24" s="8">
        <v>4</v>
      </c>
      <c r="B24" s="7" t="s">
        <v>55</v>
      </c>
      <c r="C24" s="10"/>
      <c r="D24" s="11"/>
      <c r="E24" s="12"/>
      <c r="F24" s="12"/>
      <c r="G24" s="13"/>
      <c r="H24" s="14"/>
      <c r="I24" s="13"/>
      <c r="J24" s="15"/>
      <c r="K24" s="12"/>
    </row>
    <row r="25" spans="1:11" x14ac:dyDescent="0.3">
      <c r="A25" s="8"/>
      <c r="B25" s="9" t="s">
        <v>56</v>
      </c>
      <c r="C25" s="17">
        <v>1</v>
      </c>
      <c r="D25" s="18">
        <f>D33</f>
        <v>8</v>
      </c>
      <c r="E25" s="18">
        <f>E33</f>
        <v>0.23</v>
      </c>
      <c r="F25" s="18">
        <v>7.4999999999999997E-2</v>
      </c>
      <c r="G25" s="19">
        <f>PRODUCT(C25:F25)</f>
        <v>0.13800000000000001</v>
      </c>
      <c r="H25" s="20"/>
      <c r="I25" s="20"/>
      <c r="J25" s="20"/>
      <c r="K25" s="12"/>
    </row>
    <row r="26" spans="1:11" x14ac:dyDescent="0.3">
      <c r="A26" s="8"/>
      <c r="B26" s="9"/>
      <c r="C26" s="17">
        <v>1</v>
      </c>
      <c r="D26" s="18">
        <f>D25</f>
        <v>8</v>
      </c>
      <c r="E26" s="18">
        <f>E25</f>
        <v>0.23</v>
      </c>
      <c r="F26" s="18">
        <v>0.05</v>
      </c>
      <c r="G26" s="19">
        <f>PRODUCT(C26:F26)</f>
        <v>9.2000000000000012E-2</v>
      </c>
      <c r="H26" s="20"/>
      <c r="I26" s="20"/>
      <c r="J26" s="20"/>
      <c r="K26" s="12"/>
    </row>
    <row r="27" spans="1:11" x14ac:dyDescent="0.3">
      <c r="A27" s="20"/>
      <c r="B27" s="9" t="s">
        <v>18</v>
      </c>
      <c r="C27" s="21"/>
      <c r="D27" s="22"/>
      <c r="E27" s="22"/>
      <c r="F27" s="22"/>
      <c r="G27" s="23">
        <f>SUM(G25:G26)</f>
        <v>0.23000000000000004</v>
      </c>
      <c r="H27" s="23" t="s">
        <v>19</v>
      </c>
      <c r="I27" s="23">
        <v>10634.5</v>
      </c>
      <c r="J27" s="24">
        <f>G27*I27</f>
        <v>2445.9350000000004</v>
      </c>
      <c r="K27" s="17"/>
    </row>
    <row r="28" spans="1:11" x14ac:dyDescent="0.3">
      <c r="A28" s="20"/>
      <c r="B28" s="9" t="s">
        <v>20</v>
      </c>
      <c r="C28" s="21"/>
      <c r="D28" s="22"/>
      <c r="E28" s="22"/>
      <c r="F28" s="22"/>
      <c r="G28" s="22"/>
      <c r="H28" s="22"/>
      <c r="I28" s="22"/>
      <c r="J28" s="25">
        <f>0.13*G27*((114907.3+6135.3)/15)</f>
        <v>241.27824933333341</v>
      </c>
      <c r="K28" s="17"/>
    </row>
    <row r="29" spans="1:11" x14ac:dyDescent="0.3">
      <c r="A29" s="20"/>
      <c r="B29" s="9"/>
      <c r="C29" s="21"/>
      <c r="D29" s="22"/>
      <c r="E29" s="22"/>
      <c r="F29" s="22"/>
      <c r="G29" s="22"/>
      <c r="H29" s="22"/>
      <c r="I29" s="22"/>
      <c r="J29" s="25"/>
      <c r="K29" s="17"/>
    </row>
    <row r="30" spans="1:11" ht="30" x14ac:dyDescent="0.3">
      <c r="A30" s="8">
        <v>5</v>
      </c>
      <c r="B30" s="81" t="s">
        <v>57</v>
      </c>
      <c r="C30" s="10"/>
      <c r="D30" s="11"/>
      <c r="E30" s="12"/>
      <c r="F30" s="12"/>
      <c r="G30" s="13"/>
      <c r="H30" s="14"/>
      <c r="I30" s="13"/>
      <c r="J30" s="15"/>
      <c r="K30" s="12"/>
    </row>
    <row r="31" spans="1:11" x14ac:dyDescent="0.3">
      <c r="A31" s="8"/>
      <c r="B31" s="9" t="s">
        <v>58</v>
      </c>
      <c r="C31" s="41">
        <v>0.5</v>
      </c>
      <c r="D31" s="18">
        <f>D15</f>
        <v>1.9049070405364217</v>
      </c>
      <c r="E31" s="18">
        <f>E15</f>
        <v>0.1</v>
      </c>
      <c r="F31" s="18">
        <v>1</v>
      </c>
      <c r="G31" s="19">
        <f>PRODUCT(C31:F31)</f>
        <v>9.5245352026821092E-2</v>
      </c>
      <c r="H31" s="20"/>
      <c r="I31" s="20"/>
      <c r="J31" s="20"/>
      <c r="K31" s="12"/>
    </row>
    <row r="32" spans="1:11" x14ac:dyDescent="0.3">
      <c r="A32" s="8"/>
      <c r="B32" s="9"/>
      <c r="C32" s="41">
        <v>1</v>
      </c>
      <c r="D32" s="18">
        <f>D16</f>
        <v>0.75</v>
      </c>
      <c r="E32" s="18">
        <f>E16</f>
        <v>0.23</v>
      </c>
      <c r="F32" s="18">
        <v>1</v>
      </c>
      <c r="G32" s="19">
        <f>PRODUCT(C32:F32)</f>
        <v>0.17250000000000001</v>
      </c>
      <c r="H32" s="20"/>
      <c r="I32" s="20"/>
      <c r="J32" s="20"/>
      <c r="K32" s="12"/>
    </row>
    <row r="33" spans="1:11" x14ac:dyDescent="0.3">
      <c r="A33" s="8"/>
      <c r="B33" s="9" t="s">
        <v>59</v>
      </c>
      <c r="C33" s="41">
        <v>1</v>
      </c>
      <c r="D33" s="18">
        <v>8</v>
      </c>
      <c r="E33" s="18">
        <v>0.23</v>
      </c>
      <c r="F33" s="18">
        <v>0.75</v>
      </c>
      <c r="G33" s="19">
        <f>PRODUCT(C33:F33)</f>
        <v>1.3800000000000001</v>
      </c>
      <c r="H33" s="20"/>
      <c r="I33" s="20"/>
      <c r="J33" s="20"/>
      <c r="K33" s="12"/>
    </row>
    <row r="34" spans="1:11" x14ac:dyDescent="0.3">
      <c r="A34" s="8"/>
      <c r="B34" s="9" t="s">
        <v>18</v>
      </c>
      <c r="C34" s="10"/>
      <c r="D34" s="11"/>
      <c r="E34" s="12"/>
      <c r="F34" s="12"/>
      <c r="G34" s="13">
        <f>SUM(G31:G33)</f>
        <v>1.6477453520268213</v>
      </c>
      <c r="H34" s="14" t="s">
        <v>19</v>
      </c>
      <c r="I34" s="13">
        <v>14362.76</v>
      </c>
      <c r="J34" s="15">
        <f>G34*I34</f>
        <v>23666.171032276747</v>
      </c>
      <c r="K34" s="12"/>
    </row>
    <row r="35" spans="1:11" x14ac:dyDescent="0.3">
      <c r="A35" s="8"/>
      <c r="B35" s="9" t="s">
        <v>20</v>
      </c>
      <c r="C35" s="10"/>
      <c r="D35" s="11"/>
      <c r="E35" s="12"/>
      <c r="F35" s="12"/>
      <c r="G35" s="13"/>
      <c r="H35" s="14"/>
      <c r="I35" s="13"/>
      <c r="J35" s="15">
        <f>0.13*G34*10311.74</f>
        <v>2208.8458153201773</v>
      </c>
      <c r="K35" s="12"/>
    </row>
    <row r="36" spans="1:11" x14ac:dyDescent="0.3">
      <c r="A36" s="8"/>
      <c r="B36" s="9"/>
      <c r="C36" s="10"/>
      <c r="D36" s="11"/>
      <c r="E36" s="12"/>
      <c r="F36" s="12"/>
      <c r="G36" s="13"/>
      <c r="H36" s="14"/>
      <c r="I36" s="13"/>
      <c r="J36" s="15"/>
      <c r="K36" s="12"/>
    </row>
    <row r="37" spans="1:11" ht="60.6" x14ac:dyDescent="0.3">
      <c r="A37" s="20">
        <v>6</v>
      </c>
      <c r="B37" s="80" t="s">
        <v>60</v>
      </c>
      <c r="C37" s="21"/>
      <c r="D37" s="22"/>
      <c r="E37" s="22"/>
      <c r="F37" s="22"/>
      <c r="G37" s="22"/>
      <c r="H37" s="22"/>
      <c r="I37" s="22"/>
      <c r="J37" s="25"/>
      <c r="K37" s="17"/>
    </row>
    <row r="38" spans="1:11" x14ac:dyDescent="0.3">
      <c r="A38" s="20"/>
      <c r="B38" s="9" t="s">
        <v>61</v>
      </c>
      <c r="C38" s="21">
        <v>1</v>
      </c>
      <c r="D38" s="22">
        <f>62.25-2.25-3</f>
        <v>57</v>
      </c>
      <c r="E38" s="22">
        <v>1.87</v>
      </c>
      <c r="F38" s="22"/>
      <c r="G38" s="19">
        <f>PRODUCT(C38:F38)</f>
        <v>106.59</v>
      </c>
      <c r="H38" s="22"/>
      <c r="I38" s="22"/>
      <c r="J38" s="25"/>
      <c r="K38" s="17"/>
    </row>
    <row r="39" spans="1:11" x14ac:dyDescent="0.3">
      <c r="A39" s="20"/>
      <c r="B39" s="9"/>
      <c r="C39" s="21">
        <v>1</v>
      </c>
      <c r="D39" s="22">
        <f>D38</f>
        <v>57</v>
      </c>
      <c r="E39" s="22">
        <v>0.21</v>
      </c>
      <c r="F39" s="22"/>
      <c r="G39" s="19">
        <f>PRODUCT(C39:F39)</f>
        <v>11.969999999999999</v>
      </c>
      <c r="H39" s="22"/>
      <c r="I39" s="22"/>
      <c r="J39" s="25"/>
      <c r="K39" s="17"/>
    </row>
    <row r="40" spans="1:11" x14ac:dyDescent="0.3">
      <c r="A40" s="20"/>
      <c r="B40" s="9"/>
      <c r="C40" s="21">
        <v>1</v>
      </c>
      <c r="D40" s="22">
        <v>8</v>
      </c>
      <c r="E40" s="22">
        <f>(8-1.17*2)/3.281</f>
        <v>1.7250838159097837</v>
      </c>
      <c r="F40" s="22"/>
      <c r="G40" s="19">
        <f>PRODUCT(C40:F40)</f>
        <v>13.800670527278269</v>
      </c>
      <c r="H40" s="22"/>
      <c r="I40" s="22"/>
      <c r="J40" s="25"/>
      <c r="K40" s="17"/>
    </row>
    <row r="41" spans="1:11" x14ac:dyDescent="0.3">
      <c r="A41" s="20"/>
      <c r="B41" s="9" t="s">
        <v>18</v>
      </c>
      <c r="C41" s="21"/>
      <c r="D41" s="22"/>
      <c r="E41" s="22"/>
      <c r="F41" s="22"/>
      <c r="G41" s="23">
        <f>SUM(G38:G40)</f>
        <v>132.36067052727827</v>
      </c>
      <c r="H41" s="23" t="s">
        <v>62</v>
      </c>
      <c r="I41" s="23">
        <v>1737.28</v>
      </c>
      <c r="J41" s="24">
        <f>G41*I41</f>
        <v>229947.54569363</v>
      </c>
      <c r="K41" s="17"/>
    </row>
    <row r="42" spans="1:11" x14ac:dyDescent="0.3">
      <c r="A42" s="20"/>
      <c r="B42" s="9" t="s">
        <v>20</v>
      </c>
      <c r="C42" s="21"/>
      <c r="D42" s="22"/>
      <c r="E42" s="22"/>
      <c r="F42" s="22"/>
      <c r="G42" s="22"/>
      <c r="H42" s="22"/>
      <c r="I42" s="22"/>
      <c r="J42" s="25">
        <f>0.13*G41*(6947.8/10)</f>
        <v>11955.00106696251</v>
      </c>
      <c r="K42" s="17"/>
    </row>
    <row r="43" spans="1:11" x14ac:dyDescent="0.3">
      <c r="A43" s="20"/>
      <c r="B43" s="9"/>
      <c r="C43" s="21"/>
      <c r="D43" s="22"/>
      <c r="E43" s="22"/>
      <c r="F43" s="22"/>
      <c r="G43" s="22"/>
      <c r="H43" s="22"/>
      <c r="I43" s="22"/>
      <c r="J43" s="25"/>
      <c r="K43" s="17"/>
    </row>
    <row r="44" spans="1:11" x14ac:dyDescent="0.3">
      <c r="A44" s="92">
        <v>7</v>
      </c>
      <c r="B44" s="7" t="s">
        <v>21</v>
      </c>
      <c r="C44" s="10">
        <v>1</v>
      </c>
      <c r="D44" s="11"/>
      <c r="E44" s="12"/>
      <c r="F44" s="12"/>
      <c r="G44" s="30">
        <f t="shared" ref="G44" si="0">PRODUCT(C44:F44)</f>
        <v>1</v>
      </c>
      <c r="H44" s="14" t="s">
        <v>22</v>
      </c>
      <c r="I44" s="13">
        <v>500</v>
      </c>
      <c r="J44" s="30">
        <f>G44*I44</f>
        <v>500</v>
      </c>
      <c r="K44" s="12"/>
    </row>
    <row r="45" spans="1:11" x14ac:dyDescent="0.3">
      <c r="A45" s="8"/>
      <c r="B45" s="29"/>
      <c r="C45" s="10"/>
      <c r="D45" s="11"/>
      <c r="E45" s="12"/>
      <c r="F45" s="12"/>
      <c r="G45" s="13"/>
      <c r="H45" s="14"/>
      <c r="I45" s="13"/>
      <c r="J45" s="15"/>
      <c r="K45" s="12"/>
    </row>
    <row r="46" spans="1:11" x14ac:dyDescent="0.3">
      <c r="A46" s="20"/>
      <c r="B46" s="40" t="s">
        <v>29</v>
      </c>
      <c r="C46" s="41"/>
      <c r="D46" s="18"/>
      <c r="E46" s="18"/>
      <c r="F46" s="18"/>
      <c r="G46" s="15"/>
      <c r="H46" s="15"/>
      <c r="I46" s="15"/>
      <c r="J46" s="15">
        <f>SUM(J10:J44)</f>
        <v>282373.23585084308</v>
      </c>
      <c r="K46" s="17"/>
    </row>
    <row r="47" spans="1:11" x14ac:dyDescent="0.3">
      <c r="A47" s="82"/>
      <c r="B47" s="83"/>
      <c r="C47" s="84"/>
      <c r="D47" s="85"/>
      <c r="E47" s="85"/>
      <c r="F47" s="85"/>
      <c r="G47" s="86"/>
      <c r="H47" s="86"/>
      <c r="I47" s="86"/>
      <c r="J47" s="86"/>
      <c r="K47" s="87"/>
    </row>
    <row r="48" spans="1:11" x14ac:dyDescent="0.3">
      <c r="A48" s="31"/>
      <c r="B48" s="27" t="s">
        <v>23</v>
      </c>
      <c r="C48" s="64">
        <f>J46</f>
        <v>282373.23585084308</v>
      </c>
      <c r="D48" s="64"/>
      <c r="E48" s="19">
        <v>100</v>
      </c>
      <c r="F48" s="32"/>
      <c r="G48" s="33"/>
      <c r="H48" s="32"/>
      <c r="I48" s="34"/>
      <c r="J48" s="35"/>
      <c r="K48" s="36"/>
    </row>
    <row r="49" spans="1:11" x14ac:dyDescent="0.3">
      <c r="A49" s="37"/>
      <c r="B49" s="27" t="s">
        <v>24</v>
      </c>
      <c r="C49" s="67">
        <v>250000</v>
      </c>
      <c r="D49" s="67"/>
      <c r="E49" s="19"/>
      <c r="F49" s="38"/>
      <c r="G49" s="39"/>
      <c r="H49" s="39"/>
      <c r="I49" s="39"/>
      <c r="J49" s="39"/>
      <c r="K49" s="38"/>
    </row>
    <row r="50" spans="1:11" x14ac:dyDescent="0.3">
      <c r="A50" s="37"/>
      <c r="B50" s="27" t="s">
        <v>25</v>
      </c>
      <c r="C50" s="67">
        <f>C49-C52-C53</f>
        <v>237500</v>
      </c>
      <c r="D50" s="67"/>
      <c r="E50" s="19">
        <f>C50/C48*100</f>
        <v>84.108537866334359</v>
      </c>
      <c r="F50" s="38"/>
      <c r="G50" s="39"/>
      <c r="H50" s="39"/>
      <c r="I50" s="39"/>
      <c r="J50" s="39"/>
      <c r="K50" s="38"/>
    </row>
    <row r="51" spans="1:11" x14ac:dyDescent="0.3">
      <c r="A51" s="37"/>
      <c r="B51" s="27" t="s">
        <v>26</v>
      </c>
      <c r="C51" s="64">
        <f>C48-C50</f>
        <v>44873.235850843077</v>
      </c>
      <c r="D51" s="64"/>
      <c r="E51" s="19">
        <f>100-E50</f>
        <v>15.891462133665641</v>
      </c>
      <c r="F51" s="38"/>
      <c r="G51" s="39"/>
      <c r="H51" s="39"/>
      <c r="I51" s="39"/>
      <c r="J51" s="39"/>
      <c r="K51" s="38"/>
    </row>
    <row r="52" spans="1:11" x14ac:dyDescent="0.3">
      <c r="A52" s="37"/>
      <c r="B52" s="27" t="s">
        <v>27</v>
      </c>
      <c r="C52" s="64">
        <f>C49*0.03</f>
        <v>7500</v>
      </c>
      <c r="D52" s="64"/>
      <c r="E52" s="19">
        <v>3</v>
      </c>
      <c r="F52" s="38"/>
      <c r="G52" s="39"/>
      <c r="H52" s="39"/>
      <c r="I52" s="39"/>
      <c r="J52" s="39"/>
      <c r="K52" s="38"/>
    </row>
    <row r="53" spans="1:11" x14ac:dyDescent="0.3">
      <c r="A53" s="37"/>
      <c r="B53" s="27" t="s">
        <v>28</v>
      </c>
      <c r="C53" s="64">
        <f>C49*0.02</f>
        <v>5000</v>
      </c>
      <c r="D53" s="64"/>
      <c r="E53" s="19">
        <v>2</v>
      </c>
      <c r="F53" s="38"/>
      <c r="G53" s="39"/>
      <c r="H53" s="39"/>
      <c r="I53" s="39"/>
      <c r="J53" s="39"/>
      <c r="K53" s="38"/>
    </row>
  </sheetData>
  <mergeCells count="15">
    <mergeCell ref="C52:D52"/>
    <mergeCell ref="C53:D53"/>
    <mergeCell ref="A7:F7"/>
    <mergeCell ref="H7:K7"/>
    <mergeCell ref="C48:D48"/>
    <mergeCell ref="C49:D49"/>
    <mergeCell ref="C50:D50"/>
    <mergeCell ref="C51:D51"/>
    <mergeCell ref="A1:K1"/>
    <mergeCell ref="A2:K2"/>
    <mergeCell ref="A3:K3"/>
    <mergeCell ref="A4:K4"/>
    <mergeCell ref="A5:K5"/>
    <mergeCell ref="A6:F6"/>
    <mergeCell ref="H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A29" sqref="A29"/>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x14ac:dyDescent="0.3">
      <c r="A1" s="77" t="s">
        <v>0</v>
      </c>
      <c r="B1" s="77"/>
      <c r="C1" s="77"/>
      <c r="D1" s="77"/>
      <c r="E1" s="77"/>
      <c r="F1" s="77"/>
      <c r="G1" s="77"/>
      <c r="H1" s="77"/>
      <c r="I1" s="77"/>
      <c r="J1" s="77"/>
      <c r="K1" s="77"/>
    </row>
    <row r="2" spans="1:13" ht="24.6" x14ac:dyDescent="0.4">
      <c r="A2" s="78" t="s">
        <v>1</v>
      </c>
      <c r="B2" s="78"/>
      <c r="C2" s="78"/>
      <c r="D2" s="78"/>
      <c r="E2" s="78"/>
      <c r="F2" s="78"/>
      <c r="G2" s="78"/>
      <c r="H2" s="78"/>
      <c r="I2" s="78"/>
      <c r="J2" s="78"/>
      <c r="K2" s="78"/>
    </row>
    <row r="3" spans="1:13" s="16" customFormat="1" x14ac:dyDescent="0.3">
      <c r="A3" s="62" t="s">
        <v>2</v>
      </c>
      <c r="B3" s="62"/>
      <c r="C3" s="62"/>
      <c r="D3" s="62"/>
      <c r="E3" s="62"/>
      <c r="F3" s="62"/>
      <c r="G3" s="62"/>
      <c r="H3" s="62"/>
      <c r="I3" s="62"/>
      <c r="J3" s="62"/>
      <c r="K3" s="62"/>
    </row>
    <row r="4" spans="1:13" s="16" customFormat="1" x14ac:dyDescent="0.3">
      <c r="A4" s="62" t="s">
        <v>3</v>
      </c>
      <c r="B4" s="62"/>
      <c r="C4" s="62"/>
      <c r="D4" s="62"/>
      <c r="E4" s="62"/>
      <c r="F4" s="62"/>
      <c r="G4" s="62"/>
      <c r="H4" s="62"/>
      <c r="I4" s="62"/>
      <c r="J4" s="62"/>
      <c r="K4" s="62"/>
    </row>
    <row r="5" spans="1:13" ht="18" x14ac:dyDescent="0.35">
      <c r="A5" s="79" t="s">
        <v>30</v>
      </c>
      <c r="B5" s="79"/>
      <c r="C5" s="79"/>
      <c r="D5" s="79"/>
      <c r="E5" s="79"/>
      <c r="F5" s="79"/>
      <c r="G5" s="79"/>
      <c r="H5" s="79"/>
      <c r="I5" s="79"/>
      <c r="J5" s="79"/>
      <c r="K5" s="79"/>
    </row>
    <row r="6" spans="1:13" ht="18" x14ac:dyDescent="0.35">
      <c r="A6" s="42" t="s">
        <v>31</v>
      </c>
      <c r="B6" s="42"/>
      <c r="C6" s="75">
        <f>F31</f>
        <v>282373.23585084308</v>
      </c>
      <c r="D6" s="76"/>
      <c r="E6" s="43"/>
      <c r="F6" s="42"/>
      <c r="G6" s="42"/>
      <c r="H6" s="42" t="s">
        <v>32</v>
      </c>
      <c r="I6" s="42"/>
      <c r="J6" s="75">
        <f>I31</f>
        <v>283710.37399446999</v>
      </c>
      <c r="K6" s="76"/>
    </row>
    <row r="7" spans="1:13" x14ac:dyDescent="0.3">
      <c r="A7" s="44" t="s">
        <v>33</v>
      </c>
      <c r="B7" s="44"/>
      <c r="C7" s="44"/>
      <c r="D7" s="44"/>
      <c r="F7" s="71"/>
      <c r="G7" s="71"/>
      <c r="I7" s="72" t="s">
        <v>34</v>
      </c>
      <c r="J7" s="72"/>
      <c r="K7" s="72"/>
    </row>
    <row r="8" spans="1:13" ht="15.6" x14ac:dyDescent="0.3">
      <c r="A8" s="58" t="e">
        <f>#REF!</f>
        <v>#REF!</v>
      </c>
      <c r="B8" s="58"/>
      <c r="C8" s="58"/>
      <c r="D8" s="58"/>
      <c r="E8" s="58"/>
      <c r="F8" s="58"/>
      <c r="I8" s="73" t="s">
        <v>43</v>
      </c>
      <c r="J8" s="73"/>
      <c r="K8" s="73"/>
    </row>
    <row r="9" spans="1:13" x14ac:dyDescent="0.3">
      <c r="A9" s="74" t="e">
        <f>#REF!</f>
        <v>#REF!</v>
      </c>
      <c r="B9" s="74"/>
      <c r="C9" s="74"/>
      <c r="D9" s="74"/>
      <c r="E9" s="74"/>
      <c r="F9" s="74"/>
      <c r="I9" s="73" t="s">
        <v>48</v>
      </c>
      <c r="J9" s="73"/>
      <c r="K9" s="73"/>
    </row>
    <row r="11" spans="1:13" x14ac:dyDescent="0.3">
      <c r="A11" s="69" t="s">
        <v>35</v>
      </c>
      <c r="B11" s="69" t="s">
        <v>36</v>
      </c>
      <c r="C11" s="69" t="s">
        <v>14</v>
      </c>
      <c r="D11" s="70" t="s">
        <v>37</v>
      </c>
      <c r="E11" s="70"/>
      <c r="F11" s="70"/>
      <c r="G11" s="70" t="s">
        <v>38</v>
      </c>
      <c r="H11" s="70"/>
      <c r="I11" s="70"/>
      <c r="J11" s="69" t="s">
        <v>39</v>
      </c>
      <c r="K11" s="68" t="s">
        <v>40</v>
      </c>
    </row>
    <row r="12" spans="1:13" x14ac:dyDescent="0.3">
      <c r="A12" s="69"/>
      <c r="B12" s="69"/>
      <c r="C12" s="69"/>
      <c r="D12" s="45" t="s">
        <v>41</v>
      </c>
      <c r="E12" s="45" t="s">
        <v>15</v>
      </c>
      <c r="F12" s="45" t="s">
        <v>16</v>
      </c>
      <c r="G12" s="45" t="s">
        <v>41</v>
      </c>
      <c r="H12" s="45" t="s">
        <v>15</v>
      </c>
      <c r="I12" s="45" t="s">
        <v>16</v>
      </c>
      <c r="J12" s="69"/>
      <c r="K12" s="68"/>
    </row>
    <row r="13" spans="1:13" s="16" customFormat="1" ht="30" x14ac:dyDescent="0.25">
      <c r="A13" s="54">
        <f>Estimate!A9</f>
        <v>1</v>
      </c>
      <c r="B13" s="55" t="str">
        <f>Estimate!B9</f>
        <v>g/d k|sf/sf] Sn] / l;N6L df6f]df ;j} lsl;dsf] vGg] sfd</v>
      </c>
      <c r="C13" s="46" t="str">
        <f>Estimate!H12</f>
        <v>m3</v>
      </c>
      <c r="D13" s="46">
        <f>Estimate!G12</f>
        <v>13.073999999999998</v>
      </c>
      <c r="E13" s="46">
        <f>Estimate!I12</f>
        <v>663.31</v>
      </c>
      <c r="F13" s="46">
        <f>D13*E13</f>
        <v>8672.1149399999977</v>
      </c>
      <c r="G13" s="46">
        <f>Valuation!G12</f>
        <v>15.002999999999998</v>
      </c>
      <c r="H13" s="46">
        <f>Valuation!I12</f>
        <v>663.31</v>
      </c>
      <c r="I13" s="46">
        <f>G13*H13</f>
        <v>9951.6399299999975</v>
      </c>
      <c r="J13" s="47">
        <f>I13-F13</f>
        <v>1279.5249899999999</v>
      </c>
      <c r="K13" s="48"/>
      <c r="M13" s="57">
        <f>1.25*F13</f>
        <v>10840.143674999998</v>
      </c>
    </row>
    <row r="14" spans="1:13" s="16" customFormat="1" x14ac:dyDescent="0.3">
      <c r="A14" s="26"/>
      <c r="B14" s="27"/>
      <c r="C14" s="46"/>
      <c r="D14" s="46"/>
      <c r="E14" s="46"/>
      <c r="F14" s="46"/>
      <c r="G14" s="46"/>
      <c r="H14" s="46"/>
      <c r="I14" s="46"/>
      <c r="J14" s="47"/>
      <c r="K14" s="48"/>
      <c r="M14" s="57"/>
    </row>
    <row r="15" spans="1:13" s="16" customFormat="1" ht="45" x14ac:dyDescent="0.3">
      <c r="A15" s="54">
        <f>Estimate!A14</f>
        <v>2</v>
      </c>
      <c r="B15" s="56" t="str">
        <f>Estimate!B14</f>
        <v xml:space="preserve">l;d]G6 d;nfsf] uf/f]af6 O{6f lemls nfu]sf] d;nf ;kmf ug]{ tyf k'gM k|of]u ug]{ ;lsg] u/L yGsfpg] sfd . </v>
      </c>
      <c r="C15" s="46" t="str">
        <f>Estimate!H17</f>
        <v>m3</v>
      </c>
      <c r="D15" s="46">
        <f>Estimate!G17</f>
        <v>101.63739713501982</v>
      </c>
      <c r="E15" s="46">
        <f>Estimate!I17</f>
        <v>6.52</v>
      </c>
      <c r="F15" s="46">
        <f>D15*E15</f>
        <v>662.67582932032917</v>
      </c>
      <c r="G15" s="46">
        <f>Valuation!G17</f>
        <v>101.63739713501982</v>
      </c>
      <c r="H15" s="46">
        <f>Valuation!I17</f>
        <v>6.52</v>
      </c>
      <c r="I15" s="46">
        <f>G15*H15</f>
        <v>662.67582932032917</v>
      </c>
      <c r="J15" s="47">
        <f>I15-F15</f>
        <v>0</v>
      </c>
      <c r="K15" s="48"/>
      <c r="M15" s="57">
        <f t="shared" ref="M15:M29" si="0">1.25*F15</f>
        <v>828.34478665041149</v>
      </c>
    </row>
    <row r="16" spans="1:13" s="16" customFormat="1" x14ac:dyDescent="0.3">
      <c r="A16" s="26"/>
      <c r="B16" s="27"/>
      <c r="C16" s="46"/>
      <c r="D16" s="46"/>
      <c r="E16" s="46"/>
      <c r="F16" s="46"/>
      <c r="G16" s="46"/>
      <c r="H16" s="46"/>
      <c r="I16" s="46"/>
      <c r="J16" s="47"/>
      <c r="K16" s="48"/>
      <c r="M16" s="57"/>
    </row>
    <row r="17" spans="1:13" s="16" customFormat="1" ht="15" x14ac:dyDescent="0.3">
      <c r="A17" s="54">
        <f>Estimate!A19</f>
        <v>3</v>
      </c>
      <c r="B17" s="56" t="str">
        <f>Estimate!B19</f>
        <v>;'Vvf O{6f RofK6f] 5fKg] sfd</v>
      </c>
      <c r="C17" s="46" t="str">
        <f>Estimate!H21</f>
        <v>sqm</v>
      </c>
      <c r="D17" s="46">
        <f>Estimate!G21</f>
        <v>1.84</v>
      </c>
      <c r="E17" s="46">
        <f>Estimate!I21</f>
        <v>1014.97</v>
      </c>
      <c r="F17" s="46">
        <f>D17*E17</f>
        <v>1867.5448000000001</v>
      </c>
      <c r="G17" s="46">
        <f>Valuation!G21</f>
        <v>1.84</v>
      </c>
      <c r="H17" s="46">
        <f>Valuation!I21</f>
        <v>1014.97</v>
      </c>
      <c r="I17" s="46">
        <f>G17*H17</f>
        <v>1867.5448000000001</v>
      </c>
      <c r="J17" s="47">
        <f>I17-F17</f>
        <v>0</v>
      </c>
      <c r="K17" s="48"/>
      <c r="M17" s="57">
        <f t="shared" si="0"/>
        <v>2334.431</v>
      </c>
    </row>
    <row r="18" spans="1:13" s="16" customFormat="1" ht="15.6" x14ac:dyDescent="0.3">
      <c r="A18" s="54"/>
      <c r="B18" s="53" t="str">
        <f>Estimate!B22</f>
        <v>VAT calculation</v>
      </c>
      <c r="C18" s="46"/>
      <c r="D18" s="46"/>
      <c r="E18" s="46"/>
      <c r="F18" s="46">
        <f>Estimate!J22</f>
        <v>206.12342400000003</v>
      </c>
      <c r="G18" s="46"/>
      <c r="H18" s="46"/>
      <c r="I18" s="46">
        <f>Valuation!J22</f>
        <v>206.12342400000003</v>
      </c>
      <c r="J18" s="47">
        <f>I18-F18</f>
        <v>0</v>
      </c>
      <c r="K18" s="48"/>
      <c r="M18" s="57">
        <f t="shared" si="0"/>
        <v>257.65428000000003</v>
      </c>
    </row>
    <row r="19" spans="1:13" s="16" customFormat="1" x14ac:dyDescent="0.3">
      <c r="A19" s="26"/>
      <c r="B19" s="27"/>
      <c r="C19" s="46"/>
      <c r="D19" s="46"/>
      <c r="E19" s="46"/>
      <c r="F19" s="46"/>
      <c r="G19" s="46"/>
      <c r="H19" s="46"/>
      <c r="I19" s="46"/>
      <c r="J19" s="47"/>
      <c r="K19" s="48"/>
      <c r="M19" s="57"/>
    </row>
    <row r="20" spans="1:13" s="16" customFormat="1" ht="55.2" x14ac:dyDescent="0.3">
      <c r="A20" s="54">
        <f>Estimate!A24</f>
        <v>4</v>
      </c>
      <c r="B20" s="7" t="str">
        <f>Estimate!B24</f>
        <v>Providing and laying of Plain/Reinforced Cement Concrete in Foundation complete as per Drawing and Technical Specifications, PCC Grade M 15</v>
      </c>
      <c r="C20" s="46" t="str">
        <f>Estimate!H27</f>
        <v>m3</v>
      </c>
      <c r="D20" s="46">
        <f>Estimate!G27</f>
        <v>0.23000000000000004</v>
      </c>
      <c r="E20" s="46">
        <f>Estimate!I27</f>
        <v>10634.5</v>
      </c>
      <c r="F20" s="46">
        <f>D20*E20</f>
        <v>2445.9350000000004</v>
      </c>
      <c r="G20" s="46">
        <f>Valuation!G27</f>
        <v>0.18400000000000002</v>
      </c>
      <c r="H20" s="46">
        <f>Valuation!I27</f>
        <v>10634.5</v>
      </c>
      <c r="I20" s="46">
        <f>G20*H20</f>
        <v>1956.7480000000003</v>
      </c>
      <c r="J20" s="47">
        <f>I20-F20</f>
        <v>-489.18700000000013</v>
      </c>
      <c r="K20" s="48"/>
      <c r="M20" s="57">
        <f t="shared" si="0"/>
        <v>3057.4187500000007</v>
      </c>
    </row>
    <row r="21" spans="1:13" s="16" customFormat="1" ht="15.6" x14ac:dyDescent="0.3">
      <c r="A21" s="54"/>
      <c r="B21" s="53" t="str">
        <f>Estimate!B28</f>
        <v>VAT calculation</v>
      </c>
      <c r="C21" s="46"/>
      <c r="D21" s="46"/>
      <c r="E21" s="46"/>
      <c r="F21" s="46">
        <f>Estimate!J28</f>
        <v>241.27824933333341</v>
      </c>
      <c r="G21" s="46"/>
      <c r="H21" s="46"/>
      <c r="I21" s="46">
        <f>Valuation!J28</f>
        <v>193.02259946666672</v>
      </c>
      <c r="J21" s="47">
        <f>I21-F21</f>
        <v>-48.255649866666687</v>
      </c>
      <c r="K21" s="48"/>
      <c r="M21" s="57">
        <f t="shared" si="0"/>
        <v>301.59781166666676</v>
      </c>
    </row>
    <row r="22" spans="1:13" s="16" customFormat="1" x14ac:dyDescent="0.3">
      <c r="A22" s="26"/>
      <c r="B22" s="27"/>
      <c r="C22" s="46"/>
      <c r="D22" s="46"/>
      <c r="E22" s="46"/>
      <c r="F22" s="46"/>
      <c r="G22" s="46"/>
      <c r="H22" s="46"/>
      <c r="I22" s="46"/>
      <c r="J22" s="47"/>
      <c r="K22" s="48"/>
      <c r="M22" s="57"/>
    </row>
    <row r="23" spans="1:13" s="16" customFormat="1" ht="30" x14ac:dyDescent="0.3">
      <c r="A23" s="54">
        <f>Estimate!A30</f>
        <v>5</v>
      </c>
      <c r="B23" s="56" t="str">
        <f>Estimate!B30</f>
        <v xml:space="preserve">e'O{+tNnfdf lrDgL e§fsf] O{+6fsf] uf/f] l;d]G6 d;nf -!M^_ df </v>
      </c>
      <c r="C23" s="46" t="str">
        <f>Estimate!H34</f>
        <v>m3</v>
      </c>
      <c r="D23" s="46">
        <f>Estimate!G34</f>
        <v>1.6477453520268213</v>
      </c>
      <c r="E23" s="46">
        <f>Estimate!I34</f>
        <v>14362.76</v>
      </c>
      <c r="F23" s="46">
        <f>D23*E23</f>
        <v>23666.171032276747</v>
      </c>
      <c r="G23" s="46">
        <f>Valuation!G34</f>
        <v>1.3784650000000001</v>
      </c>
      <c r="H23" s="46">
        <f>Valuation!I34</f>
        <v>14362.76</v>
      </c>
      <c r="I23" s="46">
        <f>G23*H23</f>
        <v>19798.5619634</v>
      </c>
      <c r="J23" s="47">
        <f>I23-F23</f>
        <v>-3867.6090688767472</v>
      </c>
      <c r="K23" s="48"/>
      <c r="M23" s="57">
        <f t="shared" si="0"/>
        <v>29582.713790345933</v>
      </c>
    </row>
    <row r="24" spans="1:13" s="16" customFormat="1" ht="15.6" x14ac:dyDescent="0.3">
      <c r="A24" s="54"/>
      <c r="B24" s="53" t="str">
        <f>Estimate!B35</f>
        <v>VAT calculation</v>
      </c>
      <c r="C24" s="46"/>
      <c r="D24" s="46"/>
      <c r="E24" s="46"/>
      <c r="F24" s="46">
        <f>Estimate!J35</f>
        <v>2208.8458153201773</v>
      </c>
      <c r="G24" s="46"/>
      <c r="H24" s="46"/>
      <c r="I24" s="46">
        <f>Valuation!J35</f>
        <v>1847.8684482830001</v>
      </c>
      <c r="J24" s="47">
        <f>I24-F24</f>
        <v>-360.97736703717715</v>
      </c>
      <c r="K24" s="48"/>
      <c r="M24" s="57">
        <f t="shared" si="0"/>
        <v>2761.0572691502216</v>
      </c>
    </row>
    <row r="25" spans="1:13" s="16" customFormat="1" x14ac:dyDescent="0.3">
      <c r="A25" s="26"/>
      <c r="B25" s="27"/>
      <c r="C25" s="46"/>
      <c r="D25" s="46"/>
      <c r="E25" s="46"/>
      <c r="F25" s="46"/>
      <c r="G25" s="46"/>
      <c r="H25" s="46"/>
      <c r="I25" s="46"/>
      <c r="J25" s="47"/>
      <c r="K25" s="48"/>
      <c r="M25" s="57"/>
    </row>
    <row r="26" spans="1:13" s="16" customFormat="1" ht="60" x14ac:dyDescent="0.3">
      <c r="A26" s="54">
        <f>Estimate!A37</f>
        <v>6</v>
      </c>
      <c r="B26" s="56" t="str">
        <f>Estimate!B37</f>
        <v xml:space="preserve">dfn;fdfg pknAw u/L %) dL=dL= df]6f] x]eL 8o"6L OG6/nls+u s+lqm6Ans %) dL=dL=df]6fOsf] qm;/ 8:6 dfyL /fvL la5ofpg]] sfd k'/f </v>
      </c>
      <c r="C26" s="46" t="str">
        <f>Estimate!H41</f>
        <v>m2</v>
      </c>
      <c r="D26" s="46">
        <f>Estimate!G41</f>
        <v>132.36067052727827</v>
      </c>
      <c r="E26" s="46">
        <f>Estimate!I41</f>
        <v>1737.28</v>
      </c>
      <c r="F26" s="46">
        <f>D26*E26</f>
        <v>229947.54569363</v>
      </c>
      <c r="G26" s="46">
        <f>Valuation!G39</f>
        <v>135</v>
      </c>
      <c r="H26" s="46">
        <f>Valuation!I39</f>
        <v>1737.28</v>
      </c>
      <c r="I26" s="46">
        <f>G26*H26</f>
        <v>234532.8</v>
      </c>
      <c r="J26" s="47">
        <f>I26-F26</f>
        <v>4585.254306369985</v>
      </c>
      <c r="K26" s="48"/>
      <c r="M26" s="57">
        <f>1.25*F26</f>
        <v>287434.43211703748</v>
      </c>
    </row>
    <row r="27" spans="1:13" s="16" customFormat="1" ht="15.6" x14ac:dyDescent="0.3">
      <c r="A27" s="54"/>
      <c r="B27" s="53" t="str">
        <f>Estimate!B42</f>
        <v>VAT calculation</v>
      </c>
      <c r="C27" s="46"/>
      <c r="D27" s="46"/>
      <c r="E27" s="46"/>
      <c r="F27" s="46">
        <f>Estimate!J42</f>
        <v>11955.00106696251</v>
      </c>
      <c r="G27" s="46"/>
      <c r="H27" s="46"/>
      <c r="I27" s="46">
        <f>Valuation!J40</f>
        <v>12193.388999999999</v>
      </c>
      <c r="J27" s="47">
        <f>I27-F27</f>
        <v>238.38793303748935</v>
      </c>
      <c r="K27" s="48"/>
      <c r="M27" s="57">
        <f t="shared" ref="M26:M28" si="1">1.25*F27</f>
        <v>14943.751333703138</v>
      </c>
    </row>
    <row r="28" spans="1:13" s="16" customFormat="1" x14ac:dyDescent="0.3">
      <c r="A28" s="26"/>
      <c r="B28" s="27"/>
      <c r="C28" s="46"/>
      <c r="D28" s="46"/>
      <c r="E28" s="46"/>
      <c r="F28" s="46"/>
      <c r="G28" s="46"/>
      <c r="H28" s="46"/>
      <c r="I28" s="46"/>
      <c r="J28" s="47"/>
      <c r="K28" s="48"/>
      <c r="M28" s="57"/>
    </row>
    <row r="29" spans="1:13" s="16" customFormat="1" x14ac:dyDescent="0.3">
      <c r="A29" s="54">
        <f>Estimate!A44</f>
        <v>7</v>
      </c>
      <c r="B29" s="49" t="str">
        <f>Estimate!B44</f>
        <v>Information board (सुचना पाटि)</v>
      </c>
      <c r="C29" s="46" t="str">
        <f>Estimate!H44</f>
        <v>no.</v>
      </c>
      <c r="D29" s="46">
        <f>Estimate!G44</f>
        <v>1</v>
      </c>
      <c r="E29" s="46">
        <f>Estimate!I44</f>
        <v>500</v>
      </c>
      <c r="F29" s="46">
        <f>D29*E29</f>
        <v>500</v>
      </c>
      <c r="G29" s="46">
        <f>Valuation!G42</f>
        <v>1</v>
      </c>
      <c r="H29" s="46">
        <f>Valuation!I42</f>
        <v>500</v>
      </c>
      <c r="I29" s="46">
        <f>G29*H29</f>
        <v>500</v>
      </c>
      <c r="J29" s="47">
        <f>I29-F29</f>
        <v>0</v>
      </c>
      <c r="K29" s="48"/>
      <c r="M29" s="57">
        <f t="shared" si="0"/>
        <v>625</v>
      </c>
    </row>
    <row r="30" spans="1:13" s="16" customFormat="1" x14ac:dyDescent="0.3">
      <c r="A30" s="27"/>
      <c r="B30" s="27"/>
      <c r="C30" s="46"/>
      <c r="D30" s="46"/>
      <c r="E30" s="46"/>
      <c r="F30" s="46"/>
      <c r="G30" s="46"/>
      <c r="H30" s="46"/>
      <c r="I30" s="46"/>
      <c r="J30" s="47"/>
      <c r="K30" s="48"/>
    </row>
    <row r="31" spans="1:13" x14ac:dyDescent="0.3">
      <c r="A31" s="28"/>
      <c r="B31" s="50" t="s">
        <v>42</v>
      </c>
      <c r="C31" s="50"/>
      <c r="D31" s="51"/>
      <c r="E31" s="51"/>
      <c r="F31" s="51">
        <f>SUM(F13:F29)</f>
        <v>282373.23585084308</v>
      </c>
      <c r="G31" s="51"/>
      <c r="H31" s="51"/>
      <c r="I31" s="51">
        <f>SUM(I13:I29)</f>
        <v>283710.37399446999</v>
      </c>
      <c r="J31" s="52">
        <f>I31-F31</f>
        <v>1337.1381436269148</v>
      </c>
      <c r="K31" s="28"/>
    </row>
    <row r="36" spans="11:13" x14ac:dyDescent="0.3">
      <c r="K36">
        <v>1070</v>
      </c>
      <c r="L36">
        <f>(21/3.281)*(36/3.281)</f>
        <v>70.227843835198286</v>
      </c>
      <c r="M36">
        <f>L36*K36</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B28" workbookViewId="0">
      <selection activeCell="J50" sqref="J50"/>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1" x14ac:dyDescent="0.3">
      <c r="A1" s="60" t="s">
        <v>0</v>
      </c>
      <c r="B1" s="60"/>
      <c r="C1" s="60"/>
      <c r="D1" s="60"/>
      <c r="E1" s="60"/>
      <c r="F1" s="60"/>
      <c r="G1" s="60"/>
      <c r="H1" s="60"/>
      <c r="I1" s="60"/>
      <c r="J1" s="60"/>
      <c r="K1" s="60"/>
    </row>
    <row r="2" spans="1:11" ht="22.8" x14ac:dyDescent="0.3">
      <c r="A2" s="61" t="s">
        <v>1</v>
      </c>
      <c r="B2" s="61"/>
      <c r="C2" s="61"/>
      <c r="D2" s="61"/>
      <c r="E2" s="61"/>
      <c r="F2" s="61"/>
      <c r="G2" s="61"/>
      <c r="H2" s="61"/>
      <c r="I2" s="61"/>
      <c r="J2" s="61"/>
      <c r="K2" s="61"/>
    </row>
    <row r="3" spans="1:11" x14ac:dyDescent="0.3">
      <c r="A3" s="62" t="s">
        <v>2</v>
      </c>
      <c r="B3" s="62"/>
      <c r="C3" s="62"/>
      <c r="D3" s="62"/>
      <c r="E3" s="62"/>
      <c r="F3" s="62"/>
      <c r="G3" s="62"/>
      <c r="H3" s="62"/>
      <c r="I3" s="62"/>
      <c r="J3" s="62"/>
      <c r="K3" s="62"/>
    </row>
    <row r="4" spans="1:11" x14ac:dyDescent="0.3">
      <c r="A4" s="62" t="s">
        <v>3</v>
      </c>
      <c r="B4" s="62"/>
      <c r="C4" s="62"/>
      <c r="D4" s="62"/>
      <c r="E4" s="62"/>
      <c r="F4" s="62"/>
      <c r="G4" s="62"/>
      <c r="H4" s="62"/>
      <c r="I4" s="62"/>
      <c r="J4" s="62"/>
      <c r="K4" s="62"/>
    </row>
    <row r="5" spans="1:11" ht="17.399999999999999" x14ac:dyDescent="0.3">
      <c r="A5" s="63" t="s">
        <v>44</v>
      </c>
      <c r="B5" s="63"/>
      <c r="C5" s="63"/>
      <c r="D5" s="63"/>
      <c r="E5" s="63"/>
      <c r="F5" s="63"/>
      <c r="G5" s="63"/>
      <c r="H5" s="63"/>
      <c r="I5" s="63"/>
      <c r="J5" s="63"/>
      <c r="K5" s="63"/>
    </row>
    <row r="6" spans="1:11" ht="15.6" x14ac:dyDescent="0.3">
      <c r="A6" s="58" t="s">
        <v>49</v>
      </c>
      <c r="B6" s="58"/>
      <c r="C6" s="58"/>
      <c r="D6" s="58"/>
      <c r="E6" s="58"/>
      <c r="F6" s="58"/>
      <c r="G6" s="1"/>
      <c r="H6" s="59" t="s">
        <v>5</v>
      </c>
      <c r="I6" s="59"/>
      <c r="J6" s="59"/>
      <c r="K6" s="59"/>
    </row>
    <row r="7" spans="1:11" ht="15.6" x14ac:dyDescent="0.3">
      <c r="A7" s="65" t="s">
        <v>6</v>
      </c>
      <c r="B7" s="65"/>
      <c r="C7" s="65"/>
      <c r="D7" s="65"/>
      <c r="E7" s="65"/>
      <c r="F7" s="65"/>
      <c r="G7" s="2"/>
      <c r="H7" s="66" t="s">
        <v>50</v>
      </c>
      <c r="I7" s="66"/>
      <c r="J7" s="66"/>
      <c r="K7" s="66"/>
    </row>
    <row r="8" spans="1:11" ht="15.6" x14ac:dyDescent="0.3">
      <c r="A8" s="3" t="s">
        <v>7</v>
      </c>
      <c r="B8" s="4" t="s">
        <v>8</v>
      </c>
      <c r="C8" s="3" t="s">
        <v>9</v>
      </c>
      <c r="D8" s="5" t="s">
        <v>10</v>
      </c>
      <c r="E8" s="5" t="s">
        <v>11</v>
      </c>
      <c r="F8" s="5" t="s">
        <v>12</v>
      </c>
      <c r="G8" s="5" t="s">
        <v>13</v>
      </c>
      <c r="H8" s="3" t="s">
        <v>14</v>
      </c>
      <c r="I8" s="5" t="s">
        <v>15</v>
      </c>
      <c r="J8" s="5" t="s">
        <v>16</v>
      </c>
      <c r="K8" s="6" t="s">
        <v>17</v>
      </c>
    </row>
    <row r="9" spans="1:11" ht="30.6" x14ac:dyDescent="0.3">
      <c r="A9" s="26">
        <v>1</v>
      </c>
      <c r="B9" s="80" t="s">
        <v>46</v>
      </c>
      <c r="C9" s="17"/>
      <c r="D9" s="17"/>
      <c r="E9" s="17"/>
      <c r="F9" s="17"/>
      <c r="G9" s="17"/>
      <c r="H9" s="17"/>
      <c r="I9" s="17"/>
      <c r="J9" s="17"/>
      <c r="K9" s="17"/>
    </row>
    <row r="10" spans="1:11" x14ac:dyDescent="0.3">
      <c r="A10" s="8"/>
      <c r="B10" s="9" t="s">
        <v>53</v>
      </c>
      <c r="C10" s="17">
        <v>1</v>
      </c>
      <c r="D10" s="18">
        <f>D38</f>
        <v>67.5</v>
      </c>
      <c r="E10" s="18">
        <v>0.21</v>
      </c>
      <c r="F10" s="18">
        <v>1</v>
      </c>
      <c r="G10" s="19">
        <f>PRODUCT(C10:F10)</f>
        <v>14.174999999999999</v>
      </c>
      <c r="H10" s="20"/>
      <c r="I10" s="20"/>
      <c r="J10" s="20"/>
      <c r="K10" s="12"/>
    </row>
    <row r="11" spans="1:11" x14ac:dyDescent="0.3">
      <c r="A11" s="8"/>
      <c r="B11" s="9" t="s">
        <v>51</v>
      </c>
      <c r="C11" s="17">
        <v>1</v>
      </c>
      <c r="D11" s="18">
        <v>8</v>
      </c>
      <c r="E11" s="18">
        <v>0.23</v>
      </c>
      <c r="F11" s="18">
        <f>0.45</f>
        <v>0.45</v>
      </c>
      <c r="G11" s="19">
        <f>PRODUCT(C11:F11)</f>
        <v>0.82800000000000007</v>
      </c>
      <c r="H11" s="20"/>
      <c r="I11" s="20"/>
      <c r="J11" s="20"/>
      <c r="K11" s="12"/>
    </row>
    <row r="12" spans="1:11" x14ac:dyDescent="0.3">
      <c r="A12" s="8"/>
      <c r="B12" s="9" t="s">
        <v>18</v>
      </c>
      <c r="C12" s="10"/>
      <c r="D12" s="11"/>
      <c r="E12" s="12"/>
      <c r="F12" s="12"/>
      <c r="G12" s="13">
        <f>SUM(G10:G11)</f>
        <v>15.002999999999998</v>
      </c>
      <c r="H12" s="14" t="s">
        <v>19</v>
      </c>
      <c r="I12" s="13">
        <v>663.31</v>
      </c>
      <c r="J12" s="15">
        <f>G12*I12</f>
        <v>9951.6399299999975</v>
      </c>
      <c r="K12" s="12"/>
    </row>
    <row r="13" spans="1:11" x14ac:dyDescent="0.3">
      <c r="A13" s="8"/>
      <c r="B13" s="9"/>
      <c r="C13" s="10"/>
      <c r="D13" s="11"/>
      <c r="E13" s="12"/>
      <c r="F13" s="12"/>
      <c r="G13" s="13"/>
      <c r="H13" s="14"/>
      <c r="I13" s="13"/>
      <c r="J13" s="15"/>
      <c r="K13" s="12"/>
    </row>
    <row r="14" spans="1:11" ht="45.6" x14ac:dyDescent="0.3">
      <c r="A14" s="8">
        <v>2</v>
      </c>
      <c r="B14" s="80" t="s">
        <v>52</v>
      </c>
      <c r="C14" s="10"/>
      <c r="D14" s="11"/>
      <c r="E14" s="12"/>
      <c r="F14" s="12"/>
      <c r="G14" s="13"/>
      <c r="H14" s="14"/>
      <c r="I14" s="13"/>
      <c r="J14" s="15"/>
      <c r="K14" s="12"/>
    </row>
    <row r="15" spans="1:11" x14ac:dyDescent="0.3">
      <c r="A15" s="8"/>
      <c r="B15" s="9" t="s">
        <v>53</v>
      </c>
      <c r="C15" s="17">
        <v>1</v>
      </c>
      <c r="D15" s="18">
        <f>(7-0.75)/3.281</f>
        <v>1.9049070405364217</v>
      </c>
      <c r="E15" s="18">
        <v>0.1</v>
      </c>
      <c r="F15" s="18">
        <v>1</v>
      </c>
      <c r="G15" s="19">
        <f>(PRODUCT(C15:F15))*560*0.5</f>
        <v>53.337397135019813</v>
      </c>
      <c r="H15" s="20"/>
      <c r="I15" s="20"/>
      <c r="J15" s="20"/>
      <c r="K15" s="12"/>
    </row>
    <row r="16" spans="1:11" x14ac:dyDescent="0.3">
      <c r="A16" s="8"/>
      <c r="B16" s="9"/>
      <c r="C16" s="17">
        <v>1</v>
      </c>
      <c r="D16" s="18">
        <v>0.75</v>
      </c>
      <c r="E16" s="18">
        <v>0.23</v>
      </c>
      <c r="F16" s="18">
        <v>1</v>
      </c>
      <c r="G16" s="19">
        <f>(PRODUCT(C16:F16))*560*0.5</f>
        <v>48.300000000000004</v>
      </c>
      <c r="H16" s="20"/>
      <c r="I16" s="20"/>
      <c r="J16" s="20"/>
      <c r="K16" s="12"/>
    </row>
    <row r="17" spans="1:11" x14ac:dyDescent="0.3">
      <c r="A17" s="8"/>
      <c r="B17" s="9" t="s">
        <v>18</v>
      </c>
      <c r="C17" s="10"/>
      <c r="D17" s="11"/>
      <c r="E17" s="12"/>
      <c r="F17" s="12"/>
      <c r="G17" s="13">
        <f>SUM(G15:G16)</f>
        <v>101.63739713501982</v>
      </c>
      <c r="H17" s="14" t="s">
        <v>19</v>
      </c>
      <c r="I17" s="13">
        <v>6.52</v>
      </c>
      <c r="J17" s="15">
        <f>G17*I17</f>
        <v>662.67582932032917</v>
      </c>
      <c r="K17" s="12"/>
    </row>
    <row r="18" spans="1:11" x14ac:dyDescent="0.3">
      <c r="A18" s="8"/>
      <c r="B18" s="9"/>
      <c r="C18" s="10"/>
      <c r="D18" s="11"/>
      <c r="E18" s="12"/>
      <c r="F18" s="12"/>
      <c r="G18" s="13"/>
      <c r="H18" s="14"/>
      <c r="I18" s="13"/>
      <c r="J18" s="15"/>
      <c r="K18" s="12"/>
    </row>
    <row r="19" spans="1:11" ht="15" x14ac:dyDescent="0.3">
      <c r="A19" s="8">
        <v>3</v>
      </c>
      <c r="B19" s="81" t="s">
        <v>54</v>
      </c>
      <c r="C19" s="10"/>
      <c r="D19" s="11"/>
      <c r="E19" s="12"/>
      <c r="F19" s="12"/>
      <c r="G19" s="13"/>
      <c r="H19" s="14"/>
      <c r="I19" s="13"/>
      <c r="J19" s="15"/>
      <c r="K19" s="12"/>
    </row>
    <row r="20" spans="1:11" x14ac:dyDescent="0.3">
      <c r="A20" s="8"/>
      <c r="B20" s="9" t="str">
        <f>B10</f>
        <v>-Road</v>
      </c>
      <c r="C20" s="10">
        <v>1</v>
      </c>
      <c r="D20" s="11">
        <f>8</f>
        <v>8</v>
      </c>
      <c r="E20" s="12">
        <v>0.23</v>
      </c>
      <c r="F20" s="12"/>
      <c r="G20" s="19">
        <f>PRODUCT(C20:F20)</f>
        <v>1.84</v>
      </c>
      <c r="H20" s="14"/>
      <c r="I20" s="13"/>
      <c r="J20" s="15"/>
      <c r="K20" s="12"/>
    </row>
    <row r="21" spans="1:11" x14ac:dyDescent="0.3">
      <c r="A21" s="8"/>
      <c r="B21" s="9" t="s">
        <v>18</v>
      </c>
      <c r="C21" s="10"/>
      <c r="D21" s="11"/>
      <c r="E21" s="12"/>
      <c r="F21" s="12"/>
      <c r="G21" s="13">
        <f>SUM(G20:G20)</f>
        <v>1.84</v>
      </c>
      <c r="H21" s="14" t="s">
        <v>47</v>
      </c>
      <c r="I21" s="13">
        <v>1014.97</v>
      </c>
      <c r="J21" s="15">
        <f>G21*I21</f>
        <v>1867.5448000000001</v>
      </c>
      <c r="K21" s="12"/>
    </row>
    <row r="22" spans="1:11" x14ac:dyDescent="0.3">
      <c r="A22" s="8"/>
      <c r="B22" s="9" t="s">
        <v>20</v>
      </c>
      <c r="C22" s="10"/>
      <c r="D22" s="11"/>
      <c r="E22" s="12"/>
      <c r="F22" s="12"/>
      <c r="G22" s="13"/>
      <c r="H22" s="14"/>
      <c r="I22" s="13"/>
      <c r="J22" s="15">
        <f>0.13*G21*8617.2/10</f>
        <v>206.12342400000003</v>
      </c>
      <c r="K22" s="12"/>
    </row>
    <row r="23" spans="1:11" x14ac:dyDescent="0.3">
      <c r="A23" s="8"/>
      <c r="B23" s="9"/>
      <c r="C23" s="10"/>
      <c r="D23" s="11"/>
      <c r="E23" s="12"/>
      <c r="F23" s="12"/>
      <c r="G23" s="13"/>
      <c r="H23" s="14"/>
      <c r="I23" s="13"/>
      <c r="J23" s="15"/>
      <c r="K23" s="12"/>
    </row>
    <row r="24" spans="1:11" ht="69" x14ac:dyDescent="0.3">
      <c r="A24" s="8">
        <v>4</v>
      </c>
      <c r="B24" s="7" t="s">
        <v>55</v>
      </c>
      <c r="C24" s="10"/>
      <c r="D24" s="11"/>
      <c r="E24" s="12"/>
      <c r="F24" s="12"/>
      <c r="G24" s="13"/>
      <c r="H24" s="14"/>
      <c r="I24" s="13"/>
      <c r="J24" s="15"/>
      <c r="K24" s="12"/>
    </row>
    <row r="25" spans="1:11" x14ac:dyDescent="0.3">
      <c r="A25" s="8"/>
      <c r="B25" s="9" t="s">
        <v>56</v>
      </c>
      <c r="C25" s="17">
        <v>1</v>
      </c>
      <c r="D25" s="18">
        <f>D33</f>
        <v>8</v>
      </c>
      <c r="E25" s="18">
        <f>E33</f>
        <v>0.23</v>
      </c>
      <c r="F25" s="18">
        <v>0.05</v>
      </c>
      <c r="G25" s="19">
        <f>PRODUCT(C25:F25)</f>
        <v>9.2000000000000012E-2</v>
      </c>
      <c r="H25" s="20"/>
      <c r="I25" s="20"/>
      <c r="J25" s="20"/>
      <c r="K25" s="12"/>
    </row>
    <row r="26" spans="1:11" x14ac:dyDescent="0.3">
      <c r="A26" s="8"/>
      <c r="B26" s="9"/>
      <c r="C26" s="17">
        <v>1</v>
      </c>
      <c r="D26" s="18">
        <f>D25</f>
        <v>8</v>
      </c>
      <c r="E26" s="18">
        <f>E25</f>
        <v>0.23</v>
      </c>
      <c r="F26" s="18">
        <v>0.05</v>
      </c>
      <c r="G26" s="19">
        <f>PRODUCT(C26:F26)</f>
        <v>9.2000000000000012E-2</v>
      </c>
      <c r="H26" s="20"/>
      <c r="I26" s="20"/>
      <c r="J26" s="20"/>
      <c r="K26" s="12"/>
    </row>
    <row r="27" spans="1:11" x14ac:dyDescent="0.3">
      <c r="A27" s="20"/>
      <c r="B27" s="9" t="s">
        <v>18</v>
      </c>
      <c r="C27" s="21"/>
      <c r="D27" s="22"/>
      <c r="E27" s="22"/>
      <c r="F27" s="22"/>
      <c r="G27" s="23">
        <f>SUM(G25:G26)</f>
        <v>0.18400000000000002</v>
      </c>
      <c r="H27" s="23" t="s">
        <v>19</v>
      </c>
      <c r="I27" s="23">
        <v>10634.5</v>
      </c>
      <c r="J27" s="24">
        <f>G27*I27</f>
        <v>1956.7480000000003</v>
      </c>
      <c r="K27" s="17"/>
    </row>
    <row r="28" spans="1:11" x14ac:dyDescent="0.3">
      <c r="A28" s="20"/>
      <c r="B28" s="9" t="s">
        <v>20</v>
      </c>
      <c r="C28" s="21"/>
      <c r="D28" s="22"/>
      <c r="E28" s="22"/>
      <c r="F28" s="22"/>
      <c r="G28" s="22"/>
      <c r="H28" s="22"/>
      <c r="I28" s="22"/>
      <c r="J28" s="25">
        <f>0.13*G27*((114907.3+6135.3)/15)</f>
        <v>193.02259946666672</v>
      </c>
      <c r="K28" s="17"/>
    </row>
    <row r="29" spans="1:11" x14ac:dyDescent="0.3">
      <c r="A29" s="20"/>
      <c r="B29" s="9"/>
      <c r="C29" s="21"/>
      <c r="D29" s="22"/>
      <c r="E29" s="22"/>
      <c r="F29" s="22"/>
      <c r="G29" s="22"/>
      <c r="H29" s="22"/>
      <c r="I29" s="22"/>
      <c r="J29" s="25"/>
      <c r="K29" s="17"/>
    </row>
    <row r="30" spans="1:11" ht="30" x14ac:dyDescent="0.3">
      <c r="A30" s="8">
        <v>5</v>
      </c>
      <c r="B30" s="81" t="s">
        <v>57</v>
      </c>
      <c r="C30" s="10"/>
      <c r="D30" s="11"/>
      <c r="E30" s="12"/>
      <c r="F30" s="12"/>
      <c r="G30" s="13"/>
      <c r="H30" s="14"/>
      <c r="I30" s="13"/>
      <c r="J30" s="15"/>
      <c r="K30" s="12"/>
    </row>
    <row r="31" spans="1:11" x14ac:dyDescent="0.3">
      <c r="A31" s="8"/>
      <c r="B31" s="9" t="s">
        <v>58</v>
      </c>
      <c r="C31" s="41">
        <v>0.5</v>
      </c>
      <c r="D31" s="18">
        <f>1.17+2.34-0.1+0.62-0.1+1.02-0.1</f>
        <v>4.8499999999999996</v>
      </c>
      <c r="E31" s="18">
        <f>E15</f>
        <v>0.1</v>
      </c>
      <c r="F31" s="18">
        <v>0.65</v>
      </c>
      <c r="G31" s="19">
        <f>PRODUCT(C31:F31)</f>
        <v>0.15762499999999999</v>
      </c>
      <c r="H31" s="20"/>
      <c r="I31" s="20"/>
      <c r="J31" s="20"/>
      <c r="K31" s="12"/>
    </row>
    <row r="32" spans="1:11" x14ac:dyDescent="0.3">
      <c r="A32" s="8"/>
      <c r="B32" s="9"/>
      <c r="C32" s="41">
        <v>1</v>
      </c>
      <c r="D32" s="18">
        <v>2.44</v>
      </c>
      <c r="E32" s="18">
        <f>E16</f>
        <v>0.23</v>
      </c>
      <c r="F32" s="18">
        <v>0.7</v>
      </c>
      <c r="G32" s="19">
        <f>PRODUCT(C32:F32)</f>
        <v>0.39284000000000002</v>
      </c>
      <c r="H32" s="20"/>
      <c r="I32" s="20"/>
      <c r="J32" s="20"/>
      <c r="K32" s="12"/>
    </row>
    <row r="33" spans="1:11" x14ac:dyDescent="0.3">
      <c r="A33" s="8"/>
      <c r="B33" s="9" t="s">
        <v>59</v>
      </c>
      <c r="C33" s="41">
        <v>1</v>
      </c>
      <c r="D33" s="18">
        <v>8</v>
      </c>
      <c r="E33" s="18">
        <v>0.23</v>
      </c>
      <c r="F33" s="18">
        <v>0.45</v>
      </c>
      <c r="G33" s="19">
        <f>PRODUCT(C33:F33)</f>
        <v>0.82800000000000007</v>
      </c>
      <c r="H33" s="20"/>
      <c r="I33" s="20"/>
      <c r="J33" s="20"/>
      <c r="K33" s="12"/>
    </row>
    <row r="34" spans="1:11" x14ac:dyDescent="0.3">
      <c r="A34" s="8"/>
      <c r="B34" s="9" t="s">
        <v>18</v>
      </c>
      <c r="C34" s="10"/>
      <c r="D34" s="11"/>
      <c r="E34" s="12"/>
      <c r="F34" s="12"/>
      <c r="G34" s="13">
        <f>SUM(G31:G33)</f>
        <v>1.3784650000000001</v>
      </c>
      <c r="H34" s="14" t="s">
        <v>19</v>
      </c>
      <c r="I34" s="13">
        <v>14362.76</v>
      </c>
      <c r="J34" s="15">
        <f>G34*I34</f>
        <v>19798.5619634</v>
      </c>
      <c r="K34" s="12"/>
    </row>
    <row r="35" spans="1:11" x14ac:dyDescent="0.3">
      <c r="A35" s="8"/>
      <c r="B35" s="9" t="s">
        <v>20</v>
      </c>
      <c r="C35" s="10"/>
      <c r="D35" s="11"/>
      <c r="E35" s="12"/>
      <c r="F35" s="12"/>
      <c r="G35" s="13"/>
      <c r="H35" s="14"/>
      <c r="I35" s="13"/>
      <c r="J35" s="15">
        <f>0.13*G34*10311.74</f>
        <v>1847.8684482830001</v>
      </c>
      <c r="K35" s="12"/>
    </row>
    <row r="36" spans="1:11" x14ac:dyDescent="0.3">
      <c r="A36" s="8"/>
      <c r="B36" s="9"/>
      <c r="C36" s="10"/>
      <c r="D36" s="11"/>
      <c r="E36" s="12"/>
      <c r="F36" s="12"/>
      <c r="G36" s="13"/>
      <c r="H36" s="14"/>
      <c r="I36" s="13"/>
      <c r="J36" s="15"/>
      <c r="K36" s="12"/>
    </row>
    <row r="37" spans="1:11" s="16" customFormat="1" ht="60" x14ac:dyDescent="0.3">
      <c r="A37" s="26">
        <v>6</v>
      </c>
      <c r="B37" s="89" t="s">
        <v>60</v>
      </c>
      <c r="C37" s="90"/>
      <c r="D37" s="19"/>
      <c r="E37" s="19"/>
      <c r="F37" s="19"/>
      <c r="G37" s="19"/>
      <c r="H37" s="19"/>
      <c r="I37" s="19"/>
      <c r="J37" s="25"/>
      <c r="K37" s="27"/>
    </row>
    <row r="38" spans="1:11" x14ac:dyDescent="0.3">
      <c r="A38" s="20"/>
      <c r="B38" s="9" t="s">
        <v>61</v>
      </c>
      <c r="C38" s="21">
        <v>1</v>
      </c>
      <c r="D38" s="22">
        <v>67.5</v>
      </c>
      <c r="E38" s="22">
        <v>2</v>
      </c>
      <c r="F38" s="22"/>
      <c r="G38" s="19">
        <f>PRODUCT(C38:F38)</f>
        <v>135</v>
      </c>
      <c r="H38" s="22"/>
      <c r="I38" s="22"/>
      <c r="J38" s="25"/>
      <c r="K38" s="17"/>
    </row>
    <row r="39" spans="1:11" x14ac:dyDescent="0.3">
      <c r="A39" s="20"/>
      <c r="B39" s="9" t="s">
        <v>18</v>
      </c>
      <c r="C39" s="21"/>
      <c r="D39" s="22"/>
      <c r="E39" s="22"/>
      <c r="F39" s="22"/>
      <c r="G39" s="23">
        <f>SUM(G38:G38)</f>
        <v>135</v>
      </c>
      <c r="H39" s="23" t="s">
        <v>62</v>
      </c>
      <c r="I39" s="23">
        <v>1737.28</v>
      </c>
      <c r="J39" s="24">
        <f>G39*I39</f>
        <v>234532.8</v>
      </c>
      <c r="K39" s="17"/>
    </row>
    <row r="40" spans="1:11" x14ac:dyDescent="0.3">
      <c r="A40" s="20"/>
      <c r="B40" s="9" t="s">
        <v>20</v>
      </c>
      <c r="C40" s="21"/>
      <c r="D40" s="22"/>
      <c r="E40" s="22"/>
      <c r="F40" s="22"/>
      <c r="G40" s="22"/>
      <c r="H40" s="22"/>
      <c r="I40" s="22"/>
      <c r="J40" s="25">
        <f>0.13*G39*(6947.8/10)</f>
        <v>12193.388999999999</v>
      </c>
      <c r="K40" s="17"/>
    </row>
    <row r="41" spans="1:11" ht="10.199999999999999" customHeight="1" x14ac:dyDescent="0.3">
      <c r="A41" s="8"/>
      <c r="B41" s="29"/>
      <c r="C41" s="10"/>
      <c r="D41" s="11"/>
      <c r="E41" s="12"/>
      <c r="F41" s="12"/>
      <c r="G41" s="13"/>
      <c r="H41" s="14"/>
      <c r="I41" s="13"/>
      <c r="J41" s="15"/>
      <c r="K41" s="12"/>
    </row>
    <row r="42" spans="1:11" x14ac:dyDescent="0.3">
      <c r="A42" s="8">
        <v>7</v>
      </c>
      <c r="B42" s="7" t="s">
        <v>21</v>
      </c>
      <c r="C42" s="10">
        <v>1</v>
      </c>
      <c r="D42" s="11"/>
      <c r="E42" s="12"/>
      <c r="F42" s="12"/>
      <c r="G42" s="30">
        <f t="shared" ref="G42" si="0">PRODUCT(C42:F42)</f>
        <v>1</v>
      </c>
      <c r="H42" s="14" t="s">
        <v>22</v>
      </c>
      <c r="I42" s="13">
        <v>500</v>
      </c>
      <c r="J42" s="30">
        <f>G42*I42</f>
        <v>500</v>
      </c>
      <c r="K42" s="12"/>
    </row>
    <row r="43" spans="1:11" ht="10.199999999999999" customHeight="1" x14ac:dyDescent="0.3">
      <c r="A43" s="8"/>
      <c r="B43" s="29"/>
      <c r="C43" s="10"/>
      <c r="D43" s="11"/>
      <c r="E43" s="12"/>
      <c r="F43" s="12"/>
      <c r="G43" s="13"/>
      <c r="H43" s="14"/>
      <c r="I43" s="13"/>
      <c r="J43" s="15"/>
      <c r="K43" s="12"/>
    </row>
    <row r="44" spans="1:11" x14ac:dyDescent="0.3">
      <c r="A44" s="20"/>
      <c r="B44" s="40" t="s">
        <v>29</v>
      </c>
      <c r="C44" s="41"/>
      <c r="D44" s="18"/>
      <c r="E44" s="18"/>
      <c r="F44" s="18"/>
      <c r="G44" s="15"/>
      <c r="H44" s="15"/>
      <c r="I44" s="15"/>
      <c r="J44" s="15">
        <f>SUM(J10:J42)</f>
        <v>283710.37399446999</v>
      </c>
      <c r="K44" s="17"/>
    </row>
    <row r="45" spans="1:11" x14ac:dyDescent="0.3">
      <c r="A45" s="82"/>
      <c r="B45" s="83"/>
      <c r="C45" s="84"/>
      <c r="D45" s="85"/>
      <c r="E45" s="85"/>
      <c r="F45" s="85"/>
      <c r="G45" s="86"/>
      <c r="H45" s="86"/>
      <c r="I45" s="86"/>
      <c r="J45" s="86"/>
      <c r="K45" s="87"/>
    </row>
    <row r="46" spans="1:11" x14ac:dyDescent="0.3">
      <c r="A46" s="31"/>
      <c r="B46" s="27" t="s">
        <v>45</v>
      </c>
      <c r="C46" s="64">
        <f>J44</f>
        <v>283710.37399446999</v>
      </c>
      <c r="D46" s="64"/>
      <c r="E46" s="19">
        <v>100</v>
      </c>
      <c r="F46" s="32"/>
      <c r="G46" s="33"/>
      <c r="H46" s="32"/>
      <c r="I46" s="34"/>
      <c r="J46" s="35"/>
      <c r="K46" s="36"/>
    </row>
    <row r="47" spans="1:11" x14ac:dyDescent="0.3">
      <c r="A47" s="37"/>
      <c r="B47" s="27" t="s">
        <v>24</v>
      </c>
      <c r="C47" s="67">
        <v>250000</v>
      </c>
      <c r="D47" s="67"/>
      <c r="E47" s="19"/>
      <c r="F47" s="38"/>
      <c r="G47" s="39"/>
      <c r="H47" s="39"/>
      <c r="I47" s="39"/>
      <c r="J47" s="39"/>
      <c r="K47" s="38"/>
    </row>
    <row r="48" spans="1:11" x14ac:dyDescent="0.3">
      <c r="A48" s="37"/>
      <c r="B48" s="27" t="s">
        <v>25</v>
      </c>
      <c r="C48" s="67">
        <f>C47-C50-C51</f>
        <v>237500</v>
      </c>
      <c r="D48" s="67"/>
      <c r="E48" s="19">
        <f>C48/C46*100</f>
        <v>83.712131021556971</v>
      </c>
      <c r="F48" s="38"/>
      <c r="G48" s="39"/>
      <c r="H48" s="39"/>
      <c r="I48" s="39"/>
      <c r="J48" s="39"/>
      <c r="K48" s="38"/>
    </row>
    <row r="49" spans="1:11" x14ac:dyDescent="0.3">
      <c r="A49" s="37"/>
      <c r="B49" s="27" t="s">
        <v>26</v>
      </c>
      <c r="C49" s="64">
        <f>C46-C48</f>
        <v>46210.373994469992</v>
      </c>
      <c r="D49" s="64"/>
      <c r="E49" s="19">
        <f>100-E48</f>
        <v>16.287868978443029</v>
      </c>
      <c r="F49" s="38"/>
      <c r="G49" s="39"/>
      <c r="H49" s="39"/>
      <c r="I49" s="39"/>
      <c r="J49" s="39"/>
      <c r="K49" s="38"/>
    </row>
    <row r="50" spans="1:11" x14ac:dyDescent="0.3">
      <c r="A50" s="37"/>
      <c r="B50" s="27" t="s">
        <v>27</v>
      </c>
      <c r="C50" s="64">
        <f>C47*0.03</f>
        <v>7500</v>
      </c>
      <c r="D50" s="64"/>
      <c r="E50" s="19">
        <v>3</v>
      </c>
      <c r="F50" s="38"/>
      <c r="G50" s="39"/>
      <c r="H50" s="39"/>
      <c r="I50" s="39"/>
      <c r="J50" s="39"/>
      <c r="K50" s="38"/>
    </row>
    <row r="51" spans="1:11" x14ac:dyDescent="0.3">
      <c r="A51" s="37"/>
      <c r="B51" s="27" t="s">
        <v>28</v>
      </c>
      <c r="C51" s="64">
        <f>C47*0.02</f>
        <v>5000</v>
      </c>
      <c r="D51" s="64"/>
      <c r="E51" s="19">
        <v>2</v>
      </c>
      <c r="F51" s="38"/>
      <c r="G51" s="39"/>
      <c r="H51" s="39"/>
      <c r="I51" s="39"/>
      <c r="J51" s="39"/>
      <c r="K51" s="38"/>
    </row>
  </sheetData>
  <mergeCells count="15">
    <mergeCell ref="C50:D50"/>
    <mergeCell ref="C51:D51"/>
    <mergeCell ref="A7:F7"/>
    <mergeCell ref="H7:K7"/>
    <mergeCell ref="C46:D46"/>
    <mergeCell ref="C47:D47"/>
    <mergeCell ref="C48:D48"/>
    <mergeCell ref="C49:D49"/>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verticalDpi="0"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abSelected="1" topLeftCell="A4" workbookViewId="0">
      <selection activeCell="L5" sqref="L5"/>
    </sheetView>
  </sheetViews>
  <sheetFormatPr defaultRowHeight="14.4" x14ac:dyDescent="0.3"/>
  <cols>
    <col min="2" max="2" width="15.33203125" bestFit="1" customWidth="1"/>
    <col min="3" max="3" width="6.44140625" bestFit="1" customWidth="1"/>
    <col min="4" max="4" width="5.88671875" bestFit="1" customWidth="1"/>
    <col min="7" max="7" width="9.33203125" bestFit="1" customWidth="1"/>
    <col min="8" max="8" width="12.33203125" bestFit="1" customWidth="1"/>
  </cols>
  <sheetData>
    <row r="1" spans="2:10" x14ac:dyDescent="0.3">
      <c r="B1" t="s">
        <v>63</v>
      </c>
      <c r="C1" t="s">
        <v>10</v>
      </c>
      <c r="D1" t="s">
        <v>64</v>
      </c>
      <c r="E1" s="91" t="s">
        <v>81</v>
      </c>
    </row>
    <row r="2" spans="2:10" x14ac:dyDescent="0.3">
      <c r="B2" t="s">
        <v>65</v>
      </c>
      <c r="C2">
        <v>0</v>
      </c>
      <c r="D2">
        <v>2.1</v>
      </c>
      <c r="E2" s="91"/>
    </row>
    <row r="3" spans="2:10" x14ac:dyDescent="0.3">
      <c r="B3" t="s">
        <v>66</v>
      </c>
      <c r="C3">
        <v>4.5</v>
      </c>
      <c r="D3">
        <v>2.1</v>
      </c>
      <c r="E3" s="91">
        <f>(D3+D2)/2</f>
        <v>2.1</v>
      </c>
    </row>
    <row r="4" spans="2:10" x14ac:dyDescent="0.3">
      <c r="B4" t="s">
        <v>68</v>
      </c>
      <c r="C4">
        <v>4.5</v>
      </c>
      <c r="D4">
        <v>2</v>
      </c>
      <c r="E4" s="91">
        <f t="shared" ref="E4:E17" si="0">(D4+D3)/2</f>
        <v>2.0499999999999998</v>
      </c>
      <c r="H4" s="91" t="s">
        <v>16</v>
      </c>
      <c r="I4" s="91" t="s">
        <v>90</v>
      </c>
      <c r="J4" s="91" t="s">
        <v>92</v>
      </c>
    </row>
    <row r="5" spans="2:10" x14ac:dyDescent="0.3">
      <c r="B5" t="s">
        <v>69</v>
      </c>
      <c r="C5">
        <v>4.5</v>
      </c>
      <c r="D5">
        <v>2</v>
      </c>
      <c r="E5" s="91">
        <f t="shared" si="0"/>
        <v>2</v>
      </c>
      <c r="G5" s="91" t="s">
        <v>82</v>
      </c>
      <c r="H5" s="88">
        <f>(Valuation!G21*6360.9/10)+(Valuation!G34*8481.2)</f>
        <v>12861.442958000001</v>
      </c>
      <c r="I5" s="88">
        <f>0.13*H5</f>
        <v>1671.9875845400002</v>
      </c>
      <c r="J5" s="88">
        <f>SUM(H5:I5)</f>
        <v>14533.430542540002</v>
      </c>
    </row>
    <row r="6" spans="2:10" x14ac:dyDescent="0.3">
      <c r="B6" t="s">
        <v>70</v>
      </c>
      <c r="C6">
        <v>4.5</v>
      </c>
      <c r="D6">
        <v>2.1</v>
      </c>
      <c r="E6" s="91">
        <f t="shared" si="0"/>
        <v>2.0499999999999998</v>
      </c>
      <c r="G6" s="91" t="s">
        <v>83</v>
      </c>
      <c r="H6" s="88">
        <f>(Valuation!G21*2256.3/10)+(Valuation!G27*21432.6/15)+(Valuation!G34*(953.37))</f>
        <v>1992.2529370500001</v>
      </c>
      <c r="I6" s="88">
        <f t="shared" ref="I5:I11" si="1">0.13*H6</f>
        <v>258.99288181650002</v>
      </c>
      <c r="J6" s="88">
        <f t="shared" ref="J6:J12" si="2">SUM(H6:I6)</f>
        <v>2251.2458188665</v>
      </c>
    </row>
    <row r="7" spans="2:10" x14ac:dyDescent="0.3">
      <c r="B7" t="s">
        <v>67</v>
      </c>
      <c r="C7">
        <v>4.5</v>
      </c>
      <c r="D7">
        <v>2.1</v>
      </c>
      <c r="E7" s="91">
        <f t="shared" si="0"/>
        <v>2.1</v>
      </c>
      <c r="G7" s="91" t="s">
        <v>84</v>
      </c>
      <c r="H7" s="88">
        <f>(Valuation!G27*49275.03/15+Valuation!G34*849.17)</f>
        <v>1774.99149205</v>
      </c>
      <c r="I7" s="88">
        <f t="shared" si="1"/>
        <v>230.74889396650002</v>
      </c>
      <c r="J7" s="88">
        <f t="shared" si="2"/>
        <v>2005.7403860165</v>
      </c>
    </row>
    <row r="8" spans="2:10" x14ac:dyDescent="0.3">
      <c r="B8" t="s">
        <v>71</v>
      </c>
      <c r="C8">
        <v>4.5</v>
      </c>
      <c r="D8">
        <v>2.1</v>
      </c>
      <c r="E8" s="91">
        <f t="shared" si="0"/>
        <v>2.1</v>
      </c>
      <c r="G8" s="91" t="s">
        <v>85</v>
      </c>
      <c r="H8" s="88">
        <f>Valuation!G27*(25719.12+13573.98+4286.52)/15</f>
        <v>534.57667200000003</v>
      </c>
      <c r="I8" s="88">
        <f t="shared" si="1"/>
        <v>69.494967360000004</v>
      </c>
      <c r="J8" s="88">
        <f t="shared" si="2"/>
        <v>604.07163936000006</v>
      </c>
    </row>
    <row r="9" spans="2:10" x14ac:dyDescent="0.3">
      <c r="B9" t="s">
        <v>72</v>
      </c>
      <c r="C9">
        <v>4.5</v>
      </c>
      <c r="D9">
        <v>2.1</v>
      </c>
      <c r="E9" s="91">
        <f t="shared" si="0"/>
        <v>2.1</v>
      </c>
      <c r="G9" s="91" t="s">
        <v>86</v>
      </c>
      <c r="H9" s="88">
        <f>(Valuation!G27*(620)/15)+Valuation!G34*28</f>
        <v>46.202353333333335</v>
      </c>
      <c r="I9" s="88">
        <f t="shared" si="1"/>
        <v>6.0063059333333335</v>
      </c>
      <c r="J9" s="88">
        <f t="shared" si="2"/>
        <v>52.208659266666672</v>
      </c>
    </row>
    <row r="10" spans="2:10" x14ac:dyDescent="0.3">
      <c r="B10" t="s">
        <v>73</v>
      </c>
      <c r="C10">
        <v>4.5</v>
      </c>
      <c r="D10">
        <v>2.1</v>
      </c>
      <c r="E10" s="91">
        <f t="shared" si="0"/>
        <v>2.1</v>
      </c>
      <c r="G10" s="91" t="s">
        <v>87</v>
      </c>
      <c r="H10" s="88">
        <f>Valuation!G27*(6135.3)/15</f>
        <v>75.259680000000017</v>
      </c>
      <c r="I10" s="88">
        <f t="shared" si="1"/>
        <v>9.7837584000000017</v>
      </c>
      <c r="J10" s="88">
        <f t="shared" si="2"/>
        <v>85.043438400000014</v>
      </c>
    </row>
    <row r="11" spans="2:10" x14ac:dyDescent="0.3">
      <c r="B11" t="s">
        <v>74</v>
      </c>
      <c r="C11">
        <v>4.5</v>
      </c>
      <c r="D11">
        <v>2.1</v>
      </c>
      <c r="E11" s="91">
        <f t="shared" si="0"/>
        <v>2.1</v>
      </c>
      <c r="G11" s="91" t="s">
        <v>89</v>
      </c>
      <c r="H11" s="88">
        <f>(Valuation!G39*6036.36/10)</f>
        <v>81490.86</v>
      </c>
      <c r="I11" s="88">
        <f t="shared" si="1"/>
        <v>10593.811800000001</v>
      </c>
      <c r="J11" s="88">
        <f t="shared" si="2"/>
        <v>92084.671799999996</v>
      </c>
    </row>
    <row r="12" spans="2:10" x14ac:dyDescent="0.3">
      <c r="B12" t="s">
        <v>75</v>
      </c>
      <c r="C12">
        <v>4.5</v>
      </c>
      <c r="D12">
        <v>2.1</v>
      </c>
      <c r="E12" s="91">
        <f t="shared" si="0"/>
        <v>2.1</v>
      </c>
      <c r="G12" s="91" t="s">
        <v>91</v>
      </c>
      <c r="H12" s="88">
        <f>(Valuation!G39*33.99/10)+(Valuation!G39*877.45/10)</f>
        <v>12304.44</v>
      </c>
      <c r="I12" s="88">
        <f>0.13*H12</f>
        <v>1599.5772000000002</v>
      </c>
      <c r="J12" s="88">
        <f t="shared" si="2"/>
        <v>13904.0172</v>
      </c>
    </row>
    <row r="13" spans="2:10" x14ac:dyDescent="0.3">
      <c r="B13" t="s">
        <v>76</v>
      </c>
      <c r="C13">
        <v>4.5</v>
      </c>
      <c r="D13">
        <v>2.1</v>
      </c>
      <c r="E13" s="91">
        <f t="shared" si="0"/>
        <v>2.1</v>
      </c>
      <c r="I13" s="88"/>
    </row>
    <row r="14" spans="2:10" x14ac:dyDescent="0.3">
      <c r="B14" t="s">
        <v>77</v>
      </c>
      <c r="C14">
        <v>4.5</v>
      </c>
      <c r="D14">
        <v>2.1</v>
      </c>
      <c r="E14" s="91">
        <f t="shared" si="0"/>
        <v>2.1</v>
      </c>
      <c r="G14" s="91"/>
      <c r="H14" s="88">
        <f>SUM(H5:H12)</f>
        <v>111080.02609243334</v>
      </c>
      <c r="I14" s="88">
        <f>0.13*H14</f>
        <v>14440.403392016335</v>
      </c>
    </row>
    <row r="15" spans="2:10" x14ac:dyDescent="0.3">
      <c r="B15" t="s">
        <v>78</v>
      </c>
      <c r="C15">
        <v>4.5</v>
      </c>
      <c r="D15">
        <v>2.1</v>
      </c>
      <c r="E15" s="91">
        <f t="shared" si="0"/>
        <v>2.1</v>
      </c>
      <c r="G15" s="91" t="s">
        <v>88</v>
      </c>
      <c r="I15" s="88">
        <f>Valuation!J22+Valuation!J28+Valuation!J35+Valuation!J40</f>
        <v>14440.403471749665</v>
      </c>
    </row>
    <row r="16" spans="2:10" x14ac:dyDescent="0.3">
      <c r="B16" t="s">
        <v>79</v>
      </c>
      <c r="C16">
        <v>4.5</v>
      </c>
      <c r="D16">
        <v>2.1</v>
      </c>
      <c r="E16" s="91">
        <f t="shared" si="0"/>
        <v>2.1</v>
      </c>
      <c r="H16" s="88"/>
    </row>
    <row r="17" spans="2:8" x14ac:dyDescent="0.3">
      <c r="B17" t="s">
        <v>80</v>
      </c>
      <c r="C17">
        <v>4.5</v>
      </c>
      <c r="D17">
        <v>2.15</v>
      </c>
      <c r="E17" s="91">
        <f t="shared" si="0"/>
        <v>2.125</v>
      </c>
      <c r="H17" s="88"/>
    </row>
    <row r="18" spans="2:8" x14ac:dyDescent="0.3">
      <c r="H18" s="88"/>
    </row>
    <row r="19" spans="2:8" x14ac:dyDescent="0.3">
      <c r="H19" s="8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Estimate</vt:lpstr>
      <vt:lpstr>WCR</vt:lpstr>
      <vt:lpstr>Valuation</vt:lpstr>
      <vt:lpstr>Sheet3</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2025-02-11T02:22:40Z</dcterms:modified>
</cp:coreProperties>
</file>