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toilet indrayani mandir\"/>
    </mc:Choice>
  </mc:AlternateContent>
  <bookViews>
    <workbookView xWindow="-120" yWindow="-120" windowWidth="20736" windowHeight="11160" activeTab="1"/>
  </bookViews>
  <sheets>
    <sheet name="WCR" sheetId="6" r:id="rId1"/>
    <sheet name="estimate" sheetId="17" r:id="rId2"/>
  </sheets>
  <externalReferences>
    <externalReference r:id="rId3"/>
    <externalReference r:id="rId4"/>
  </externalReferences>
  <definedNames>
    <definedName name="description_124" localSheetId="1">#REF!</definedName>
    <definedName name="description_124">#REF!</definedName>
    <definedName name="description_261">[1]Abstract!$B$33</definedName>
    <definedName name="description_262">[2]Abstract!$B$34</definedName>
    <definedName name="description_6">[2]Abstract!$B$172</definedName>
    <definedName name="description_759">[2]Abstract!$B$278</definedName>
    <definedName name="description_783">[2]Abstract!$B$301</definedName>
    <definedName name="_xlnm.Print_Area" localSheetId="1">estimate!$A$1:$K$104</definedName>
    <definedName name="_xlnm.Print_Titles" localSheetId="1">estimate!$1:$8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71" i="17" l="1"/>
  <c r="G70" i="17"/>
  <c r="D70" i="17"/>
  <c r="E53" i="17"/>
  <c r="G53" i="17"/>
  <c r="G54" i="17" s="1"/>
  <c r="J55" i="17" s="1"/>
  <c r="F38" i="17"/>
  <c r="F37" i="17"/>
  <c r="E48" i="17"/>
  <c r="G48" i="17" s="1"/>
  <c r="G49" i="17" s="1"/>
  <c r="J50" i="17" s="1"/>
  <c r="E43" i="17"/>
  <c r="D38" i="17"/>
  <c r="D37" i="17"/>
  <c r="C37" i="17"/>
  <c r="G37" i="17" s="1"/>
  <c r="F89" i="17"/>
  <c r="E89" i="17"/>
  <c r="I85" i="17"/>
  <c r="D82" i="17"/>
  <c r="G82" i="17" s="1"/>
  <c r="D80" i="17"/>
  <c r="B82" i="17"/>
  <c r="C83" i="17"/>
  <c r="G83" i="17" s="1"/>
  <c r="D84" i="17"/>
  <c r="I76" i="17"/>
  <c r="F69" i="17"/>
  <c r="E69" i="17"/>
  <c r="C69" i="17"/>
  <c r="F68" i="17"/>
  <c r="G68" i="17" s="1"/>
  <c r="F58" i="17"/>
  <c r="D58" i="17"/>
  <c r="F32" i="17"/>
  <c r="I33" i="17"/>
  <c r="D32" i="17"/>
  <c r="C32" i="17"/>
  <c r="F31" i="17"/>
  <c r="G31" i="17" s="1"/>
  <c r="F66" i="17"/>
  <c r="F65" i="17"/>
  <c r="C104" i="17"/>
  <c r="C103" i="17"/>
  <c r="D65" i="17"/>
  <c r="F64" i="17"/>
  <c r="D64" i="17"/>
  <c r="D63" i="17"/>
  <c r="C28" i="17"/>
  <c r="C27" i="17"/>
  <c r="C26" i="17"/>
  <c r="C25" i="17"/>
  <c r="C24" i="17"/>
  <c r="C23" i="17"/>
  <c r="C22" i="17"/>
  <c r="C21" i="17"/>
  <c r="C20" i="17"/>
  <c r="C19" i="17"/>
  <c r="C18" i="17"/>
  <c r="C17" i="17"/>
  <c r="C16" i="17"/>
  <c r="C15" i="17"/>
  <c r="C14" i="17"/>
  <c r="C13" i="17"/>
  <c r="C12" i="17"/>
  <c r="C11" i="17"/>
  <c r="C10" i="17"/>
  <c r="J54" i="17" l="1"/>
  <c r="J49" i="17"/>
  <c r="G43" i="17"/>
  <c r="G38" i="17"/>
  <c r="G39" i="17" s="1"/>
  <c r="C101" i="17"/>
  <c r="G58" i="17"/>
  <c r="G59" i="17" s="1"/>
  <c r="J59" i="17" s="1"/>
  <c r="J60" i="17" s="1"/>
  <c r="G69" i="17"/>
  <c r="G64" i="17"/>
  <c r="G32" i="17"/>
  <c r="G33" i="17" s="1"/>
  <c r="G44" i="17" l="1"/>
  <c r="J45" i="17" s="1"/>
  <c r="J44" i="17"/>
  <c r="J33" i="17"/>
  <c r="J34" i="17"/>
  <c r="J40" i="17"/>
  <c r="J39" i="17"/>
  <c r="G89" i="17" l="1"/>
  <c r="G90" i="17" s="1"/>
  <c r="J90" i="17" l="1"/>
  <c r="J91" i="17"/>
  <c r="G95" i="17"/>
  <c r="J95" i="17" s="1"/>
  <c r="G93" i="17"/>
  <c r="J93" i="17" s="1"/>
  <c r="E81" i="17"/>
  <c r="C81" i="17"/>
  <c r="C67" i="17"/>
  <c r="G67" i="17" s="1"/>
  <c r="E66" i="17"/>
  <c r="C66" i="17"/>
  <c r="G28" i="17"/>
  <c r="J28" i="17" s="1"/>
  <c r="G27" i="17"/>
  <c r="J27" i="17" s="1"/>
  <c r="G26" i="17"/>
  <c r="J26" i="17" s="1"/>
  <c r="G25" i="17"/>
  <c r="J25" i="17" s="1"/>
  <c r="G24" i="17"/>
  <c r="J24" i="17" s="1"/>
  <c r="G23" i="17"/>
  <c r="J23" i="17" s="1"/>
  <c r="D22" i="17"/>
  <c r="G22" i="17" s="1"/>
  <c r="J22" i="17" s="1"/>
  <c r="D21" i="17"/>
  <c r="G21" i="17" s="1"/>
  <c r="J21" i="17" s="1"/>
  <c r="G20" i="17"/>
  <c r="J20" i="17" s="1"/>
  <c r="G19" i="17"/>
  <c r="J19" i="17" s="1"/>
  <c r="D18" i="17"/>
  <c r="G18" i="17" s="1"/>
  <c r="J18" i="17" s="1"/>
  <c r="D17" i="17"/>
  <c r="G17" i="17" s="1"/>
  <c r="J17" i="17" s="1"/>
  <c r="D16" i="17"/>
  <c r="G16" i="17" s="1"/>
  <c r="J16" i="17" s="1"/>
  <c r="G15" i="17"/>
  <c r="J15" i="17" s="1"/>
  <c r="G14" i="17"/>
  <c r="J14" i="17" s="1"/>
  <c r="G13" i="17"/>
  <c r="J13" i="17" s="1"/>
  <c r="G12" i="17"/>
  <c r="J12" i="17" s="1"/>
  <c r="G11" i="17"/>
  <c r="J11" i="17" s="1"/>
  <c r="D10" i="17"/>
  <c r="G10" i="17" s="1"/>
  <c r="J10" i="17" s="1"/>
  <c r="G81" i="17" l="1"/>
  <c r="G80" i="17"/>
  <c r="G84" i="17"/>
  <c r="G65" i="17"/>
  <c r="G66" i="17"/>
  <c r="G63" i="17"/>
  <c r="J71" i="17" l="1"/>
  <c r="G85" i="17"/>
  <c r="J86" i="17"/>
  <c r="J85" i="17" l="1"/>
  <c r="G75" i="17"/>
  <c r="G76" i="17" s="1"/>
  <c r="J77" i="17" s="1"/>
  <c r="J72" i="17"/>
  <c r="J76" i="17" l="1"/>
  <c r="J97" i="17" s="1"/>
  <c r="C99" i="17" s="1"/>
  <c r="C102" i="17" l="1"/>
  <c r="E101" i="17"/>
  <c r="E102" i="17" s="1"/>
  <c r="A9" i="6"/>
  <c r="A8" i="6"/>
  <c r="H16" i="6"/>
  <c r="E16" i="6"/>
  <c r="C16" i="6"/>
  <c r="B16" i="6"/>
  <c r="A16" i="6"/>
  <c r="B14" i="6"/>
  <c r="H13" i="6"/>
  <c r="E13" i="6"/>
  <c r="C13" i="6"/>
  <c r="A13" i="6"/>
  <c r="G16" i="6" l="1"/>
  <c r="I16" i="6" s="1"/>
  <c r="G13" i="6" l="1"/>
  <c r="I13" i="6" s="1"/>
  <c r="B13" i="6"/>
  <c r="I14" i="6" l="1"/>
  <c r="D16" i="6" l="1"/>
  <c r="F16" i="6" s="1"/>
  <c r="J16" i="6" s="1"/>
  <c r="D13" i="6" l="1"/>
  <c r="F13" i="6" s="1"/>
  <c r="J13" i="6" s="1"/>
  <c r="I18" i="6" l="1"/>
  <c r="F18" i="6"/>
  <c r="J6" i="6" l="1"/>
  <c r="J18" i="6" l="1"/>
  <c r="C6" i="6" l="1"/>
  <c r="F14" i="6"/>
  <c r="J14" i="6"/>
</calcChain>
</file>

<file path=xl/sharedStrings.xml><?xml version="1.0" encoding="utf-8"?>
<sst xmlns="http://schemas.openxmlformats.org/spreadsheetml/2006/main" count="155" uniqueCount="93">
  <si>
    <t>Government of Nepal</t>
  </si>
  <si>
    <t>Shankharapur Municipality Office</t>
  </si>
  <si>
    <t>Bagmati Province</t>
  </si>
  <si>
    <t>Sankhu, Kathmandu</t>
  </si>
  <si>
    <t>S.N.</t>
  </si>
  <si>
    <t>Description of work</t>
  </si>
  <si>
    <t>No.</t>
  </si>
  <si>
    <t>Length</t>
  </si>
  <si>
    <t>Breadth</t>
  </si>
  <si>
    <t>Height</t>
  </si>
  <si>
    <t>Quantity</t>
  </si>
  <si>
    <t>Unit</t>
  </si>
  <si>
    <t>Rate</t>
  </si>
  <si>
    <t>Amount</t>
  </si>
  <si>
    <t>Remarks</t>
  </si>
  <si>
    <t>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</si>
  <si>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</si>
  <si>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</si>
  <si>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</si>
  <si>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</si>
  <si>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</si>
  <si>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</si>
  <si>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</si>
  <si>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</si>
  <si>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</si>
  <si>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</si>
  <si>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</si>
  <si>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</si>
  <si>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</si>
  <si>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</si>
  <si>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</si>
  <si>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</si>
  <si>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</si>
  <si>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</si>
  <si>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</si>
  <si>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F.Y:2079/80                          </t>
  </si>
  <si>
    <t xml:space="preserve">Date:2079/        /                 </t>
  </si>
  <si>
    <t xml:space="preserve">Work Finished:                     </t>
  </si>
  <si>
    <t>Sub-total</t>
  </si>
  <si>
    <t>Toilet fitings</t>
  </si>
  <si>
    <t>PP-R Pipe (PN-10) 20mm outer, 1.9mm thick, 0.107 kg/m</t>
  </si>
  <si>
    <t>Female elbow 20mmX1/2"</t>
  </si>
  <si>
    <t>Female tee 20mmX1/2"</t>
  </si>
  <si>
    <r>
      <t>Elbow90</t>
    </r>
    <r>
      <rPr>
        <vertAlign val="superscript"/>
        <sz val="11"/>
        <rFont val="Times New Roman"/>
        <family val="1"/>
      </rPr>
      <t>o</t>
    </r>
  </si>
  <si>
    <t>Cross Tee</t>
  </si>
  <si>
    <t xml:space="preserve">110mm HDPE pipe </t>
  </si>
  <si>
    <t>Kg</t>
  </si>
  <si>
    <t>rm</t>
  </si>
  <si>
    <t>20mm G.I Pipe threaded - Light class</t>
  </si>
  <si>
    <t>20mm G.I Union</t>
  </si>
  <si>
    <t>Plug 20mm</t>
  </si>
  <si>
    <t>500mm size white glazed without siphon</t>
  </si>
  <si>
    <t>set</t>
  </si>
  <si>
    <t>Multi-floor trap</t>
  </si>
  <si>
    <t>UPVC Pipe NS 206/046 -4kg/cm2 pressure 75mm</t>
  </si>
  <si>
    <t>UPVC Pipe NS 206/046 -6kg/cm2 pressure 50mm</t>
  </si>
  <si>
    <t>UPVC Pipe NS 206/046 -2.5kg/cm2 pressure 110mm</t>
  </si>
  <si>
    <t xml:space="preserve">110mm UPVC single tee </t>
  </si>
  <si>
    <t>PVC Cistern Set single flush complete set</t>
  </si>
  <si>
    <t>Urinal set- Porcelain clay small urinal (46.5*35.5*26.5)cm size</t>
  </si>
  <si>
    <t>Porcelain clay white glaze wash basin (500*400)cm size regular</t>
  </si>
  <si>
    <t xml:space="preserve">set </t>
  </si>
  <si>
    <t>LS</t>
  </si>
  <si>
    <t>!@=% dL=dL= l;d]G6 afn'jf -!M$_ Knfi6/</t>
  </si>
  <si>
    <t>sqm</t>
  </si>
  <si>
    <r>
      <t>kf]/l;lng Un]H8 6fO{n</t>
    </r>
    <r>
      <rPr>
        <sz val="10"/>
        <rFont val="Arial"/>
        <family val="2"/>
      </rPr>
      <t>(Ordinary floor and Wall Tile-as per approved standard of manufactured country</t>
    </r>
    <r>
      <rPr>
        <sz val="14"/>
        <rFont val="Arial"/>
        <family val="2"/>
      </rPr>
      <t>)</t>
    </r>
    <r>
      <rPr>
        <sz val="14"/>
        <rFont val="Preeti"/>
      </rPr>
      <t xml:space="preserve"> !M$ l;d]G6 afn'jfdf 5fKg] sfd .</t>
    </r>
  </si>
  <si>
    <t>-Outer face of Toilet wall</t>
  </si>
  <si>
    <t>-Inner face of Toilet wall</t>
  </si>
  <si>
    <t>-Deduction for door</t>
  </si>
  <si>
    <t>-Deduction for window</t>
  </si>
  <si>
    <t>-Floor</t>
  </si>
  <si>
    <t xml:space="preserve"> Ps sf]6 k|fO{d/ ;lxt b'O{ sf]6 tof/L jf;]jn l8:6]Dk/ nufpg] sfd .</t>
  </si>
  <si>
    <t>As per plaster</t>
  </si>
  <si>
    <t>Project:- इन्द्रायणी सार्वजनिक शौचालय बनाउने काम  (भैपरी आउने बिबिध पुँजिगत खर्च)</t>
  </si>
  <si>
    <t>Providing and fixing Single Panel Casement (Hinged) door of aluminium section in natural or color anodized/powder coated color section size(102x45x1.5 mm) fitted with 5 mm clear glass of 9 mm both side laminated board  (excluding the cost of handle and door closer).</t>
  </si>
  <si>
    <r>
      <t>110mm UPVC bend 45</t>
    </r>
    <r>
      <rPr>
        <vertAlign val="superscript"/>
        <sz val="11"/>
        <rFont val="Times New Roman"/>
        <family val="1"/>
      </rPr>
      <t>o</t>
    </r>
    <r>
      <rPr>
        <sz val="11"/>
        <rFont val="Times New Roman"/>
        <family val="1"/>
      </rPr>
      <t xml:space="preserve"> </t>
    </r>
  </si>
  <si>
    <t>Provisional sum for fittings works, electric fittings items &amp; other unforseen works/items</t>
  </si>
  <si>
    <t>F.Y.: 2081/82</t>
  </si>
  <si>
    <t xml:space="preserve">Date:              </t>
  </si>
  <si>
    <t>Detail Estimated Sheet</t>
  </si>
  <si>
    <t>-Window</t>
  </si>
  <si>
    <t>e'O{+tNnfdf lrDgL e§fsf] O{+6fsf] uf/f] l;d]G6 d;nf -!M$_ df</t>
  </si>
  <si>
    <t>-partition wall</t>
  </si>
  <si>
    <t>cum</t>
  </si>
  <si>
    <t>-VAT 13% for materials only</t>
  </si>
  <si>
    <t>-for partition wall</t>
  </si>
  <si>
    <t xml:space="preserve">$ dL=dL= df]6fO{sf] P]gf sf7sf] lni6L nufO{ hf]8\g] sfd=   </t>
  </si>
  <si>
    <t>-for steps</t>
  </si>
  <si>
    <t>e'O{+tNnfdf lrDgL e§fsf] O{+6fsf] uf/f] l;d]G6 d;nf -!M^_ df</t>
  </si>
  <si>
    <t>;'Vvf O{6f RofK6f] 5fKg] sfd</t>
  </si>
  <si>
    <t>hu leQf kvf{ndf l;d]G6 s+lqm6 ug]{ sfd-lk=;L=;L= !M#M^_</t>
  </si>
  <si>
    <t>hu leQf kvf{ndf l;d]G6 s+lqm6 ug]{ sfd -lk=;L=;L= !M@M$_</t>
  </si>
  <si>
    <t>-Ceiling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</si>
</sst>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21"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vertAlign val="superscript"/>
      <sz val="11"/>
      <name val="Times New Roman"/>
      <family val="1"/>
    </font>
    <font>
      <sz val="14"/>
      <name val="Preeti"/>
    </font>
    <font>
      <b/>
      <sz val="12"/>
      <name val="Preeti"/>
    </font>
    <font>
      <sz val="10"/>
      <name val="Arial"/>
      <family val="2"/>
    </font>
    <font>
      <sz val="14"/>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87">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0" fontId="2" fillId="0" borderId="0" xfId="0" applyFont="1"/>
    <xf numFmtId="2" fontId="2" fillId="0" borderId="1" xfId="0" applyNumberFormat="1" applyFont="1" applyBorder="1"/>
    <xf numFmtId="0" fontId="2" fillId="0" borderId="1" xfId="0"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164"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5" fillId="0" borderId="1" xfId="0" applyNumberFormat="1" applyFont="1" applyBorder="1" applyAlignment="1">
      <alignment vertical="center" wrapText="1"/>
    </xf>
    <xf numFmtId="1" fontId="13" fillId="0" borderId="1" xfId="0" quotePrefix="1" applyNumberFormat="1" applyFont="1" applyFill="1" applyBorder="1" applyAlignment="1">
      <alignment horizontal="right" vertical="center" wrapText="1"/>
    </xf>
    <xf numFmtId="0" fontId="0" fillId="0" borderId="0" xfId="0" applyAlignment="1"/>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2" fontId="2" fillId="0" borderId="1" xfId="1" applyNumberFormat="1" applyFont="1" applyBorder="1" applyAlignment="1">
      <alignment vertical="center"/>
    </xf>
    <xf numFmtId="1" fontId="13" fillId="0" borderId="1" xfId="0" applyNumberFormat="1" applyFont="1" applyFill="1" applyBorder="1" applyAlignment="1">
      <alignment vertical="center" wrapText="1"/>
    </xf>
    <xf numFmtId="0" fontId="6" fillId="0" borderId="0" xfId="0" applyFont="1" applyAlignment="1"/>
    <xf numFmtId="0" fontId="2" fillId="0" borderId="1" xfId="0" applyFont="1" applyBorder="1" applyAlignment="1">
      <alignment vertical="center"/>
    </xf>
    <xf numFmtId="2" fontId="2" fillId="0" borderId="1" xfId="0" applyNumberFormat="1" applyFont="1" applyBorder="1" applyAlignment="1">
      <alignment vertical="center"/>
    </xf>
    <xf numFmtId="0" fontId="0" fillId="0" borderId="1" xfId="0" quotePrefix="1" applyFont="1" applyBorder="1" applyAlignment="1">
      <alignment horizontal="right" vertical="center" wrapText="1"/>
    </xf>
    <xf numFmtId="165" fontId="0" fillId="0" borderId="1" xfId="0" applyNumberFormat="1" applyBorder="1" applyAlignment="1">
      <alignment vertical="center"/>
    </xf>
    <xf numFmtId="2" fontId="0" fillId="0" borderId="1" xfId="0" applyNumberFormat="1" applyFont="1" applyBorder="1" applyAlignment="1">
      <alignment vertical="center"/>
    </xf>
    <xf numFmtId="0" fontId="18" fillId="3" borderId="1" xfId="0" applyFont="1" applyFill="1" applyBorder="1" applyAlignment="1">
      <alignment vertical="center" wrapText="1"/>
    </xf>
    <xf numFmtId="0" fontId="17" fillId="3" borderId="1" xfId="0" applyFont="1" applyFill="1" applyBorder="1" applyAlignment="1">
      <alignment vertical="center" wrapText="1"/>
    </xf>
    <xf numFmtId="0" fontId="2" fillId="0" borderId="1" xfId="0" applyFont="1" applyBorder="1" applyAlignment="1">
      <alignment horizontal="right" vertical="center" wrapText="1"/>
    </xf>
    <xf numFmtId="1" fontId="12" fillId="0" borderId="1" xfId="0" quotePrefix="1" applyNumberFormat="1" applyFont="1" applyFill="1" applyBorder="1" applyAlignment="1">
      <alignment vertical="center" wrapText="1"/>
    </xf>
    <xf numFmtId="1" fontId="13" fillId="0" borderId="1" xfId="0" quotePrefix="1" applyNumberFormat="1" applyFont="1" applyFill="1" applyBorder="1" applyAlignment="1">
      <alignment vertical="center" wrapText="1"/>
    </xf>
    <xf numFmtId="0" fontId="19" fillId="3" borderId="1" xfId="0" applyFont="1" applyFill="1" applyBorder="1" applyAlignment="1">
      <alignment vertical="top" wrapText="1"/>
    </xf>
    <xf numFmtId="0" fontId="19" fillId="3" borderId="1" xfId="0" applyFont="1" applyFill="1" applyBorder="1" applyAlignment="1">
      <alignment horizontal="left" wrapText="1"/>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2" fillId="0" borderId="1" xfId="0" applyFont="1" applyBorder="1" applyAlignment="1"/>
    <xf numFmtId="0" fontId="18" fillId="3" borderId="1" xfId="0" applyFont="1" applyFill="1" applyBorder="1" applyAlignment="1">
      <alignment wrapText="1"/>
    </xf>
    <xf numFmtId="165" fontId="0" fillId="0" borderId="1" xfId="0" applyNumberFormat="1" applyBorder="1" applyAlignment="1"/>
    <xf numFmtId="2" fontId="0" fillId="0" borderId="1" xfId="0" applyNumberFormat="1" applyBorder="1" applyAlignment="1"/>
    <xf numFmtId="2" fontId="2" fillId="0" borderId="1" xfId="0" applyNumberFormat="1" applyFont="1" applyBorder="1" applyAlignment="1"/>
    <xf numFmtId="0" fontId="0" fillId="0" borderId="1" xfId="0" applyBorder="1" applyAlignment="1"/>
    <xf numFmtId="0" fontId="0" fillId="0" borderId="1" xfId="0" quotePrefix="1" applyFont="1" applyBorder="1" applyAlignment="1">
      <alignment horizontal="right" wrapText="1"/>
    </xf>
    <xf numFmtId="2" fontId="0" fillId="0" borderId="1" xfId="0" applyNumberFormat="1" applyFont="1" applyBorder="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72">
          <cell r="B172" t="str">
            <v>Providing and laying of Plain/Reinforced Cement Concrete in Foundation complete as per Drawing and Technical Specifications., RCC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Normal="100" workbookViewId="0">
      <selection activeCell="E23" sqref="E23"/>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 min="13" max="13" width="11.5546875" bestFit="1" customWidth="1"/>
  </cols>
  <sheetData>
    <row r="1" spans="1:11" x14ac:dyDescent="0.3">
      <c r="A1" s="76" t="s">
        <v>0</v>
      </c>
      <c r="B1" s="76"/>
      <c r="C1" s="76"/>
      <c r="D1" s="76"/>
      <c r="E1" s="76"/>
      <c r="F1" s="76"/>
      <c r="G1" s="76"/>
      <c r="H1" s="76"/>
      <c r="I1" s="76"/>
      <c r="J1" s="76"/>
      <c r="K1" s="76"/>
    </row>
    <row r="2" spans="1:11" ht="24.6" x14ac:dyDescent="0.4">
      <c r="A2" s="77" t="s">
        <v>1</v>
      </c>
      <c r="B2" s="77"/>
      <c r="C2" s="77"/>
      <c r="D2" s="77"/>
      <c r="E2" s="77"/>
      <c r="F2" s="77"/>
      <c r="G2" s="77"/>
      <c r="H2" s="77"/>
      <c r="I2" s="77"/>
      <c r="J2" s="77"/>
      <c r="K2" s="77"/>
    </row>
    <row r="3" spans="1:11" s="1" customFormat="1" x14ac:dyDescent="0.3">
      <c r="A3" s="59" t="s">
        <v>2</v>
      </c>
      <c r="B3" s="59"/>
      <c r="C3" s="59"/>
      <c r="D3" s="59"/>
      <c r="E3" s="59"/>
      <c r="F3" s="59"/>
      <c r="G3" s="59"/>
      <c r="H3" s="59"/>
      <c r="I3" s="59"/>
      <c r="J3" s="59"/>
      <c r="K3" s="59"/>
    </row>
    <row r="4" spans="1:11" s="1" customFormat="1" x14ac:dyDescent="0.3">
      <c r="A4" s="59" t="s">
        <v>3</v>
      </c>
      <c r="B4" s="59"/>
      <c r="C4" s="59"/>
      <c r="D4" s="59"/>
      <c r="E4" s="59"/>
      <c r="F4" s="59"/>
      <c r="G4" s="59"/>
      <c r="H4" s="59"/>
      <c r="I4" s="59"/>
      <c r="J4" s="59"/>
      <c r="K4" s="59"/>
    </row>
    <row r="5" spans="1:11" ht="18" x14ac:dyDescent="0.35">
      <c r="A5" s="78" t="s">
        <v>16</v>
      </c>
      <c r="B5" s="78"/>
      <c r="C5" s="78"/>
      <c r="D5" s="78"/>
      <c r="E5" s="78"/>
      <c r="F5" s="78"/>
      <c r="G5" s="78"/>
      <c r="H5" s="78"/>
      <c r="I5" s="78"/>
      <c r="J5" s="78"/>
      <c r="K5" s="78"/>
    </row>
    <row r="6" spans="1:11" ht="18" x14ac:dyDescent="0.35">
      <c r="A6" s="10" t="s">
        <v>17</v>
      </c>
      <c r="B6" s="10"/>
      <c r="C6" s="74" t="e">
        <f>F18</f>
        <v>#REF!</v>
      </c>
      <c r="D6" s="75"/>
      <c r="E6" s="11"/>
      <c r="F6" s="10"/>
      <c r="G6" s="10"/>
      <c r="H6" s="10" t="s">
        <v>18</v>
      </c>
      <c r="I6" s="10"/>
      <c r="J6" s="74" t="e">
        <f>I18</f>
        <v>#REF!</v>
      </c>
      <c r="K6" s="75"/>
    </row>
    <row r="7" spans="1:11" x14ac:dyDescent="0.3">
      <c r="A7" s="32" t="s">
        <v>27</v>
      </c>
      <c r="B7" s="12"/>
      <c r="C7" s="12"/>
      <c r="D7" s="12"/>
      <c r="F7" s="38"/>
      <c r="G7" s="38"/>
      <c r="I7" s="70" t="s">
        <v>37</v>
      </c>
      <c r="J7" s="70"/>
      <c r="K7" s="70"/>
    </row>
    <row r="8" spans="1:11" ht="15.6" x14ac:dyDescent="0.3">
      <c r="A8" s="69" t="e">
        <f>#REF!</f>
        <v>#REF!</v>
      </c>
      <c r="B8" s="69"/>
      <c r="C8" s="69"/>
      <c r="D8" s="69"/>
      <c r="E8" s="69"/>
      <c r="F8" s="69"/>
      <c r="I8" s="71" t="s">
        <v>35</v>
      </c>
      <c r="J8" s="71"/>
      <c r="K8" s="71"/>
    </row>
    <row r="9" spans="1:11" x14ac:dyDescent="0.3">
      <c r="A9" s="72" t="e">
        <f>#REF!</f>
        <v>#REF!</v>
      </c>
      <c r="B9" s="72"/>
      <c r="C9" s="72"/>
      <c r="D9" s="72"/>
      <c r="E9" s="72"/>
      <c r="F9" s="72"/>
      <c r="I9" s="71" t="s">
        <v>36</v>
      </c>
      <c r="J9" s="71"/>
      <c r="K9" s="71"/>
    </row>
    <row r="11" spans="1:11" x14ac:dyDescent="0.3">
      <c r="A11" s="67" t="s">
        <v>19</v>
      </c>
      <c r="B11" s="67" t="s">
        <v>20</v>
      </c>
      <c r="C11" s="67" t="s">
        <v>11</v>
      </c>
      <c r="D11" s="73" t="s">
        <v>21</v>
      </c>
      <c r="E11" s="73"/>
      <c r="F11" s="73"/>
      <c r="G11" s="73" t="s">
        <v>22</v>
      </c>
      <c r="H11" s="73"/>
      <c r="I11" s="73"/>
      <c r="J11" s="67" t="s">
        <v>23</v>
      </c>
      <c r="K11" s="68" t="s">
        <v>14</v>
      </c>
    </row>
    <row r="12" spans="1:11" x14ac:dyDescent="0.3">
      <c r="A12" s="67"/>
      <c r="B12" s="67"/>
      <c r="C12" s="67"/>
      <c r="D12" s="13" t="s">
        <v>24</v>
      </c>
      <c r="E12" s="13" t="s">
        <v>12</v>
      </c>
      <c r="F12" s="13" t="s">
        <v>13</v>
      </c>
      <c r="G12" s="13" t="s">
        <v>24</v>
      </c>
      <c r="H12" s="13" t="s">
        <v>12</v>
      </c>
      <c r="I12" s="13" t="s">
        <v>13</v>
      </c>
      <c r="J12" s="67"/>
      <c r="K12" s="68"/>
    </row>
    <row r="13" spans="1:11" s="1" customFormat="1" x14ac:dyDescent="0.3">
      <c r="A13" s="33" t="e">
        <f>#REF!</f>
        <v>#REF!</v>
      </c>
      <c r="B13" s="36" t="e">
        <f>#REF!</f>
        <v>#REF!</v>
      </c>
      <c r="C13" s="14" t="e">
        <f>#REF!</f>
        <v>#REF!</v>
      </c>
      <c r="D13" s="14" t="e">
        <f>#REF!</f>
        <v>#REF!</v>
      </c>
      <c r="E13" s="14" t="e">
        <f>#REF!</f>
        <v>#REF!</v>
      </c>
      <c r="F13" s="14" t="e">
        <f>D13*E13</f>
        <v>#REF!</v>
      </c>
      <c r="G13" s="14" t="e">
        <f>#REF!</f>
        <v>#REF!</v>
      </c>
      <c r="H13" s="14" t="e">
        <f>#REF!</f>
        <v>#REF!</v>
      </c>
      <c r="I13" s="14" t="e">
        <f>G13*H13</f>
        <v>#REF!</v>
      </c>
      <c r="J13" s="34" t="e">
        <f t="shared" ref="J13:J16" si="0">I13-F13</f>
        <v>#REF!</v>
      </c>
      <c r="K13" s="17"/>
    </row>
    <row r="14" spans="1:11" s="1" customFormat="1" x14ac:dyDescent="0.3">
      <c r="A14" s="33"/>
      <c r="B14" s="36" t="e">
        <f>#REF!</f>
        <v>#REF!</v>
      </c>
      <c r="C14" s="14"/>
      <c r="D14" s="14"/>
      <c r="E14" s="14"/>
      <c r="F14" s="14" t="e">
        <f>#REF!</f>
        <v>#REF!</v>
      </c>
      <c r="G14" s="14"/>
      <c r="H14" s="14"/>
      <c r="I14" s="14" t="e">
        <f>#REF!</f>
        <v>#REF!</v>
      </c>
      <c r="J14" s="34" t="e">
        <f t="shared" si="0"/>
        <v>#REF!</v>
      </c>
      <c r="K14" s="17"/>
    </row>
    <row r="15" spans="1:11" s="1" customFormat="1" x14ac:dyDescent="0.3">
      <c r="A15" s="33"/>
      <c r="B15" s="36"/>
      <c r="C15" s="14"/>
      <c r="D15" s="14"/>
      <c r="E15" s="14"/>
      <c r="F15" s="14"/>
      <c r="G15" s="14"/>
      <c r="H15" s="14"/>
      <c r="I15" s="14"/>
      <c r="J15" s="34"/>
      <c r="K15" s="17"/>
    </row>
    <row r="16" spans="1:11" s="1" customFormat="1" x14ac:dyDescent="0.3">
      <c r="A16" s="33" t="e">
        <f>#REF!</f>
        <v>#REF!</v>
      </c>
      <c r="B16" s="33" t="e">
        <f>#REF!</f>
        <v>#REF!</v>
      </c>
      <c r="C16" s="14" t="e">
        <f>#REF!</f>
        <v>#REF!</v>
      </c>
      <c r="D16" s="14" t="e">
        <f>#REF!</f>
        <v>#REF!</v>
      </c>
      <c r="E16" s="14" t="e">
        <f>#REF!</f>
        <v>#REF!</v>
      </c>
      <c r="F16" s="14" t="e">
        <f>D16*E16</f>
        <v>#REF!</v>
      </c>
      <c r="G16" s="14" t="e">
        <f>#REF!</f>
        <v>#REF!</v>
      </c>
      <c r="H16" s="14" t="e">
        <f>#REF!</f>
        <v>#REF!</v>
      </c>
      <c r="I16" s="14" t="e">
        <f>G16*H16</f>
        <v>#REF!</v>
      </c>
      <c r="J16" s="34" t="e">
        <f t="shared" si="0"/>
        <v>#REF!</v>
      </c>
      <c r="K16" s="17"/>
    </row>
    <row r="17" spans="1:11" s="1" customFormat="1" x14ac:dyDescent="0.3">
      <c r="A17" s="35"/>
      <c r="B17" s="35"/>
      <c r="C17" s="14"/>
      <c r="D17" s="14"/>
      <c r="E17" s="14"/>
      <c r="F17" s="14"/>
      <c r="G17" s="14"/>
      <c r="H17" s="14"/>
      <c r="I17" s="14"/>
      <c r="J17" s="34"/>
      <c r="K17" s="17"/>
    </row>
    <row r="18" spans="1:11" x14ac:dyDescent="0.3">
      <c r="A18" s="5"/>
      <c r="B18" s="6" t="s">
        <v>15</v>
      </c>
      <c r="C18" s="6"/>
      <c r="D18" s="8"/>
      <c r="E18" s="8"/>
      <c r="F18" s="8" t="e">
        <f>SUM(F13:F16)</f>
        <v>#REF!</v>
      </c>
      <c r="G18" s="8"/>
      <c r="H18" s="8"/>
      <c r="I18" s="8" t="e">
        <f>SUM(I13:I16)</f>
        <v>#REF!</v>
      </c>
      <c r="J18" s="15" t="e">
        <f>I18-F18</f>
        <v>#REF!</v>
      </c>
      <c r="K18" s="5"/>
    </row>
  </sheetData>
  <mergeCells count="19">
    <mergeCell ref="C6:D6"/>
    <mergeCell ref="J6:K6"/>
    <mergeCell ref="A1:K1"/>
    <mergeCell ref="A2:K2"/>
    <mergeCell ref="A3:K3"/>
    <mergeCell ref="A4:K4"/>
    <mergeCell ref="A5:K5"/>
    <mergeCell ref="J11:J12"/>
    <mergeCell ref="K11:K12"/>
    <mergeCell ref="A8:F8"/>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&amp;LPrepared By:
Kristal Suwal&amp;CChecked By:
Er. Milan Phuyal&amp;RApproved By:
Basudev Khanal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
  <sheetViews>
    <sheetView tabSelected="1" topLeftCell="A88" zoomScaleNormal="100" zoomScaleSheetLayoutView="80" workbookViewId="0">
      <selection activeCell="I94" sqref="I94"/>
    </sheetView>
  </sheetViews>
  <sheetFormatPr defaultRowHeight="14.4" x14ac:dyDescent="0.3"/>
  <cols>
    <col min="1" max="1" width="4.44140625" style="7" customWidth="1"/>
    <col min="2" max="2" width="31.33203125" customWidth="1"/>
    <col min="3" max="3" width="4.33203125" bestFit="1" customWidth="1"/>
    <col min="4" max="4" width="9.33203125" customWidth="1"/>
    <col min="5" max="5" width="7.88671875" customWidth="1"/>
    <col min="6" max="6" width="7.5546875" customWidth="1"/>
    <col min="7" max="7" width="8.5546875" style="7" customWidth="1"/>
    <col min="8" max="8" width="5.33203125" style="7" bestFit="1" customWidth="1"/>
    <col min="9" max="9" width="10.6640625" style="7" customWidth="1"/>
    <col min="10" max="10" width="10.5546875" style="7" bestFit="1" customWidth="1"/>
    <col min="11" max="11" width="8.33203125" customWidth="1"/>
    <col min="14" max="14" width="9.5546875" bestFit="1" customWidth="1"/>
    <col min="15" max="15" width="12" bestFit="1" customWidth="1"/>
    <col min="16" max="16" width="12.109375" customWidth="1"/>
    <col min="17" max="17" width="14.44140625" customWidth="1"/>
  </cols>
  <sheetData>
    <row r="1" spans="1:19" s="1" customFormat="1" x14ac:dyDescent="0.3">
      <c r="A1" s="57" t="s">
        <v>0</v>
      </c>
      <c r="B1" s="57"/>
      <c r="C1" s="57"/>
      <c r="D1" s="57"/>
      <c r="E1" s="57"/>
      <c r="F1" s="57"/>
      <c r="G1" s="57"/>
      <c r="H1" s="57"/>
      <c r="I1" s="57"/>
      <c r="J1" s="57"/>
      <c r="K1" s="57"/>
    </row>
    <row r="2" spans="1:19" s="1" customFormat="1" ht="22.8" x14ac:dyDescent="0.3">
      <c r="A2" s="58" t="s">
        <v>1</v>
      </c>
      <c r="B2" s="58"/>
      <c r="C2" s="58"/>
      <c r="D2" s="58"/>
      <c r="E2" s="58"/>
      <c r="F2" s="58"/>
      <c r="G2" s="58"/>
      <c r="H2" s="58"/>
      <c r="I2" s="58"/>
      <c r="J2" s="58"/>
      <c r="K2" s="58"/>
    </row>
    <row r="3" spans="1:19" s="1" customFormat="1" x14ac:dyDescent="0.3">
      <c r="A3" s="59" t="s">
        <v>2</v>
      </c>
      <c r="B3" s="59"/>
      <c r="C3" s="59"/>
      <c r="D3" s="59"/>
      <c r="E3" s="59"/>
      <c r="F3" s="59"/>
      <c r="G3" s="59"/>
      <c r="H3" s="59"/>
      <c r="I3" s="59"/>
      <c r="J3" s="59"/>
      <c r="K3" s="59"/>
    </row>
    <row r="4" spans="1:19" s="1" customFormat="1" x14ac:dyDescent="0.3">
      <c r="A4" s="59" t="s">
        <v>3</v>
      </c>
      <c r="B4" s="59"/>
      <c r="C4" s="59"/>
      <c r="D4" s="59"/>
      <c r="E4" s="59"/>
      <c r="F4" s="59"/>
      <c r="G4" s="59"/>
      <c r="H4" s="59"/>
      <c r="I4" s="59"/>
      <c r="J4" s="59"/>
      <c r="K4" s="59"/>
    </row>
    <row r="5" spans="1:19" ht="17.399999999999999" x14ac:dyDescent="0.3">
      <c r="A5" s="60" t="s">
        <v>79</v>
      </c>
      <c r="B5" s="60"/>
      <c r="C5" s="60"/>
      <c r="D5" s="60"/>
      <c r="E5" s="60"/>
      <c r="F5" s="60"/>
      <c r="G5" s="60"/>
      <c r="H5" s="60"/>
      <c r="I5" s="60"/>
      <c r="J5" s="60"/>
      <c r="K5" s="60"/>
    </row>
    <row r="6" spans="1:19" ht="15.6" x14ac:dyDescent="0.3">
      <c r="A6" s="43" t="s">
        <v>73</v>
      </c>
      <c r="B6" s="43"/>
      <c r="C6" s="43"/>
      <c r="D6" s="43"/>
      <c r="E6" s="43"/>
      <c r="F6" s="43"/>
      <c r="G6" s="2"/>
      <c r="H6" s="56" t="s">
        <v>77</v>
      </c>
      <c r="I6" s="56"/>
      <c r="J6" s="56"/>
      <c r="K6" s="56"/>
    </row>
    <row r="7" spans="1:19" ht="15.6" x14ac:dyDescent="0.3">
      <c r="A7" s="63" t="s">
        <v>26</v>
      </c>
      <c r="B7" s="63"/>
      <c r="C7" s="63"/>
      <c r="D7" s="63"/>
      <c r="E7" s="63"/>
      <c r="F7" s="63"/>
      <c r="G7" s="3"/>
      <c r="H7" s="56" t="s">
        <v>78</v>
      </c>
      <c r="I7" s="56"/>
      <c r="J7" s="56"/>
      <c r="K7" s="56"/>
    </row>
    <row r="8" spans="1:19" ht="15" customHeight="1" x14ac:dyDescent="0.3">
      <c r="A8" s="4" t="s">
        <v>4</v>
      </c>
      <c r="B8" s="23" t="s">
        <v>5</v>
      </c>
      <c r="C8" s="4" t="s">
        <v>6</v>
      </c>
      <c r="D8" s="24" t="s">
        <v>7</v>
      </c>
      <c r="E8" s="24" t="s">
        <v>8</v>
      </c>
      <c r="F8" s="24" t="s">
        <v>9</v>
      </c>
      <c r="G8" s="24" t="s">
        <v>10</v>
      </c>
      <c r="H8" s="4" t="s">
        <v>11</v>
      </c>
      <c r="I8" s="24" t="s">
        <v>12</v>
      </c>
      <c r="J8" s="24" t="s">
        <v>13</v>
      </c>
      <c r="K8" s="25" t="s">
        <v>14</v>
      </c>
    </row>
    <row r="9" spans="1:19" ht="15" customHeight="1" x14ac:dyDescent="0.3">
      <c r="A9" s="26">
        <v>1</v>
      </c>
      <c r="B9" s="52" t="s">
        <v>39</v>
      </c>
      <c r="C9" s="27"/>
      <c r="D9" s="28"/>
      <c r="E9" s="28"/>
      <c r="F9" s="29"/>
      <c r="G9" s="14"/>
      <c r="H9" s="39"/>
      <c r="I9" s="40"/>
      <c r="J9" s="45"/>
      <c r="K9" s="29"/>
      <c r="M9" s="31"/>
      <c r="N9" s="1"/>
      <c r="O9" s="1"/>
      <c r="P9" s="1"/>
      <c r="Q9" s="1"/>
      <c r="R9" s="31"/>
      <c r="S9" s="31"/>
    </row>
    <row r="10" spans="1:19" ht="27.6" x14ac:dyDescent="0.3">
      <c r="A10" s="26"/>
      <c r="B10" s="37" t="s">
        <v>40</v>
      </c>
      <c r="C10" s="27">
        <f>0*1</f>
        <v>0</v>
      </c>
      <c r="D10" s="28">
        <f>(((55+6)+(35+64+70+38+31+64)+(72+63+36+35+9))/12)/3.281</f>
        <v>14.680483592400689</v>
      </c>
      <c r="E10" s="28"/>
      <c r="F10" s="29"/>
      <c r="G10" s="14">
        <f>PRODUCT(C10:F10)</f>
        <v>0</v>
      </c>
      <c r="H10" s="39" t="s">
        <v>47</v>
      </c>
      <c r="I10" s="40">
        <v>56</v>
      </c>
      <c r="J10" s="41">
        <f>G10*I10</f>
        <v>0</v>
      </c>
      <c r="K10" s="29"/>
      <c r="M10" s="31"/>
      <c r="N10" s="1"/>
      <c r="O10" s="1"/>
      <c r="P10" s="1"/>
      <c r="Q10" s="1"/>
      <c r="R10" s="31"/>
      <c r="S10" s="31"/>
    </row>
    <row r="11" spans="1:19" ht="15" customHeight="1" x14ac:dyDescent="0.3">
      <c r="A11" s="26"/>
      <c r="B11" s="37" t="s">
        <v>41</v>
      </c>
      <c r="C11" s="27">
        <f>0*7</f>
        <v>0</v>
      </c>
      <c r="D11" s="28"/>
      <c r="E11" s="28"/>
      <c r="F11" s="29"/>
      <c r="G11" s="14">
        <f t="shared" ref="G11:G28" si="0">PRODUCT(C11:F11)</f>
        <v>0</v>
      </c>
      <c r="H11" s="39" t="s">
        <v>29</v>
      </c>
      <c r="I11" s="40">
        <v>113</v>
      </c>
      <c r="J11" s="41">
        <f t="shared" ref="J11:J28" si="1">G11*I11</f>
        <v>0</v>
      </c>
      <c r="K11" s="29"/>
      <c r="M11" s="31"/>
      <c r="N11" s="1"/>
      <c r="O11" s="1"/>
      <c r="P11" s="1"/>
      <c r="Q11" s="1"/>
      <c r="R11" s="31"/>
      <c r="S11" s="31"/>
    </row>
    <row r="12" spans="1:19" ht="15" customHeight="1" x14ac:dyDescent="0.3">
      <c r="A12" s="26"/>
      <c r="B12" s="37" t="s">
        <v>42</v>
      </c>
      <c r="C12" s="27">
        <f>0*3</f>
        <v>0</v>
      </c>
      <c r="D12" s="28"/>
      <c r="E12" s="28"/>
      <c r="F12" s="29"/>
      <c r="G12" s="14">
        <f t="shared" si="0"/>
        <v>0</v>
      </c>
      <c r="H12" s="39" t="s">
        <v>29</v>
      </c>
      <c r="I12" s="40">
        <v>116</v>
      </c>
      <c r="J12" s="41">
        <f t="shared" si="1"/>
        <v>0</v>
      </c>
      <c r="K12" s="29"/>
      <c r="M12" s="31"/>
      <c r="N12" s="1"/>
      <c r="O12" s="1"/>
      <c r="P12" s="1"/>
      <c r="Q12" s="1"/>
      <c r="R12" s="31"/>
      <c r="S12" s="31"/>
    </row>
    <row r="13" spans="1:19" ht="15" customHeight="1" x14ac:dyDescent="0.3">
      <c r="A13" s="26"/>
      <c r="B13" s="37" t="s">
        <v>43</v>
      </c>
      <c r="C13" s="27">
        <f>0*8</f>
        <v>0</v>
      </c>
      <c r="D13" s="28"/>
      <c r="E13" s="28"/>
      <c r="F13" s="29"/>
      <c r="G13" s="14">
        <f t="shared" si="0"/>
        <v>0</v>
      </c>
      <c r="H13" s="39" t="s">
        <v>29</v>
      </c>
      <c r="I13" s="40">
        <v>11</v>
      </c>
      <c r="J13" s="41">
        <f t="shared" si="1"/>
        <v>0</v>
      </c>
      <c r="K13" s="29"/>
      <c r="M13" s="31"/>
      <c r="N13" s="1"/>
      <c r="O13" s="1"/>
      <c r="P13" s="1"/>
      <c r="Q13" s="1"/>
      <c r="R13" s="31"/>
      <c r="S13" s="31"/>
    </row>
    <row r="14" spans="1:19" ht="15" customHeight="1" x14ac:dyDescent="0.3">
      <c r="A14" s="26"/>
      <c r="B14" s="37" t="s">
        <v>44</v>
      </c>
      <c r="C14" s="27">
        <f>0*6</f>
        <v>0</v>
      </c>
      <c r="D14" s="28"/>
      <c r="E14" s="28"/>
      <c r="F14" s="29"/>
      <c r="G14" s="14">
        <f t="shared" si="0"/>
        <v>0</v>
      </c>
      <c r="H14" s="39" t="s">
        <v>29</v>
      </c>
      <c r="I14" s="40">
        <v>26</v>
      </c>
      <c r="J14" s="41">
        <f t="shared" si="1"/>
        <v>0</v>
      </c>
      <c r="K14" s="29"/>
      <c r="M14" s="31"/>
      <c r="N14" s="1"/>
      <c r="O14" s="1"/>
      <c r="P14" s="1"/>
      <c r="Q14" s="1"/>
      <c r="R14" s="31"/>
      <c r="S14" s="31"/>
    </row>
    <row r="15" spans="1:19" ht="15" customHeight="1" x14ac:dyDescent="0.3">
      <c r="A15" s="26"/>
      <c r="B15" s="37" t="s">
        <v>50</v>
      </c>
      <c r="C15" s="27">
        <f>0*5</f>
        <v>0</v>
      </c>
      <c r="D15" s="28"/>
      <c r="E15" s="28"/>
      <c r="F15" s="29"/>
      <c r="G15" s="14">
        <f t="shared" si="0"/>
        <v>0</v>
      </c>
      <c r="H15" s="39" t="s">
        <v>29</v>
      </c>
      <c r="I15" s="40">
        <v>13</v>
      </c>
      <c r="J15" s="41">
        <f t="shared" si="1"/>
        <v>0</v>
      </c>
      <c r="K15" s="29"/>
      <c r="M15" s="31"/>
      <c r="N15" s="1"/>
      <c r="O15" s="1"/>
      <c r="P15" s="1"/>
      <c r="Q15" s="1"/>
      <c r="R15" s="31"/>
      <c r="S15" s="31"/>
    </row>
    <row r="16" spans="1:19" ht="27.6" x14ac:dyDescent="0.3">
      <c r="A16" s="26"/>
      <c r="B16" s="37" t="s">
        <v>54</v>
      </c>
      <c r="C16" s="27">
        <f>0*1</f>
        <v>0</v>
      </c>
      <c r="D16" s="28">
        <f>((20*12-64*2+240)/12)/3.281</f>
        <v>8.9403637102509386</v>
      </c>
      <c r="E16" s="28"/>
      <c r="F16" s="29"/>
      <c r="G16" s="14">
        <f t="shared" si="0"/>
        <v>0</v>
      </c>
      <c r="H16" s="39" t="s">
        <v>47</v>
      </c>
      <c r="I16" s="40">
        <v>181</v>
      </c>
      <c r="J16" s="41">
        <f t="shared" si="1"/>
        <v>0</v>
      </c>
      <c r="K16" s="29"/>
      <c r="M16" s="31"/>
      <c r="N16" s="1"/>
      <c r="O16" s="1"/>
      <c r="P16" s="1"/>
      <c r="Q16" s="1"/>
      <c r="R16" s="31"/>
      <c r="S16" s="31"/>
    </row>
    <row r="17" spans="1:19" ht="27.6" x14ac:dyDescent="0.3">
      <c r="A17" s="26"/>
      <c r="B17" s="37" t="s">
        <v>55</v>
      </c>
      <c r="C17" s="27">
        <f>0*1</f>
        <v>0</v>
      </c>
      <c r="D17" s="28">
        <f>((10*12+30+10)/12)/3.281</f>
        <v>4.0638016864777002</v>
      </c>
      <c r="E17" s="28"/>
      <c r="F17" s="29"/>
      <c r="G17" s="14">
        <f t="shared" si="0"/>
        <v>0</v>
      </c>
      <c r="H17" s="39" t="s">
        <v>47</v>
      </c>
      <c r="I17" s="40">
        <v>117</v>
      </c>
      <c r="J17" s="41">
        <f t="shared" si="1"/>
        <v>0</v>
      </c>
      <c r="K17" s="29"/>
      <c r="M17" s="31"/>
      <c r="N17" s="1"/>
      <c r="O17" s="1"/>
      <c r="P17" s="1"/>
      <c r="Q17" s="1"/>
      <c r="R17" s="31"/>
      <c r="S17" s="31"/>
    </row>
    <row r="18" spans="1:19" ht="27.6" x14ac:dyDescent="0.3">
      <c r="A18" s="26"/>
      <c r="B18" s="37" t="s">
        <v>56</v>
      </c>
      <c r="C18" s="27">
        <f>0*1</f>
        <v>0</v>
      </c>
      <c r="D18" s="28">
        <f>((70+27+6+10)/12)/3.281</f>
        <v>2.8700599410748753</v>
      </c>
      <c r="E18" s="28"/>
      <c r="F18" s="29"/>
      <c r="G18" s="14">
        <f t="shared" si="0"/>
        <v>0</v>
      </c>
      <c r="H18" s="39" t="s">
        <v>47</v>
      </c>
      <c r="I18" s="40">
        <v>247</v>
      </c>
      <c r="J18" s="41">
        <f t="shared" si="1"/>
        <v>0</v>
      </c>
      <c r="K18" s="29"/>
      <c r="M18" s="31"/>
      <c r="N18" s="1"/>
      <c r="O18" s="1"/>
      <c r="P18" s="1"/>
      <c r="Q18" s="1"/>
      <c r="R18" s="31"/>
      <c r="S18" s="31"/>
    </row>
    <row r="19" spans="1:19" ht="15" customHeight="1" x14ac:dyDescent="0.3">
      <c r="A19" s="26"/>
      <c r="B19" s="37" t="s">
        <v>75</v>
      </c>
      <c r="C19" s="27">
        <f>0*2</f>
        <v>0</v>
      </c>
      <c r="D19" s="28"/>
      <c r="E19" s="28"/>
      <c r="F19" s="29"/>
      <c r="G19" s="14">
        <f t="shared" si="0"/>
        <v>0</v>
      </c>
      <c r="H19" s="39" t="s">
        <v>29</v>
      </c>
      <c r="I19" s="40">
        <v>185</v>
      </c>
      <c r="J19" s="41">
        <f t="shared" si="1"/>
        <v>0</v>
      </c>
      <c r="K19" s="29"/>
      <c r="M19" s="31"/>
      <c r="N19" s="1"/>
      <c r="O19" s="1"/>
      <c r="P19" s="1"/>
      <c r="Q19" s="1"/>
      <c r="R19" s="31"/>
      <c r="S19" s="31"/>
    </row>
    <row r="20" spans="1:19" ht="15" customHeight="1" x14ac:dyDescent="0.3">
      <c r="A20" s="26"/>
      <c r="B20" s="37" t="s">
        <v>57</v>
      </c>
      <c r="C20" s="27">
        <f>0*2</f>
        <v>0</v>
      </c>
      <c r="D20" s="28"/>
      <c r="E20" s="28"/>
      <c r="F20" s="29"/>
      <c r="G20" s="14">
        <f t="shared" si="0"/>
        <v>0</v>
      </c>
      <c r="H20" s="39" t="s">
        <v>29</v>
      </c>
      <c r="I20" s="40">
        <v>327</v>
      </c>
      <c r="J20" s="41">
        <f t="shared" si="1"/>
        <v>0</v>
      </c>
      <c r="K20" s="29"/>
      <c r="M20" s="31"/>
      <c r="N20" s="1"/>
      <c r="O20" s="1"/>
      <c r="P20" s="1"/>
      <c r="Q20" s="1"/>
      <c r="R20" s="31"/>
      <c r="S20" s="31"/>
    </row>
    <row r="21" spans="1:19" ht="15" customHeight="1" x14ac:dyDescent="0.3">
      <c r="A21" s="26"/>
      <c r="B21" s="37" t="s">
        <v>45</v>
      </c>
      <c r="C21" s="27">
        <f>0*1</f>
        <v>0</v>
      </c>
      <c r="D21" s="28">
        <f>10/3.281</f>
        <v>3.047851264858275</v>
      </c>
      <c r="E21" s="28"/>
      <c r="F21" s="29"/>
      <c r="G21" s="14">
        <f t="shared" si="0"/>
        <v>0</v>
      </c>
      <c r="H21" s="39" t="s">
        <v>46</v>
      </c>
      <c r="I21" s="40">
        <v>287</v>
      </c>
      <c r="J21" s="41">
        <f t="shared" si="1"/>
        <v>0</v>
      </c>
      <c r="K21" s="29"/>
      <c r="M21" s="31"/>
      <c r="N21" s="1"/>
      <c r="O21" s="1"/>
      <c r="P21" s="1"/>
      <c r="Q21" s="1"/>
      <c r="R21" s="31"/>
      <c r="S21" s="31"/>
    </row>
    <row r="22" spans="1:19" ht="15" customHeight="1" x14ac:dyDescent="0.3">
      <c r="A22" s="26"/>
      <c r="B22" s="37" t="s">
        <v>48</v>
      </c>
      <c r="C22" s="27">
        <f>0*1</f>
        <v>0</v>
      </c>
      <c r="D22" s="28">
        <f>0.3*2</f>
        <v>0.6</v>
      </c>
      <c r="E22" s="28"/>
      <c r="F22" s="29"/>
      <c r="G22" s="14">
        <f t="shared" si="0"/>
        <v>0</v>
      </c>
      <c r="H22" s="39" t="s">
        <v>47</v>
      </c>
      <c r="I22" s="40">
        <v>323</v>
      </c>
      <c r="J22" s="41">
        <f t="shared" si="1"/>
        <v>0</v>
      </c>
      <c r="K22" s="29"/>
      <c r="M22" s="31"/>
      <c r="N22" s="1"/>
      <c r="O22" s="1"/>
      <c r="P22" s="1"/>
      <c r="Q22" s="1"/>
      <c r="R22" s="31"/>
      <c r="S22" s="31"/>
    </row>
    <row r="23" spans="1:19" ht="15" customHeight="1" x14ac:dyDescent="0.3">
      <c r="A23" s="26"/>
      <c r="B23" s="37" t="s">
        <v>49</v>
      </c>
      <c r="C23" s="27">
        <f>0*1</f>
        <v>0</v>
      </c>
      <c r="D23" s="28"/>
      <c r="E23" s="28"/>
      <c r="F23" s="29"/>
      <c r="G23" s="14">
        <f t="shared" si="0"/>
        <v>0</v>
      </c>
      <c r="H23" s="39" t="s">
        <v>29</v>
      </c>
      <c r="I23" s="40">
        <v>153</v>
      </c>
      <c r="J23" s="41">
        <f t="shared" si="1"/>
        <v>0</v>
      </c>
      <c r="K23" s="29"/>
      <c r="M23" s="31"/>
      <c r="N23" s="1"/>
      <c r="O23" s="1"/>
      <c r="P23" s="1"/>
      <c r="Q23" s="1"/>
      <c r="R23" s="31"/>
      <c r="S23" s="31"/>
    </row>
    <row r="24" spans="1:19" ht="27.6" x14ac:dyDescent="0.3">
      <c r="A24" s="26"/>
      <c r="B24" s="37" t="s">
        <v>51</v>
      </c>
      <c r="C24" s="27">
        <f>0*2</f>
        <v>0</v>
      </c>
      <c r="D24" s="28"/>
      <c r="E24" s="28"/>
      <c r="F24" s="29"/>
      <c r="G24" s="14">
        <f t="shared" si="0"/>
        <v>0</v>
      </c>
      <c r="H24" s="39" t="s">
        <v>52</v>
      </c>
      <c r="I24" s="40">
        <v>2741</v>
      </c>
      <c r="J24" s="41">
        <f t="shared" si="1"/>
        <v>0</v>
      </c>
      <c r="K24" s="29"/>
      <c r="M24" s="31"/>
      <c r="N24" s="1"/>
      <c r="O24" s="1"/>
      <c r="P24" s="1"/>
      <c r="Q24" s="1"/>
      <c r="R24" s="31"/>
      <c r="S24" s="31"/>
    </row>
    <row r="25" spans="1:19" ht="15" customHeight="1" x14ac:dyDescent="0.3">
      <c r="A25" s="26"/>
      <c r="B25" s="37" t="s">
        <v>53</v>
      </c>
      <c r="C25" s="27">
        <f>0*2</f>
        <v>0</v>
      </c>
      <c r="D25" s="28"/>
      <c r="E25" s="28"/>
      <c r="F25" s="29"/>
      <c r="G25" s="14">
        <f t="shared" si="0"/>
        <v>0</v>
      </c>
      <c r="H25" s="39" t="s">
        <v>29</v>
      </c>
      <c r="I25" s="40">
        <v>329</v>
      </c>
      <c r="J25" s="41">
        <f t="shared" si="1"/>
        <v>0</v>
      </c>
      <c r="K25" s="29"/>
      <c r="M25" s="31"/>
      <c r="N25" s="1"/>
      <c r="O25" s="1"/>
      <c r="P25" s="1"/>
      <c r="Q25" s="1"/>
      <c r="R25" s="31"/>
      <c r="S25" s="31"/>
    </row>
    <row r="26" spans="1:19" ht="27.6" x14ac:dyDescent="0.3">
      <c r="A26" s="26"/>
      <c r="B26" s="37" t="s">
        <v>58</v>
      </c>
      <c r="C26" s="27">
        <f>0*2</f>
        <v>0</v>
      </c>
      <c r="D26" s="28"/>
      <c r="E26" s="28"/>
      <c r="F26" s="29"/>
      <c r="G26" s="14">
        <f t="shared" si="0"/>
        <v>0</v>
      </c>
      <c r="H26" s="39" t="s">
        <v>52</v>
      </c>
      <c r="I26" s="40">
        <v>1973</v>
      </c>
      <c r="J26" s="41">
        <f t="shared" si="1"/>
        <v>0</v>
      </c>
      <c r="K26" s="29"/>
      <c r="M26" s="31"/>
      <c r="N26" s="1"/>
      <c r="O26" s="1"/>
      <c r="P26" s="1"/>
      <c r="Q26" s="1"/>
      <c r="R26" s="31"/>
      <c r="S26" s="31"/>
    </row>
    <row r="27" spans="1:19" ht="27.6" x14ac:dyDescent="0.3">
      <c r="A27" s="26"/>
      <c r="B27" s="37" t="s">
        <v>59</v>
      </c>
      <c r="C27" s="27">
        <f>0*3</f>
        <v>0</v>
      </c>
      <c r="D27" s="28"/>
      <c r="E27" s="28"/>
      <c r="F27" s="29"/>
      <c r="G27" s="14">
        <f t="shared" si="0"/>
        <v>0</v>
      </c>
      <c r="H27" s="39" t="s">
        <v>52</v>
      </c>
      <c r="I27" s="40">
        <v>1880</v>
      </c>
      <c r="J27" s="41">
        <f t="shared" si="1"/>
        <v>0</v>
      </c>
      <c r="K27" s="29"/>
      <c r="M27" s="31"/>
      <c r="N27" s="1"/>
      <c r="O27" s="1"/>
      <c r="P27" s="1"/>
      <c r="Q27" s="1"/>
      <c r="R27" s="31"/>
      <c r="S27" s="31"/>
    </row>
    <row r="28" spans="1:19" ht="27.6" x14ac:dyDescent="0.3">
      <c r="A28" s="26"/>
      <c r="B28" s="37" t="s">
        <v>60</v>
      </c>
      <c r="C28" s="27">
        <f>0*2</f>
        <v>0</v>
      </c>
      <c r="D28" s="28"/>
      <c r="E28" s="28"/>
      <c r="F28" s="29"/>
      <c r="G28" s="14">
        <f t="shared" si="0"/>
        <v>0</v>
      </c>
      <c r="H28" s="39" t="s">
        <v>61</v>
      </c>
      <c r="I28" s="40">
        <v>1095</v>
      </c>
      <c r="J28" s="41">
        <f t="shared" si="1"/>
        <v>0</v>
      </c>
      <c r="K28" s="29"/>
      <c r="M28" s="31"/>
      <c r="N28" s="1"/>
      <c r="O28" s="1"/>
      <c r="P28" s="1"/>
      <c r="Q28" s="1"/>
      <c r="R28" s="31"/>
      <c r="S28" s="31"/>
    </row>
    <row r="29" spans="1:19" ht="15" customHeight="1" x14ac:dyDescent="0.3">
      <c r="A29" s="44"/>
      <c r="B29" s="46"/>
      <c r="C29" s="47"/>
      <c r="D29" s="14"/>
      <c r="E29" s="14"/>
      <c r="F29" s="14"/>
      <c r="G29" s="48"/>
      <c r="H29" s="48"/>
      <c r="I29" s="48"/>
      <c r="J29" s="41"/>
      <c r="K29" s="16"/>
    </row>
    <row r="30" spans="1:19" ht="30" x14ac:dyDescent="0.3">
      <c r="A30" s="44">
        <v>1</v>
      </c>
      <c r="B30" s="49" t="s">
        <v>81</v>
      </c>
      <c r="C30" s="47"/>
      <c r="D30" s="14"/>
      <c r="E30" s="14"/>
      <c r="F30" s="14"/>
      <c r="G30" s="48"/>
      <c r="H30" s="48"/>
      <c r="I30" s="48"/>
      <c r="J30" s="41"/>
      <c r="K30" s="16"/>
    </row>
    <row r="31" spans="1:19" ht="15" customHeight="1" x14ac:dyDescent="0.3">
      <c r="A31" s="44"/>
      <c r="B31" s="46" t="s">
        <v>82</v>
      </c>
      <c r="C31" s="47">
        <v>2</v>
      </c>
      <c r="D31" s="14">
        <v>1.78</v>
      </c>
      <c r="E31" s="14">
        <v>0.1</v>
      </c>
      <c r="F31" s="14">
        <f>7/3.281</f>
        <v>2.1334958854007922</v>
      </c>
      <c r="G31" s="14">
        <f t="shared" ref="G31:G32" si="2">PRODUCT(C31:F31)</f>
        <v>0.75952453520268204</v>
      </c>
      <c r="H31" s="48"/>
      <c r="I31" s="45"/>
      <c r="J31" s="45"/>
      <c r="K31" s="16"/>
    </row>
    <row r="32" spans="1:19" ht="15" customHeight="1" x14ac:dyDescent="0.3">
      <c r="A32" s="44"/>
      <c r="B32" s="46" t="s">
        <v>68</v>
      </c>
      <c r="C32" s="47">
        <f>-2</f>
        <v>-2</v>
      </c>
      <c r="D32" s="14">
        <f>2.5/3.281</f>
        <v>0.76196281621456874</v>
      </c>
      <c r="E32" s="14">
        <v>0.1</v>
      </c>
      <c r="F32" s="14">
        <f>6.5/3.281</f>
        <v>1.9811033221578787</v>
      </c>
      <c r="G32" s="14">
        <f t="shared" si="2"/>
        <v>-0.30190541331269105</v>
      </c>
      <c r="H32" s="48"/>
      <c r="I32" s="45"/>
      <c r="J32" s="45"/>
      <c r="K32" s="16"/>
    </row>
    <row r="33" spans="1:11" ht="15" customHeight="1" x14ac:dyDescent="0.3">
      <c r="A33" s="44"/>
      <c r="B33" s="46" t="s">
        <v>38</v>
      </c>
      <c r="C33" s="47"/>
      <c r="D33" s="14"/>
      <c r="E33" s="14"/>
      <c r="F33" s="14"/>
      <c r="G33" s="45">
        <f>SUM(G31:G32)</f>
        <v>0.45761912188999099</v>
      </c>
      <c r="H33" s="45" t="s">
        <v>83</v>
      </c>
      <c r="I33" s="45">
        <f>14671.52</f>
        <v>14671.52</v>
      </c>
      <c r="J33" s="45">
        <f>G33*I33</f>
        <v>6713.9680991914411</v>
      </c>
      <c r="K33" s="16"/>
    </row>
    <row r="34" spans="1:11" ht="15" customHeight="1" x14ac:dyDescent="0.3">
      <c r="A34" s="44"/>
      <c r="B34" s="46" t="s">
        <v>84</v>
      </c>
      <c r="C34" s="47"/>
      <c r="D34" s="14"/>
      <c r="E34" s="14"/>
      <c r="F34" s="14"/>
      <c r="G34" s="45"/>
      <c r="H34" s="45"/>
      <c r="I34" s="45"/>
      <c r="J34" s="45">
        <f>0.13*G33*10620.51</f>
        <v>631.81929982910287</v>
      </c>
      <c r="K34" s="16"/>
    </row>
    <row r="35" spans="1:11" ht="15" customHeight="1" x14ac:dyDescent="0.3">
      <c r="A35" s="44"/>
      <c r="B35" s="46"/>
      <c r="C35" s="47"/>
      <c r="D35" s="14"/>
      <c r="E35" s="14"/>
      <c r="F35" s="14"/>
      <c r="G35" s="48"/>
      <c r="H35" s="48"/>
      <c r="I35" s="48"/>
      <c r="J35" s="41"/>
      <c r="K35" s="16"/>
    </row>
    <row r="36" spans="1:11" ht="30" x14ac:dyDescent="0.3">
      <c r="A36" s="44">
        <v>2</v>
      </c>
      <c r="B36" s="49" t="s">
        <v>88</v>
      </c>
      <c r="C36" s="47"/>
      <c r="D36" s="14"/>
      <c r="E36" s="14"/>
      <c r="F36" s="14"/>
      <c r="G36" s="48"/>
      <c r="H36" s="48"/>
      <c r="I36" s="48"/>
      <c r="J36" s="41"/>
      <c r="K36" s="16"/>
    </row>
    <row r="37" spans="1:11" ht="15" customHeight="1" x14ac:dyDescent="0.3">
      <c r="A37" s="44"/>
      <c r="B37" s="46" t="s">
        <v>87</v>
      </c>
      <c r="C37" s="47">
        <f>2*3</f>
        <v>6</v>
      </c>
      <c r="D37" s="14">
        <f>10/12/3.281</f>
        <v>0.25398760540485626</v>
      </c>
      <c r="E37" s="14">
        <v>0.23</v>
      </c>
      <c r="F37" s="14">
        <f>6/12/3.281</f>
        <v>0.15239256324291373</v>
      </c>
      <c r="G37" s="14">
        <f t="shared" ref="G37:G38" si="3">PRODUCT(C37:F37)</f>
        <v>5.3414034663014573E-2</v>
      </c>
      <c r="H37" s="48"/>
      <c r="I37" s="45"/>
      <c r="J37" s="45"/>
      <c r="K37" s="16"/>
    </row>
    <row r="38" spans="1:11" ht="15" customHeight="1" x14ac:dyDescent="0.3">
      <c r="A38" s="44"/>
      <c r="B38" s="46"/>
      <c r="C38" s="47">
        <v>2</v>
      </c>
      <c r="D38" s="14">
        <f>4.16-0.23*2</f>
        <v>3.7</v>
      </c>
      <c r="E38" s="14">
        <v>0.23</v>
      </c>
      <c r="F38" s="14">
        <f>6/12/3.281</f>
        <v>0.15239256324291373</v>
      </c>
      <c r="G38" s="14">
        <f t="shared" si="3"/>
        <v>0.2593721426394392</v>
      </c>
      <c r="H38" s="48"/>
      <c r="I38" s="45"/>
      <c r="J38" s="45"/>
      <c r="K38" s="16"/>
    </row>
    <row r="39" spans="1:11" ht="15" customHeight="1" x14ac:dyDescent="0.3">
      <c r="A39" s="44"/>
      <c r="B39" s="46" t="s">
        <v>38</v>
      </c>
      <c r="C39" s="47"/>
      <c r="D39" s="14"/>
      <c r="E39" s="14"/>
      <c r="F39" s="14"/>
      <c r="G39" s="45">
        <f>SUM(G37:G38)</f>
        <v>0.31278617730245378</v>
      </c>
      <c r="H39" s="45" t="s">
        <v>83</v>
      </c>
      <c r="I39" s="45">
        <v>14362.76</v>
      </c>
      <c r="J39" s="45">
        <f>G39*I39</f>
        <v>4492.4727959125912</v>
      </c>
      <c r="K39" s="16"/>
    </row>
    <row r="40" spans="1:11" ht="15" customHeight="1" x14ac:dyDescent="0.3">
      <c r="A40" s="44"/>
      <c r="B40" s="46" t="s">
        <v>84</v>
      </c>
      <c r="C40" s="47"/>
      <c r="D40" s="14"/>
      <c r="E40" s="14"/>
      <c r="F40" s="14"/>
      <c r="G40" s="45"/>
      <c r="H40" s="45"/>
      <c r="I40" s="45"/>
      <c r="J40" s="45">
        <f>0.13*G39*10311.74</f>
        <v>419.29806567178463</v>
      </c>
      <c r="K40" s="16"/>
    </row>
    <row r="41" spans="1:11" ht="15" customHeight="1" x14ac:dyDescent="0.3">
      <c r="A41" s="44"/>
      <c r="B41" s="46"/>
      <c r="C41" s="47"/>
      <c r="D41" s="14"/>
      <c r="E41" s="14"/>
      <c r="F41" s="14"/>
      <c r="G41" s="45"/>
      <c r="H41" s="45"/>
      <c r="I41" s="45"/>
      <c r="J41" s="45"/>
      <c r="K41" s="16"/>
    </row>
    <row r="42" spans="1:11" s="38" customFormat="1" ht="15" customHeight="1" x14ac:dyDescent="0.3">
      <c r="A42" s="79">
        <v>3</v>
      </c>
      <c r="B42" s="80" t="s">
        <v>89</v>
      </c>
      <c r="C42" s="81"/>
      <c r="D42" s="82"/>
      <c r="E42" s="82"/>
      <c r="F42" s="82"/>
      <c r="G42" s="83"/>
      <c r="H42" s="83"/>
      <c r="I42" s="83"/>
      <c r="J42" s="83"/>
      <c r="K42" s="84"/>
    </row>
    <row r="43" spans="1:11" s="38" customFormat="1" ht="15" customHeight="1" x14ac:dyDescent="0.3">
      <c r="A43" s="79"/>
      <c r="B43" s="85" t="s">
        <v>87</v>
      </c>
      <c r="C43" s="81">
        <v>1</v>
      </c>
      <c r="D43" s="82">
        <v>4.16</v>
      </c>
      <c r="E43" s="82">
        <f>10/12/3.281</f>
        <v>0.25398760540485626</v>
      </c>
      <c r="F43" s="82"/>
      <c r="G43" s="82">
        <f t="shared" ref="G43" si="4">PRODUCT(C43:F43)</f>
        <v>1.0565884384842021</v>
      </c>
      <c r="H43" s="86"/>
      <c r="I43" s="83"/>
      <c r="J43" s="83"/>
      <c r="K43" s="84"/>
    </row>
    <row r="44" spans="1:11" s="38" customFormat="1" ht="15" customHeight="1" x14ac:dyDescent="0.3">
      <c r="A44" s="79"/>
      <c r="B44" s="85" t="s">
        <v>38</v>
      </c>
      <c r="C44" s="81"/>
      <c r="D44" s="82"/>
      <c r="E44" s="82"/>
      <c r="F44" s="82"/>
      <c r="G44" s="83">
        <f>SUM(G43:G43)</f>
        <v>1.0565884384842021</v>
      </c>
      <c r="H44" s="83" t="s">
        <v>64</v>
      </c>
      <c r="I44" s="83">
        <v>1014.97</v>
      </c>
      <c r="J44" s="83">
        <f>G44*I44</f>
        <v>1072.4055674083106</v>
      </c>
      <c r="K44" s="84"/>
    </row>
    <row r="45" spans="1:11" s="38" customFormat="1" ht="15" customHeight="1" x14ac:dyDescent="0.3">
      <c r="A45" s="79"/>
      <c r="B45" s="85" t="s">
        <v>84</v>
      </c>
      <c r="C45" s="81"/>
      <c r="D45" s="82"/>
      <c r="E45" s="82"/>
      <c r="F45" s="82"/>
      <c r="G45" s="83"/>
      <c r="H45" s="83"/>
      <c r="I45" s="83"/>
      <c r="J45" s="83">
        <f>0.13*G44*(8617.2/10)</f>
        <v>118.36284059737886</v>
      </c>
      <c r="K45" s="84"/>
    </row>
    <row r="46" spans="1:11" s="38" customFormat="1" ht="15" customHeight="1" x14ac:dyDescent="0.3">
      <c r="A46" s="79"/>
      <c r="B46" s="85"/>
      <c r="C46" s="81"/>
      <c r="D46" s="82"/>
      <c r="E46" s="82"/>
      <c r="F46" s="82"/>
      <c r="G46" s="83"/>
      <c r="H46" s="83"/>
      <c r="I46" s="83"/>
      <c r="J46" s="83"/>
      <c r="K46" s="84"/>
    </row>
    <row r="47" spans="1:11" s="38" customFormat="1" ht="30.6" x14ac:dyDescent="0.3">
      <c r="A47" s="79">
        <v>4</v>
      </c>
      <c r="B47" s="80" t="s">
        <v>90</v>
      </c>
      <c r="C47" s="81"/>
      <c r="D47" s="82"/>
      <c r="E47" s="82"/>
      <c r="F47" s="82"/>
      <c r="G47" s="83"/>
      <c r="H47" s="83"/>
      <c r="I47" s="83"/>
      <c r="J47" s="83"/>
      <c r="K47" s="84"/>
    </row>
    <row r="48" spans="1:11" ht="15" customHeight="1" x14ac:dyDescent="0.3">
      <c r="A48" s="44"/>
      <c r="B48" s="46" t="s">
        <v>87</v>
      </c>
      <c r="C48" s="47">
        <v>1</v>
      </c>
      <c r="D48" s="14">
        <v>4.16</v>
      </c>
      <c r="E48" s="14">
        <f>10/12/3.281</f>
        <v>0.25398760540485626</v>
      </c>
      <c r="F48" s="14">
        <v>0.05</v>
      </c>
      <c r="G48" s="14">
        <f t="shared" ref="G48" si="5">PRODUCT(C48:F48)</f>
        <v>5.2829421924210113E-2</v>
      </c>
      <c r="H48" s="48"/>
      <c r="I48" s="45"/>
      <c r="J48" s="45"/>
      <c r="K48" s="16"/>
    </row>
    <row r="49" spans="1:11" ht="15" customHeight="1" x14ac:dyDescent="0.3">
      <c r="A49" s="44"/>
      <c r="B49" s="46" t="s">
        <v>38</v>
      </c>
      <c r="C49" s="47"/>
      <c r="D49" s="14"/>
      <c r="E49" s="14"/>
      <c r="F49" s="14"/>
      <c r="G49" s="45">
        <f>SUM(G48:G48)</f>
        <v>5.2829421924210113E-2</v>
      </c>
      <c r="H49" s="45" t="s">
        <v>83</v>
      </c>
      <c r="I49" s="45">
        <v>11971.71</v>
      </c>
      <c r="J49" s="45">
        <f>G49*I49</f>
        <v>632.45851874428536</v>
      </c>
      <c r="K49" s="16"/>
    </row>
    <row r="50" spans="1:11" ht="15" customHeight="1" x14ac:dyDescent="0.3">
      <c r="A50" s="44"/>
      <c r="B50" s="46" t="s">
        <v>84</v>
      </c>
      <c r="C50" s="47"/>
      <c r="D50" s="14"/>
      <c r="E50" s="14"/>
      <c r="F50" s="14"/>
      <c r="G50" s="45"/>
      <c r="H50" s="45"/>
      <c r="I50" s="45"/>
      <c r="J50" s="45">
        <f>0.13*G49*7066.72</f>
        <v>48.532995225033034</v>
      </c>
      <c r="K50" s="16"/>
    </row>
    <row r="51" spans="1:11" ht="15" customHeight="1" x14ac:dyDescent="0.3">
      <c r="A51" s="44"/>
      <c r="B51" s="46"/>
      <c r="C51" s="47"/>
      <c r="D51" s="14"/>
      <c r="E51" s="14"/>
      <c r="F51" s="14"/>
      <c r="G51" s="45"/>
      <c r="H51" s="45"/>
      <c r="I51" s="45"/>
      <c r="J51" s="45"/>
      <c r="K51" s="16"/>
    </row>
    <row r="52" spans="1:11" s="38" customFormat="1" ht="30.6" x14ac:dyDescent="0.3">
      <c r="A52" s="79">
        <v>5</v>
      </c>
      <c r="B52" s="80" t="s">
        <v>91</v>
      </c>
      <c r="C52" s="81"/>
      <c r="D52" s="82"/>
      <c r="E52" s="82"/>
      <c r="F52" s="82"/>
      <c r="G52" s="83"/>
      <c r="H52" s="83"/>
      <c r="I52" s="83"/>
      <c r="J52" s="83"/>
      <c r="K52" s="84"/>
    </row>
    <row r="53" spans="1:11" ht="15" customHeight="1" x14ac:dyDescent="0.3">
      <c r="A53" s="44"/>
      <c r="B53" s="46" t="s">
        <v>87</v>
      </c>
      <c r="C53" s="47">
        <v>1</v>
      </c>
      <c r="D53" s="14">
        <v>4.16</v>
      </c>
      <c r="E53" s="14">
        <f>20/12/3.281</f>
        <v>0.50797521080971253</v>
      </c>
      <c r="F53" s="14">
        <v>0.05</v>
      </c>
      <c r="G53" s="14">
        <f t="shared" ref="G53" si="6">PRODUCT(C53:F53)</f>
        <v>0.10565884384842023</v>
      </c>
      <c r="H53" s="48"/>
      <c r="I53" s="45"/>
      <c r="J53" s="45"/>
      <c r="K53" s="16"/>
    </row>
    <row r="54" spans="1:11" ht="15" customHeight="1" x14ac:dyDescent="0.3">
      <c r="A54" s="44"/>
      <c r="B54" s="46" t="s">
        <v>38</v>
      </c>
      <c r="C54" s="47"/>
      <c r="D54" s="14"/>
      <c r="E54" s="14"/>
      <c r="F54" s="14"/>
      <c r="G54" s="45">
        <f>SUM(G53:G53)</f>
        <v>0.10565884384842023</v>
      </c>
      <c r="H54" s="45" t="s">
        <v>83</v>
      </c>
      <c r="I54" s="45">
        <v>12983.1</v>
      </c>
      <c r="J54" s="45">
        <f>G54*I54</f>
        <v>1371.7793355684246</v>
      </c>
      <c r="K54" s="16"/>
    </row>
    <row r="55" spans="1:11" ht="15" customHeight="1" x14ac:dyDescent="0.3">
      <c r="A55" s="44"/>
      <c r="B55" s="46" t="s">
        <v>84</v>
      </c>
      <c r="C55" s="47"/>
      <c r="D55" s="14"/>
      <c r="E55" s="14"/>
      <c r="F55" s="14"/>
      <c r="G55" s="45"/>
      <c r="H55" s="45"/>
      <c r="I55" s="45"/>
      <c r="J55" s="45">
        <f>0.13*G54*8078.11</f>
        <v>110.95808920044705</v>
      </c>
      <c r="K55" s="16"/>
    </row>
    <row r="56" spans="1:11" ht="15" customHeight="1" x14ac:dyDescent="0.3">
      <c r="A56" s="44"/>
      <c r="B56" s="46"/>
      <c r="C56" s="47"/>
      <c r="D56" s="14"/>
      <c r="E56" s="14"/>
      <c r="F56" s="14"/>
      <c r="G56" s="45"/>
      <c r="H56" s="45"/>
      <c r="I56" s="45"/>
      <c r="J56" s="45"/>
      <c r="K56" s="16"/>
    </row>
    <row r="57" spans="1:11" ht="105.6" x14ac:dyDescent="0.3">
      <c r="A57" s="44">
        <v>6</v>
      </c>
      <c r="B57" s="54" t="s">
        <v>74</v>
      </c>
      <c r="C57" s="54"/>
      <c r="D57" s="14"/>
      <c r="E57" s="14"/>
      <c r="F57" s="14"/>
      <c r="G57" s="48"/>
      <c r="H57" s="48"/>
      <c r="I57" s="48"/>
      <c r="J57" s="41"/>
      <c r="K57" s="16"/>
    </row>
    <row r="58" spans="1:11" ht="15" customHeight="1" x14ac:dyDescent="0.3">
      <c r="A58" s="44"/>
      <c r="B58" s="46" t="s">
        <v>68</v>
      </c>
      <c r="C58" s="47">
        <v>2</v>
      </c>
      <c r="D58" s="14">
        <f>2.5/3.281</f>
        <v>0.76196281621456874</v>
      </c>
      <c r="E58" s="14"/>
      <c r="F58" s="14">
        <f>6.5/3.281</f>
        <v>1.9811033221578787</v>
      </c>
      <c r="G58" s="14">
        <f t="shared" ref="G58" si="7">PRODUCT(C58:F58)</f>
        <v>3.0190541331269105</v>
      </c>
      <c r="H58" s="48"/>
      <c r="I58" s="45"/>
      <c r="J58" s="45"/>
      <c r="K58" s="16"/>
    </row>
    <row r="59" spans="1:11" ht="15" customHeight="1" x14ac:dyDescent="0.3">
      <c r="A59" s="44"/>
      <c r="B59" s="46" t="s">
        <v>38</v>
      </c>
      <c r="C59" s="47"/>
      <c r="D59" s="14"/>
      <c r="E59" s="14"/>
      <c r="F59" s="14"/>
      <c r="G59" s="45">
        <f>SUM(G57:G58)</f>
        <v>3.0190541331269105</v>
      </c>
      <c r="H59" s="45" t="s">
        <v>83</v>
      </c>
      <c r="I59" s="45">
        <v>7069.31</v>
      </c>
      <c r="J59" s="45">
        <f>G59*I59</f>
        <v>21342.6295738554</v>
      </c>
      <c r="K59" s="16"/>
    </row>
    <row r="60" spans="1:11" ht="15" customHeight="1" x14ac:dyDescent="0.3">
      <c r="A60" s="44"/>
      <c r="B60" s="46" t="s">
        <v>84</v>
      </c>
      <c r="C60" s="47"/>
      <c r="D60" s="14"/>
      <c r="E60" s="14"/>
      <c r="F60" s="14"/>
      <c r="G60" s="45"/>
      <c r="H60" s="45"/>
      <c r="I60" s="45"/>
      <c r="J60" s="45">
        <f>0.13*J59</f>
        <v>2774.5418446012022</v>
      </c>
      <c r="K60" s="16"/>
    </row>
    <row r="61" spans="1:11" ht="15" customHeight="1" x14ac:dyDescent="0.3">
      <c r="A61" s="44"/>
      <c r="B61" s="46"/>
      <c r="C61" s="47"/>
      <c r="D61" s="14"/>
      <c r="E61" s="14"/>
      <c r="F61" s="14"/>
      <c r="G61" s="48"/>
      <c r="H61" s="48"/>
      <c r="I61" s="48"/>
      <c r="J61" s="41"/>
      <c r="K61" s="16"/>
    </row>
    <row r="62" spans="1:11" ht="30" x14ac:dyDescent="0.3">
      <c r="A62" s="44">
        <v>7</v>
      </c>
      <c r="B62" s="49" t="s">
        <v>63</v>
      </c>
      <c r="C62" s="47"/>
      <c r="D62" s="14"/>
      <c r="E62" s="14"/>
      <c r="F62" s="14"/>
      <c r="G62" s="48"/>
      <c r="H62" s="48"/>
      <c r="I62" s="48"/>
      <c r="J62" s="41"/>
      <c r="K62" s="16"/>
    </row>
    <row r="63" spans="1:11" ht="15" customHeight="1" x14ac:dyDescent="0.3">
      <c r="A63" s="44"/>
      <c r="B63" s="46" t="s">
        <v>66</v>
      </c>
      <c r="C63" s="47">
        <v>1</v>
      </c>
      <c r="D63" s="14">
        <f>4.16</f>
        <v>4.16</v>
      </c>
      <c r="E63" s="14"/>
      <c r="F63" s="14">
        <v>3.2</v>
      </c>
      <c r="G63" s="14">
        <f t="shared" ref="G63:G68" si="8">PRODUCT(C63:F63)</f>
        <v>13.312000000000001</v>
      </c>
      <c r="H63" s="48"/>
      <c r="I63" s="45"/>
      <c r="J63" s="45"/>
      <c r="K63" s="16"/>
    </row>
    <row r="64" spans="1:11" ht="15" customHeight="1" x14ac:dyDescent="0.3">
      <c r="A64" s="44"/>
      <c r="B64" s="46"/>
      <c r="C64" s="47">
        <v>1</v>
      </c>
      <c r="D64" s="14">
        <f>3.46+4.16+3.46-0.6</f>
        <v>10.48</v>
      </c>
      <c r="E64" s="14"/>
      <c r="F64" s="14">
        <f>(3.2-(0.6-0.075))+1.38</f>
        <v>4.0549999999999997</v>
      </c>
      <c r="G64" s="14">
        <f t="shared" si="8"/>
        <v>42.496400000000001</v>
      </c>
      <c r="H64" s="48"/>
      <c r="I64" s="45"/>
      <c r="J64" s="45"/>
      <c r="K64" s="16"/>
    </row>
    <row r="65" spans="1:11" ht="15" customHeight="1" x14ac:dyDescent="0.3">
      <c r="A65" s="44"/>
      <c r="B65" s="46" t="s">
        <v>67</v>
      </c>
      <c r="C65" s="47">
        <v>1</v>
      </c>
      <c r="D65" s="14">
        <f>(3*4+1.78*4)-(0.1*4)</f>
        <v>18.720000000000002</v>
      </c>
      <c r="E65" s="14"/>
      <c r="F65" s="14">
        <f>(8.75-5)/3.281</f>
        <v>1.1429442243218531</v>
      </c>
      <c r="G65" s="14">
        <f t="shared" si="8"/>
        <v>21.395915879305093</v>
      </c>
      <c r="H65" s="48"/>
      <c r="I65" s="45"/>
      <c r="J65" s="45"/>
      <c r="K65" s="16"/>
    </row>
    <row r="66" spans="1:11" ht="15" customHeight="1" x14ac:dyDescent="0.3">
      <c r="A66" s="44"/>
      <c r="B66" s="46" t="s">
        <v>68</v>
      </c>
      <c r="C66" s="47">
        <f>-2*2</f>
        <v>-4</v>
      </c>
      <c r="D66" s="14"/>
      <c r="E66" s="14">
        <f>0.9</f>
        <v>0.9</v>
      </c>
      <c r="F66" s="14">
        <f>(8.75-5)/3.281</f>
        <v>1.1429442243218531</v>
      </c>
      <c r="G66" s="14">
        <f t="shared" si="8"/>
        <v>-4.1145992075586708</v>
      </c>
      <c r="H66" s="48"/>
      <c r="I66" s="45"/>
      <c r="J66" s="45"/>
      <c r="K66" s="16"/>
    </row>
    <row r="67" spans="1:11" ht="15" customHeight="1" x14ac:dyDescent="0.3">
      <c r="A67" s="44"/>
      <c r="B67" s="46" t="s">
        <v>69</v>
      </c>
      <c r="C67" s="47">
        <f>-2*2</f>
        <v>-4</v>
      </c>
      <c r="D67" s="14"/>
      <c r="E67" s="14">
        <v>1.2</v>
      </c>
      <c r="F67" s="14">
        <v>0.75</v>
      </c>
      <c r="G67" s="14">
        <f t="shared" si="8"/>
        <v>-3.5999999999999996</v>
      </c>
      <c r="H67" s="48"/>
      <c r="I67" s="45"/>
      <c r="J67" s="45"/>
      <c r="K67" s="16"/>
    </row>
    <row r="68" spans="1:11" ht="15" customHeight="1" x14ac:dyDescent="0.3">
      <c r="A68" s="44"/>
      <c r="B68" s="46" t="s">
        <v>85</v>
      </c>
      <c r="C68" s="47">
        <v>4</v>
      </c>
      <c r="D68" s="14">
        <v>1.78</v>
      </c>
      <c r="E68" s="14"/>
      <c r="F68" s="14">
        <f>(7-5)/3.281</f>
        <v>0.6095702529716549</v>
      </c>
      <c r="G68" s="14">
        <f t="shared" si="8"/>
        <v>4.3401402011581833</v>
      </c>
      <c r="H68" s="48"/>
      <c r="I68" s="45"/>
      <c r="J68" s="45"/>
      <c r="K68" s="16"/>
    </row>
    <row r="69" spans="1:11" ht="15" customHeight="1" x14ac:dyDescent="0.3">
      <c r="A69" s="44"/>
      <c r="B69" s="46" t="s">
        <v>68</v>
      </c>
      <c r="C69" s="47">
        <f>-2*2</f>
        <v>-4</v>
      </c>
      <c r="D69" s="14"/>
      <c r="E69" s="14">
        <f>0.75</f>
        <v>0.75</v>
      </c>
      <c r="F69" s="14">
        <f>(6-5)/3.281</f>
        <v>0.30478512648582745</v>
      </c>
      <c r="G69" s="14">
        <f t="shared" ref="G69:G70" si="9">PRODUCT(C69:F69)</f>
        <v>-0.91435537945748235</v>
      </c>
      <c r="H69" s="48"/>
      <c r="I69" s="45"/>
      <c r="J69" s="45"/>
      <c r="K69" s="16"/>
    </row>
    <row r="70" spans="1:11" ht="15" customHeight="1" x14ac:dyDescent="0.3">
      <c r="A70" s="44"/>
      <c r="B70" s="46" t="s">
        <v>92</v>
      </c>
      <c r="C70" s="47">
        <v>2</v>
      </c>
      <c r="D70" s="14">
        <f>3-0.1</f>
        <v>2.9</v>
      </c>
      <c r="E70" s="14">
        <v>1.78</v>
      </c>
      <c r="F70" s="14"/>
      <c r="G70" s="14">
        <f t="shared" si="9"/>
        <v>10.324</v>
      </c>
      <c r="H70" s="48"/>
      <c r="I70" s="45"/>
      <c r="J70" s="45"/>
      <c r="K70" s="16"/>
    </row>
    <row r="71" spans="1:11" ht="15" customHeight="1" x14ac:dyDescent="0.3">
      <c r="A71" s="44"/>
      <c r="B71" s="46" t="s">
        <v>38</v>
      </c>
      <c r="C71" s="47"/>
      <c r="D71" s="14"/>
      <c r="E71" s="14"/>
      <c r="F71" s="14"/>
      <c r="G71" s="45">
        <f>SUM(G63:G70)</f>
        <v>83.239501493447136</v>
      </c>
      <c r="H71" s="45" t="s">
        <v>64</v>
      </c>
      <c r="I71" s="45">
        <v>405.86</v>
      </c>
      <c r="J71" s="45">
        <f>G63*I71</f>
        <v>5402.808320000001</v>
      </c>
      <c r="K71" s="16"/>
    </row>
    <row r="72" spans="1:11" ht="15" customHeight="1" x14ac:dyDescent="0.3">
      <c r="A72" s="44"/>
      <c r="B72" s="46" t="s">
        <v>84</v>
      </c>
      <c r="C72" s="47"/>
      <c r="D72" s="14"/>
      <c r="E72" s="14"/>
      <c r="F72" s="14"/>
      <c r="G72" s="45"/>
      <c r="H72" s="45"/>
      <c r="I72" s="45"/>
      <c r="J72" s="45">
        <f>0.13*G71*(11166.2/100)</f>
        <v>1208.3095980489684</v>
      </c>
      <c r="K72" s="16"/>
    </row>
    <row r="73" spans="1:11" ht="15" customHeight="1" x14ac:dyDescent="0.3">
      <c r="A73" s="44"/>
      <c r="B73" s="46"/>
      <c r="C73" s="47"/>
      <c r="D73" s="14"/>
      <c r="E73" s="14"/>
      <c r="F73" s="14"/>
      <c r="G73" s="48"/>
      <c r="H73" s="48"/>
      <c r="I73" s="48"/>
      <c r="J73" s="41"/>
      <c r="K73" s="16"/>
    </row>
    <row r="74" spans="1:11" ht="30" x14ac:dyDescent="0.3">
      <c r="A74" s="44">
        <v>8</v>
      </c>
      <c r="B74" s="49" t="s">
        <v>71</v>
      </c>
      <c r="C74" s="47"/>
      <c r="D74" s="14"/>
      <c r="E74" s="14"/>
      <c r="F74" s="14"/>
      <c r="G74" s="48"/>
      <c r="H74" s="48"/>
      <c r="I74" s="48"/>
      <c r="J74" s="41"/>
      <c r="K74" s="16"/>
    </row>
    <row r="75" spans="1:11" x14ac:dyDescent="0.3">
      <c r="A75" s="44"/>
      <c r="B75" s="46" t="s">
        <v>72</v>
      </c>
      <c r="C75" s="47">
        <v>1</v>
      </c>
      <c r="D75" s="14"/>
      <c r="E75" s="14"/>
      <c r="F75" s="14"/>
      <c r="G75" s="48">
        <f>G71</f>
        <v>83.239501493447136</v>
      </c>
      <c r="H75" s="45"/>
      <c r="I75" s="9"/>
      <c r="J75" s="9"/>
      <c r="K75" s="16"/>
    </row>
    <row r="76" spans="1:11" ht="15" customHeight="1" x14ac:dyDescent="0.3">
      <c r="A76" s="44"/>
      <c r="B76" s="46" t="s">
        <v>38</v>
      </c>
      <c r="C76" s="47"/>
      <c r="D76" s="14"/>
      <c r="E76" s="14"/>
      <c r="F76" s="14"/>
      <c r="G76" s="45">
        <f>SUM(G75)</f>
        <v>83.239501493447136</v>
      </c>
      <c r="H76" s="45" t="s">
        <v>64</v>
      </c>
      <c r="I76" s="45">
        <f>184.41</f>
        <v>184.41</v>
      </c>
      <c r="J76" s="45">
        <f>G76*I76</f>
        <v>15350.196470406587</v>
      </c>
      <c r="K76" s="16"/>
    </row>
    <row r="77" spans="1:11" ht="15" customHeight="1" x14ac:dyDescent="0.3">
      <c r="A77" s="44"/>
      <c r="B77" s="46" t="s">
        <v>84</v>
      </c>
      <c r="C77" s="47"/>
      <c r="D77" s="14"/>
      <c r="E77" s="14"/>
      <c r="F77" s="14"/>
      <c r="G77" s="45"/>
      <c r="H77" s="45"/>
      <c r="I77" s="45"/>
      <c r="J77" s="45">
        <f>0.13*G76*(6000/100)</f>
        <v>649.26811164888773</v>
      </c>
      <c r="K77" s="16"/>
    </row>
    <row r="78" spans="1:11" x14ac:dyDescent="0.3">
      <c r="A78" s="44"/>
      <c r="B78" s="46"/>
      <c r="C78" s="47"/>
      <c r="D78" s="14"/>
      <c r="E78" s="14"/>
      <c r="F78" s="14"/>
      <c r="G78" s="48"/>
      <c r="H78" s="48"/>
      <c r="I78" s="48"/>
      <c r="J78" s="41"/>
      <c r="K78" s="16"/>
    </row>
    <row r="79" spans="1:11" ht="65.400000000000006" x14ac:dyDescent="0.3">
      <c r="A79" s="44">
        <v>9</v>
      </c>
      <c r="B79" s="50" t="s">
        <v>65</v>
      </c>
      <c r="C79" s="50"/>
      <c r="D79" s="14"/>
      <c r="E79" s="14"/>
      <c r="F79" s="14"/>
      <c r="G79" s="48"/>
      <c r="H79" s="48"/>
      <c r="I79" s="48"/>
      <c r="J79" s="41"/>
      <c r="K79" s="16"/>
    </row>
    <row r="80" spans="1:11" ht="15" customHeight="1" x14ac:dyDescent="0.3">
      <c r="A80" s="44"/>
      <c r="B80" s="46" t="s">
        <v>67</v>
      </c>
      <c r="C80" s="47">
        <v>1</v>
      </c>
      <c r="D80" s="14">
        <f>(3*4+1.78*4)-(0.1*4)</f>
        <v>18.720000000000002</v>
      </c>
      <c r="E80" s="14"/>
      <c r="F80" s="14">
        <v>1.5</v>
      </c>
      <c r="G80" s="14">
        <f t="shared" ref="G80:G84" si="10">PRODUCT(C80:F80)</f>
        <v>28.080000000000005</v>
      </c>
      <c r="H80" s="48"/>
      <c r="I80" s="45"/>
      <c r="J80" s="45"/>
      <c r="K80" s="16"/>
    </row>
    <row r="81" spans="1:20" ht="15" customHeight="1" x14ac:dyDescent="0.3">
      <c r="A81" s="44"/>
      <c r="B81" s="46" t="s">
        <v>68</v>
      </c>
      <c r="C81" s="47">
        <f>-2*2</f>
        <v>-4</v>
      </c>
      <c r="D81" s="14"/>
      <c r="E81" s="14">
        <f>0.9</f>
        <v>0.9</v>
      </c>
      <c r="F81" s="14">
        <v>1.5</v>
      </c>
      <c r="G81" s="14">
        <f>PRODUCT(C81:F81)</f>
        <v>-5.4</v>
      </c>
      <c r="H81" s="48"/>
      <c r="I81" s="45"/>
      <c r="J81" s="45"/>
      <c r="K81" s="16"/>
    </row>
    <row r="82" spans="1:20" ht="15" customHeight="1" x14ac:dyDescent="0.3">
      <c r="A82" s="44"/>
      <c r="B82" s="46" t="str">
        <f>B68</f>
        <v>-for partition wall</v>
      </c>
      <c r="C82" s="47">
        <v>2</v>
      </c>
      <c r="D82" s="14">
        <f>3*2</f>
        <v>6</v>
      </c>
      <c r="E82" s="14"/>
      <c r="F82" s="14">
        <v>1.5</v>
      </c>
      <c r="G82" s="14">
        <f t="shared" ref="G82" si="11">PRODUCT(C82:F82)</f>
        <v>18</v>
      </c>
      <c r="H82" s="48"/>
      <c r="I82" s="45"/>
      <c r="J82" s="45"/>
      <c r="K82" s="16"/>
    </row>
    <row r="83" spans="1:20" ht="15" customHeight="1" x14ac:dyDescent="0.3">
      <c r="A83" s="44"/>
      <c r="B83" s="46" t="s">
        <v>68</v>
      </c>
      <c r="C83" s="47">
        <f>-2*2</f>
        <v>-4</v>
      </c>
      <c r="D83" s="14"/>
      <c r="E83" s="14">
        <v>0.75</v>
      </c>
      <c r="F83" s="14">
        <v>1.5</v>
      </c>
      <c r="G83" s="14">
        <f>PRODUCT(C83:F83)</f>
        <v>-4.5</v>
      </c>
      <c r="H83" s="48"/>
      <c r="I83" s="45"/>
      <c r="J83" s="45"/>
      <c r="K83" s="16"/>
    </row>
    <row r="84" spans="1:20" ht="15" customHeight="1" x14ac:dyDescent="0.3">
      <c r="A84" s="44"/>
      <c r="B84" s="46" t="s">
        <v>70</v>
      </c>
      <c r="C84" s="47">
        <v>2</v>
      </c>
      <c r="D84" s="14">
        <f>1.77-0.05</f>
        <v>1.72</v>
      </c>
      <c r="E84" s="14">
        <v>3.02</v>
      </c>
      <c r="F84" s="14"/>
      <c r="G84" s="14">
        <f t="shared" si="10"/>
        <v>10.3888</v>
      </c>
      <c r="H84" s="48"/>
      <c r="I84" s="45"/>
      <c r="J84" s="45"/>
      <c r="K84" s="16"/>
    </row>
    <row r="85" spans="1:20" ht="15" customHeight="1" x14ac:dyDescent="0.3">
      <c r="A85" s="44"/>
      <c r="B85" s="46" t="s">
        <v>38</v>
      </c>
      <c r="C85" s="47"/>
      <c r="D85" s="14"/>
      <c r="E85" s="14"/>
      <c r="F85" s="14"/>
      <c r="G85" s="45">
        <f>SUM(G80:G84)</f>
        <v>46.56880000000001</v>
      </c>
      <c r="H85" s="45" t="s">
        <v>64</v>
      </c>
      <c r="I85" s="45">
        <f>2807.39</f>
        <v>2807.39</v>
      </c>
      <c r="J85" s="45">
        <f>G85*I85</f>
        <v>130736.78343200003</v>
      </c>
      <c r="K85" s="16"/>
    </row>
    <row r="86" spans="1:20" ht="15" customHeight="1" x14ac:dyDescent="0.3">
      <c r="A86" s="44"/>
      <c r="B86" s="46" t="s">
        <v>84</v>
      </c>
      <c r="C86" s="47"/>
      <c r="D86" s="14"/>
      <c r="E86" s="14"/>
      <c r="F86" s="14"/>
      <c r="G86" s="45"/>
      <c r="H86" s="45"/>
      <c r="I86" s="45"/>
      <c r="J86" s="45">
        <f>0.13*G85*(7191.31/10)</f>
        <v>4353.5788026640012</v>
      </c>
      <c r="K86" s="16"/>
    </row>
    <row r="87" spans="1:20" ht="15" customHeight="1" x14ac:dyDescent="0.3">
      <c r="A87" s="26"/>
      <c r="B87" s="30"/>
      <c r="C87" s="27"/>
      <c r="D87" s="28"/>
      <c r="E87" s="29"/>
      <c r="F87" s="29"/>
      <c r="G87" s="40"/>
      <c r="H87" s="39"/>
      <c r="I87" s="40"/>
      <c r="J87" s="45"/>
      <c r="K87" s="29"/>
      <c r="M87" s="31"/>
      <c r="N87" s="1"/>
      <c r="O87" s="1"/>
      <c r="P87" s="1"/>
      <c r="Q87" s="1"/>
      <c r="R87" s="31"/>
      <c r="S87" s="31"/>
    </row>
    <row r="88" spans="1:20" ht="30" x14ac:dyDescent="0.3">
      <c r="A88" s="44">
        <v>10</v>
      </c>
      <c r="B88" s="49" t="s">
        <v>86</v>
      </c>
      <c r="C88" s="54"/>
      <c r="D88" s="14"/>
      <c r="E88" s="14"/>
      <c r="F88" s="14"/>
      <c r="G88" s="48"/>
      <c r="H88" s="48"/>
      <c r="I88" s="48"/>
      <c r="J88" s="41"/>
      <c r="K88" s="16"/>
    </row>
    <row r="89" spans="1:20" ht="15" customHeight="1" x14ac:dyDescent="0.3">
      <c r="A89" s="44"/>
      <c r="B89" s="46" t="s">
        <v>80</v>
      </c>
      <c r="C89" s="47">
        <v>4</v>
      </c>
      <c r="D89" s="14"/>
      <c r="E89" s="14">
        <f>1.667/3.281</f>
        <v>0.50807680585187442</v>
      </c>
      <c r="F89" s="14">
        <f>2/3.281</f>
        <v>0.6095702529716549</v>
      </c>
      <c r="G89" s="14">
        <f t="shared" ref="G89" si="12">PRODUCT(C89:F89)</f>
        <v>1.2388340282886299</v>
      </c>
      <c r="H89" s="48"/>
      <c r="I89" s="45"/>
      <c r="J89" s="45"/>
      <c r="K89" s="16"/>
    </row>
    <row r="90" spans="1:20" ht="15" customHeight="1" x14ac:dyDescent="0.3">
      <c r="A90" s="44"/>
      <c r="B90" s="46" t="s">
        <v>38</v>
      </c>
      <c r="C90" s="47"/>
      <c r="D90" s="14"/>
      <c r="E90" s="14"/>
      <c r="F90" s="14"/>
      <c r="G90" s="45">
        <f>SUM(G89)</f>
        <v>1.2388340282886299</v>
      </c>
      <c r="H90" s="45" t="s">
        <v>64</v>
      </c>
      <c r="I90" s="45">
        <v>1062.28</v>
      </c>
      <c r="J90" s="45">
        <f>G90*I90</f>
        <v>1315.9886115704458</v>
      </c>
      <c r="K90" s="16"/>
    </row>
    <row r="91" spans="1:20" ht="15" customHeight="1" x14ac:dyDescent="0.3">
      <c r="A91" s="44"/>
      <c r="B91" s="46" t="s">
        <v>84</v>
      </c>
      <c r="C91" s="47"/>
      <c r="D91" s="14"/>
      <c r="E91" s="14"/>
      <c r="F91" s="14"/>
      <c r="G91" s="45"/>
      <c r="H91" s="45"/>
      <c r="I91" s="45"/>
      <c r="J91" s="45">
        <f>0.13*G90*983.26</f>
        <v>158.35247306516018</v>
      </c>
      <c r="K91" s="16"/>
    </row>
    <row r="92" spans="1:20" ht="15" customHeight="1" x14ac:dyDescent="0.3">
      <c r="A92" s="44"/>
      <c r="B92" s="55"/>
      <c r="C92" s="55"/>
      <c r="D92" s="14"/>
      <c r="E92" s="14"/>
      <c r="F92" s="14"/>
      <c r="G92" s="48"/>
      <c r="H92" s="48"/>
      <c r="I92" s="48"/>
      <c r="J92" s="41"/>
      <c r="K92" s="16"/>
    </row>
    <row r="93" spans="1:20" ht="41.4" x14ac:dyDescent="0.3">
      <c r="A93" s="26">
        <v>11</v>
      </c>
      <c r="B93" s="53" t="s">
        <v>76</v>
      </c>
      <c r="C93" s="27">
        <v>1</v>
      </c>
      <c r="D93" s="28"/>
      <c r="E93" s="28"/>
      <c r="F93" s="29"/>
      <c r="G93" s="14">
        <f>PRODUCT(C93:F93)</f>
        <v>1</v>
      </c>
      <c r="H93" s="39" t="s">
        <v>62</v>
      </c>
      <c r="I93" s="40">
        <v>50000</v>
      </c>
      <c r="J93" s="41">
        <f>G93*I93</f>
        <v>50000</v>
      </c>
      <c r="K93" s="29"/>
      <c r="M93" s="31"/>
      <c r="N93" s="1"/>
      <c r="O93" s="1"/>
      <c r="P93" s="1"/>
      <c r="Q93" s="1"/>
      <c r="R93" s="31"/>
      <c r="S93" s="31"/>
    </row>
    <row r="94" spans="1:20" ht="15" customHeight="1" x14ac:dyDescent="0.3">
      <c r="A94" s="44"/>
      <c r="B94" s="46"/>
      <c r="C94" s="47"/>
      <c r="D94" s="14"/>
      <c r="E94" s="14"/>
      <c r="F94" s="14"/>
      <c r="G94" s="45"/>
      <c r="H94" s="45"/>
      <c r="I94" s="45"/>
      <c r="J94" s="45"/>
      <c r="K94" s="16"/>
    </row>
    <row r="95" spans="1:20" ht="19.8" x14ac:dyDescent="0.3">
      <c r="A95" s="26">
        <v>12</v>
      </c>
      <c r="B95" s="42" t="s">
        <v>28</v>
      </c>
      <c r="C95" s="27">
        <v>1</v>
      </c>
      <c r="D95" s="28"/>
      <c r="E95" s="29"/>
      <c r="F95" s="29"/>
      <c r="G95" s="45">
        <f t="shared" ref="G95" si="13">PRODUCT(C95:F95)</f>
        <v>1</v>
      </c>
      <c r="H95" s="39" t="s">
        <v>29</v>
      </c>
      <c r="I95" s="40">
        <v>500</v>
      </c>
      <c r="J95" s="45">
        <f>G95*I95</f>
        <v>500</v>
      </c>
      <c r="K95" s="29"/>
      <c r="M95" s="31"/>
      <c r="N95" s="18"/>
      <c r="O95" s="18"/>
      <c r="P95" s="18"/>
      <c r="Q95" s="18"/>
      <c r="R95" s="18"/>
      <c r="S95" s="18"/>
      <c r="T95" s="18"/>
    </row>
    <row r="96" spans="1:20" ht="15" customHeight="1" x14ac:dyDescent="0.3">
      <c r="A96" s="26"/>
      <c r="B96" s="30"/>
      <c r="C96" s="27"/>
      <c r="D96" s="28"/>
      <c r="E96" s="29"/>
      <c r="F96" s="29"/>
      <c r="G96" s="40"/>
      <c r="H96" s="39"/>
      <c r="I96" s="40"/>
      <c r="J96" s="45"/>
      <c r="K96" s="29"/>
      <c r="M96" s="31"/>
      <c r="N96" s="18"/>
      <c r="O96" s="18"/>
      <c r="P96" s="18"/>
      <c r="Q96" s="18"/>
      <c r="R96" s="18"/>
      <c r="S96" s="18"/>
      <c r="T96" s="18"/>
    </row>
    <row r="97" spans="1:11" x14ac:dyDescent="0.3">
      <c r="A97" s="44"/>
      <c r="B97" s="51" t="s">
        <v>15</v>
      </c>
      <c r="C97" s="47"/>
      <c r="D97" s="14"/>
      <c r="E97" s="14"/>
      <c r="F97" s="14"/>
      <c r="G97" s="45"/>
      <c r="H97" s="45"/>
      <c r="I97" s="45"/>
      <c r="J97" s="45">
        <f>SUM(J9:J95)</f>
        <v>249404.51284520951</v>
      </c>
      <c r="K97" s="16"/>
    </row>
    <row r="99" spans="1:11" s="1" customFormat="1" x14ac:dyDescent="0.3">
      <c r="B99" s="16" t="s">
        <v>25</v>
      </c>
      <c r="C99" s="61">
        <f>J97</f>
        <v>249404.51284520951</v>
      </c>
      <c r="D99" s="62"/>
      <c r="E99" s="14">
        <v>100</v>
      </c>
      <c r="F99" s="18"/>
      <c r="G99" s="19"/>
      <c r="H99" s="18"/>
      <c r="I99" s="20"/>
      <c r="J99" s="21"/>
      <c r="K99" s="22"/>
    </row>
    <row r="100" spans="1:11" x14ac:dyDescent="0.3">
      <c r="B100" s="16" t="s">
        <v>30</v>
      </c>
      <c r="C100" s="64">
        <v>220000</v>
      </c>
      <c r="D100" s="65"/>
      <c r="E100" s="14"/>
    </row>
    <row r="101" spans="1:11" x14ac:dyDescent="0.3">
      <c r="B101" s="16" t="s">
        <v>31</v>
      </c>
      <c r="C101" s="64">
        <f>C100-C103-C104</f>
        <v>209000</v>
      </c>
      <c r="D101" s="65"/>
      <c r="E101" s="14">
        <f>C101/C99*100</f>
        <v>83.799606356647544</v>
      </c>
    </row>
    <row r="102" spans="1:11" x14ac:dyDescent="0.3">
      <c r="B102" s="16" t="s">
        <v>32</v>
      </c>
      <c r="C102" s="66">
        <f>C99-C101</f>
        <v>40404.512845209509</v>
      </c>
      <c r="D102" s="66"/>
      <c r="E102" s="14">
        <f>100-E101</f>
        <v>16.200393643352456</v>
      </c>
    </row>
    <row r="103" spans="1:11" x14ac:dyDescent="0.3">
      <c r="B103" s="16" t="s">
        <v>33</v>
      </c>
      <c r="C103" s="61">
        <f>C100*0.03</f>
        <v>6600</v>
      </c>
      <c r="D103" s="62"/>
      <c r="E103" s="14">
        <v>3</v>
      </c>
    </row>
    <row r="104" spans="1:11" x14ac:dyDescent="0.3">
      <c r="B104" s="16" t="s">
        <v>34</v>
      </c>
      <c r="C104" s="61">
        <f>C100*0.02</f>
        <v>4400</v>
      </c>
      <c r="D104" s="62"/>
      <c r="E104" s="14">
        <v>2</v>
      </c>
    </row>
  </sheetData>
  <mergeCells count="14">
    <mergeCell ref="A7:F7"/>
    <mergeCell ref="H7:K7"/>
    <mergeCell ref="C99:D99"/>
    <mergeCell ref="C100:D100"/>
    <mergeCell ref="C101:D101"/>
    <mergeCell ref="C102:D102"/>
    <mergeCell ref="C103:D103"/>
    <mergeCell ref="C104:D104"/>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WCR</vt:lpstr>
      <vt:lpstr>estimate</vt:lpstr>
      <vt:lpstr>estimate!Print_Area</vt:lpstr>
      <vt:lpstr>estimate!Print_Titles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2025-01-10T07:36:10Z</cp:lastPrinted>
  <dcterms:created xsi:type="dcterms:W3CDTF">2015-06-05T18:17:20Z</dcterms:created>
  <dcterms:modified xsi:type="dcterms:W3CDTF">2025-03-08T06:03:17Z</dcterms:modified>
</cp:coreProperties>
</file>