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भैपरी कालिका मन्दिर शौचालय\"/>
    </mc:Choice>
  </mc:AlternateContent>
  <bookViews>
    <workbookView xWindow="-120" yWindow="-120" windowWidth="20730" windowHeight="11160" activeTab="2"/>
  </bookViews>
  <sheets>
    <sheet name="WCR" sheetId="6" r:id="rId1"/>
    <sheet name="Estimate" sheetId="17" state="hidden" r:id="rId2"/>
    <sheet name="just 15%" sheetId="18" r:id="rId3"/>
  </sheets>
  <externalReferences>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Estimate!$A$1:$K$83</definedName>
    <definedName name="_xlnm.Print_Area" localSheetId="2">'just 15%'!$A$1:$K$83</definedName>
    <definedName name="_xlnm.Print_Titles" localSheetId="1">Estimate!$1:$8</definedName>
    <definedName name="_xlnm.Print_Titles" localSheetId="2">'just 15%'!$1:$8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76" i="18" l="1"/>
  <c r="C52" i="18" l="1"/>
  <c r="C51" i="18"/>
  <c r="C49" i="18"/>
  <c r="D48" i="18"/>
  <c r="C48" i="18"/>
  <c r="G48" i="18" s="1"/>
  <c r="C83" i="18"/>
  <c r="C82" i="18"/>
  <c r="C80" i="18"/>
  <c r="G74" i="18"/>
  <c r="J74" i="18" s="1"/>
  <c r="E70" i="18"/>
  <c r="D70" i="18"/>
  <c r="G70" i="18" s="1"/>
  <c r="D69" i="18"/>
  <c r="G69" i="18" s="1"/>
  <c r="D68" i="18"/>
  <c r="G68" i="18" s="1"/>
  <c r="G71" i="18" s="1"/>
  <c r="G63" i="18"/>
  <c r="G64" i="18" s="1"/>
  <c r="E63" i="18"/>
  <c r="D63" i="18"/>
  <c r="D58" i="18"/>
  <c r="G58" i="18" s="1"/>
  <c r="G57" i="18"/>
  <c r="D57" i="18"/>
  <c r="F52" i="18"/>
  <c r="D52" i="18"/>
  <c r="G52" i="18"/>
  <c r="F51" i="18"/>
  <c r="D51" i="18"/>
  <c r="G51" i="18"/>
  <c r="F50" i="18"/>
  <c r="E50" i="18"/>
  <c r="D50" i="18"/>
  <c r="C50" i="18"/>
  <c r="G50" i="18" s="1"/>
  <c r="F49" i="18"/>
  <c r="E49" i="18"/>
  <c r="F48" i="18"/>
  <c r="E48" i="18"/>
  <c r="G47" i="18"/>
  <c r="F47" i="18"/>
  <c r="D47" i="18"/>
  <c r="F46" i="18"/>
  <c r="G46" i="18" s="1"/>
  <c r="D46" i="18"/>
  <c r="D49" i="18" s="1"/>
  <c r="F45" i="18"/>
  <c r="D45" i="18"/>
  <c r="G40" i="18"/>
  <c r="D39" i="18"/>
  <c r="B39" i="18"/>
  <c r="D38" i="18"/>
  <c r="B38" i="18"/>
  <c r="B37" i="18"/>
  <c r="E32" i="18"/>
  <c r="D32" i="18"/>
  <c r="C32" i="18" s="1"/>
  <c r="F32" i="18" s="1"/>
  <c r="G32" i="18" s="1"/>
  <c r="B32" i="18"/>
  <c r="E31" i="18"/>
  <c r="F30" i="18"/>
  <c r="G30" i="18" s="1"/>
  <c r="E30" i="18"/>
  <c r="D30" i="18"/>
  <c r="C30" i="18"/>
  <c r="E25" i="18"/>
  <c r="E39" i="18" s="1"/>
  <c r="D25" i="18"/>
  <c r="C25" i="18"/>
  <c r="E24" i="18"/>
  <c r="E38" i="18" s="1"/>
  <c r="D24" i="18"/>
  <c r="D31" i="18" s="1"/>
  <c r="C31" i="18" s="1"/>
  <c r="F31" i="18" s="1"/>
  <c r="G31" i="18" s="1"/>
  <c r="B24" i="18"/>
  <c r="B19" i="18"/>
  <c r="F14" i="18"/>
  <c r="B14" i="18"/>
  <c r="F10" i="18"/>
  <c r="E10" i="18"/>
  <c r="E37" i="18" s="1"/>
  <c r="D10" i="18"/>
  <c r="G10" i="18" s="1"/>
  <c r="G11" i="18" s="1"/>
  <c r="J11" i="18" s="1"/>
  <c r="G39" i="18" l="1"/>
  <c r="J72" i="18"/>
  <c r="J71" i="18"/>
  <c r="G49" i="18"/>
  <c r="G33" i="18"/>
  <c r="G38" i="18"/>
  <c r="G59" i="18"/>
  <c r="J65" i="18"/>
  <c r="J64" i="18"/>
  <c r="N10" i="18"/>
  <c r="D14" i="18"/>
  <c r="D19" i="18"/>
  <c r="E14" i="18"/>
  <c r="E19" i="18"/>
  <c r="G24" i="18"/>
  <c r="G25" i="18"/>
  <c r="D37" i="18"/>
  <c r="G37" i="18" s="1"/>
  <c r="G45" i="18"/>
  <c r="G41" i="17"/>
  <c r="G40" i="17"/>
  <c r="C52" i="17"/>
  <c r="C51" i="17"/>
  <c r="C49" i="17"/>
  <c r="C48" i="17"/>
  <c r="C50" i="17"/>
  <c r="G63" i="17"/>
  <c r="G64" i="17" s="1"/>
  <c r="J65" i="17" s="1"/>
  <c r="E63" i="17"/>
  <c r="D63" i="17"/>
  <c r="E70" i="17"/>
  <c r="G70" i="17" s="1"/>
  <c r="G71" i="17" s="1"/>
  <c r="J72" i="17" s="1"/>
  <c r="D70" i="17"/>
  <c r="D69" i="17"/>
  <c r="G69" i="17" s="1"/>
  <c r="D68" i="17"/>
  <c r="G68" i="17" s="1"/>
  <c r="D58" i="17"/>
  <c r="G58" i="17" s="1"/>
  <c r="D57" i="17"/>
  <c r="D52" i="17"/>
  <c r="G52" i="17" s="1"/>
  <c r="D51" i="17"/>
  <c r="F52" i="17"/>
  <c r="F51" i="17"/>
  <c r="F49" i="17"/>
  <c r="F50" i="17"/>
  <c r="F48" i="17"/>
  <c r="E50" i="17"/>
  <c r="E49" i="17"/>
  <c r="E48" i="17"/>
  <c r="C25" i="17"/>
  <c r="D47" i="17"/>
  <c r="D50" i="17" s="1"/>
  <c r="F47" i="17"/>
  <c r="F46" i="17"/>
  <c r="D46" i="17"/>
  <c r="D49" i="17" s="1"/>
  <c r="F45" i="17"/>
  <c r="B39" i="17"/>
  <c r="B38" i="17"/>
  <c r="E31" i="17"/>
  <c r="B32" i="17"/>
  <c r="E32" i="17"/>
  <c r="E25" i="17"/>
  <c r="D25" i="17"/>
  <c r="D39" i="17" s="1"/>
  <c r="B24" i="17"/>
  <c r="E24" i="17"/>
  <c r="E38" i="17" s="1"/>
  <c r="D24" i="17"/>
  <c r="G24" i="17" s="1"/>
  <c r="E30" i="17"/>
  <c r="B37" i="17"/>
  <c r="G53" i="18" l="1"/>
  <c r="J53" i="18" s="1"/>
  <c r="G41" i="18"/>
  <c r="J34" i="18"/>
  <c r="J33" i="18"/>
  <c r="G19" i="18"/>
  <c r="G20" i="18" s="1"/>
  <c r="G26" i="18"/>
  <c r="G14" i="18"/>
  <c r="G15" i="18" s="1"/>
  <c r="J60" i="18"/>
  <c r="J59" i="18"/>
  <c r="J54" i="18"/>
  <c r="G25" i="17"/>
  <c r="G51" i="17"/>
  <c r="J64" i="17"/>
  <c r="J71" i="17"/>
  <c r="G50" i="17"/>
  <c r="G47" i="17"/>
  <c r="G49" i="17"/>
  <c r="D45" i="17"/>
  <c r="G46" i="17"/>
  <c r="G26" i="17"/>
  <c r="J26" i="17" s="1"/>
  <c r="D38" i="17"/>
  <c r="G38" i="17" s="1"/>
  <c r="D32" i="17"/>
  <c r="D31" i="17"/>
  <c r="C31" i="17" s="1"/>
  <c r="F31" i="17" s="1"/>
  <c r="G31" i="17" s="1"/>
  <c r="E39" i="17"/>
  <c r="G39" i="17" s="1"/>
  <c r="D30" i="17"/>
  <c r="C30" i="17" s="1"/>
  <c r="F30" i="17" s="1"/>
  <c r="G30" i="17" s="1"/>
  <c r="E10" i="17"/>
  <c r="E37" i="17" s="1"/>
  <c r="D10" i="17"/>
  <c r="D37" i="17" s="1"/>
  <c r="B19" i="17"/>
  <c r="J26" i="18" l="1"/>
  <c r="J27" i="18"/>
  <c r="J42" i="18"/>
  <c r="J41" i="18"/>
  <c r="J21" i="18"/>
  <c r="J20" i="18"/>
  <c r="J16" i="18"/>
  <c r="J15" i="18"/>
  <c r="J27" i="17"/>
  <c r="D48" i="17"/>
  <c r="G48" i="17" s="1"/>
  <c r="G45" i="17"/>
  <c r="C32" i="17"/>
  <c r="F32" i="17" s="1"/>
  <c r="G32" i="17" s="1"/>
  <c r="G33" i="17" s="1"/>
  <c r="G37" i="17"/>
  <c r="J41" i="17" s="1"/>
  <c r="D14" i="17"/>
  <c r="E14" i="17"/>
  <c r="D19" i="17"/>
  <c r="E19" i="17"/>
  <c r="C78" i="18" l="1"/>
  <c r="G53" i="17"/>
  <c r="J34" i="17"/>
  <c r="J33" i="17"/>
  <c r="C81" i="18" l="1"/>
  <c r="E80" i="18"/>
  <c r="E81" i="18" s="1"/>
  <c r="J54" i="17"/>
  <c r="J53" i="17"/>
  <c r="J42" i="17"/>
  <c r="B14" i="17" l="1"/>
  <c r="F10" i="17"/>
  <c r="G57" i="17" l="1"/>
  <c r="F14" i="17"/>
  <c r="G19" i="17" l="1"/>
  <c r="G14" i="17"/>
  <c r="N10" i="17"/>
  <c r="G59" i="17" l="1"/>
  <c r="J60" i="17" s="1"/>
  <c r="G20" i="17"/>
  <c r="J21" i="17" s="1"/>
  <c r="G15" i="17"/>
  <c r="J16" i="17" s="1"/>
  <c r="J59" i="17" l="1"/>
  <c r="C83" i="17"/>
  <c r="C82" i="17"/>
  <c r="G74" i="17"/>
  <c r="J74" i="17" s="1"/>
  <c r="G10" i="17"/>
  <c r="G11" i="17" s="1"/>
  <c r="C80" i="17" l="1"/>
  <c r="J15" i="17"/>
  <c r="J20" i="17"/>
  <c r="J11" i="17" l="1"/>
  <c r="J76" i="17" s="1"/>
  <c r="C78" i="17" l="1"/>
  <c r="C81" i="17" s="1"/>
  <c r="E80" i="17" l="1"/>
  <c r="E81"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<sst xmlns="http://schemas.openxmlformats.org/spreadsheetml/2006/main" count="201" uniqueCount="76">
  <si>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</si>
  <si>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</si>
  <si>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</si>
  <si>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</si>
  <si>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</si>
  <si>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</si>
  <si>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</si>
  <si>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</si>
  <si>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</si>
  <si>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</si>
  <si>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</si>
  <si>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</si>
  <si>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</si>
  <si>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</si>
  <si>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</si>
  <si>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</si>
  <si>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</si>
  <si>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</si>
  <si>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</si>
  <si>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</si>
  <si>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</si>
  <si>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</si>
  <si>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</si>
  <si>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</si>
  <si>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</si>
  <si>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</si>
  <si>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</si>
  <si>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</si>
  <si>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</si>
  <si>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</si>
  <si>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</si>
  <si>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</si>
  <si>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</si>
  <si>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</si>
  <si>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</si>
  <si>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</si>
  <si>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</si>
  <si>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</si>
  <si>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</si>
  <si>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</si>
  <si>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</si>
  <si>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</si>
  <si>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</si>
  <si>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F.Y.: 2081/2082</t>
  </si>
  <si>
    <t>g/d k|sf/sf] Sn] / l;N6L df6f]df ;j} lsl;dsf] vGg] sfd</t>
  </si>
  <si>
    <t>husf] vf8ndf 9'+uf eg]{ / n]en ug]{ sfddf</t>
  </si>
  <si>
    <t>hu leQf kvf{ndf l;d]G6 s+lqm6 ug]{ sfd -lk=;L=;L= !M@M$_</t>
  </si>
  <si>
    <t>sqm</t>
  </si>
  <si>
    <t>!@=% dL=dL= l;d]G6 afn'jf -!M$_ Knfi6/</t>
  </si>
  <si>
    <t>-Outer walls</t>
  </si>
  <si>
    <t>-Inner walls</t>
  </si>
  <si>
    <t>Project:- कालिका मन्दिरमा भएको सार्वजनिक भवन मर्मत सम्भार</t>
  </si>
  <si>
    <t>Date:2081/08/24</t>
  </si>
  <si>
    <t>-for toilet</t>
  </si>
  <si>
    <t>d]lzgsf] k|of]u u/L ;'k/ :6«Sr/df l;d]G6 s+lqm6 ug]{ sfd -!M!=%M#_</t>
  </si>
  <si>
    <t xml:space="preserve">cf/=;L=;L= nflu kmnfd] 808L sf6\g], df]8\g] #) dL6/ ;Dd </t>
  </si>
  <si>
    <t>Length (m)</t>
  </si>
  <si>
    <t>Unit length (kg/m)</t>
  </si>
  <si>
    <t>Weight (kg)</t>
  </si>
  <si>
    <t>Weight (MT)</t>
  </si>
  <si>
    <t>-for toilet base</t>
  </si>
  <si>
    <t>kmnfd]sf] kfOk / KnfOaf]8{af6 kmdf{ agfpg] sfd</t>
  </si>
  <si>
    <t>m2</t>
  </si>
  <si>
    <t>MT</t>
  </si>
  <si>
    <t>-for toilet footing</t>
  </si>
  <si>
    <t>-for toilet roof</t>
  </si>
  <si>
    <t>e'O{+tNnfdf lrDgL e§fsf] O{+6fsf] uf/f] l;d]G6 d;nf -!M^_ df</t>
  </si>
  <si>
    <t>-for septic tank</t>
  </si>
  <si>
    <t>-deduction for windows</t>
  </si>
  <si>
    <t>-deduction for door</t>
  </si>
  <si>
    <t># dL=dL= df]6fO{ d;Lgf] l;d]G6 3f]6\g] sfd</t>
  </si>
  <si>
    <t>-flooring at footing</t>
  </si>
  <si>
    <t>l;d]G6 s+qmL6 ˆnf]l/Ë -!M@M$_ -%) dL=dL=_</t>
  </si>
  <si>
    <t>-deduction for toilet fixture</t>
  </si>
  <si>
    <t xml:space="preserve">Project:- कालिका भगवती मन्दिर परिसरमा विभिन्न भौतिक संरचना निर्माण </t>
  </si>
  <si>
    <t>Date:2081/10/15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</si>
</sst>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65" fontId="15" fillId="0" borderId="1" xfId="0" applyNumberFormat="1" applyFont="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0" t="s">
        <v>0</v>
      </c>
      <c r="B1" s="80"/>
      <c r="C1" s="80"/>
      <c r="D1" s="80"/>
      <c r="E1" s="80"/>
      <c r="F1" s="80"/>
      <c r="G1" s="80"/>
      <c r="H1" s="80"/>
      <c r="I1" s="80"/>
      <c r="J1" s="80"/>
      <c r="K1" s="80"/>
    </row>
    <row r="2" spans="1:11" ht="25.5" x14ac:dyDescent="0.35">
      <c r="A2" s="81" t="s">
        <v>1</v>
      </c>
      <c r="B2" s="81"/>
      <c r="C2" s="81"/>
      <c r="D2" s="81"/>
      <c r="E2" s="81"/>
      <c r="F2" s="81"/>
      <c r="G2" s="81"/>
      <c r="H2" s="81"/>
      <c r="I2" s="81"/>
      <c r="J2" s="81"/>
      <c r="K2" s="81"/>
    </row>
    <row r="3" spans="1:11" s="1" customFormat="1" x14ac:dyDescent="0.25">
      <c r="A3" s="82" t="s">
        <v>2</v>
      </c>
      <c r="B3" s="82"/>
      <c r="C3" s="82"/>
      <c r="D3" s="82"/>
      <c r="E3" s="82"/>
      <c r="F3" s="82"/>
      <c r="G3" s="82"/>
      <c r="H3" s="82"/>
      <c r="I3" s="82"/>
      <c r="J3" s="82"/>
      <c r="K3" s="82"/>
    </row>
    <row r="4" spans="1:11" s="1" customFormat="1" x14ac:dyDescent="0.25">
      <c r="A4" s="82" t="s">
        <v>3</v>
      </c>
      <c r="B4" s="82"/>
      <c r="C4" s="82"/>
      <c r="D4" s="82"/>
      <c r="E4" s="82"/>
      <c r="F4" s="82"/>
      <c r="G4" s="82"/>
      <c r="H4" s="82"/>
      <c r="I4" s="82"/>
      <c r="J4" s="82"/>
      <c r="K4" s="82"/>
    </row>
    <row r="5" spans="1:11" ht="18.75" x14ac:dyDescent="0.3">
      <c r="A5" s="83" t="s">
        <v>18</v>
      </c>
      <c r="B5" s="83"/>
      <c r="C5" s="83"/>
      <c r="D5" s="83"/>
      <c r="E5" s="83"/>
      <c r="F5" s="83"/>
      <c r="G5" s="83"/>
      <c r="H5" s="83"/>
      <c r="I5" s="83"/>
      <c r="J5" s="83"/>
      <c r="K5" s="83"/>
    </row>
    <row r="6" spans="1:11" ht="18.75" x14ac:dyDescent="0.3">
      <c r="A6" s="8" t="s">
        <v>19</v>
      </c>
      <c r="B6" s="8"/>
      <c r="C6" s="78" t="e">
        <f>F18</f>
        <v>#REF!</v>
      </c>
      <c r="D6" s="79"/>
      <c r="E6" s="9"/>
      <c r="F6" s="8"/>
      <c r="G6" s="8"/>
      <c r="H6" s="8" t="s">
        <v>20</v>
      </c>
      <c r="I6" s="8"/>
      <c r="J6" s="78" t="e">
        <f>I18</f>
        <v>#REF!</v>
      </c>
      <c r="K6" s="79"/>
    </row>
    <row r="7" spans="1:11" x14ac:dyDescent="0.25">
      <c r="A7" s="26" t="s">
        <v>29</v>
      </c>
      <c r="B7" s="10"/>
      <c r="C7" s="10"/>
      <c r="D7" s="10"/>
      <c r="F7" s="73"/>
      <c r="G7" s="73"/>
      <c r="I7" s="74" t="s">
        <v>37</v>
      </c>
      <c r="J7" s="74"/>
      <c r="K7" s="74"/>
    </row>
    <row r="8" spans="1:11" ht="15.75" x14ac:dyDescent="0.25">
      <c r="A8" s="72" t="e">
        <f>#REF!</f>
        <v>#REF!</v>
      </c>
      <c r="B8" s="72"/>
      <c r="C8" s="72"/>
      <c r="D8" s="72"/>
      <c r="E8" s="72"/>
      <c r="F8" s="72"/>
      <c r="I8" s="75" t="s">
        <v>38</v>
      </c>
      <c r="J8" s="75"/>
      <c r="K8" s="75"/>
    </row>
    <row r="9" spans="1:11" x14ac:dyDescent="0.25">
      <c r="A9" s="76" t="e">
        <f>#REF!</f>
        <v>#REF!</v>
      </c>
      <c r="B9" s="76"/>
      <c r="C9" s="76"/>
      <c r="D9" s="76"/>
      <c r="E9" s="76"/>
      <c r="F9" s="76"/>
      <c r="I9" s="75" t="s">
        <v>39</v>
      </c>
      <c r="J9" s="75"/>
      <c r="K9" s="75"/>
    </row>
    <row r="11" spans="1:11" x14ac:dyDescent="0.25">
      <c r="A11" s="70" t="s">
        <v>21</v>
      </c>
      <c r="B11" s="70" t="s">
        <v>22</v>
      </c>
      <c r="C11" s="70" t="s">
        <v>12</v>
      </c>
      <c r="D11" s="77" t="s">
        <v>23</v>
      </c>
      <c r="E11" s="77"/>
      <c r="F11" s="77"/>
      <c r="G11" s="77" t="s">
        <v>24</v>
      </c>
      <c r="H11" s="77"/>
      <c r="I11" s="77"/>
      <c r="J11" s="70" t="s">
        <v>25</v>
      </c>
      <c r="K11" s="71" t="s">
        <v>15</v>
      </c>
    </row>
    <row r="12" spans="1:11" x14ac:dyDescent="0.25">
      <c r="A12" s="70"/>
      <c r="B12" s="70"/>
      <c r="C12" s="70"/>
      <c r="D12" s="11" t="s">
        <v>26</v>
      </c>
      <c r="E12" s="11" t="s">
        <v>13</v>
      </c>
      <c r="F12" s="11" t="s">
        <v>14</v>
      </c>
      <c r="G12" s="11" t="s">
        <v>26</v>
      </c>
      <c r="H12" s="11" t="s">
        <v>13</v>
      </c>
      <c r="I12" s="11" t="s">
        <v>14</v>
      </c>
      <c r="J12" s="70"/>
      <c r="K12" s="71"/>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topLeftCell="A64" zoomScaleNormal="100" workbookViewId="0">
      <selection activeCell="I10" sqref="I10"/>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9" t="s">
        <v>0</v>
      </c>
      <c r="B1" s="89"/>
      <c r="C1" s="89"/>
      <c r="D1" s="89"/>
      <c r="E1" s="89"/>
      <c r="F1" s="89"/>
      <c r="G1" s="89"/>
      <c r="H1" s="89"/>
      <c r="I1" s="89"/>
      <c r="J1" s="89"/>
      <c r="K1" s="89"/>
    </row>
    <row r="2" spans="1:19" s="1" customFormat="1" ht="22.5" x14ac:dyDescent="0.25">
      <c r="A2" s="90" t="s">
        <v>1</v>
      </c>
      <c r="B2" s="90"/>
      <c r="C2" s="90"/>
      <c r="D2" s="90"/>
      <c r="E2" s="90"/>
      <c r="F2" s="90"/>
      <c r="G2" s="90"/>
      <c r="H2" s="90"/>
      <c r="I2" s="90"/>
      <c r="J2" s="90"/>
      <c r="K2" s="90"/>
    </row>
    <row r="3" spans="1:19" s="1" customFormat="1" x14ac:dyDescent="0.25">
      <c r="A3" s="82" t="s">
        <v>2</v>
      </c>
      <c r="B3" s="82"/>
      <c r="C3" s="82"/>
      <c r="D3" s="82"/>
      <c r="E3" s="82"/>
      <c r="F3" s="82"/>
      <c r="G3" s="82"/>
      <c r="H3" s="82"/>
      <c r="I3" s="82"/>
      <c r="J3" s="82"/>
      <c r="K3" s="82"/>
    </row>
    <row r="4" spans="1:19" s="1" customFormat="1" x14ac:dyDescent="0.25">
      <c r="A4" s="82" t="s">
        <v>3</v>
      </c>
      <c r="B4" s="82"/>
      <c r="C4" s="82"/>
      <c r="D4" s="82"/>
      <c r="E4" s="82"/>
      <c r="F4" s="82"/>
      <c r="G4" s="82"/>
      <c r="H4" s="82"/>
      <c r="I4" s="82"/>
      <c r="J4" s="82"/>
      <c r="K4" s="82"/>
    </row>
    <row r="5" spans="1:19" ht="18.75" x14ac:dyDescent="0.3">
      <c r="A5" s="91" t="s">
        <v>4</v>
      </c>
      <c r="B5" s="91"/>
      <c r="C5" s="91"/>
      <c r="D5" s="91"/>
      <c r="E5" s="91"/>
      <c r="F5" s="91"/>
      <c r="G5" s="91"/>
      <c r="H5" s="91"/>
      <c r="I5" s="91"/>
      <c r="J5" s="91"/>
      <c r="K5" s="91"/>
    </row>
    <row r="6" spans="1:19" ht="15.75" x14ac:dyDescent="0.25">
      <c r="A6" s="72" t="s">
        <v>51</v>
      </c>
      <c r="B6" s="72"/>
      <c r="C6" s="72"/>
      <c r="D6" s="72"/>
      <c r="E6" s="72"/>
      <c r="F6" s="72"/>
      <c r="G6" s="2"/>
      <c r="H6" s="88" t="s">
        <v>43</v>
      </c>
      <c r="I6" s="88"/>
      <c r="J6" s="88"/>
      <c r="K6" s="88"/>
    </row>
    <row r="7" spans="1:19" ht="15.75" x14ac:dyDescent="0.25">
      <c r="A7" s="85" t="s">
        <v>28</v>
      </c>
      <c r="B7" s="85"/>
      <c r="C7" s="85"/>
      <c r="D7" s="85"/>
      <c r="E7" s="85"/>
      <c r="F7" s="85"/>
      <c r="G7" s="3"/>
      <c r="H7" s="86" t="s">
        <v>52</v>
      </c>
      <c r="I7" s="86"/>
      <c r="J7" s="86"/>
      <c r="K7" s="86"/>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8">
        <v>1</v>
      </c>
      <c r="B9" s="64" t="s">
        <v>44</v>
      </c>
      <c r="C9" s="37"/>
      <c r="D9" s="37"/>
      <c r="E9" s="37"/>
      <c r="F9" s="37"/>
      <c r="G9" s="37"/>
      <c r="H9" s="37"/>
      <c r="I9" s="37"/>
      <c r="J9" s="37"/>
      <c r="K9" s="37"/>
    </row>
    <row r="10" spans="1:19" ht="15" customHeight="1" x14ac:dyDescent="0.25">
      <c r="A10" s="18"/>
      <c r="B10" s="38" t="s">
        <v>53</v>
      </c>
      <c r="C10" s="37">
        <v>1</v>
      </c>
      <c r="D10" s="39">
        <f>(10+0.333)/3.281</f>
        <v>3.1493447119780553</v>
      </c>
      <c r="E10" s="39">
        <f>(10+0.333)/3.281</f>
        <v>3.1493447119780553</v>
      </c>
      <c r="F10" s="39">
        <f>(5+0.333+0.667)/3.281</f>
        <v>1.8287107589149649</v>
      </c>
      <c r="G10" s="40">
        <f>PRODUCT(C10:F10)</f>
        <v>18.137833797374228</v>
      </c>
      <c r="H10" s="41"/>
      <c r="I10" s="41"/>
      <c r="J10" s="41"/>
      <c r="K10" s="21"/>
      <c r="M10" s="25"/>
      <c r="N10" s="1">
        <f>CONVERT((D10*E10),"m2","ft2")</f>
        <v>106.76046892398936</v>
      </c>
      <c r="O10" s="1"/>
      <c r="P10" s="1"/>
      <c r="Q10" s="1"/>
      <c r="R10" s="25"/>
      <c r="S10" s="25"/>
    </row>
    <row r="11" spans="1:19" ht="15" customHeight="1" x14ac:dyDescent="0.25">
      <c r="A11" s="18"/>
      <c r="B11" s="38" t="s">
        <v>42</v>
      </c>
      <c r="C11" s="19"/>
      <c r="D11" s="20"/>
      <c r="E11" s="21"/>
      <c r="F11" s="21"/>
      <c r="G11" s="23">
        <f>SUM(G10:G10)</f>
        <v>18.137833797374228</v>
      </c>
      <c r="H11" s="22" t="s">
        <v>41</v>
      </c>
      <c r="I11" s="23">
        <v>663.31</v>
      </c>
      <c r="J11" s="42">
        <f>G11*I11</f>
        <v>12031.006536136298</v>
      </c>
      <c r="K11" s="21"/>
      <c r="M11" s="25"/>
      <c r="N11" s="1"/>
      <c r="O11" s="1"/>
      <c r="P11" s="1"/>
      <c r="Q11" s="1"/>
      <c r="R11" s="25"/>
      <c r="S11" s="25"/>
    </row>
    <row r="12" spans="1:19" ht="15" customHeight="1" x14ac:dyDescent="0.25">
      <c r="A12" s="18"/>
      <c r="B12" s="24"/>
      <c r="C12" s="19"/>
      <c r="D12" s="20"/>
      <c r="E12" s="21"/>
      <c r="F12" s="21"/>
      <c r="G12" s="23"/>
      <c r="H12" s="22"/>
      <c r="I12" s="23"/>
      <c r="J12" s="42"/>
      <c r="K12" s="21"/>
      <c r="M12" s="25"/>
      <c r="N12" s="1"/>
      <c r="O12" s="1"/>
      <c r="P12" s="1"/>
      <c r="Q12" s="1"/>
      <c r="R12" s="25"/>
      <c r="S12" s="25"/>
    </row>
    <row r="13" spans="1:19" ht="30.75" x14ac:dyDescent="0.25">
      <c r="A13" s="18">
        <v>2</v>
      </c>
      <c r="B13" s="64" t="s">
        <v>45</v>
      </c>
      <c r="C13" s="19"/>
      <c r="D13" s="20"/>
      <c r="E13" s="21"/>
      <c r="F13" s="21"/>
      <c r="G13" s="23"/>
      <c r="H13" s="22"/>
      <c r="I13" s="23"/>
      <c r="J13" s="42"/>
      <c r="K13" s="21"/>
      <c r="M13" s="25"/>
      <c r="N13" s="1"/>
      <c r="O13" s="1"/>
      <c r="P13" s="1"/>
      <c r="Q13" s="25"/>
      <c r="R13" s="25"/>
    </row>
    <row r="14" spans="1:19" ht="15" customHeight="1" x14ac:dyDescent="0.25">
      <c r="A14" s="18"/>
      <c r="B14" s="38" t="str">
        <f>B10</f>
        <v>-for toilet</v>
      </c>
      <c r="C14" s="37">
        <v>1</v>
      </c>
      <c r="D14" s="39">
        <f>D10</f>
        <v>3.1493447119780553</v>
      </c>
      <c r="E14" s="39">
        <f>E10</f>
        <v>3.1493447119780553</v>
      </c>
      <c r="F14" s="39">
        <f>0.15</f>
        <v>0.15</v>
      </c>
      <c r="G14" s="40">
        <f>PRODUCT(C14:F14)</f>
        <v>1.487755817229621</v>
      </c>
      <c r="H14" s="41"/>
      <c r="I14" s="41"/>
      <c r="J14" s="41"/>
      <c r="K14" s="21"/>
      <c r="M14" s="25"/>
      <c r="N14" s="1"/>
      <c r="O14" s="1"/>
      <c r="P14" s="1"/>
      <c r="Q14" s="25"/>
      <c r="R14" s="25"/>
    </row>
    <row r="15" spans="1:19" ht="15" customHeight="1" x14ac:dyDescent="0.25">
      <c r="A15" s="41"/>
      <c r="B15" s="38" t="s">
        <v>42</v>
      </c>
      <c r="C15" s="43"/>
      <c r="D15" s="44"/>
      <c r="E15" s="44"/>
      <c r="F15" s="44"/>
      <c r="G15" s="34">
        <f>SUM(G14:G14)</f>
        <v>1.487755817229621</v>
      </c>
      <c r="H15" s="34" t="s">
        <v>41</v>
      </c>
      <c r="I15" s="34">
        <v>4473.1499999999996</v>
      </c>
      <c r="J15" s="45">
        <f>G15*I15</f>
        <v>6654.9549338406787</v>
      </c>
      <c r="K15" s="37"/>
    </row>
    <row r="16" spans="1:19" x14ac:dyDescent="0.25">
      <c r="A16" s="41"/>
      <c r="B16" s="38" t="s">
        <v>40</v>
      </c>
      <c r="C16" s="43"/>
      <c r="D16" s="44"/>
      <c r="E16" s="44"/>
      <c r="F16" s="44"/>
      <c r="G16" s="44"/>
      <c r="H16" s="44"/>
      <c r="I16" s="44"/>
      <c r="J16" s="46">
        <f>0.13*G15*(3093.15)</f>
        <v>598.24074778829436</v>
      </c>
      <c r="K16" s="37"/>
    </row>
    <row r="17" spans="1:18" x14ac:dyDescent="0.25">
      <c r="A17" s="41"/>
      <c r="B17" s="38"/>
      <c r="C17" s="43"/>
      <c r="D17" s="44"/>
      <c r="E17" s="44"/>
      <c r="F17" s="44"/>
      <c r="G17" s="44"/>
      <c r="H17" s="44"/>
      <c r="I17" s="44"/>
      <c r="J17" s="46"/>
      <c r="K17" s="37"/>
    </row>
    <row r="18" spans="1:18" ht="30.75" x14ac:dyDescent="0.25">
      <c r="A18" s="18">
        <v>3</v>
      </c>
      <c r="B18" s="64" t="s">
        <v>46</v>
      </c>
      <c r="C18" s="19"/>
      <c r="D18" s="20"/>
      <c r="E18" s="21"/>
      <c r="F18" s="21"/>
      <c r="G18" s="23"/>
      <c r="H18" s="22"/>
      <c r="I18" s="23"/>
      <c r="J18" s="42"/>
      <c r="K18" s="21"/>
      <c r="M18" s="25"/>
      <c r="N18" s="1"/>
      <c r="O18" s="1"/>
      <c r="P18" s="1"/>
      <c r="Q18" s="25"/>
      <c r="R18" s="25"/>
    </row>
    <row r="19" spans="1:18" ht="15" customHeight="1" x14ac:dyDescent="0.25">
      <c r="A19" s="18"/>
      <c r="B19" s="38" t="str">
        <f>B10</f>
        <v>-for toilet</v>
      </c>
      <c r="C19" s="37">
        <v>1</v>
      </c>
      <c r="D19" s="39">
        <f>D10</f>
        <v>3.1493447119780553</v>
      </c>
      <c r="E19" s="39">
        <f>E10</f>
        <v>3.1493447119780553</v>
      </c>
      <c r="F19" s="39">
        <v>7.4999999999999997E-2</v>
      </c>
      <c r="G19" s="40">
        <f>PRODUCT(C19:F19)</f>
        <v>0.74387790861481051</v>
      </c>
      <c r="H19" s="41"/>
      <c r="I19" s="41"/>
      <c r="J19" s="41"/>
      <c r="K19" s="21"/>
      <c r="M19" s="25"/>
      <c r="N19" s="1"/>
      <c r="O19" s="1"/>
      <c r="P19" s="1"/>
      <c r="Q19" s="25"/>
      <c r="R19" s="25"/>
    </row>
    <row r="20" spans="1:18" ht="15" customHeight="1" x14ac:dyDescent="0.25">
      <c r="A20" s="41"/>
      <c r="B20" s="38" t="s">
        <v>42</v>
      </c>
      <c r="C20" s="43"/>
      <c r="D20" s="44"/>
      <c r="E20" s="44"/>
      <c r="F20" s="44"/>
      <c r="G20" s="34">
        <f>SUM(G19:G19)</f>
        <v>0.74387790861481051</v>
      </c>
      <c r="H20" s="34" t="s">
        <v>41</v>
      </c>
      <c r="I20" s="34">
        <v>12983.1</v>
      </c>
      <c r="J20" s="45">
        <f>G20*I20</f>
        <v>9657.8412753369466</v>
      </c>
      <c r="K20" s="37"/>
    </row>
    <row r="21" spans="1:18" ht="15" customHeight="1" x14ac:dyDescent="0.25">
      <c r="A21" s="41"/>
      <c r="B21" s="38" t="s">
        <v>40</v>
      </c>
      <c r="C21" s="43"/>
      <c r="D21" s="44"/>
      <c r="E21" s="44"/>
      <c r="F21" s="44"/>
      <c r="G21" s="44"/>
      <c r="H21" s="44"/>
      <c r="I21" s="44"/>
      <c r="J21" s="46">
        <f>0.13*G20*(8078.11)</f>
        <v>781.18658440685033</v>
      </c>
      <c r="K21" s="37"/>
    </row>
    <row r="22" spans="1:18" ht="15" customHeight="1" x14ac:dyDescent="0.25">
      <c r="A22" s="41"/>
      <c r="B22" s="38"/>
      <c r="C22" s="43"/>
      <c r="D22" s="44"/>
      <c r="E22" s="44"/>
      <c r="F22" s="44"/>
      <c r="G22" s="44"/>
      <c r="H22" s="44"/>
      <c r="I22" s="44"/>
      <c r="J22" s="46"/>
      <c r="K22" s="37"/>
    </row>
    <row r="23" spans="1:18" ht="30.75" x14ac:dyDescent="0.25">
      <c r="A23" s="18">
        <v>4</v>
      </c>
      <c r="B23" s="64" t="s">
        <v>61</v>
      </c>
      <c r="C23" s="19"/>
      <c r="D23" s="20"/>
      <c r="E23" s="21"/>
      <c r="F23" s="21"/>
      <c r="G23" s="23"/>
      <c r="H23" s="22"/>
      <c r="I23" s="23"/>
      <c r="J23" s="42"/>
      <c r="K23" s="21"/>
      <c r="M23" s="25"/>
      <c r="N23" s="1"/>
      <c r="O23" s="1"/>
      <c r="P23" s="1"/>
      <c r="Q23" s="25"/>
      <c r="R23" s="25"/>
    </row>
    <row r="24" spans="1:18" ht="15" customHeight="1" x14ac:dyDescent="0.25">
      <c r="A24" s="18"/>
      <c r="B24" s="38" t="str">
        <f>B10</f>
        <v>-for toilet</v>
      </c>
      <c r="C24" s="37">
        <v>1</v>
      </c>
      <c r="D24" s="39">
        <f>10/3.281</f>
        <v>3.047851264858275</v>
      </c>
      <c r="E24" s="39">
        <f>10/3.281</f>
        <v>3.047851264858275</v>
      </c>
      <c r="F24" s="39"/>
      <c r="G24" s="40">
        <f>PRODUCT(C24:F24)</f>
        <v>9.2893973326981865</v>
      </c>
      <c r="H24" s="41"/>
      <c r="I24" s="41"/>
      <c r="J24" s="41"/>
      <c r="K24" s="21"/>
      <c r="M24" s="25"/>
      <c r="N24" s="1"/>
      <c r="O24" s="1"/>
      <c r="P24" s="1"/>
      <c r="Q24" s="25"/>
      <c r="R24" s="25"/>
    </row>
    <row r="25" spans="1:18" ht="15" customHeight="1" x14ac:dyDescent="0.25">
      <c r="A25" s="18"/>
      <c r="B25" s="38" t="s">
        <v>65</v>
      </c>
      <c r="C25" s="37">
        <f>0*1</f>
        <v>0</v>
      </c>
      <c r="D25" s="39">
        <f>(1+10+1)/3.281</f>
        <v>3.6574215178299299</v>
      </c>
      <c r="E25" s="39">
        <f>(1+10+1)/3.281</f>
        <v>3.6574215178299299</v>
      </c>
      <c r="F25" s="39"/>
      <c r="G25" s="40">
        <f>PRODUCT(C25:F25)</f>
        <v>0</v>
      </c>
      <c r="H25" s="41"/>
      <c r="I25" s="41"/>
      <c r="J25" s="41"/>
      <c r="K25" s="21"/>
      <c r="M25" s="25"/>
      <c r="N25" s="1"/>
      <c r="O25" s="1"/>
      <c r="P25" s="1"/>
      <c r="Q25" s="25"/>
      <c r="R25" s="25"/>
    </row>
    <row r="26" spans="1:18" ht="15" customHeight="1" x14ac:dyDescent="0.25">
      <c r="A26" s="41"/>
      <c r="B26" s="38" t="s">
        <v>42</v>
      </c>
      <c r="C26" s="43"/>
      <c r="D26" s="44"/>
      <c r="E26" s="44"/>
      <c r="F26" s="44"/>
      <c r="G26" s="34">
        <f>SUM(G24:G25)</f>
        <v>9.2893973326981865</v>
      </c>
      <c r="H26" s="34" t="s">
        <v>62</v>
      </c>
      <c r="I26" s="34">
        <v>915.42</v>
      </c>
      <c r="J26" s="45">
        <f>G26*I26</f>
        <v>8503.7001062985728</v>
      </c>
      <c r="K26" s="37"/>
    </row>
    <row r="27" spans="1:18" ht="15" customHeight="1" x14ac:dyDescent="0.25">
      <c r="A27" s="41"/>
      <c r="B27" s="38" t="s">
        <v>40</v>
      </c>
      <c r="C27" s="43"/>
      <c r="D27" s="44"/>
      <c r="E27" s="44"/>
      <c r="F27" s="44"/>
      <c r="G27" s="44"/>
      <c r="H27" s="44"/>
      <c r="I27" s="44"/>
      <c r="J27" s="46">
        <f>0.13*G26*46827.87/100</f>
        <v>565.50349787611867</v>
      </c>
      <c r="K27" s="37"/>
    </row>
    <row r="28" spans="1:18" ht="15" customHeight="1" x14ac:dyDescent="0.25">
      <c r="A28" s="41"/>
      <c r="B28" s="38"/>
      <c r="C28" s="43"/>
      <c r="D28" s="44"/>
      <c r="E28" s="44"/>
      <c r="F28" s="44"/>
      <c r="G28" s="44"/>
      <c r="H28" s="44"/>
      <c r="I28" s="44"/>
      <c r="J28" s="46"/>
      <c r="K28" s="37"/>
    </row>
    <row r="29" spans="1:18" ht="45" x14ac:dyDescent="0.25">
      <c r="A29" s="18">
        <v>5</v>
      </c>
      <c r="B29" s="64" t="s">
        <v>55</v>
      </c>
      <c r="C29" s="19" t="s">
        <v>7</v>
      </c>
      <c r="D29" s="65" t="s">
        <v>56</v>
      </c>
      <c r="E29" s="66" t="s">
        <v>57</v>
      </c>
      <c r="F29" s="66" t="s">
        <v>58</v>
      </c>
      <c r="G29" s="67" t="s">
        <v>59</v>
      </c>
      <c r="H29" s="22"/>
      <c r="I29" s="23"/>
      <c r="J29" s="42"/>
      <c r="K29" s="21"/>
      <c r="M29" s="25"/>
      <c r="N29" s="1"/>
      <c r="O29" s="1"/>
      <c r="P29" s="1"/>
      <c r="Q29" s="25"/>
      <c r="R29" s="25"/>
    </row>
    <row r="30" spans="1:18" ht="15" customHeight="1" x14ac:dyDescent="0.25">
      <c r="A30" s="18"/>
      <c r="B30" s="38" t="s">
        <v>64</v>
      </c>
      <c r="C30" s="37">
        <f>2*(TRUNC((D30-0.1)/0.15,0)+1)</f>
        <v>40</v>
      </c>
      <c r="D30" s="39">
        <f>D24</f>
        <v>3.047851264858275</v>
      </c>
      <c r="E30" s="39">
        <f>8*8/162</f>
        <v>0.39506172839506171</v>
      </c>
      <c r="F30" s="39">
        <f>PRODUCT(C30:E30)</f>
        <v>48.163575543439407</v>
      </c>
      <c r="G30" s="40">
        <f>F30/1000</f>
        <v>4.8163575543439405E-2</v>
      </c>
      <c r="H30" s="41"/>
      <c r="I30" s="41"/>
      <c r="J30" s="41"/>
      <c r="K30" s="21"/>
      <c r="M30" s="25"/>
      <c r="N30" s="1"/>
      <c r="O30" s="1"/>
      <c r="P30" s="1"/>
      <c r="Q30" s="25"/>
      <c r="R30" s="25"/>
    </row>
    <row r="31" spans="1:18" ht="15" customHeight="1" x14ac:dyDescent="0.25">
      <c r="A31" s="18"/>
      <c r="B31" s="38" t="s">
        <v>60</v>
      </c>
      <c r="C31" s="37">
        <f>2*2*(TRUNC((D31-0.1)/0.15,0)+1)</f>
        <v>80</v>
      </c>
      <c r="D31" s="39">
        <f>D24</f>
        <v>3.047851264858275</v>
      </c>
      <c r="E31" s="39">
        <f>8*8/162</f>
        <v>0.39506172839506171</v>
      </c>
      <c r="F31" s="39">
        <f>PRODUCT(C31:E31)</f>
        <v>96.327151086878814</v>
      </c>
      <c r="G31" s="40">
        <f>F31/1000</f>
        <v>9.6327151086878809E-2</v>
      </c>
      <c r="H31" s="41"/>
      <c r="I31" s="41"/>
      <c r="J31" s="41"/>
      <c r="K31" s="21"/>
      <c r="M31" s="25"/>
      <c r="N31" s="1"/>
      <c r="O31" s="1"/>
      <c r="P31" s="1"/>
      <c r="Q31" s="25"/>
      <c r="R31" s="25"/>
    </row>
    <row r="32" spans="1:18" ht="15" customHeight="1" x14ac:dyDescent="0.25">
      <c r="A32" s="18"/>
      <c r="B32" s="38" t="str">
        <f>B25</f>
        <v>-for toilet roof</v>
      </c>
      <c r="C32" s="37">
        <f>0*2*2*(TRUNC((D32-0.1)/0.15,0)+1)</f>
        <v>0</v>
      </c>
      <c r="D32" s="39">
        <f>D25</f>
        <v>3.6574215178299299</v>
      </c>
      <c r="E32" s="39">
        <f>8*8/162</f>
        <v>0.39506172839506171</v>
      </c>
      <c r="F32" s="39">
        <f>PRODUCT(C32:E32)</f>
        <v>0</v>
      </c>
      <c r="G32" s="40">
        <f>F32/1000</f>
        <v>0</v>
      </c>
      <c r="H32" s="41"/>
      <c r="I32" s="41"/>
      <c r="J32" s="41"/>
      <c r="K32" s="21"/>
      <c r="M32" s="25"/>
      <c r="N32" s="1"/>
      <c r="O32" s="1"/>
      <c r="P32" s="1"/>
      <c r="Q32" s="25"/>
      <c r="R32" s="25"/>
    </row>
    <row r="33" spans="1:11" ht="15" customHeight="1" x14ac:dyDescent="0.25">
      <c r="A33" s="41"/>
      <c r="B33" s="38" t="s">
        <v>42</v>
      </c>
      <c r="C33" s="43"/>
      <c r="D33" s="44"/>
      <c r="E33" s="44"/>
      <c r="F33" s="44"/>
      <c r="G33" s="34">
        <f>SUM(G30:G32)</f>
        <v>0.1444907266303182</v>
      </c>
      <c r="H33" s="34" t="s">
        <v>63</v>
      </c>
      <c r="I33" s="34">
        <v>131940</v>
      </c>
      <c r="J33" s="45">
        <f>G33*I33</f>
        <v>19064.106471604184</v>
      </c>
      <c r="K33" s="37"/>
    </row>
    <row r="34" spans="1:11" ht="15" customHeight="1" x14ac:dyDescent="0.25">
      <c r="A34" s="41"/>
      <c r="B34" s="38" t="s">
        <v>40</v>
      </c>
      <c r="C34" s="43"/>
      <c r="D34" s="44"/>
      <c r="E34" s="44"/>
      <c r="F34" s="44"/>
      <c r="G34" s="44"/>
      <c r="H34" s="44"/>
      <c r="I34" s="44"/>
      <c r="J34" s="46">
        <f>0.13*G33*106200</f>
        <v>1994.8389718581732</v>
      </c>
      <c r="K34" s="37"/>
    </row>
    <row r="35" spans="1:11" ht="15" customHeight="1" x14ac:dyDescent="0.25">
      <c r="A35" s="41"/>
      <c r="B35" s="38"/>
      <c r="C35" s="43"/>
      <c r="D35" s="44"/>
      <c r="E35" s="44"/>
      <c r="F35" s="44"/>
      <c r="G35" s="44"/>
      <c r="H35" s="44"/>
      <c r="I35" s="44"/>
      <c r="J35" s="46"/>
      <c r="K35" s="37"/>
    </row>
    <row r="36" spans="1:11" ht="30.75" x14ac:dyDescent="0.25">
      <c r="A36" s="68">
        <v>6</v>
      </c>
      <c r="B36" s="64" t="s">
        <v>54</v>
      </c>
      <c r="C36" s="43"/>
      <c r="D36" s="44"/>
      <c r="E36" s="44"/>
      <c r="F36" s="44"/>
      <c r="G36" s="44"/>
      <c r="H36" s="44"/>
      <c r="I36" s="44"/>
      <c r="J36" s="46"/>
      <c r="K36" s="37"/>
    </row>
    <row r="37" spans="1:11" ht="15" customHeight="1" x14ac:dyDescent="0.25">
      <c r="A37" s="41"/>
      <c r="B37" s="38" t="str">
        <f>B30</f>
        <v>-for toilet footing</v>
      </c>
      <c r="C37" s="43">
        <v>1</v>
      </c>
      <c r="D37" s="44">
        <f>(D10-0.1)</f>
        <v>3.0493447119780552</v>
      </c>
      <c r="E37" s="44">
        <f>(E10-0.1)</f>
        <v>3.0493447119780552</v>
      </c>
      <c r="F37" s="44">
        <v>0.1</v>
      </c>
      <c r="G37" s="40">
        <f>PRODUCT(C37:F37)</f>
        <v>0.92985031724685285</v>
      </c>
      <c r="H37" s="44"/>
      <c r="I37" s="44"/>
      <c r="J37" s="46"/>
      <c r="K37" s="37"/>
    </row>
    <row r="38" spans="1:11" ht="15" customHeight="1" x14ac:dyDescent="0.25">
      <c r="A38" s="41"/>
      <c r="B38" s="38" t="str">
        <f>B31</f>
        <v>-for toilet base</v>
      </c>
      <c r="C38" s="43">
        <v>1</v>
      </c>
      <c r="D38" s="44">
        <f>D24</f>
        <v>3.047851264858275</v>
      </c>
      <c r="E38" s="44">
        <f>E24</f>
        <v>3.047851264858275</v>
      </c>
      <c r="F38" s="44">
        <v>0.125</v>
      </c>
      <c r="G38" s="40">
        <f t="shared" ref="G38:G39" si="0">PRODUCT(C38:F38)</f>
        <v>1.1611746665872733</v>
      </c>
      <c r="H38" s="44"/>
      <c r="I38" s="44"/>
      <c r="J38" s="46"/>
      <c r="K38" s="37"/>
    </row>
    <row r="39" spans="1:11" ht="15" customHeight="1" x14ac:dyDescent="0.25">
      <c r="A39" s="41"/>
      <c r="B39" s="38" t="str">
        <f>B25</f>
        <v>-for toilet roof</v>
      </c>
      <c r="C39" s="43">
        <v>0</v>
      </c>
      <c r="D39" s="44">
        <f>D25</f>
        <v>3.6574215178299299</v>
      </c>
      <c r="E39" s="44">
        <f>E25</f>
        <v>3.6574215178299299</v>
      </c>
      <c r="F39" s="44">
        <v>0.125</v>
      </c>
      <c r="G39" s="40">
        <f t="shared" si="0"/>
        <v>0</v>
      </c>
      <c r="H39" s="44"/>
      <c r="I39" s="44"/>
      <c r="J39" s="46"/>
      <c r="K39" s="37"/>
    </row>
    <row r="40" spans="1:11" ht="15" customHeight="1" x14ac:dyDescent="0.25">
      <c r="A40" s="41"/>
      <c r="B40" s="38" t="s">
        <v>73</v>
      </c>
      <c r="C40" s="43">
        <v>-1</v>
      </c>
      <c r="D40" s="44">
        <v>0.1</v>
      </c>
      <c r="E40" s="44">
        <v>0.1</v>
      </c>
      <c r="F40" s="44">
        <v>0.125</v>
      </c>
      <c r="G40" s="69">
        <f>C40*F40*D40*E40*PI()</f>
        <v>-3.9269908169872417E-3</v>
      </c>
      <c r="H40" s="44"/>
      <c r="I40" s="44"/>
      <c r="J40" s="46"/>
      <c r="K40" s="37"/>
    </row>
    <row r="41" spans="1:11" ht="15" customHeight="1" x14ac:dyDescent="0.25">
      <c r="A41" s="41"/>
      <c r="B41" s="38" t="s">
        <v>42</v>
      </c>
      <c r="C41" s="43"/>
      <c r="D41" s="44"/>
      <c r="E41" s="44"/>
      <c r="F41" s="44"/>
      <c r="G41" s="34">
        <f>SUM(G37:G40)</f>
        <v>2.0870979930171387</v>
      </c>
      <c r="H41" s="34" t="s">
        <v>41</v>
      </c>
      <c r="I41" s="34">
        <v>13568.9</v>
      </c>
      <c r="J41" s="45">
        <f>G41*I41</f>
        <v>28319.623957450254</v>
      </c>
      <c r="K41" s="37"/>
    </row>
    <row r="42" spans="1:11" ht="15" customHeight="1" x14ac:dyDescent="0.25">
      <c r="A42" s="41"/>
      <c r="B42" s="38" t="s">
        <v>40</v>
      </c>
      <c r="C42" s="43"/>
      <c r="D42" s="44"/>
      <c r="E42" s="44"/>
      <c r="F42" s="44"/>
      <c r="G42" s="44"/>
      <c r="H42" s="44"/>
      <c r="I42" s="44"/>
      <c r="J42" s="46">
        <f>0.13*G41*(9524.2)</f>
        <v>2584.1320316621986</v>
      </c>
      <c r="K42" s="37"/>
    </row>
    <row r="43" spans="1:11" ht="15" customHeight="1" x14ac:dyDescent="0.25">
      <c r="A43" s="41"/>
      <c r="B43" s="38"/>
      <c r="C43" s="43"/>
      <c r="D43" s="44"/>
      <c r="E43" s="44"/>
      <c r="F43" s="44"/>
      <c r="G43" s="44"/>
      <c r="H43" s="44"/>
      <c r="I43" s="44"/>
      <c r="J43" s="46"/>
      <c r="K43" s="37"/>
    </row>
    <row r="44" spans="1:11" ht="30.75" x14ac:dyDescent="0.25">
      <c r="A44" s="18">
        <v>7</v>
      </c>
      <c r="B44" s="64" t="s">
        <v>66</v>
      </c>
      <c r="C44" s="43"/>
      <c r="D44" s="44"/>
      <c r="E44" s="44"/>
      <c r="F44" s="44"/>
      <c r="G44" s="44"/>
      <c r="H44" s="44"/>
      <c r="I44" s="44"/>
      <c r="J44" s="46"/>
      <c r="K44" s="37"/>
    </row>
    <row r="45" spans="1:11" ht="15" customHeight="1" x14ac:dyDescent="0.25">
      <c r="A45" s="41"/>
      <c r="B45" s="38" t="s">
        <v>67</v>
      </c>
      <c r="C45" s="43">
        <v>2</v>
      </c>
      <c r="D45" s="44">
        <f>D24</f>
        <v>3.047851264858275</v>
      </c>
      <c r="E45" s="44">
        <v>0.23</v>
      </c>
      <c r="F45" s="44">
        <f>6/3.281</f>
        <v>1.8287107589149649</v>
      </c>
      <c r="G45" s="40">
        <f>PRODUCT(C45:F45)</f>
        <v>2.5638736638246993</v>
      </c>
      <c r="H45" s="44"/>
      <c r="I45" s="44"/>
      <c r="J45" s="46"/>
      <c r="K45" s="37"/>
    </row>
    <row r="46" spans="1:11" ht="15" customHeight="1" x14ac:dyDescent="0.25">
      <c r="A46" s="41"/>
      <c r="B46" s="38"/>
      <c r="C46" s="43">
        <v>2</v>
      </c>
      <c r="D46" s="44">
        <f>8.5/3.281</f>
        <v>2.5906735751295336</v>
      </c>
      <c r="E46" s="44">
        <v>0.23</v>
      </c>
      <c r="F46" s="44">
        <f>6/3.281</f>
        <v>1.8287107589149649</v>
      </c>
      <c r="G46" s="40">
        <f>PRODUCT(C46:F46)</f>
        <v>2.1792926142509943</v>
      </c>
      <c r="H46" s="44"/>
      <c r="I46" s="44"/>
      <c r="J46" s="46"/>
      <c r="K46" s="37"/>
    </row>
    <row r="47" spans="1:11" ht="15" customHeight="1" x14ac:dyDescent="0.25">
      <c r="A47" s="41"/>
      <c r="B47" s="38"/>
      <c r="C47" s="43">
        <v>1</v>
      </c>
      <c r="D47" s="44">
        <f>8.5/3.281</f>
        <v>2.5906735751295336</v>
      </c>
      <c r="E47" s="44">
        <v>0.1</v>
      </c>
      <c r="F47" s="44">
        <f>6/3.281</f>
        <v>1.8287107589149649</v>
      </c>
      <c r="G47" s="40">
        <f>PRODUCT(C47:F47)</f>
        <v>0.47375926396760742</v>
      </c>
      <c r="H47" s="44"/>
      <c r="I47" s="44"/>
      <c r="J47" s="46"/>
      <c r="K47" s="37"/>
    </row>
    <row r="48" spans="1:11" ht="15" customHeight="1" x14ac:dyDescent="0.25">
      <c r="A48" s="41"/>
      <c r="B48" s="38" t="s">
        <v>53</v>
      </c>
      <c r="C48" s="43">
        <f t="shared" ref="C48:E50" si="1">C45</f>
        <v>2</v>
      </c>
      <c r="D48" s="44">
        <f t="shared" si="1"/>
        <v>3.047851264858275</v>
      </c>
      <c r="E48" s="44">
        <f t="shared" si="1"/>
        <v>0.23</v>
      </c>
      <c r="F48" s="44">
        <f>7/3.281</f>
        <v>2.1334958854007922</v>
      </c>
      <c r="G48" s="40">
        <f t="shared" ref="G48:G52" si="2">PRODUCT(C48:F48)</f>
        <v>2.9911859411288155</v>
      </c>
      <c r="H48" s="44"/>
      <c r="I48" s="44"/>
      <c r="J48" s="46"/>
      <c r="K48" s="37"/>
    </row>
    <row r="49" spans="1:19" ht="15" customHeight="1" x14ac:dyDescent="0.25">
      <c r="A49" s="41"/>
      <c r="B49" s="38"/>
      <c r="C49" s="43">
        <f t="shared" si="1"/>
        <v>2</v>
      </c>
      <c r="D49" s="44">
        <f t="shared" si="1"/>
        <v>2.5906735751295336</v>
      </c>
      <c r="E49" s="44">
        <f t="shared" si="1"/>
        <v>0.23</v>
      </c>
      <c r="F49" s="44">
        <f t="shared" ref="F49:F50" si="3">7/3.281</f>
        <v>2.1334958854007922</v>
      </c>
      <c r="G49" s="40">
        <f t="shared" si="2"/>
        <v>2.5425080499594932</v>
      </c>
      <c r="H49" s="44"/>
      <c r="I49" s="44"/>
      <c r="J49" s="46"/>
      <c r="K49" s="37"/>
    </row>
    <row r="50" spans="1:19" ht="15" customHeight="1" x14ac:dyDescent="0.25">
      <c r="A50" s="41"/>
      <c r="B50" s="38"/>
      <c r="C50" s="43">
        <f t="shared" si="1"/>
        <v>1</v>
      </c>
      <c r="D50" s="44">
        <f t="shared" si="1"/>
        <v>2.5906735751295336</v>
      </c>
      <c r="E50" s="44">
        <f t="shared" si="1"/>
        <v>0.1</v>
      </c>
      <c r="F50" s="44">
        <f t="shared" si="3"/>
        <v>2.1334958854007922</v>
      </c>
      <c r="G50" s="40">
        <f t="shared" si="2"/>
        <v>0.552719141295542</v>
      </c>
      <c r="H50" s="44"/>
      <c r="I50" s="44"/>
      <c r="J50" s="46"/>
      <c r="K50" s="37"/>
    </row>
    <row r="51" spans="1:19" ht="15" customHeight="1" x14ac:dyDescent="0.25">
      <c r="A51" s="41"/>
      <c r="B51" s="38" t="s">
        <v>68</v>
      </c>
      <c r="C51" s="43">
        <f>-2</f>
        <v>-2</v>
      </c>
      <c r="D51" s="44">
        <f>0.45</f>
        <v>0.45</v>
      </c>
      <c r="E51" s="44">
        <v>0.23</v>
      </c>
      <c r="F51" s="44">
        <f>2/3.281</f>
        <v>0.6095702529716549</v>
      </c>
      <c r="G51" s="40">
        <f t="shared" si="2"/>
        <v>-0.12618104236513258</v>
      </c>
      <c r="H51" s="44"/>
      <c r="I51" s="44"/>
      <c r="J51" s="46"/>
      <c r="K51" s="37"/>
    </row>
    <row r="52" spans="1:19" ht="15" customHeight="1" x14ac:dyDescent="0.25">
      <c r="A52" s="41"/>
      <c r="B52" s="38" t="s">
        <v>69</v>
      </c>
      <c r="C52" s="43">
        <f>-2</f>
        <v>-2</v>
      </c>
      <c r="D52" s="44">
        <f>0.75</f>
        <v>0.75</v>
      </c>
      <c r="E52" s="44">
        <v>0.23</v>
      </c>
      <c r="F52" s="44">
        <f>6/3.281</f>
        <v>1.8287107589149649</v>
      </c>
      <c r="G52" s="40">
        <f t="shared" si="2"/>
        <v>-0.63090521182566295</v>
      </c>
      <c r="H52" s="44"/>
      <c r="I52" s="44"/>
      <c r="J52" s="46"/>
      <c r="K52" s="37"/>
    </row>
    <row r="53" spans="1:19" ht="15" customHeight="1" x14ac:dyDescent="0.25">
      <c r="A53" s="41"/>
      <c r="B53" s="38" t="s">
        <v>42</v>
      </c>
      <c r="C53" s="43"/>
      <c r="D53" s="44"/>
      <c r="E53" s="44"/>
      <c r="F53" s="44"/>
      <c r="G53" s="34">
        <f>SUM(G45:G52)</f>
        <v>10.546252420236355</v>
      </c>
      <c r="H53" s="34" t="s">
        <v>41</v>
      </c>
      <c r="I53" s="34">
        <v>14362.76</v>
      </c>
      <c r="J53" s="45">
        <f>G53*I53</f>
        <v>151473.2924112739</v>
      </c>
      <c r="K53" s="37"/>
    </row>
    <row r="54" spans="1:19" ht="15" customHeight="1" x14ac:dyDescent="0.25">
      <c r="A54" s="41"/>
      <c r="B54" s="38" t="s">
        <v>40</v>
      </c>
      <c r="C54" s="43"/>
      <c r="D54" s="44"/>
      <c r="E54" s="44"/>
      <c r="F54" s="44"/>
      <c r="G54" s="44"/>
      <c r="H54" s="44"/>
      <c r="I54" s="44"/>
      <c r="J54" s="46">
        <f>0.13*G53*10311.74</f>
        <v>14137.527681140244</v>
      </c>
      <c r="K54" s="37"/>
    </row>
    <row r="55" spans="1:19" ht="15" customHeight="1" x14ac:dyDescent="0.25">
      <c r="A55" s="41"/>
      <c r="B55" s="38"/>
      <c r="C55" s="43"/>
      <c r="D55" s="44"/>
      <c r="E55" s="44"/>
      <c r="F55" s="44"/>
      <c r="G55" s="44"/>
      <c r="H55" s="44"/>
      <c r="I55" s="44"/>
      <c r="J55" s="46"/>
      <c r="K55" s="37"/>
    </row>
    <row r="56" spans="1:19" ht="30.75" x14ac:dyDescent="0.25">
      <c r="A56" s="68">
        <v>8</v>
      </c>
      <c r="B56" s="64" t="s">
        <v>48</v>
      </c>
      <c r="C56" s="43"/>
      <c r="D56" s="44"/>
      <c r="E56" s="44"/>
      <c r="F56" s="44"/>
      <c r="G56" s="44"/>
      <c r="H56" s="44"/>
      <c r="I56" s="44"/>
      <c r="J56" s="46"/>
      <c r="K56" s="37"/>
    </row>
    <row r="57" spans="1:19" ht="15" customHeight="1" x14ac:dyDescent="0.25">
      <c r="A57" s="18"/>
      <c r="B57" s="38" t="s">
        <v>50</v>
      </c>
      <c r="C57" s="37">
        <v>1</v>
      </c>
      <c r="D57" s="39">
        <f>(8.5*4+4*4)/3.281</f>
        <v>15.239256324291373</v>
      </c>
      <c r="E57" s="39"/>
      <c r="F57" s="39">
        <v>1.8</v>
      </c>
      <c r="G57" s="40">
        <f>PRODUCT(C57:F57)</f>
        <v>27.430661383724473</v>
      </c>
      <c r="H57" s="41"/>
      <c r="I57" s="41"/>
      <c r="J57" s="41"/>
      <c r="K57" s="21"/>
      <c r="M57" s="25"/>
      <c r="N57" s="1"/>
      <c r="O57" s="1"/>
      <c r="P57" s="1"/>
      <c r="Q57" s="1"/>
      <c r="R57" s="25"/>
      <c r="S57" s="25"/>
    </row>
    <row r="58" spans="1:19" ht="15" customHeight="1" x14ac:dyDescent="0.25">
      <c r="A58" s="18"/>
      <c r="B58" s="38" t="s">
        <v>49</v>
      </c>
      <c r="C58" s="37">
        <v>1</v>
      </c>
      <c r="D58" s="39">
        <f>(10*4)/3.281</f>
        <v>12.1914050594331</v>
      </c>
      <c r="E58" s="39"/>
      <c r="F58" s="39">
        <v>1.8</v>
      </c>
      <c r="G58" s="40">
        <f>PRODUCT(C58:F58)</f>
        <v>21.94452910697958</v>
      </c>
      <c r="H58" s="41"/>
      <c r="I58" s="41"/>
      <c r="J58" s="41"/>
      <c r="K58" s="21"/>
      <c r="M58" s="25"/>
      <c r="N58" s="1"/>
      <c r="O58" s="1"/>
      <c r="P58" s="1"/>
      <c r="Q58" s="1"/>
      <c r="R58" s="25"/>
      <c r="S58" s="25"/>
    </row>
    <row r="59" spans="1:19" ht="15" customHeight="1" x14ac:dyDescent="0.25">
      <c r="A59" s="18"/>
      <c r="B59" s="38" t="s">
        <v>42</v>
      </c>
      <c r="C59" s="37"/>
      <c r="D59" s="39"/>
      <c r="E59" s="39"/>
      <c r="F59" s="39"/>
      <c r="G59" s="35">
        <f>SUM(G57:G58)</f>
        <v>49.375190490704057</v>
      </c>
      <c r="H59" s="41" t="s">
        <v>47</v>
      </c>
      <c r="I59" s="41">
        <v>405.86</v>
      </c>
      <c r="J59" s="46">
        <f>G59*I59</f>
        <v>20039.414812557148</v>
      </c>
      <c r="K59" s="21"/>
      <c r="M59" s="25"/>
      <c r="N59" s="1"/>
      <c r="O59" s="1"/>
      <c r="P59" s="1"/>
      <c r="Q59" s="1"/>
      <c r="R59" s="25"/>
      <c r="S59" s="25"/>
    </row>
    <row r="60" spans="1:19" ht="15" customHeight="1" x14ac:dyDescent="0.25">
      <c r="A60" s="18"/>
      <c r="B60" s="38" t="s">
        <v>40</v>
      </c>
      <c r="C60" s="37"/>
      <c r="D60" s="39"/>
      <c r="E60" s="39"/>
      <c r="F60" s="39"/>
      <c r="G60" s="40"/>
      <c r="H60" s="41"/>
      <c r="I60" s="41"/>
      <c r="J60" s="46">
        <f>0.13*G59*(11166.2/100)</f>
        <v>716.73322767448963</v>
      </c>
      <c r="K60" s="21"/>
      <c r="M60" s="25"/>
      <c r="N60" s="1"/>
      <c r="O60" s="1"/>
      <c r="P60" s="1"/>
      <c r="Q60" s="1"/>
      <c r="R60" s="25"/>
      <c r="S60" s="25"/>
    </row>
    <row r="61" spans="1:19" ht="15" customHeight="1" x14ac:dyDescent="0.25">
      <c r="A61" s="18"/>
      <c r="B61" s="38"/>
      <c r="C61" s="37"/>
      <c r="D61" s="39"/>
      <c r="E61" s="39"/>
      <c r="F61" s="39"/>
      <c r="G61" s="40"/>
      <c r="H61" s="41"/>
      <c r="I61" s="41"/>
      <c r="J61" s="46"/>
      <c r="K61" s="21"/>
      <c r="M61" s="25"/>
      <c r="N61" s="1"/>
      <c r="O61" s="1"/>
      <c r="P61" s="1"/>
      <c r="Q61" s="1"/>
      <c r="R61" s="25"/>
      <c r="S61" s="25"/>
    </row>
    <row r="62" spans="1:19" ht="30.75" x14ac:dyDescent="0.25">
      <c r="A62" s="68">
        <v>9</v>
      </c>
      <c r="B62" s="64" t="s">
        <v>72</v>
      </c>
      <c r="C62" s="43"/>
      <c r="D62" s="44"/>
      <c r="E62" s="44"/>
      <c r="F62" s="44"/>
      <c r="G62" s="44"/>
      <c r="H62" s="44"/>
      <c r="I62" s="44"/>
      <c r="J62" s="46"/>
      <c r="K62" s="37"/>
    </row>
    <row r="63" spans="1:19" ht="15" customHeight="1" x14ac:dyDescent="0.25">
      <c r="A63" s="18"/>
      <c r="B63" s="38" t="s">
        <v>71</v>
      </c>
      <c r="C63" s="37">
        <v>2</v>
      </c>
      <c r="D63" s="39">
        <f>4/3.281</f>
        <v>1.2191405059433098</v>
      </c>
      <c r="E63" s="39">
        <f>8.5/3.281</f>
        <v>2.5906735751295336</v>
      </c>
      <c r="F63" s="39"/>
      <c r="G63" s="40">
        <f>PRODUCT(C63:F63)</f>
        <v>6.3167901862347655</v>
      </c>
      <c r="H63" s="41"/>
      <c r="I63" s="41"/>
      <c r="J63" s="41"/>
      <c r="K63" s="21"/>
      <c r="M63" s="25"/>
      <c r="N63" s="1"/>
      <c r="O63" s="1"/>
      <c r="P63" s="1"/>
      <c r="Q63" s="1"/>
      <c r="R63" s="25"/>
      <c r="S63" s="25"/>
    </row>
    <row r="64" spans="1:19" ht="15" customHeight="1" x14ac:dyDescent="0.25">
      <c r="A64" s="18"/>
      <c r="B64" s="38" t="s">
        <v>42</v>
      </c>
      <c r="C64" s="37"/>
      <c r="D64" s="39"/>
      <c r="E64" s="39"/>
      <c r="F64" s="39"/>
      <c r="G64" s="35">
        <f>SUM(G63:G63)</f>
        <v>6.3167901862347655</v>
      </c>
      <c r="H64" s="41" t="s">
        <v>47</v>
      </c>
      <c r="I64" s="41">
        <v>816.74</v>
      </c>
      <c r="J64" s="46">
        <f>G64*I64</f>
        <v>5159.1752167053828</v>
      </c>
      <c r="K64" s="21"/>
      <c r="M64" s="25"/>
      <c r="N64" s="1"/>
      <c r="O64" s="1"/>
      <c r="P64" s="1"/>
      <c r="Q64" s="1"/>
      <c r="R64" s="25"/>
      <c r="S64" s="25"/>
    </row>
    <row r="65" spans="1:19" ht="15" customHeight="1" x14ac:dyDescent="0.25">
      <c r="A65" s="18"/>
      <c r="B65" s="38" t="s">
        <v>40</v>
      </c>
      <c r="C65" s="37"/>
      <c r="D65" s="39"/>
      <c r="E65" s="39"/>
      <c r="F65" s="39"/>
      <c r="G65" s="40"/>
      <c r="H65" s="41"/>
      <c r="I65" s="41"/>
      <c r="J65" s="46">
        <f>0.13*G64*(4336.62/10)</f>
        <v>356.11574254658228</v>
      </c>
      <c r="K65" s="21"/>
      <c r="M65" s="25"/>
      <c r="N65" s="1"/>
      <c r="O65" s="1"/>
      <c r="P65" s="1"/>
      <c r="Q65" s="1"/>
      <c r="R65" s="25"/>
      <c r="S65" s="25"/>
    </row>
    <row r="66" spans="1:19" ht="15" customHeight="1" x14ac:dyDescent="0.25">
      <c r="A66" s="41"/>
      <c r="B66" s="38"/>
      <c r="C66" s="43"/>
      <c r="D66" s="44"/>
      <c r="E66" s="44"/>
      <c r="F66" s="44"/>
      <c r="G66" s="44"/>
      <c r="H66" s="44"/>
      <c r="I66" s="44"/>
      <c r="J66" s="46"/>
      <c r="K66" s="37"/>
    </row>
    <row r="67" spans="1:19" ht="30.75" x14ac:dyDescent="0.25">
      <c r="A67" s="68">
        <v>10</v>
      </c>
      <c r="B67" s="64" t="s">
        <v>70</v>
      </c>
      <c r="C67" s="43"/>
      <c r="D67" s="44"/>
      <c r="E67" s="44"/>
      <c r="F67" s="44"/>
      <c r="G67" s="44"/>
      <c r="H67" s="44"/>
      <c r="I67" s="44"/>
      <c r="J67" s="46"/>
      <c r="K67" s="37"/>
    </row>
    <row r="68" spans="1:19" ht="15" customHeight="1" x14ac:dyDescent="0.25">
      <c r="A68" s="18"/>
      <c r="B68" s="38" t="s">
        <v>50</v>
      </c>
      <c r="C68" s="37">
        <v>1</v>
      </c>
      <c r="D68" s="39">
        <f>(8.5*4+4*4)/3.281</f>
        <v>15.239256324291373</v>
      </c>
      <c r="E68" s="39"/>
      <c r="F68" s="39">
        <v>1.8</v>
      </c>
      <c r="G68" s="40">
        <f>PRODUCT(C68:F68)</f>
        <v>27.430661383724473</v>
      </c>
      <c r="H68" s="41"/>
      <c r="I68" s="41"/>
      <c r="J68" s="41"/>
      <c r="K68" s="21"/>
      <c r="M68" s="25"/>
      <c r="N68" s="1"/>
      <c r="O68" s="1"/>
      <c r="P68" s="1"/>
      <c r="Q68" s="1"/>
      <c r="R68" s="25"/>
      <c r="S68" s="25"/>
    </row>
    <row r="69" spans="1:19" ht="15" customHeight="1" x14ac:dyDescent="0.25">
      <c r="A69" s="18"/>
      <c r="B69" s="38" t="s">
        <v>49</v>
      </c>
      <c r="C69" s="37">
        <v>1</v>
      </c>
      <c r="D69" s="39">
        <f>(10*4)/3.281</f>
        <v>12.1914050594331</v>
      </c>
      <c r="E69" s="39"/>
      <c r="F69" s="39">
        <v>1.8</v>
      </c>
      <c r="G69" s="40">
        <f>PRODUCT(C69:F69)</f>
        <v>21.94452910697958</v>
      </c>
      <c r="H69" s="41"/>
      <c r="I69" s="41"/>
      <c r="J69" s="41"/>
      <c r="K69" s="21"/>
      <c r="M69" s="25"/>
      <c r="N69" s="1"/>
      <c r="O69" s="1"/>
      <c r="P69" s="1"/>
      <c r="Q69" s="1"/>
      <c r="R69" s="25"/>
      <c r="S69" s="25"/>
    </row>
    <row r="70" spans="1:19" ht="15" customHeight="1" x14ac:dyDescent="0.25">
      <c r="A70" s="18"/>
      <c r="B70" s="38" t="s">
        <v>71</v>
      </c>
      <c r="C70" s="37">
        <v>2</v>
      </c>
      <c r="D70" s="39">
        <f>4/3.281</f>
        <v>1.2191405059433098</v>
      </c>
      <c r="E70" s="39">
        <f>8.5/3.281</f>
        <v>2.5906735751295336</v>
      </c>
      <c r="F70" s="39"/>
      <c r="G70" s="40">
        <f>PRODUCT(C70:F70)</f>
        <v>6.3167901862347655</v>
      </c>
      <c r="H70" s="41"/>
      <c r="I70" s="41"/>
      <c r="J70" s="41"/>
      <c r="K70" s="21"/>
      <c r="M70" s="25"/>
      <c r="N70" s="1"/>
      <c r="O70" s="1"/>
      <c r="P70" s="1"/>
      <c r="Q70" s="1"/>
      <c r="R70" s="25"/>
      <c r="S70" s="25"/>
    </row>
    <row r="71" spans="1:19" ht="15" customHeight="1" x14ac:dyDescent="0.25">
      <c r="A71" s="18"/>
      <c r="B71" s="38" t="s">
        <v>42</v>
      </c>
      <c r="C71" s="37"/>
      <c r="D71" s="39"/>
      <c r="E71" s="39"/>
      <c r="F71" s="39"/>
      <c r="G71" s="35">
        <f>SUM(G68:G70)</f>
        <v>55.691980676938826</v>
      </c>
      <c r="H71" s="41" t="s">
        <v>47</v>
      </c>
      <c r="I71" s="41">
        <v>279.02999999999997</v>
      </c>
      <c r="J71" s="46">
        <f>G71*I71</f>
        <v>15539.733368286239</v>
      </c>
      <c r="K71" s="21"/>
      <c r="M71" s="25"/>
      <c r="N71" s="1"/>
      <c r="O71" s="1"/>
      <c r="P71" s="1"/>
      <c r="Q71" s="1"/>
      <c r="R71" s="25"/>
      <c r="S71" s="25"/>
    </row>
    <row r="72" spans="1:19" ht="15" customHeight="1" x14ac:dyDescent="0.25">
      <c r="A72" s="18"/>
      <c r="B72" s="38" t="s">
        <v>40</v>
      </c>
      <c r="C72" s="37"/>
      <c r="D72" s="39"/>
      <c r="E72" s="39"/>
      <c r="F72" s="39"/>
      <c r="G72" s="40"/>
      <c r="H72" s="41"/>
      <c r="I72" s="41"/>
      <c r="J72" s="46">
        <f>0.13*G71*(645.36/10)</f>
        <v>467.23789644570013</v>
      </c>
      <c r="K72" s="21"/>
      <c r="M72" s="25"/>
      <c r="N72" s="1"/>
      <c r="O72" s="1"/>
      <c r="P72" s="1"/>
      <c r="Q72" s="1"/>
      <c r="R72" s="25"/>
      <c r="S72" s="25"/>
    </row>
    <row r="73" spans="1:19" ht="15" customHeight="1" x14ac:dyDescent="0.25">
      <c r="A73" s="41"/>
      <c r="B73" s="38"/>
      <c r="C73" s="43"/>
      <c r="D73" s="44"/>
      <c r="E73" s="44"/>
      <c r="F73" s="44"/>
      <c r="G73" s="44"/>
      <c r="H73" s="44"/>
      <c r="I73" s="44"/>
      <c r="J73" s="46"/>
      <c r="K73" s="37"/>
    </row>
    <row r="74" spans="1:19" ht="15" customHeight="1" x14ac:dyDescent="0.25">
      <c r="A74" s="18">
        <v>11</v>
      </c>
      <c r="B74" s="30" t="s">
        <v>30</v>
      </c>
      <c r="C74" s="19">
        <v>1</v>
      </c>
      <c r="D74" s="20"/>
      <c r="E74" s="21"/>
      <c r="F74" s="21"/>
      <c r="G74" s="35">
        <f t="shared" ref="G74" si="4">PRODUCT(C74:F74)</f>
        <v>1</v>
      </c>
      <c r="H74" s="22" t="s">
        <v>31</v>
      </c>
      <c r="I74" s="23">
        <v>500</v>
      </c>
      <c r="J74" s="35">
        <f>G74*I74</f>
        <v>500</v>
      </c>
      <c r="K74" s="21"/>
      <c r="M74" s="25"/>
      <c r="N74" s="1"/>
      <c r="O74" s="1"/>
      <c r="P74" s="1"/>
      <c r="Q74" s="1"/>
      <c r="R74" s="25"/>
      <c r="S74" s="25"/>
    </row>
    <row r="75" spans="1:19" ht="15" customHeight="1" x14ac:dyDescent="0.25">
      <c r="A75" s="18"/>
      <c r="B75" s="24"/>
      <c r="C75" s="19"/>
      <c r="D75" s="20"/>
      <c r="E75" s="21"/>
      <c r="F75" s="21"/>
      <c r="G75" s="23"/>
      <c r="H75" s="22"/>
      <c r="I75" s="23"/>
      <c r="J75" s="42"/>
      <c r="K75" s="21"/>
      <c r="M75" s="25"/>
      <c r="N75" s="1"/>
      <c r="O75" s="1"/>
      <c r="P75" s="1"/>
      <c r="Q75" s="1"/>
      <c r="R75" s="25"/>
      <c r="S75" s="25"/>
    </row>
    <row r="76" spans="1:19" x14ac:dyDescent="0.25">
      <c r="A76" s="41"/>
      <c r="B76" s="47" t="s">
        <v>17</v>
      </c>
      <c r="C76" s="48"/>
      <c r="D76" s="39"/>
      <c r="E76" s="39"/>
      <c r="F76" s="39"/>
      <c r="G76" s="42"/>
      <c r="H76" s="42"/>
      <c r="I76" s="42"/>
      <c r="J76" s="42">
        <f>SUM(J10:J74)</f>
        <v>299144.36547088821</v>
      </c>
      <c r="K76" s="37"/>
    </row>
    <row r="77" spans="1:19" x14ac:dyDescent="0.25">
      <c r="A77" s="59"/>
      <c r="B77" s="62"/>
      <c r="C77" s="63"/>
      <c r="D77" s="60"/>
      <c r="E77" s="60"/>
      <c r="F77" s="60"/>
      <c r="G77" s="61"/>
      <c r="H77" s="61"/>
      <c r="I77" s="61"/>
      <c r="J77" s="61"/>
      <c r="K77" s="58"/>
    </row>
    <row r="78" spans="1:19" s="1" customFormat="1" x14ac:dyDescent="0.25">
      <c r="A78" s="51"/>
      <c r="B78" s="29" t="s">
        <v>27</v>
      </c>
      <c r="C78" s="84">
        <f>J76</f>
        <v>299144.36547088821</v>
      </c>
      <c r="D78" s="84"/>
      <c r="E78" s="40">
        <v>100</v>
      </c>
      <c r="F78" s="52"/>
      <c r="G78" s="53"/>
      <c r="H78" s="52"/>
      <c r="I78" s="54"/>
      <c r="J78" s="55"/>
      <c r="K78" s="56"/>
    </row>
    <row r="79" spans="1:19" x14ac:dyDescent="0.25">
      <c r="A79" s="57"/>
      <c r="B79" s="29" t="s">
        <v>32</v>
      </c>
      <c r="C79" s="87">
        <v>200000</v>
      </c>
      <c r="D79" s="87"/>
      <c r="E79" s="40"/>
      <c r="F79" s="50"/>
      <c r="G79" s="49"/>
      <c r="H79" s="49"/>
      <c r="I79" s="49"/>
      <c r="J79" s="49"/>
      <c r="K79" s="50"/>
    </row>
    <row r="80" spans="1:19" x14ac:dyDescent="0.25">
      <c r="A80" s="57"/>
      <c r="B80" s="29" t="s">
        <v>33</v>
      </c>
      <c r="C80" s="87">
        <f>C79-C82-C83</f>
        <v>190000</v>
      </c>
      <c r="D80" s="87"/>
      <c r="E80" s="40">
        <f>C80/C78*100</f>
        <v>63.514483951893183</v>
      </c>
      <c r="F80" s="50"/>
      <c r="G80" s="49"/>
      <c r="H80" s="49"/>
      <c r="I80" s="49"/>
      <c r="J80" s="49"/>
      <c r="K80" s="50"/>
    </row>
    <row r="81" spans="1:11" x14ac:dyDescent="0.25">
      <c r="A81" s="57"/>
      <c r="B81" s="29" t="s">
        <v>34</v>
      </c>
      <c r="C81" s="84">
        <f>C78-C80</f>
        <v>109144.36547088821</v>
      </c>
      <c r="D81" s="84"/>
      <c r="E81" s="40">
        <f>100-E80</f>
        <v>36.485516048106817</v>
      </c>
      <c r="F81" s="50"/>
      <c r="G81" s="49"/>
      <c r="H81" s="49"/>
      <c r="I81" s="49"/>
      <c r="J81" s="49"/>
      <c r="K81" s="50"/>
    </row>
    <row r="82" spans="1:11" x14ac:dyDescent="0.25">
      <c r="A82" s="57"/>
      <c r="B82" s="29" t="s">
        <v>35</v>
      </c>
      <c r="C82" s="84">
        <f>C79*0.03</f>
        <v>6000</v>
      </c>
      <c r="D82" s="84"/>
      <c r="E82" s="40">
        <v>3</v>
      </c>
      <c r="F82" s="50"/>
      <c r="G82" s="49"/>
      <c r="H82" s="49"/>
      <c r="I82" s="49"/>
      <c r="J82" s="49"/>
      <c r="K82" s="50"/>
    </row>
    <row r="83" spans="1:11" x14ac:dyDescent="0.25">
      <c r="A83" s="57"/>
      <c r="B83" s="29" t="s">
        <v>36</v>
      </c>
      <c r="C83" s="84">
        <f>C79*0.02</f>
        <v>4000</v>
      </c>
      <c r="D83" s="84"/>
      <c r="E83" s="40">
        <v>2</v>
      </c>
      <c r="F83" s="50"/>
      <c r="G83" s="49"/>
      <c r="H83" s="49"/>
      <c r="I83" s="49"/>
      <c r="J83" s="49"/>
      <c r="K83" s="50"/>
    </row>
    <row r="84" spans="1:11" s="36" customFormat="1" x14ac:dyDescent="0.25">
      <c r="A84" s="58"/>
      <c r="B84" s="58"/>
      <c r="C84" s="58"/>
      <c r="D84" s="58"/>
      <c r="E84" s="58"/>
      <c r="F84" s="58"/>
      <c r="G84" s="58"/>
      <c r="H84" s="58"/>
      <c r="I84" s="58"/>
      <c r="J84" s="58"/>
      <c r="K84" s="58"/>
    </row>
    <row r="85" spans="1:11" s="36" customFormat="1" x14ac:dyDescent="0.25"/>
    <row r="86" spans="1:11" s="36" customFormat="1" x14ac:dyDescent="0.25"/>
    <row r="87" spans="1:11" s="36" customFormat="1" x14ac:dyDescent="0.25"/>
    <row r="88" spans="1:11" s="36" customFormat="1" x14ac:dyDescent="0.25"/>
    <row r="89" spans="1:11" s="36" customFormat="1" x14ac:dyDescent="0.25"/>
    <row r="90" spans="1:11" s="36" customFormat="1" x14ac:dyDescent="0.25"/>
    <row r="91" spans="1:11" s="36" customFormat="1" x14ac:dyDescent="0.25"/>
    <row r="92" spans="1:11" s="36" customFormat="1" x14ac:dyDescent="0.25"/>
    <row r="93" spans="1:11" s="36" customFormat="1" x14ac:dyDescent="0.25"/>
    <row r="94" spans="1:11" s="36" customFormat="1" x14ac:dyDescent="0.25"/>
    <row r="95" spans="1:11" s="36" customFormat="1" x14ac:dyDescent="0.25"/>
    <row r="96" spans="1:11"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sheetData>
  <mergeCells count="15">
    <mergeCell ref="A6:F6"/>
    <mergeCell ref="H6:K6"/>
    <mergeCell ref="A1:K1"/>
    <mergeCell ref="A2:K2"/>
    <mergeCell ref="A3:K3"/>
    <mergeCell ref="A4:K4"/>
    <mergeCell ref="A5:K5"/>
    <mergeCell ref="C82:D82"/>
    <mergeCell ref="C83:D83"/>
    <mergeCell ref="A7:F7"/>
    <mergeCell ref="H7:K7"/>
    <mergeCell ref="C78:D78"/>
    <mergeCell ref="C79:D79"/>
    <mergeCell ref="C80:D80"/>
    <mergeCell ref="C81:D81"/>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tabSelected="1" topLeftCell="A64"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9" t="s">
        <v>0</v>
      </c>
      <c r="B1" s="89"/>
      <c r="C1" s="89"/>
      <c r="D1" s="89"/>
      <c r="E1" s="89"/>
      <c r="F1" s="89"/>
      <c r="G1" s="89"/>
      <c r="H1" s="89"/>
      <c r="I1" s="89"/>
      <c r="J1" s="89"/>
      <c r="K1" s="89"/>
    </row>
    <row r="2" spans="1:19" s="1" customFormat="1" ht="22.5" x14ac:dyDescent="0.25">
      <c r="A2" s="90" t="s">
        <v>1</v>
      </c>
      <c r="B2" s="90"/>
      <c r="C2" s="90"/>
      <c r="D2" s="90"/>
      <c r="E2" s="90"/>
      <c r="F2" s="90"/>
      <c r="G2" s="90"/>
      <c r="H2" s="90"/>
      <c r="I2" s="90"/>
      <c r="J2" s="90"/>
      <c r="K2" s="90"/>
    </row>
    <row r="3" spans="1:19" s="1" customFormat="1" x14ac:dyDescent="0.25">
      <c r="A3" s="82" t="s">
        <v>2</v>
      </c>
      <c r="B3" s="82"/>
      <c r="C3" s="82"/>
      <c r="D3" s="82"/>
      <c r="E3" s="82"/>
      <c r="F3" s="82"/>
      <c r="G3" s="82"/>
      <c r="H3" s="82"/>
      <c r="I3" s="82"/>
      <c r="J3" s="82"/>
      <c r="K3" s="82"/>
    </row>
    <row r="4" spans="1:19" s="1" customFormat="1" x14ac:dyDescent="0.25">
      <c r="A4" s="82" t="s">
        <v>3</v>
      </c>
      <c r="B4" s="82"/>
      <c r="C4" s="82"/>
      <c r="D4" s="82"/>
      <c r="E4" s="82"/>
      <c r="F4" s="82"/>
      <c r="G4" s="82"/>
      <c r="H4" s="82"/>
      <c r="I4" s="82"/>
      <c r="J4" s="82"/>
      <c r="K4" s="82"/>
    </row>
    <row r="5" spans="1:19" ht="18.75" x14ac:dyDescent="0.3">
      <c r="A5" s="91" t="s">
        <v>4</v>
      </c>
      <c r="B5" s="91"/>
      <c r="C5" s="91"/>
      <c r="D5" s="91"/>
      <c r="E5" s="91"/>
      <c r="F5" s="91"/>
      <c r="G5" s="91"/>
      <c r="H5" s="91"/>
      <c r="I5" s="91"/>
      <c r="J5" s="91"/>
      <c r="K5" s="91"/>
    </row>
    <row r="6" spans="1:19" ht="15.75" x14ac:dyDescent="0.25">
      <c r="A6" s="72" t="s">
        <v>74</v>
      </c>
      <c r="B6" s="72"/>
      <c r="C6" s="72"/>
      <c r="D6" s="72"/>
      <c r="E6" s="72"/>
      <c r="F6" s="72"/>
      <c r="G6" s="2"/>
      <c r="H6" s="88" t="s">
        <v>43</v>
      </c>
      <c r="I6" s="88"/>
      <c r="J6" s="88"/>
      <c r="K6" s="88"/>
    </row>
    <row r="7" spans="1:19" ht="15.75" x14ac:dyDescent="0.25">
      <c r="A7" s="85" t="s">
        <v>28</v>
      </c>
      <c r="B7" s="85"/>
      <c r="C7" s="85"/>
      <c r="D7" s="85"/>
      <c r="E7" s="85"/>
      <c r="F7" s="85"/>
      <c r="G7" s="3"/>
      <c r="H7" s="86" t="s">
        <v>75</v>
      </c>
      <c r="I7" s="86"/>
      <c r="J7" s="86"/>
      <c r="K7" s="86"/>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8">
        <v>1</v>
      </c>
      <c r="B9" s="64" t="s">
        <v>44</v>
      </c>
      <c r="C9" s="37"/>
      <c r="D9" s="37"/>
      <c r="E9" s="37"/>
      <c r="F9" s="37"/>
      <c r="G9" s="37"/>
      <c r="H9" s="37"/>
      <c r="I9" s="37"/>
      <c r="J9" s="37"/>
      <c r="K9" s="37"/>
    </row>
    <row r="10" spans="1:19" ht="15" customHeight="1" x14ac:dyDescent="0.25">
      <c r="A10" s="18"/>
      <c r="B10" s="38" t="s">
        <v>53</v>
      </c>
      <c r="C10" s="37">
        <v>1</v>
      </c>
      <c r="D10" s="39">
        <f>(10+0.333)/3.281</f>
        <v>3.1493447119780553</v>
      </c>
      <c r="E10" s="39">
        <f>(10+0.333)/3.281</f>
        <v>3.1493447119780553</v>
      </c>
      <c r="F10" s="39">
        <f>(5+0.333+0.667)/3.281</f>
        <v>1.8287107589149649</v>
      </c>
      <c r="G10" s="40">
        <f>PRODUCT(C10:F10)</f>
        <v>18.137833797374228</v>
      </c>
      <c r="H10" s="41"/>
      <c r="I10" s="41"/>
      <c r="J10" s="41"/>
      <c r="K10" s="21"/>
      <c r="M10" s="25"/>
      <c r="N10" s="1">
        <f>CONVERT((D10*E10),"m2","ft2")</f>
        <v>106.76046892398936</v>
      </c>
      <c r="O10" s="1"/>
      <c r="P10" s="1"/>
      <c r="Q10" s="1"/>
      <c r="R10" s="25"/>
      <c r="S10" s="25"/>
    </row>
    <row r="11" spans="1:19" ht="15" customHeight="1" x14ac:dyDescent="0.25">
      <c r="A11" s="18"/>
      <c r="B11" s="38" t="s">
        <v>42</v>
      </c>
      <c r="C11" s="19"/>
      <c r="D11" s="20"/>
      <c r="E11" s="21"/>
      <c r="F11" s="21"/>
      <c r="G11" s="23">
        <f>SUM(G10:G10)</f>
        <v>18.137833797374228</v>
      </c>
      <c r="H11" s="22" t="s">
        <v>41</v>
      </c>
      <c r="I11" s="23">
        <v>663.31</v>
      </c>
      <c r="J11" s="42">
        <f>G11*I11</f>
        <v>12031.006536136298</v>
      </c>
      <c r="K11" s="21"/>
      <c r="M11" s="25"/>
      <c r="N11" s="1"/>
      <c r="O11" s="1"/>
      <c r="P11" s="1"/>
      <c r="Q11" s="1"/>
      <c r="R11" s="25"/>
      <c r="S11" s="25"/>
    </row>
    <row r="12" spans="1:19" ht="15" customHeight="1" x14ac:dyDescent="0.25">
      <c r="A12" s="18"/>
      <c r="B12" s="24"/>
      <c r="C12" s="19"/>
      <c r="D12" s="20"/>
      <c r="E12" s="21"/>
      <c r="F12" s="21"/>
      <c r="G12" s="23"/>
      <c r="H12" s="22"/>
      <c r="I12" s="23"/>
      <c r="J12" s="42"/>
      <c r="K12" s="21"/>
      <c r="M12" s="25"/>
      <c r="N12" s="1"/>
      <c r="O12" s="1"/>
      <c r="P12" s="1"/>
      <c r="Q12" s="1"/>
      <c r="R12" s="25"/>
      <c r="S12" s="25"/>
    </row>
    <row r="13" spans="1:19" ht="30.75" x14ac:dyDescent="0.25">
      <c r="A13" s="18">
        <v>2</v>
      </c>
      <c r="B13" s="64" t="s">
        <v>45</v>
      </c>
      <c r="C13" s="19"/>
      <c r="D13" s="20"/>
      <c r="E13" s="21"/>
      <c r="F13" s="21"/>
      <c r="G13" s="23"/>
      <c r="H13" s="22"/>
      <c r="I13" s="23"/>
      <c r="J13" s="42"/>
      <c r="K13" s="21"/>
      <c r="M13" s="25"/>
      <c r="N13" s="1"/>
      <c r="O13" s="1"/>
      <c r="P13" s="1"/>
      <c r="Q13" s="25"/>
      <c r="R13" s="25"/>
    </row>
    <row r="14" spans="1:19" ht="15" customHeight="1" x14ac:dyDescent="0.25">
      <c r="A14" s="18"/>
      <c r="B14" s="38" t="str">
        <f>B10</f>
        <v>-for toilet</v>
      </c>
      <c r="C14" s="37">
        <v>1</v>
      </c>
      <c r="D14" s="39">
        <f>D10</f>
        <v>3.1493447119780553</v>
      </c>
      <c r="E14" s="39">
        <f>E10</f>
        <v>3.1493447119780553</v>
      </c>
      <c r="F14" s="39">
        <f>0.15</f>
        <v>0.15</v>
      </c>
      <c r="G14" s="40">
        <f>PRODUCT(C14:F14)</f>
        <v>1.487755817229621</v>
      </c>
      <c r="H14" s="41"/>
      <c r="I14" s="41"/>
      <c r="J14" s="41"/>
      <c r="K14" s="21"/>
      <c r="M14" s="25"/>
      <c r="N14" s="1"/>
      <c r="O14" s="1"/>
      <c r="P14" s="1"/>
      <c r="Q14" s="25"/>
      <c r="R14" s="25"/>
    </row>
    <row r="15" spans="1:19" ht="15" customHeight="1" x14ac:dyDescent="0.25">
      <c r="A15" s="41"/>
      <c r="B15" s="38" t="s">
        <v>42</v>
      </c>
      <c r="C15" s="43"/>
      <c r="D15" s="44"/>
      <c r="E15" s="44"/>
      <c r="F15" s="44"/>
      <c r="G15" s="34">
        <f>SUM(G14:G14)</f>
        <v>1.487755817229621</v>
      </c>
      <c r="H15" s="34" t="s">
        <v>41</v>
      </c>
      <c r="I15" s="34">
        <v>4473.1499999999996</v>
      </c>
      <c r="J15" s="45">
        <f>G15*I15</f>
        <v>6654.9549338406787</v>
      </c>
      <c r="K15" s="37"/>
    </row>
    <row r="16" spans="1:19" x14ac:dyDescent="0.25">
      <c r="A16" s="41"/>
      <c r="B16" s="38" t="s">
        <v>40</v>
      </c>
      <c r="C16" s="43"/>
      <c r="D16" s="44"/>
      <c r="E16" s="44"/>
      <c r="F16" s="44"/>
      <c r="G16" s="44"/>
      <c r="H16" s="44"/>
      <c r="I16" s="44"/>
      <c r="J16" s="46">
        <f>0.13*G15*(3093.15)</f>
        <v>598.24074778829436</v>
      </c>
      <c r="K16" s="37"/>
    </row>
    <row r="17" spans="1:18" x14ac:dyDescent="0.25">
      <c r="A17" s="41"/>
      <c r="B17" s="38"/>
      <c r="C17" s="43"/>
      <c r="D17" s="44"/>
      <c r="E17" s="44"/>
      <c r="F17" s="44"/>
      <c r="G17" s="44"/>
      <c r="H17" s="44"/>
      <c r="I17" s="44"/>
      <c r="J17" s="46"/>
      <c r="K17" s="37"/>
    </row>
    <row r="18" spans="1:18" ht="30.75" x14ac:dyDescent="0.25">
      <c r="A18" s="18">
        <v>3</v>
      </c>
      <c r="B18" s="64" t="s">
        <v>46</v>
      </c>
      <c r="C18" s="19"/>
      <c r="D18" s="20"/>
      <c r="E18" s="21"/>
      <c r="F18" s="21"/>
      <c r="G18" s="23"/>
      <c r="H18" s="22"/>
      <c r="I18" s="23"/>
      <c r="J18" s="42"/>
      <c r="K18" s="21"/>
      <c r="M18" s="25"/>
      <c r="N18" s="1"/>
      <c r="O18" s="1"/>
      <c r="P18" s="1"/>
      <c r="Q18" s="25"/>
      <c r="R18" s="25"/>
    </row>
    <row r="19" spans="1:18" ht="15" customHeight="1" x14ac:dyDescent="0.25">
      <c r="A19" s="18"/>
      <c r="B19" s="38" t="str">
        <f>B10</f>
        <v>-for toilet</v>
      </c>
      <c r="C19" s="37">
        <v>1</v>
      </c>
      <c r="D19" s="39">
        <f>D10</f>
        <v>3.1493447119780553</v>
      </c>
      <c r="E19" s="39">
        <f>E10</f>
        <v>3.1493447119780553</v>
      </c>
      <c r="F19" s="39">
        <v>7.4999999999999997E-2</v>
      </c>
      <c r="G19" s="40">
        <f>PRODUCT(C19:F19)</f>
        <v>0.74387790861481051</v>
      </c>
      <c r="H19" s="41"/>
      <c r="I19" s="41"/>
      <c r="J19" s="41"/>
      <c r="K19" s="21"/>
      <c r="M19" s="25"/>
      <c r="N19" s="1"/>
      <c r="O19" s="1"/>
      <c r="P19" s="1"/>
      <c r="Q19" s="25"/>
      <c r="R19" s="25"/>
    </row>
    <row r="20" spans="1:18" ht="15" customHeight="1" x14ac:dyDescent="0.25">
      <c r="A20" s="41"/>
      <c r="B20" s="38" t="s">
        <v>42</v>
      </c>
      <c r="C20" s="43"/>
      <c r="D20" s="44"/>
      <c r="E20" s="44"/>
      <c r="F20" s="44"/>
      <c r="G20" s="34">
        <f>SUM(G19:G19)</f>
        <v>0.74387790861481051</v>
      </c>
      <c r="H20" s="34" t="s">
        <v>41</v>
      </c>
      <c r="I20" s="34">
        <v>12983.1</v>
      </c>
      <c r="J20" s="45">
        <f>G20*I20</f>
        <v>9657.8412753369466</v>
      </c>
      <c r="K20" s="37"/>
    </row>
    <row r="21" spans="1:18" ht="15" customHeight="1" x14ac:dyDescent="0.25">
      <c r="A21" s="41"/>
      <c r="B21" s="38" t="s">
        <v>40</v>
      </c>
      <c r="C21" s="43"/>
      <c r="D21" s="44"/>
      <c r="E21" s="44"/>
      <c r="F21" s="44"/>
      <c r="G21" s="44"/>
      <c r="H21" s="44"/>
      <c r="I21" s="44"/>
      <c r="J21" s="46">
        <f>0.13*G20*(8078.11)</f>
        <v>781.18658440685033</v>
      </c>
      <c r="K21" s="37"/>
    </row>
    <row r="22" spans="1:18" ht="15" customHeight="1" x14ac:dyDescent="0.25">
      <c r="A22" s="41"/>
      <c r="B22" s="38"/>
      <c r="C22" s="43"/>
      <c r="D22" s="44"/>
      <c r="E22" s="44"/>
      <c r="F22" s="44"/>
      <c r="G22" s="44"/>
      <c r="H22" s="44"/>
      <c r="I22" s="44"/>
      <c r="J22" s="46"/>
      <c r="K22" s="37"/>
    </row>
    <row r="23" spans="1:18" ht="30.75" x14ac:dyDescent="0.25">
      <c r="A23" s="18">
        <v>4</v>
      </c>
      <c r="B23" s="64" t="s">
        <v>61</v>
      </c>
      <c r="C23" s="19"/>
      <c r="D23" s="20"/>
      <c r="E23" s="21"/>
      <c r="F23" s="21"/>
      <c r="G23" s="23"/>
      <c r="H23" s="22"/>
      <c r="I23" s="23"/>
      <c r="J23" s="42"/>
      <c r="K23" s="21"/>
      <c r="M23" s="25"/>
      <c r="N23" s="1"/>
      <c r="O23" s="1"/>
      <c r="P23" s="1"/>
      <c r="Q23" s="25"/>
      <c r="R23" s="25"/>
    </row>
    <row r="24" spans="1:18" ht="15" customHeight="1" x14ac:dyDescent="0.25">
      <c r="A24" s="18"/>
      <c r="B24" s="38" t="str">
        <f>B10</f>
        <v>-for toilet</v>
      </c>
      <c r="C24" s="37">
        <v>1</v>
      </c>
      <c r="D24" s="39">
        <f>10/3.281</f>
        <v>3.047851264858275</v>
      </c>
      <c r="E24" s="39">
        <f>10/3.281</f>
        <v>3.047851264858275</v>
      </c>
      <c r="F24" s="39"/>
      <c r="G24" s="40">
        <f>PRODUCT(C24:F24)</f>
        <v>9.2893973326981865</v>
      </c>
      <c r="H24" s="41"/>
      <c r="I24" s="41"/>
      <c r="J24" s="41"/>
      <c r="K24" s="21"/>
      <c r="M24" s="25"/>
      <c r="N24" s="1"/>
      <c r="O24" s="1"/>
      <c r="P24" s="1"/>
      <c r="Q24" s="25"/>
      <c r="R24" s="25"/>
    </row>
    <row r="25" spans="1:18" ht="15" hidden="1" customHeight="1" x14ac:dyDescent="0.25">
      <c r="A25" s="18"/>
      <c r="B25" s="38" t="s">
        <v>65</v>
      </c>
      <c r="C25" s="37">
        <f>0*1</f>
        <v>0</v>
      </c>
      <c r="D25" s="39">
        <f>(1+10+1)/3.281</f>
        <v>3.6574215178299299</v>
      </c>
      <c r="E25" s="39">
        <f>(1+10+1)/3.281</f>
        <v>3.6574215178299299</v>
      </c>
      <c r="F25" s="39"/>
      <c r="G25" s="40">
        <f>PRODUCT(C25:F25)</f>
        <v>0</v>
      </c>
      <c r="H25" s="41"/>
      <c r="I25" s="41"/>
      <c r="J25" s="41"/>
      <c r="K25" s="21"/>
      <c r="M25" s="25"/>
      <c r="N25" s="1"/>
      <c r="O25" s="1"/>
      <c r="P25" s="1"/>
      <c r="Q25" s="25"/>
      <c r="R25" s="25"/>
    </row>
    <row r="26" spans="1:18" ht="15" customHeight="1" x14ac:dyDescent="0.25">
      <c r="A26" s="41"/>
      <c r="B26" s="38" t="s">
        <v>42</v>
      </c>
      <c r="C26" s="43"/>
      <c r="D26" s="44"/>
      <c r="E26" s="44"/>
      <c r="F26" s="44"/>
      <c r="G26" s="34">
        <f>SUM(G24:G25)</f>
        <v>9.2893973326981865</v>
      </c>
      <c r="H26" s="34" t="s">
        <v>62</v>
      </c>
      <c r="I26" s="34">
        <v>915.42</v>
      </c>
      <c r="J26" s="45">
        <f>G26*I26</f>
        <v>8503.7001062985728</v>
      </c>
      <c r="K26" s="37"/>
    </row>
    <row r="27" spans="1:18" ht="15" customHeight="1" x14ac:dyDescent="0.25">
      <c r="A27" s="41"/>
      <c r="B27" s="38" t="s">
        <v>40</v>
      </c>
      <c r="C27" s="43"/>
      <c r="D27" s="44"/>
      <c r="E27" s="44"/>
      <c r="F27" s="44"/>
      <c r="G27" s="44"/>
      <c r="H27" s="44"/>
      <c r="I27" s="44"/>
      <c r="J27" s="46">
        <f>0.13*G26*46827.87/100</f>
        <v>565.50349787611867</v>
      </c>
      <c r="K27" s="37"/>
    </row>
    <row r="28" spans="1:18" ht="15" customHeight="1" x14ac:dyDescent="0.25">
      <c r="A28" s="41"/>
      <c r="B28" s="38"/>
      <c r="C28" s="43"/>
      <c r="D28" s="44"/>
      <c r="E28" s="44"/>
      <c r="F28" s="44"/>
      <c r="G28" s="44"/>
      <c r="H28" s="44"/>
      <c r="I28" s="44"/>
      <c r="J28" s="46"/>
      <c r="K28" s="37"/>
    </row>
    <row r="29" spans="1:18" ht="45" x14ac:dyDescent="0.25">
      <c r="A29" s="18">
        <v>5</v>
      </c>
      <c r="B29" s="64" t="s">
        <v>55</v>
      </c>
      <c r="C29" s="19" t="s">
        <v>7</v>
      </c>
      <c r="D29" s="65" t="s">
        <v>56</v>
      </c>
      <c r="E29" s="66" t="s">
        <v>57</v>
      </c>
      <c r="F29" s="66" t="s">
        <v>58</v>
      </c>
      <c r="G29" s="67" t="s">
        <v>59</v>
      </c>
      <c r="H29" s="22"/>
      <c r="I29" s="23"/>
      <c r="J29" s="42"/>
      <c r="K29" s="21"/>
      <c r="M29" s="25"/>
      <c r="N29" s="1"/>
      <c r="O29" s="1"/>
      <c r="P29" s="1"/>
      <c r="Q29" s="25"/>
      <c r="R29" s="25"/>
    </row>
    <row r="30" spans="1:18" ht="15" customHeight="1" x14ac:dyDescent="0.25">
      <c r="A30" s="18"/>
      <c r="B30" s="38" t="s">
        <v>64</v>
      </c>
      <c r="C30" s="37">
        <f>2*(TRUNC((D30-0.1)/0.15,0)+1)</f>
        <v>40</v>
      </c>
      <c r="D30" s="39">
        <f>D24</f>
        <v>3.047851264858275</v>
      </c>
      <c r="E30" s="39">
        <f>8*8/162</f>
        <v>0.39506172839506171</v>
      </c>
      <c r="F30" s="39">
        <f>PRODUCT(C30:E30)</f>
        <v>48.163575543439407</v>
      </c>
      <c r="G30" s="40">
        <f>F30/1000</f>
        <v>4.8163575543439405E-2</v>
      </c>
      <c r="H30" s="41"/>
      <c r="I30" s="41"/>
      <c r="J30" s="41"/>
      <c r="K30" s="21"/>
      <c r="M30" s="25"/>
      <c r="N30" s="1"/>
      <c r="O30" s="1"/>
      <c r="P30" s="1"/>
      <c r="Q30" s="25"/>
      <c r="R30" s="25"/>
    </row>
    <row r="31" spans="1:18" ht="15" customHeight="1" x14ac:dyDescent="0.25">
      <c r="A31" s="18"/>
      <c r="B31" s="38" t="s">
        <v>60</v>
      </c>
      <c r="C31" s="37">
        <f>2*2*(TRUNC((D31-0.1)/0.15,0)+1)</f>
        <v>80</v>
      </c>
      <c r="D31" s="39">
        <f>D24</f>
        <v>3.047851264858275</v>
      </c>
      <c r="E31" s="39">
        <f>8*8/162</f>
        <v>0.39506172839506171</v>
      </c>
      <c r="F31" s="39">
        <f>PRODUCT(C31:E31)</f>
        <v>96.327151086878814</v>
      </c>
      <c r="G31" s="40">
        <f>F31/1000</f>
        <v>9.6327151086878809E-2</v>
      </c>
      <c r="H31" s="41"/>
      <c r="I31" s="41"/>
      <c r="J31" s="41"/>
      <c r="K31" s="21"/>
      <c r="M31" s="25"/>
      <c r="N31" s="1"/>
      <c r="O31" s="1"/>
      <c r="P31" s="1"/>
      <c r="Q31" s="25"/>
      <c r="R31" s="25"/>
    </row>
    <row r="32" spans="1:18" ht="15" hidden="1" customHeight="1" x14ac:dyDescent="0.25">
      <c r="A32" s="18"/>
      <c r="B32" s="38" t="str">
        <f>B25</f>
        <v>-for toilet roof</v>
      </c>
      <c r="C32" s="37">
        <f>0*2*2*(TRUNC((D32-0.1)/0.15,0)+1)</f>
        <v>0</v>
      </c>
      <c r="D32" s="39">
        <f>D25</f>
        <v>3.6574215178299299</v>
      </c>
      <c r="E32" s="39">
        <f>8*8/162</f>
        <v>0.39506172839506171</v>
      </c>
      <c r="F32" s="39">
        <f>PRODUCT(C32:E32)</f>
        <v>0</v>
      </c>
      <c r="G32" s="40">
        <f>F32/1000</f>
        <v>0</v>
      </c>
      <c r="H32" s="41"/>
      <c r="I32" s="41"/>
      <c r="J32" s="41"/>
      <c r="K32" s="21"/>
      <c r="M32" s="25"/>
      <c r="N32" s="1"/>
      <c r="O32" s="1"/>
      <c r="P32" s="1"/>
      <c r="Q32" s="25"/>
      <c r="R32" s="25"/>
    </row>
    <row r="33" spans="1:11" ht="15" customHeight="1" x14ac:dyDescent="0.25">
      <c r="A33" s="41"/>
      <c r="B33" s="38" t="s">
        <v>42</v>
      </c>
      <c r="C33" s="43"/>
      <c r="D33" s="44"/>
      <c r="E33" s="44"/>
      <c r="F33" s="44"/>
      <c r="G33" s="34">
        <f>SUM(G30:G32)</f>
        <v>0.1444907266303182</v>
      </c>
      <c r="H33" s="34" t="s">
        <v>63</v>
      </c>
      <c r="I33" s="34">
        <v>131940</v>
      </c>
      <c r="J33" s="45">
        <f>G33*I33</f>
        <v>19064.106471604184</v>
      </c>
      <c r="K33" s="37"/>
    </row>
    <row r="34" spans="1:11" ht="15" customHeight="1" x14ac:dyDescent="0.25">
      <c r="A34" s="41"/>
      <c r="B34" s="38" t="s">
        <v>40</v>
      </c>
      <c r="C34" s="43"/>
      <c r="D34" s="44"/>
      <c r="E34" s="44"/>
      <c r="F34" s="44"/>
      <c r="G34" s="44"/>
      <c r="H34" s="44"/>
      <c r="I34" s="44"/>
      <c r="J34" s="46">
        <f>0.13*G33*106200</f>
        <v>1994.8389718581732</v>
      </c>
      <c r="K34" s="37"/>
    </row>
    <row r="35" spans="1:11" ht="15" customHeight="1" x14ac:dyDescent="0.25">
      <c r="A35" s="41"/>
      <c r="B35" s="38"/>
      <c r="C35" s="43"/>
      <c r="D35" s="44"/>
      <c r="E35" s="44"/>
      <c r="F35" s="44"/>
      <c r="G35" s="44"/>
      <c r="H35" s="44"/>
      <c r="I35" s="44"/>
      <c r="J35" s="46"/>
      <c r="K35" s="37"/>
    </row>
    <row r="36" spans="1:11" ht="30.75" x14ac:dyDescent="0.25">
      <c r="A36" s="68">
        <v>6</v>
      </c>
      <c r="B36" s="64" t="s">
        <v>54</v>
      </c>
      <c r="C36" s="43"/>
      <c r="D36" s="44"/>
      <c r="E36" s="44"/>
      <c r="F36" s="44"/>
      <c r="G36" s="44"/>
      <c r="H36" s="44"/>
      <c r="I36" s="44"/>
      <c r="J36" s="46"/>
      <c r="K36" s="37"/>
    </row>
    <row r="37" spans="1:11" ht="15" customHeight="1" x14ac:dyDescent="0.25">
      <c r="A37" s="41"/>
      <c r="B37" s="38" t="str">
        <f>B30</f>
        <v>-for toilet footing</v>
      </c>
      <c r="C37" s="43">
        <v>1</v>
      </c>
      <c r="D37" s="44">
        <f>(D10-0.1)</f>
        <v>3.0493447119780552</v>
      </c>
      <c r="E37" s="44">
        <f>(E10-0.1)</f>
        <v>3.0493447119780552</v>
      </c>
      <c r="F37" s="44">
        <v>0.1</v>
      </c>
      <c r="G37" s="40">
        <f>PRODUCT(C37:F37)</f>
        <v>0.92985031724685285</v>
      </c>
      <c r="H37" s="44"/>
      <c r="I37" s="44"/>
      <c r="J37" s="46"/>
      <c r="K37" s="37"/>
    </row>
    <row r="38" spans="1:11" ht="15" customHeight="1" x14ac:dyDescent="0.25">
      <c r="A38" s="41"/>
      <c r="B38" s="38" t="str">
        <f>B31</f>
        <v>-for toilet base</v>
      </c>
      <c r="C38" s="43">
        <v>1</v>
      </c>
      <c r="D38" s="44">
        <f>D24</f>
        <v>3.047851264858275</v>
      </c>
      <c r="E38" s="44">
        <f>E24</f>
        <v>3.047851264858275</v>
      </c>
      <c r="F38" s="44">
        <v>0.125</v>
      </c>
      <c r="G38" s="40">
        <f t="shared" ref="G38:G39" si="0">PRODUCT(C38:F38)</f>
        <v>1.1611746665872733</v>
      </c>
      <c r="H38" s="44"/>
      <c r="I38" s="44"/>
      <c r="J38" s="46"/>
      <c r="K38" s="37"/>
    </row>
    <row r="39" spans="1:11" ht="15" hidden="1" customHeight="1" x14ac:dyDescent="0.25">
      <c r="A39" s="41"/>
      <c r="B39" s="38" t="str">
        <f>B25</f>
        <v>-for toilet roof</v>
      </c>
      <c r="C39" s="43">
        <v>0</v>
      </c>
      <c r="D39" s="44">
        <f>D25</f>
        <v>3.6574215178299299</v>
      </c>
      <c r="E39" s="44">
        <f>E25</f>
        <v>3.6574215178299299</v>
      </c>
      <c r="F39" s="44">
        <v>0.125</v>
      </c>
      <c r="G39" s="40">
        <f t="shared" si="0"/>
        <v>0</v>
      </c>
      <c r="H39" s="44"/>
      <c r="I39" s="44"/>
      <c r="J39" s="46"/>
      <c r="K39" s="37"/>
    </row>
    <row r="40" spans="1:11" ht="15" customHeight="1" x14ac:dyDescent="0.25">
      <c r="A40" s="41"/>
      <c r="B40" s="38" t="s">
        <v>73</v>
      </c>
      <c r="C40" s="43">
        <v>-1</v>
      </c>
      <c r="D40" s="44">
        <v>0.1</v>
      </c>
      <c r="E40" s="44">
        <v>0.1</v>
      </c>
      <c r="F40" s="44">
        <v>0.125</v>
      </c>
      <c r="G40" s="69">
        <f>C40*F40*D40*E40*PI()</f>
        <v>-3.9269908169872417E-3</v>
      </c>
      <c r="H40" s="44"/>
      <c r="I40" s="44"/>
      <c r="J40" s="46"/>
      <c r="K40" s="37"/>
    </row>
    <row r="41" spans="1:11" ht="15" customHeight="1" x14ac:dyDescent="0.25">
      <c r="A41" s="41"/>
      <c r="B41" s="38" t="s">
        <v>42</v>
      </c>
      <c r="C41" s="43"/>
      <c r="D41" s="44"/>
      <c r="E41" s="44"/>
      <c r="F41" s="44"/>
      <c r="G41" s="34">
        <f>SUM(G37:G40)</f>
        <v>2.0870979930171387</v>
      </c>
      <c r="H41" s="34" t="s">
        <v>41</v>
      </c>
      <c r="I41" s="34">
        <v>13568.9</v>
      </c>
      <c r="J41" s="45">
        <f>G41*I41</f>
        <v>28319.623957450254</v>
      </c>
      <c r="K41" s="37"/>
    </row>
    <row r="42" spans="1:11" ht="15" customHeight="1" x14ac:dyDescent="0.25">
      <c r="A42" s="41"/>
      <c r="B42" s="38" t="s">
        <v>40</v>
      </c>
      <c r="C42" s="43"/>
      <c r="D42" s="44"/>
      <c r="E42" s="44"/>
      <c r="F42" s="44"/>
      <c r="G42" s="44"/>
      <c r="H42" s="44"/>
      <c r="I42" s="44"/>
      <c r="J42" s="46">
        <f>0.13*G41*(9524.2)</f>
        <v>2584.1320316621986</v>
      </c>
      <c r="K42" s="37"/>
    </row>
    <row r="43" spans="1:11" ht="15" customHeight="1" x14ac:dyDescent="0.25">
      <c r="A43" s="41"/>
      <c r="B43" s="38"/>
      <c r="C43" s="43"/>
      <c r="D43" s="44"/>
      <c r="E43" s="44"/>
      <c r="F43" s="44"/>
      <c r="G43" s="44"/>
      <c r="H43" s="44"/>
      <c r="I43" s="44"/>
      <c r="J43" s="46"/>
      <c r="K43" s="37"/>
    </row>
    <row r="44" spans="1:11" ht="30.75" x14ac:dyDescent="0.25">
      <c r="A44" s="18">
        <v>7</v>
      </c>
      <c r="B44" s="64" t="s">
        <v>66</v>
      </c>
      <c r="C44" s="43"/>
      <c r="D44" s="44"/>
      <c r="E44" s="44"/>
      <c r="F44" s="44"/>
      <c r="G44" s="44"/>
      <c r="H44" s="44"/>
      <c r="I44" s="44"/>
      <c r="J44" s="46"/>
      <c r="K44" s="37"/>
    </row>
    <row r="45" spans="1:11" ht="15" customHeight="1" x14ac:dyDescent="0.25">
      <c r="A45" s="41"/>
      <c r="B45" s="38" t="s">
        <v>67</v>
      </c>
      <c r="C45" s="43">
        <v>2</v>
      </c>
      <c r="D45" s="44">
        <f>D24</f>
        <v>3.047851264858275</v>
      </c>
      <c r="E45" s="44">
        <v>0.23</v>
      </c>
      <c r="F45" s="44">
        <f>6/3.281</f>
        <v>1.8287107589149649</v>
      </c>
      <c r="G45" s="40">
        <f>PRODUCT(C45:F45)</f>
        <v>2.5638736638246993</v>
      </c>
      <c r="H45" s="44"/>
      <c r="I45" s="44"/>
      <c r="J45" s="46"/>
      <c r="K45" s="37"/>
    </row>
    <row r="46" spans="1:11" ht="15" customHeight="1" x14ac:dyDescent="0.25">
      <c r="A46" s="41"/>
      <c r="B46" s="38"/>
      <c r="C46" s="43">
        <v>2</v>
      </c>
      <c r="D46" s="44">
        <f>8.5/3.281</f>
        <v>2.5906735751295336</v>
      </c>
      <c r="E46" s="44">
        <v>0.23</v>
      </c>
      <c r="F46" s="44">
        <f>6/3.281</f>
        <v>1.8287107589149649</v>
      </c>
      <c r="G46" s="40">
        <f>PRODUCT(C46:F46)</f>
        <v>2.1792926142509943</v>
      </c>
      <c r="H46" s="44"/>
      <c r="I46" s="44"/>
      <c r="J46" s="46"/>
      <c r="K46" s="37"/>
    </row>
    <row r="47" spans="1:11" ht="15" customHeight="1" x14ac:dyDescent="0.25">
      <c r="A47" s="41"/>
      <c r="B47" s="38"/>
      <c r="C47" s="43">
        <v>1</v>
      </c>
      <c r="D47" s="44">
        <f>8.5/3.281</f>
        <v>2.5906735751295336</v>
      </c>
      <c r="E47" s="44">
        <v>0.1</v>
      </c>
      <c r="F47" s="44">
        <f>6/3.281</f>
        <v>1.8287107589149649</v>
      </c>
      <c r="G47" s="40">
        <f>PRODUCT(C47:F47)</f>
        <v>0.47375926396760742</v>
      </c>
      <c r="H47" s="44"/>
      <c r="I47" s="44"/>
      <c r="J47" s="46"/>
      <c r="K47" s="37"/>
    </row>
    <row r="48" spans="1:11" ht="15" customHeight="1" x14ac:dyDescent="0.25">
      <c r="A48" s="41"/>
      <c r="B48" s="38" t="s">
        <v>53</v>
      </c>
      <c r="C48" s="43">
        <f>C45</f>
        <v>2</v>
      </c>
      <c r="D48" s="44">
        <f>D45-4.8333/3.281</f>
        <v>1.5747333130143248</v>
      </c>
      <c r="E48" s="44">
        <f t="shared" ref="C48:E50" si="1">E45</f>
        <v>0.23</v>
      </c>
      <c r="F48" s="44">
        <f>7/3.281</f>
        <v>2.1334958854007922</v>
      </c>
      <c r="G48" s="40">
        <f t="shared" ref="G48:G52" si="2">PRODUCT(C48:F48)</f>
        <v>1.5454560402030253</v>
      </c>
      <c r="H48" s="44"/>
      <c r="I48" s="44"/>
      <c r="J48" s="46"/>
      <c r="K48" s="37"/>
    </row>
    <row r="49" spans="1:19" ht="15" customHeight="1" x14ac:dyDescent="0.25">
      <c r="A49" s="41"/>
      <c r="B49" s="38"/>
      <c r="C49" s="43">
        <f>C46-1</f>
        <v>1</v>
      </c>
      <c r="D49" s="44">
        <f t="shared" si="1"/>
        <v>2.5906735751295336</v>
      </c>
      <c r="E49" s="44">
        <f t="shared" si="1"/>
        <v>0.23</v>
      </c>
      <c r="F49" s="44">
        <f t="shared" ref="F49:F50" si="3">7/3.281</f>
        <v>2.1334958854007922</v>
      </c>
      <c r="G49" s="40">
        <f t="shared" si="2"/>
        <v>1.2712540249797466</v>
      </c>
      <c r="H49" s="44"/>
      <c r="I49" s="44"/>
      <c r="J49" s="46"/>
      <c r="K49" s="37"/>
    </row>
    <row r="50" spans="1:19" ht="15" customHeight="1" x14ac:dyDescent="0.25">
      <c r="A50" s="41"/>
      <c r="B50" s="38"/>
      <c r="C50" s="43">
        <f t="shared" si="1"/>
        <v>1</v>
      </c>
      <c r="D50" s="44">
        <f t="shared" si="1"/>
        <v>2.5906735751295336</v>
      </c>
      <c r="E50" s="44">
        <f t="shared" si="1"/>
        <v>0.1</v>
      </c>
      <c r="F50" s="44">
        <f t="shared" si="3"/>
        <v>2.1334958854007922</v>
      </c>
      <c r="G50" s="40">
        <f t="shared" si="2"/>
        <v>0.552719141295542</v>
      </c>
      <c r="H50" s="44"/>
      <c r="I50" s="44"/>
      <c r="J50" s="46"/>
      <c r="K50" s="37"/>
    </row>
    <row r="51" spans="1:19" ht="15" customHeight="1" x14ac:dyDescent="0.25">
      <c r="A51" s="41"/>
      <c r="B51" s="38" t="s">
        <v>68</v>
      </c>
      <c r="C51" s="43">
        <f>-1</f>
        <v>-1</v>
      </c>
      <c r="D51" s="44">
        <f>0.45</f>
        <v>0.45</v>
      </c>
      <c r="E51" s="44">
        <v>0.23</v>
      </c>
      <c r="F51" s="44">
        <f>2/3.281</f>
        <v>0.6095702529716549</v>
      </c>
      <c r="G51" s="40">
        <f t="shared" si="2"/>
        <v>-6.3090521182566292E-2</v>
      </c>
      <c r="H51" s="44"/>
      <c r="I51" s="44"/>
      <c r="J51" s="46"/>
      <c r="K51" s="37"/>
    </row>
    <row r="52" spans="1:19" ht="15" customHeight="1" x14ac:dyDescent="0.25">
      <c r="A52" s="41"/>
      <c r="B52" s="38" t="s">
        <v>69</v>
      </c>
      <c r="C52" s="43">
        <f>-1</f>
        <v>-1</v>
      </c>
      <c r="D52" s="44">
        <f>0.75</f>
        <v>0.75</v>
      </c>
      <c r="E52" s="44">
        <v>0.23</v>
      </c>
      <c r="F52" s="44">
        <f>6/3.281</f>
        <v>1.8287107589149649</v>
      </c>
      <c r="G52" s="40">
        <f t="shared" si="2"/>
        <v>-0.31545260591283147</v>
      </c>
      <c r="H52" s="44"/>
      <c r="I52" s="44"/>
      <c r="J52" s="46"/>
      <c r="K52" s="37"/>
    </row>
    <row r="53" spans="1:19" ht="15" customHeight="1" x14ac:dyDescent="0.25">
      <c r="A53" s="41"/>
      <c r="B53" s="38" t="s">
        <v>42</v>
      </c>
      <c r="C53" s="43"/>
      <c r="D53" s="44"/>
      <c r="E53" s="44"/>
      <c r="F53" s="44"/>
      <c r="G53" s="34">
        <f>SUM(G45:G52)</f>
        <v>8.2078116214262167</v>
      </c>
      <c r="H53" s="34" t="s">
        <v>41</v>
      </c>
      <c r="I53" s="34">
        <v>14362.76</v>
      </c>
      <c r="J53" s="45">
        <f>G53*I53</f>
        <v>117886.82844375561</v>
      </c>
      <c r="K53" s="37"/>
    </row>
    <row r="54" spans="1:19" ht="15" customHeight="1" x14ac:dyDescent="0.25">
      <c r="A54" s="41"/>
      <c r="B54" s="38" t="s">
        <v>40</v>
      </c>
      <c r="C54" s="43"/>
      <c r="D54" s="44"/>
      <c r="E54" s="44"/>
      <c r="F54" s="44"/>
      <c r="G54" s="44"/>
      <c r="H54" s="44"/>
      <c r="I54" s="44"/>
      <c r="J54" s="46">
        <f>0.13*G53*10311.74</f>
        <v>11002.786523186325</v>
      </c>
      <c r="K54" s="37"/>
    </row>
    <row r="55" spans="1:19" ht="15" customHeight="1" x14ac:dyDescent="0.25">
      <c r="A55" s="41"/>
      <c r="B55" s="38"/>
      <c r="C55" s="43"/>
      <c r="D55" s="44"/>
      <c r="E55" s="44"/>
      <c r="F55" s="44"/>
      <c r="G55" s="44"/>
      <c r="H55" s="44"/>
      <c r="I55" s="44"/>
      <c r="J55" s="46"/>
      <c r="K55" s="37"/>
    </row>
    <row r="56" spans="1:19" ht="30.75" x14ac:dyDescent="0.25">
      <c r="A56" s="68">
        <v>8</v>
      </c>
      <c r="B56" s="64" t="s">
        <v>48</v>
      </c>
      <c r="C56" s="43"/>
      <c r="D56" s="44"/>
      <c r="E56" s="44"/>
      <c r="F56" s="44"/>
      <c r="G56" s="44"/>
      <c r="H56" s="44"/>
      <c r="I56" s="44"/>
      <c r="J56" s="46"/>
      <c r="K56" s="37"/>
    </row>
    <row r="57" spans="1:19" ht="15" customHeight="1" x14ac:dyDescent="0.25">
      <c r="A57" s="18"/>
      <c r="B57" s="38" t="s">
        <v>50</v>
      </c>
      <c r="C57" s="37">
        <v>1</v>
      </c>
      <c r="D57" s="39">
        <f>(8.5*4+4*4)/3.281</f>
        <v>15.239256324291373</v>
      </c>
      <c r="E57" s="39"/>
      <c r="F57" s="39">
        <v>1.8</v>
      </c>
      <c r="G57" s="40">
        <f>PRODUCT(C57:F57)</f>
        <v>27.430661383724473</v>
      </c>
      <c r="H57" s="41"/>
      <c r="I57" s="41"/>
      <c r="J57" s="41"/>
      <c r="K57" s="21"/>
      <c r="M57" s="25"/>
      <c r="N57" s="1"/>
      <c r="O57" s="1"/>
      <c r="P57" s="1"/>
      <c r="Q57" s="1"/>
      <c r="R57" s="25"/>
      <c r="S57" s="25"/>
    </row>
    <row r="58" spans="1:19" ht="15" customHeight="1" x14ac:dyDescent="0.25">
      <c r="A58" s="18"/>
      <c r="B58" s="38" t="s">
        <v>49</v>
      </c>
      <c r="C58" s="37">
        <v>1</v>
      </c>
      <c r="D58" s="39">
        <f>(10*4)/3.281</f>
        <v>12.1914050594331</v>
      </c>
      <c r="E58" s="39"/>
      <c r="F58" s="39">
        <v>1.8</v>
      </c>
      <c r="G58" s="40">
        <f>PRODUCT(C58:F58)</f>
        <v>21.94452910697958</v>
      </c>
      <c r="H58" s="41"/>
      <c r="I58" s="41"/>
      <c r="J58" s="41"/>
      <c r="K58" s="21"/>
      <c r="M58" s="25"/>
      <c r="N58" s="1"/>
      <c r="O58" s="1"/>
      <c r="P58" s="1"/>
      <c r="Q58" s="1"/>
      <c r="R58" s="25"/>
      <c r="S58" s="25"/>
    </row>
    <row r="59" spans="1:19" ht="15" customHeight="1" x14ac:dyDescent="0.25">
      <c r="A59" s="18"/>
      <c r="B59" s="38" t="s">
        <v>42</v>
      </c>
      <c r="C59" s="37"/>
      <c r="D59" s="39"/>
      <c r="E59" s="39"/>
      <c r="F59" s="39"/>
      <c r="G59" s="35">
        <f>SUM(G57:G58)</f>
        <v>49.375190490704057</v>
      </c>
      <c r="H59" s="41" t="s">
        <v>47</v>
      </c>
      <c r="I59" s="41">
        <v>405.86</v>
      </c>
      <c r="J59" s="46">
        <f>G59*I59</f>
        <v>20039.414812557148</v>
      </c>
      <c r="K59" s="21"/>
      <c r="M59" s="25"/>
      <c r="N59" s="1"/>
      <c r="O59" s="1"/>
      <c r="P59" s="1"/>
      <c r="Q59" s="1"/>
      <c r="R59" s="25"/>
      <c r="S59" s="25"/>
    </row>
    <row r="60" spans="1:19" ht="15" customHeight="1" x14ac:dyDescent="0.25">
      <c r="A60" s="18"/>
      <c r="B60" s="38" t="s">
        <v>40</v>
      </c>
      <c r="C60" s="37"/>
      <c r="D60" s="39"/>
      <c r="E60" s="39"/>
      <c r="F60" s="39"/>
      <c r="G60" s="40"/>
      <c r="H60" s="41"/>
      <c r="I60" s="41"/>
      <c r="J60" s="46">
        <f>0.13*G59*(11166.2/100)</f>
        <v>716.73322767448963</v>
      </c>
      <c r="K60" s="21"/>
      <c r="M60" s="25"/>
      <c r="N60" s="1"/>
      <c r="O60" s="1"/>
      <c r="P60" s="1"/>
      <c r="Q60" s="1"/>
      <c r="R60" s="25"/>
      <c r="S60" s="25"/>
    </row>
    <row r="61" spans="1:19" ht="15" customHeight="1" x14ac:dyDescent="0.25">
      <c r="A61" s="18"/>
      <c r="B61" s="38"/>
      <c r="C61" s="37"/>
      <c r="D61" s="39"/>
      <c r="E61" s="39"/>
      <c r="F61" s="39"/>
      <c r="G61" s="40"/>
      <c r="H61" s="41"/>
      <c r="I61" s="41"/>
      <c r="J61" s="46"/>
      <c r="K61" s="21"/>
      <c r="M61" s="25"/>
      <c r="N61" s="1"/>
      <c r="O61" s="1"/>
      <c r="P61" s="1"/>
      <c r="Q61" s="1"/>
      <c r="R61" s="25"/>
      <c r="S61" s="25"/>
    </row>
    <row r="62" spans="1:19" ht="30.75" x14ac:dyDescent="0.25">
      <c r="A62" s="68">
        <v>9</v>
      </c>
      <c r="B62" s="64" t="s">
        <v>72</v>
      </c>
      <c r="C62" s="43"/>
      <c r="D62" s="44"/>
      <c r="E62" s="44"/>
      <c r="F62" s="44"/>
      <c r="G62" s="44"/>
      <c r="H62" s="44"/>
      <c r="I62" s="44"/>
      <c r="J62" s="46"/>
      <c r="K62" s="37"/>
    </row>
    <row r="63" spans="1:19" ht="15" customHeight="1" x14ac:dyDescent="0.25">
      <c r="A63" s="18"/>
      <c r="B63" s="38" t="s">
        <v>71</v>
      </c>
      <c r="C63" s="37">
        <v>2</v>
      </c>
      <c r="D63" s="39">
        <f>4/3.281</f>
        <v>1.2191405059433098</v>
      </c>
      <c r="E63" s="39">
        <f>8.5/3.281</f>
        <v>2.5906735751295336</v>
      </c>
      <c r="F63" s="39"/>
      <c r="G63" s="40">
        <f>PRODUCT(C63:F63)</f>
        <v>6.3167901862347655</v>
      </c>
      <c r="H63" s="41"/>
      <c r="I63" s="41"/>
      <c r="J63" s="41"/>
      <c r="K63" s="21"/>
      <c r="M63" s="25"/>
      <c r="N63" s="1"/>
      <c r="O63" s="1"/>
      <c r="P63" s="1"/>
      <c r="Q63" s="1"/>
      <c r="R63" s="25"/>
      <c r="S63" s="25"/>
    </row>
    <row r="64" spans="1:19" ht="15" customHeight="1" x14ac:dyDescent="0.25">
      <c r="A64" s="18"/>
      <c r="B64" s="38" t="s">
        <v>42</v>
      </c>
      <c r="C64" s="37"/>
      <c r="D64" s="39"/>
      <c r="E64" s="39"/>
      <c r="F64" s="39"/>
      <c r="G64" s="35">
        <f>SUM(G63:G63)</f>
        <v>6.3167901862347655</v>
      </c>
      <c r="H64" s="41" t="s">
        <v>47</v>
      </c>
      <c r="I64" s="41">
        <v>816.74</v>
      </c>
      <c r="J64" s="46">
        <f>G64*I64</f>
        <v>5159.1752167053828</v>
      </c>
      <c r="K64" s="21"/>
      <c r="M64" s="25"/>
      <c r="N64" s="1"/>
      <c r="O64" s="1"/>
      <c r="P64" s="1"/>
      <c r="Q64" s="1"/>
      <c r="R64" s="25"/>
      <c r="S64" s="25"/>
    </row>
    <row r="65" spans="1:19" ht="15" customHeight="1" x14ac:dyDescent="0.25">
      <c r="A65" s="18"/>
      <c r="B65" s="38" t="s">
        <v>40</v>
      </c>
      <c r="C65" s="37"/>
      <c r="D65" s="39"/>
      <c r="E65" s="39"/>
      <c r="F65" s="39"/>
      <c r="G65" s="40"/>
      <c r="H65" s="41"/>
      <c r="I65" s="41"/>
      <c r="J65" s="46">
        <f>0.13*G64*(4336.62/10)</f>
        <v>356.11574254658228</v>
      </c>
      <c r="K65" s="21"/>
      <c r="M65" s="25"/>
      <c r="N65" s="1"/>
      <c r="O65" s="1"/>
      <c r="P65" s="1"/>
      <c r="Q65" s="1"/>
      <c r="R65" s="25"/>
      <c r="S65" s="25"/>
    </row>
    <row r="66" spans="1:19" ht="15" customHeight="1" x14ac:dyDescent="0.25">
      <c r="A66" s="41"/>
      <c r="B66" s="38"/>
      <c r="C66" s="43"/>
      <c r="D66" s="44"/>
      <c r="E66" s="44"/>
      <c r="F66" s="44"/>
      <c r="G66" s="44"/>
      <c r="H66" s="44"/>
      <c r="I66" s="44"/>
      <c r="J66" s="46"/>
      <c r="K66" s="37"/>
    </row>
    <row r="67" spans="1:19" ht="30.75" x14ac:dyDescent="0.25">
      <c r="A67" s="68">
        <v>10</v>
      </c>
      <c r="B67" s="64" t="s">
        <v>70</v>
      </c>
      <c r="C67" s="43"/>
      <c r="D67" s="44"/>
      <c r="E67" s="44"/>
      <c r="F67" s="44"/>
      <c r="G67" s="44"/>
      <c r="H67" s="44"/>
      <c r="I67" s="44"/>
      <c r="J67" s="46"/>
      <c r="K67" s="37"/>
    </row>
    <row r="68" spans="1:19" ht="15" customHeight="1" x14ac:dyDescent="0.25">
      <c r="A68" s="18"/>
      <c r="B68" s="38" t="s">
        <v>50</v>
      </c>
      <c r="C68" s="37">
        <v>1</v>
      </c>
      <c r="D68" s="39">
        <f>(8.5*4+4*4)/3.281</f>
        <v>15.239256324291373</v>
      </c>
      <c r="E68" s="39"/>
      <c r="F68" s="39">
        <v>1.8</v>
      </c>
      <c r="G68" s="40">
        <f>PRODUCT(C68:F68)</f>
        <v>27.430661383724473</v>
      </c>
      <c r="H68" s="41"/>
      <c r="I68" s="41"/>
      <c r="J68" s="41"/>
      <c r="K68" s="21"/>
      <c r="M68" s="25"/>
      <c r="N68" s="1"/>
      <c r="O68" s="1"/>
      <c r="P68" s="1"/>
      <c r="Q68" s="1"/>
      <c r="R68" s="25"/>
      <c r="S68" s="25"/>
    </row>
    <row r="69" spans="1:19" ht="15" customHeight="1" x14ac:dyDescent="0.25">
      <c r="A69" s="18"/>
      <c r="B69" s="38" t="s">
        <v>49</v>
      </c>
      <c r="C69" s="37">
        <v>1</v>
      </c>
      <c r="D69" s="39">
        <f>(10*4)/3.281</f>
        <v>12.1914050594331</v>
      </c>
      <c r="E69" s="39"/>
      <c r="F69" s="39">
        <v>1.8</v>
      </c>
      <c r="G69" s="40">
        <f>PRODUCT(C69:F69)</f>
        <v>21.94452910697958</v>
      </c>
      <c r="H69" s="41"/>
      <c r="I69" s="41"/>
      <c r="J69" s="41"/>
      <c r="K69" s="21"/>
      <c r="M69" s="25"/>
      <c r="N69" s="1"/>
      <c r="O69" s="1"/>
      <c r="P69" s="1"/>
      <c r="Q69" s="1"/>
      <c r="R69" s="25"/>
      <c r="S69" s="25"/>
    </row>
    <row r="70" spans="1:19" ht="15" customHeight="1" x14ac:dyDescent="0.25">
      <c r="A70" s="18"/>
      <c r="B70" s="38" t="s">
        <v>71</v>
      </c>
      <c r="C70" s="37">
        <v>2</v>
      </c>
      <c r="D70" s="39">
        <f>4/3.281</f>
        <v>1.2191405059433098</v>
      </c>
      <c r="E70" s="39">
        <f>8.5/3.281</f>
        <v>2.5906735751295336</v>
      </c>
      <c r="F70" s="39"/>
      <c r="G70" s="40">
        <f>PRODUCT(C70:F70)</f>
        <v>6.3167901862347655</v>
      </c>
      <c r="H70" s="41"/>
      <c r="I70" s="41"/>
      <c r="J70" s="41"/>
      <c r="K70" s="21"/>
      <c r="M70" s="25"/>
      <c r="N70" s="1"/>
      <c r="O70" s="1"/>
      <c r="P70" s="1"/>
      <c r="Q70" s="1"/>
      <c r="R70" s="25"/>
      <c r="S70" s="25"/>
    </row>
    <row r="71" spans="1:19" ht="15" customHeight="1" x14ac:dyDescent="0.25">
      <c r="A71" s="18"/>
      <c r="B71" s="38" t="s">
        <v>42</v>
      </c>
      <c r="C71" s="37"/>
      <c r="D71" s="39"/>
      <c r="E71" s="39"/>
      <c r="F71" s="39"/>
      <c r="G71" s="35">
        <f>SUM(G68:G70)</f>
        <v>55.691980676938826</v>
      </c>
      <c r="H71" s="41" t="s">
        <v>47</v>
      </c>
      <c r="I71" s="41">
        <v>279.02999999999997</v>
      </c>
      <c r="J71" s="46">
        <f>G71*I71</f>
        <v>15539.733368286239</v>
      </c>
      <c r="K71" s="21"/>
      <c r="M71" s="25"/>
      <c r="N71" s="1"/>
      <c r="O71" s="1"/>
      <c r="P71" s="1"/>
      <c r="Q71" s="1"/>
      <c r="R71" s="25"/>
      <c r="S71" s="25"/>
    </row>
    <row r="72" spans="1:19" ht="15" customHeight="1" x14ac:dyDescent="0.25">
      <c r="A72" s="18"/>
      <c r="B72" s="38" t="s">
        <v>40</v>
      </c>
      <c r="C72" s="37"/>
      <c r="D72" s="39"/>
      <c r="E72" s="39"/>
      <c r="F72" s="39"/>
      <c r="G72" s="40"/>
      <c r="H72" s="41"/>
      <c r="I72" s="41"/>
      <c r="J72" s="46">
        <f>0.13*G71*(645.36/10)</f>
        <v>467.23789644570013</v>
      </c>
      <c r="K72" s="21"/>
      <c r="M72" s="25"/>
      <c r="N72" s="1"/>
      <c r="O72" s="1"/>
      <c r="P72" s="1"/>
      <c r="Q72" s="1"/>
      <c r="R72" s="25"/>
      <c r="S72" s="25"/>
    </row>
    <row r="73" spans="1:19" ht="15" customHeight="1" x14ac:dyDescent="0.25">
      <c r="A73" s="41"/>
      <c r="B73" s="38"/>
      <c r="C73" s="43"/>
      <c r="D73" s="44"/>
      <c r="E73" s="44"/>
      <c r="F73" s="44"/>
      <c r="G73" s="44"/>
      <c r="H73" s="44"/>
      <c r="I73" s="44"/>
      <c r="J73" s="46"/>
      <c r="K73" s="37"/>
    </row>
    <row r="74" spans="1:19" ht="15" customHeight="1" x14ac:dyDescent="0.25">
      <c r="A74" s="18">
        <v>11</v>
      </c>
      <c r="B74" s="30" t="s">
        <v>30</v>
      </c>
      <c r="C74" s="19">
        <v>1</v>
      </c>
      <c r="D74" s="20"/>
      <c r="E74" s="21"/>
      <c r="F74" s="21"/>
      <c r="G74" s="35">
        <f t="shared" ref="G74" si="4">PRODUCT(C74:F74)</f>
        <v>1</v>
      </c>
      <c r="H74" s="22" t="s">
        <v>31</v>
      </c>
      <c r="I74" s="23">
        <v>500</v>
      </c>
      <c r="J74" s="35">
        <f>G74*I74</f>
        <v>500</v>
      </c>
      <c r="K74" s="21"/>
      <c r="M74" s="25"/>
      <c r="N74" s="1"/>
      <c r="O74" s="1"/>
      <c r="P74" s="1"/>
      <c r="Q74" s="1"/>
      <c r="R74" s="25"/>
      <c r="S74" s="25"/>
    </row>
    <row r="75" spans="1:19" ht="15" customHeight="1" x14ac:dyDescent="0.25">
      <c r="A75" s="18"/>
      <c r="B75" s="24"/>
      <c r="C75" s="19"/>
      <c r="D75" s="20"/>
      <c r="E75" s="21"/>
      <c r="F75" s="21"/>
      <c r="G75" s="23"/>
      <c r="H75" s="22"/>
      <c r="I75" s="23"/>
      <c r="J75" s="42"/>
      <c r="K75" s="21"/>
      <c r="M75" s="25"/>
      <c r="N75" s="1"/>
      <c r="O75" s="1"/>
      <c r="P75" s="1"/>
      <c r="Q75" s="1"/>
      <c r="R75" s="25"/>
      <c r="S75" s="25"/>
    </row>
    <row r="76" spans="1:19" x14ac:dyDescent="0.25">
      <c r="A76" s="41"/>
      <c r="B76" s="47" t="s">
        <v>17</v>
      </c>
      <c r="C76" s="48"/>
      <c r="D76" s="39"/>
      <c r="E76" s="39"/>
      <c r="F76" s="39"/>
      <c r="G76" s="42"/>
      <c r="H76" s="42"/>
      <c r="I76" s="42"/>
      <c r="J76" s="42">
        <f>SUM(J10:J74)</f>
        <v>262423.16034541605</v>
      </c>
      <c r="K76" s="37"/>
    </row>
    <row r="77" spans="1:19" x14ac:dyDescent="0.25">
      <c r="A77" s="59"/>
      <c r="B77" s="62"/>
      <c r="C77" s="63"/>
      <c r="D77" s="60"/>
      <c r="E77" s="60"/>
      <c r="F77" s="60"/>
      <c r="G77" s="61"/>
      <c r="H77" s="61"/>
      <c r="I77" s="61"/>
      <c r="J77" s="61"/>
      <c r="K77" s="58"/>
    </row>
    <row r="78" spans="1:19" s="1" customFormat="1" x14ac:dyDescent="0.25">
      <c r="A78" s="51"/>
      <c r="B78" s="29" t="s">
        <v>27</v>
      </c>
      <c r="C78" s="84">
        <f>J76</f>
        <v>262423.16034541605</v>
      </c>
      <c r="D78" s="84"/>
      <c r="E78" s="40">
        <v>100</v>
      </c>
      <c r="F78" s="52"/>
      <c r="G78" s="53"/>
      <c r="H78" s="52"/>
      <c r="I78" s="54"/>
      <c r="J78" s="55"/>
      <c r="K78" s="56"/>
    </row>
    <row r="79" spans="1:19" x14ac:dyDescent="0.25">
      <c r="A79" s="57"/>
      <c r="B79" s="29" t="s">
        <v>32</v>
      </c>
      <c r="C79" s="87">
        <v>200000</v>
      </c>
      <c r="D79" s="87"/>
      <c r="E79" s="40"/>
      <c r="F79" s="50"/>
      <c r="G79" s="49"/>
      <c r="H79" s="49"/>
      <c r="I79" s="49"/>
      <c r="J79" s="49"/>
      <c r="K79" s="50"/>
    </row>
    <row r="80" spans="1:19" x14ac:dyDescent="0.25">
      <c r="A80" s="57"/>
      <c r="B80" s="29" t="s">
        <v>33</v>
      </c>
      <c r="C80" s="87">
        <f>C79-C82-C83</f>
        <v>190000</v>
      </c>
      <c r="D80" s="87"/>
      <c r="E80" s="40">
        <f>C80/C78*100</f>
        <v>72.402146117709805</v>
      </c>
      <c r="F80" s="50"/>
      <c r="G80" s="49"/>
      <c r="H80" s="49"/>
      <c r="I80" s="49"/>
      <c r="J80" s="49"/>
      <c r="K80" s="50"/>
    </row>
    <row r="81" spans="1:11" x14ac:dyDescent="0.25">
      <c r="A81" s="57"/>
      <c r="B81" s="29" t="s">
        <v>34</v>
      </c>
      <c r="C81" s="84">
        <f>C78-C80</f>
        <v>72423.16034541605</v>
      </c>
      <c r="D81" s="84"/>
      <c r="E81" s="40">
        <f>100-E80</f>
        <v>27.597853882290195</v>
      </c>
      <c r="F81" s="50"/>
      <c r="G81" s="49"/>
      <c r="H81" s="49"/>
      <c r="I81" s="49"/>
      <c r="J81" s="49"/>
      <c r="K81" s="50"/>
    </row>
    <row r="82" spans="1:11" x14ac:dyDescent="0.25">
      <c r="A82" s="57"/>
      <c r="B82" s="29" t="s">
        <v>35</v>
      </c>
      <c r="C82" s="84">
        <f>C79*0.03</f>
        <v>6000</v>
      </c>
      <c r="D82" s="84"/>
      <c r="E82" s="40">
        <v>3</v>
      </c>
      <c r="F82" s="50"/>
      <c r="G82" s="49"/>
      <c r="H82" s="49"/>
      <c r="I82" s="49"/>
      <c r="J82" s="49"/>
      <c r="K82" s="50"/>
    </row>
    <row r="83" spans="1:11" x14ac:dyDescent="0.25">
      <c r="A83" s="57"/>
      <c r="B83" s="29" t="s">
        <v>36</v>
      </c>
      <c r="C83" s="84">
        <f>C79*0.02</f>
        <v>4000</v>
      </c>
      <c r="D83" s="84"/>
      <c r="E83" s="40">
        <v>2</v>
      </c>
      <c r="F83" s="50"/>
      <c r="G83" s="49"/>
      <c r="H83" s="49"/>
      <c r="I83" s="49"/>
      <c r="J83" s="49"/>
      <c r="K83" s="50"/>
    </row>
    <row r="84" spans="1:11" s="36" customFormat="1" x14ac:dyDescent="0.25">
      <c r="A84" s="58"/>
      <c r="B84" s="58"/>
      <c r="C84" s="58"/>
      <c r="D84" s="58"/>
      <c r="E84" s="58"/>
      <c r="F84" s="58"/>
      <c r="G84" s="58"/>
      <c r="H84" s="58"/>
      <c r="I84" s="58"/>
      <c r="J84" s="58"/>
      <c r="K84" s="58"/>
    </row>
    <row r="85" spans="1:11" s="36" customFormat="1" x14ac:dyDescent="0.25"/>
    <row r="86" spans="1:11" s="36" customFormat="1" x14ac:dyDescent="0.25"/>
    <row r="87" spans="1:11" s="36" customFormat="1" x14ac:dyDescent="0.25"/>
    <row r="88" spans="1:11" s="36" customFormat="1" x14ac:dyDescent="0.25"/>
    <row r="89" spans="1:11" s="36" customFormat="1" x14ac:dyDescent="0.25"/>
    <row r="90" spans="1:11" s="36" customFormat="1" x14ac:dyDescent="0.25"/>
    <row r="91" spans="1:11" s="36" customFormat="1" x14ac:dyDescent="0.25"/>
    <row r="92" spans="1:11" s="36" customFormat="1" x14ac:dyDescent="0.25"/>
    <row r="93" spans="1:11" s="36" customFormat="1" x14ac:dyDescent="0.25"/>
    <row r="94" spans="1:11" s="36" customFormat="1" x14ac:dyDescent="0.25"/>
    <row r="95" spans="1:11" s="36" customFormat="1" x14ac:dyDescent="0.25"/>
    <row r="96" spans="1:11"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sheetData>
  <mergeCells count="15">
    <mergeCell ref="A6:F6"/>
    <mergeCell ref="H6:K6"/>
    <mergeCell ref="A1:K1"/>
    <mergeCell ref="A2:K2"/>
    <mergeCell ref="A3:K3"/>
    <mergeCell ref="A4:K4"/>
    <mergeCell ref="A5:K5"/>
    <mergeCell ref="C82:D82"/>
    <mergeCell ref="C83:D83"/>
    <mergeCell ref="A7:F7"/>
    <mergeCell ref="H7:K7"/>
    <mergeCell ref="C78:D78"/>
    <mergeCell ref="C79:D79"/>
    <mergeCell ref="C80:D80"/>
    <mergeCell ref="C81:D81"/>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Estimate</vt:lpstr>
      <vt:lpstr>just 15%</vt:lpstr>
      <vt:lpstr>Estimate!Print_Area</vt:lpstr>
      <vt:lpstr>'just 15%'!Print_Area</vt:lpstr>
      <vt:lpstr>Estimate!Print_Titles</vt:lpstr>
      <vt:lpstr>'just 15%'!Print_Titles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2025-02-06T06:54:41Z</cp:lastPrinted>
  <dcterms:created xsi:type="dcterms:W3CDTF">2015-06-05T18:17:20Z</dcterms:created>
  <dcterms:modified xsi:type="dcterms:W3CDTF">2025-02-06T07:04:38Z</dcterms:modified>
</cp:coreProperties>
</file>