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Estimate" sheetId="1" r:id="rId1"/>
    <sheet name="WCR" sheetId="7" r:id="rId2"/>
    <sheet name="Valuation" sheetId="9" r:id="rId3"/>
    <sheet name="Measure" sheetId="14"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3">Measure!$A$1:$K$50</definedName>
    <definedName name="_xlnm.Print_Area" localSheetId="2">Valuation!$A$1:$K$57</definedName>
    <definedName name="_xlnm.Print_Area" localSheetId="1">WCR!$A$1:$K$30</definedName>
    <definedName name="_xlnm.Print_Titles" localSheetId="1">WCR!$1:$12</definedName>
  </definedNames>
  <calcPr calcId="152511"/>
</workbook>
</file>

<file path=xl/calcChain.xml><?xml version="1.0" encoding="utf-8"?>
<calcChain xmlns="http://schemas.openxmlformats.org/spreadsheetml/2006/main">
  <c r="F44" i="14" l="1"/>
  <c r="D44" i="14"/>
  <c r="C44" i="14"/>
  <c r="F43" i="14"/>
  <c r="G43" i="14" s="1"/>
  <c r="D43" i="14"/>
  <c r="C43" i="14"/>
  <c r="D42" i="14"/>
  <c r="E41" i="14"/>
  <c r="D41" i="14"/>
  <c r="C41" i="14"/>
  <c r="C40" i="14"/>
  <c r="C39" i="14"/>
  <c r="G39" i="14" s="1"/>
  <c r="D38" i="14"/>
  <c r="E33" i="14"/>
  <c r="D33" i="14"/>
  <c r="G29" i="14"/>
  <c r="D26" i="14"/>
  <c r="E26" i="14"/>
  <c r="D27" i="14"/>
  <c r="E27" i="14"/>
  <c r="G27" i="14" s="1"/>
  <c r="D28" i="14"/>
  <c r="E28" i="14"/>
  <c r="E25" i="14"/>
  <c r="D25" i="14"/>
  <c r="B26" i="14"/>
  <c r="B27" i="14"/>
  <c r="B25" i="14"/>
  <c r="D18" i="14"/>
  <c r="E18" i="14"/>
  <c r="F18" i="14"/>
  <c r="D19" i="14"/>
  <c r="E19" i="14"/>
  <c r="F19" i="14"/>
  <c r="G19" i="14" s="1"/>
  <c r="D20" i="14"/>
  <c r="E20" i="14"/>
  <c r="F20" i="14"/>
  <c r="E17" i="14"/>
  <c r="F17" i="14"/>
  <c r="D17" i="14"/>
  <c r="B18" i="14"/>
  <c r="B19" i="14"/>
  <c r="B17" i="14"/>
  <c r="F13" i="14"/>
  <c r="D13" i="14"/>
  <c r="F12" i="14"/>
  <c r="D12" i="14"/>
  <c r="G12" i="14" s="1"/>
  <c r="F11" i="14"/>
  <c r="D11" i="14"/>
  <c r="D10" i="14"/>
  <c r="C57" i="14"/>
  <c r="C54" i="14" s="1"/>
  <c r="C56" i="14"/>
  <c r="G48" i="14"/>
  <c r="J48" i="14" s="1"/>
  <c r="G44" i="14"/>
  <c r="G42" i="14"/>
  <c r="G41" i="14"/>
  <c r="G40" i="14"/>
  <c r="G38" i="14"/>
  <c r="C33" i="14"/>
  <c r="G33" i="14" s="1"/>
  <c r="G34" i="14" s="1"/>
  <c r="G28" i="14"/>
  <c r="G26" i="14"/>
  <c r="G25" i="14"/>
  <c r="G20" i="14"/>
  <c r="G18" i="14"/>
  <c r="G17" i="14"/>
  <c r="G13" i="14"/>
  <c r="N13" i="14"/>
  <c r="N12" i="14"/>
  <c r="N11" i="14"/>
  <c r="G11" i="14"/>
  <c r="N10" i="14"/>
  <c r="G10" i="14"/>
  <c r="D42" i="9"/>
  <c r="D38" i="9"/>
  <c r="M15" i="7"/>
  <c r="M16" i="7"/>
  <c r="M18" i="7"/>
  <c r="M19" i="7"/>
  <c r="M21" i="7"/>
  <c r="M22" i="7"/>
  <c r="M24" i="7"/>
  <c r="M25" i="7"/>
  <c r="M27" i="7"/>
  <c r="M13" i="7"/>
  <c r="E33" i="9"/>
  <c r="D33" i="9"/>
  <c r="G45" i="14" l="1"/>
  <c r="G14" i="14"/>
  <c r="J14" i="14" s="1"/>
  <c r="J46" i="14"/>
  <c r="J45" i="14"/>
  <c r="J35" i="14"/>
  <c r="J34" i="14"/>
  <c r="G21" i="14"/>
  <c r="L34" i="7"/>
  <c r="M34" i="7" s="1"/>
  <c r="H27" i="7"/>
  <c r="G27" i="7"/>
  <c r="H24" i="7"/>
  <c r="F25" i="7"/>
  <c r="E24" i="7"/>
  <c r="D24" i="7"/>
  <c r="C24" i="7"/>
  <c r="B25" i="7"/>
  <c r="B24" i="7"/>
  <c r="A24" i="7"/>
  <c r="H21" i="7"/>
  <c r="F22" i="7"/>
  <c r="E21" i="7"/>
  <c r="D21" i="7"/>
  <c r="C21" i="7"/>
  <c r="B22" i="7"/>
  <c r="B21" i="7"/>
  <c r="A21" i="7"/>
  <c r="H18" i="7"/>
  <c r="F19" i="7"/>
  <c r="E18" i="7"/>
  <c r="D18" i="7"/>
  <c r="C18" i="7"/>
  <c r="B19" i="7"/>
  <c r="B18" i="7"/>
  <c r="A18" i="7"/>
  <c r="H15" i="7"/>
  <c r="H13" i="7"/>
  <c r="E13" i="7"/>
  <c r="D13" i="7"/>
  <c r="C13" i="7"/>
  <c r="F16" i="7"/>
  <c r="E15" i="7"/>
  <c r="D15" i="7"/>
  <c r="C15" i="7"/>
  <c r="B16" i="7"/>
  <c r="B15" i="7"/>
  <c r="A15" i="7"/>
  <c r="B13" i="7"/>
  <c r="A13" i="7"/>
  <c r="E27" i="9"/>
  <c r="E26" i="9"/>
  <c r="D28" i="9"/>
  <c r="D27" i="9"/>
  <c r="D25" i="9"/>
  <c r="B19" i="9"/>
  <c r="B18" i="9"/>
  <c r="B17" i="9"/>
  <c r="E20" i="9"/>
  <c r="E28" i="9" s="1"/>
  <c r="D20" i="9"/>
  <c r="E19" i="9"/>
  <c r="D19" i="9"/>
  <c r="E18" i="9"/>
  <c r="E17" i="9"/>
  <c r="E25" i="9" s="1"/>
  <c r="D17" i="9"/>
  <c r="D11" i="9"/>
  <c r="D18" i="9" s="1"/>
  <c r="D26" i="9" s="1"/>
  <c r="D13" i="9"/>
  <c r="N13" i="9" s="1"/>
  <c r="D12" i="9"/>
  <c r="D10" i="9"/>
  <c r="D10" i="1"/>
  <c r="E10" i="1"/>
  <c r="C57" i="9"/>
  <c r="C56" i="9"/>
  <c r="C54" i="9"/>
  <c r="G48" i="9"/>
  <c r="J48" i="9" s="1"/>
  <c r="F44" i="9"/>
  <c r="D44" i="9"/>
  <c r="C44" i="9"/>
  <c r="F43" i="9"/>
  <c r="D43" i="9"/>
  <c r="C43" i="9"/>
  <c r="E41" i="9"/>
  <c r="D41" i="9"/>
  <c r="C41" i="9"/>
  <c r="G41" i="9" s="1"/>
  <c r="C40" i="9"/>
  <c r="C39" i="9"/>
  <c r="C33" i="9"/>
  <c r="F20" i="9"/>
  <c r="F19" i="9"/>
  <c r="F18" i="9"/>
  <c r="F17" i="9"/>
  <c r="F13" i="9"/>
  <c r="F12" i="9"/>
  <c r="F11" i="9"/>
  <c r="G44" i="1"/>
  <c r="F44" i="1"/>
  <c r="D44" i="1"/>
  <c r="C44" i="1"/>
  <c r="G43" i="1"/>
  <c r="F43" i="1"/>
  <c r="D43" i="1"/>
  <c r="C43" i="1"/>
  <c r="G42" i="1"/>
  <c r="F42" i="1"/>
  <c r="D42" i="1"/>
  <c r="E41" i="1"/>
  <c r="D41" i="1"/>
  <c r="G41" i="1" s="1"/>
  <c r="C41" i="1"/>
  <c r="F40" i="1"/>
  <c r="C40" i="1"/>
  <c r="G40" i="1" s="1"/>
  <c r="F39" i="1"/>
  <c r="C39" i="1"/>
  <c r="G39" i="1" s="1"/>
  <c r="G38" i="1"/>
  <c r="F38" i="1"/>
  <c r="D38" i="1"/>
  <c r="E33" i="1"/>
  <c r="D33" i="1"/>
  <c r="G33" i="1" s="1"/>
  <c r="G34" i="1" s="1"/>
  <c r="C33" i="1"/>
  <c r="E28" i="1"/>
  <c r="D28" i="1"/>
  <c r="G28" i="1" s="1"/>
  <c r="G27" i="1"/>
  <c r="E27" i="1"/>
  <c r="D27" i="1"/>
  <c r="G26" i="1"/>
  <c r="E26" i="1"/>
  <c r="D26" i="1"/>
  <c r="E25" i="1"/>
  <c r="D25" i="1"/>
  <c r="G25" i="1" s="1"/>
  <c r="G29" i="1" s="1"/>
  <c r="F20" i="1"/>
  <c r="E20" i="1"/>
  <c r="D20" i="1"/>
  <c r="G20" i="1" s="1"/>
  <c r="F19" i="1"/>
  <c r="E19" i="1"/>
  <c r="D19" i="1"/>
  <c r="G19" i="1" s="1"/>
  <c r="F18" i="1"/>
  <c r="E18" i="1"/>
  <c r="D18" i="1"/>
  <c r="G18" i="1" s="1"/>
  <c r="F17" i="1"/>
  <c r="E17" i="1"/>
  <c r="D17" i="1"/>
  <c r="G17" i="1" s="1"/>
  <c r="G13" i="1"/>
  <c r="F13" i="1"/>
  <c r="E13" i="1"/>
  <c r="D13" i="1"/>
  <c r="N13" i="1" s="1"/>
  <c r="F12" i="1"/>
  <c r="E12" i="1"/>
  <c r="D12" i="1"/>
  <c r="G12" i="1" s="1"/>
  <c r="F11" i="1"/>
  <c r="E11" i="1"/>
  <c r="D11" i="1"/>
  <c r="N11" i="1" s="1"/>
  <c r="N10" i="1"/>
  <c r="J30" i="14" l="1"/>
  <c r="J29" i="14"/>
  <c r="J21" i="14"/>
  <c r="J22" i="14"/>
  <c r="G40" i="9"/>
  <c r="N10" i="9"/>
  <c r="G20" i="9"/>
  <c r="G39" i="9"/>
  <c r="G28" i="9"/>
  <c r="G25" i="9"/>
  <c r="G11" i="9"/>
  <c r="N11" i="9"/>
  <c r="G18" i="9"/>
  <c r="G27" i="9"/>
  <c r="G33" i="9"/>
  <c r="G34" i="9" s="1"/>
  <c r="G21" i="7" s="1"/>
  <c r="G38" i="9"/>
  <c r="G43" i="9"/>
  <c r="G12" i="9"/>
  <c r="G19" i="9"/>
  <c r="G44" i="9"/>
  <c r="G10" i="9"/>
  <c r="N12" i="9"/>
  <c r="G13" i="9"/>
  <c r="G17" i="9"/>
  <c r="G26" i="9"/>
  <c r="G42" i="9"/>
  <c r="J34" i="1"/>
  <c r="J35" i="1"/>
  <c r="G45" i="1"/>
  <c r="G21" i="1"/>
  <c r="J30" i="1"/>
  <c r="J29" i="1"/>
  <c r="N12" i="1"/>
  <c r="G10" i="1"/>
  <c r="G14" i="1" s="1"/>
  <c r="J14" i="1" s="1"/>
  <c r="J50" i="1" s="1"/>
  <c r="G11" i="1"/>
  <c r="J50" i="14" l="1"/>
  <c r="C52" i="14" s="1"/>
  <c r="J34" i="9"/>
  <c r="J35" i="9"/>
  <c r="I22" i="7" s="1"/>
  <c r="J22" i="7" s="1"/>
  <c r="G14" i="9"/>
  <c r="G13" i="7" s="1"/>
  <c r="G21" i="9"/>
  <c r="J21" i="9" s="1"/>
  <c r="J14" i="9"/>
  <c r="G29" i="9"/>
  <c r="G45" i="9"/>
  <c r="J22" i="1"/>
  <c r="J21" i="1"/>
  <c r="J46" i="1"/>
  <c r="J45" i="1"/>
  <c r="C55" i="14" l="1"/>
  <c r="E54" i="14"/>
  <c r="E55" i="14" s="1"/>
  <c r="J45" i="9"/>
  <c r="G24" i="7"/>
  <c r="J29" i="9"/>
  <c r="G18" i="7"/>
  <c r="J22" i="9"/>
  <c r="I16" i="7" s="1"/>
  <c r="J16" i="7" s="1"/>
  <c r="G15" i="7"/>
  <c r="J46" i="9"/>
  <c r="I25" i="7" s="1"/>
  <c r="J25" i="7" s="1"/>
  <c r="J30" i="9"/>
  <c r="J50" i="9" l="1"/>
  <c r="C52" i="9" s="1"/>
  <c r="C55" i="9" s="1"/>
  <c r="I19" i="7"/>
  <c r="J19" i="7" s="1"/>
  <c r="E27" i="7"/>
  <c r="C27" i="7"/>
  <c r="F21" i="7"/>
  <c r="F13" i="7"/>
  <c r="B27" i="7"/>
  <c r="A27" i="7"/>
  <c r="A9" i="7"/>
  <c r="A8" i="7"/>
  <c r="E54" i="9" l="1"/>
  <c r="E55" i="9" s="1"/>
  <c r="F24" i="7"/>
  <c r="I27" i="7"/>
  <c r="F18" i="7"/>
  <c r="F15" i="7"/>
  <c r="I13" i="7"/>
  <c r="J13" i="7" s="1"/>
  <c r="I15" i="7"/>
  <c r="I21" i="7"/>
  <c r="J21" i="7" s="1"/>
  <c r="I24" i="7"/>
  <c r="J24" i="7" l="1"/>
  <c r="F29" i="7"/>
  <c r="C6" i="7" s="1"/>
  <c r="J15" i="7"/>
  <c r="C57" i="1" l="1"/>
  <c r="C56" i="1"/>
  <c r="C54" i="1" s="1"/>
  <c r="G48" i="1"/>
  <c r="J48" i="1" l="1"/>
  <c r="D27" i="7"/>
  <c r="F27" i="7" s="1"/>
  <c r="J27" i="7" s="1"/>
  <c r="I18" i="7"/>
  <c r="J18" i="7" l="1"/>
  <c r="I29" i="7"/>
  <c r="J29" i="7" l="1"/>
  <c r="J6" i="7"/>
  <c r="C52" i="1" l="1"/>
  <c r="C55" i="1" l="1"/>
  <c r="E54" i="1"/>
  <c r="E55" i="1" s="1"/>
</calcChain>
</file>

<file path=xl/sharedStrings.xml><?xml version="1.0" encoding="utf-8"?>
<sst xmlns="http://schemas.openxmlformats.org/spreadsheetml/2006/main" count="201" uniqueCount="70">
  <si>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</si>
  <si>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</si>
  <si>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</si>
  <si>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</si>
  <si>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</si>
  <si>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</si>
  <si>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</si>
  <si>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</si>
  <si>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</si>
  <si>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</si>
  <si>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</si>
  <si>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</si>
  <si>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</si>
  <si>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</si>
  <si>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</si>
  <si>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</si>
  <si>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</si>
  <si>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</si>
  <si>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</si>
  <si>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</si>
  <si>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</si>
  <si>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</si>
  <si>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</si>
  <si>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</si>
  <si>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</si>
  <si>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</si>
  <si>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</si>
  <si>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</si>
  <si>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</si>
  <si>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</si>
  <si>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</si>
  <si>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</si>
  <si>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</si>
  <si>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</si>
  <si>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</si>
  <si>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</si>
  <si>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</si>
  <si>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</si>
  <si>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</si>
  <si>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</si>
  <si>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</si>
  <si>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</si>
  <si>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</si>
  <si>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</si>
  <si>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</si>
  <si>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Detail Valuated Sheet</t>
  </si>
  <si>
    <t>Total Valuated</t>
  </si>
  <si>
    <t>Date:2081/10/20</t>
  </si>
  <si>
    <t>g/d k|sf/sf] Sn] / l;N6L df6f]df ;j} lsl;dsf] vGg] sfd</t>
  </si>
  <si>
    <t>-Plinth area</t>
  </si>
  <si>
    <t>husf] vf8ndf 9'+uf eg]{ / n]en ug]{ sfddf</t>
  </si>
  <si>
    <t>hu leQf kvf{ndf l;d]G6 s+lqm6 ug]{ sfd -lk=;L=;L= !M@M$_</t>
  </si>
  <si>
    <r>
      <t>#*</t>
    </r>
    <r>
      <rPr>
        <b/>
        <sz val="12"/>
        <rFont val="Arial"/>
        <family val="2"/>
      </rPr>
      <t>X</t>
    </r>
    <r>
      <rPr>
        <b/>
        <sz val="12"/>
        <rFont val="Preeti"/>
      </rPr>
      <t>&amp;% dL=dL=lr/fg ;fn sf7sf] k|m]d $ dL=dL= P]gf vfkf agfO</t>
    </r>
  </si>
  <si>
    <t>-window</t>
  </si>
  <si>
    <t>sqm</t>
  </si>
  <si>
    <t>!@=% dL=dL= l;d]G6 afn'jf -!M$_ Knfi6/</t>
  </si>
  <si>
    <t>-Outer walls</t>
  </si>
  <si>
    <t>-column</t>
  </si>
  <si>
    <t>-beam</t>
  </si>
  <si>
    <t>-Inner walls</t>
  </si>
  <si>
    <t>-door</t>
  </si>
  <si>
    <t>Date:2081/08/24</t>
  </si>
  <si>
    <t>Project:- कालिका मन्दिरमा भएको सार्वजनिक भवन मर्मत सम्भार</t>
  </si>
  <si>
    <t>-deduction for tie beam area</t>
  </si>
  <si>
    <t>area of parallelogram</t>
  </si>
  <si>
    <t>-Inner rooms</t>
  </si>
  <si>
    <r>
      <t>#*</t>
    </r>
    <r>
      <rPr>
        <b/>
        <sz val="12"/>
        <rFont val="Times New Roman"/>
        <family val="1"/>
      </rPr>
      <t>X</t>
    </r>
    <r>
      <rPr>
        <b/>
        <sz val="12"/>
        <rFont val="Preeti"/>
      </rPr>
      <t>&amp;% dL=dL=lr/fg ;fn sf7sf] k|m]d $ dL=dL= P]gf vfkf agfO</t>
    </r>
  </si>
  <si>
    <t>-deduction for window</t>
  </si>
  <si>
    <t>-deduction for door</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</si>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</sst>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sz val="16"/>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name val="Arial"/>
      <family val="2"/>
    </font>
    <font>
      <b/>
      <sz val="12"/>
      <color theme="1"/>
      <name val="Preeti"/>
    </font>
    <font>
      <b/>
      <sz val="12"/>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1">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11" fillId="0" borderId="0" xfId="0" applyFont="1" applyBorder="1" applyAlignment="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4" fillId="0" borderId="0" xfId="0" applyFont="1"/>
    <xf numFmtId="0" fontId="15"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6" fillId="3" borderId="2" xfId="0" applyFont="1" applyFill="1" applyBorder="1" applyAlignment="1">
      <alignment wrapText="1"/>
    </xf>
    <xf numFmtId="1" fontId="18" fillId="0" borderId="2" xfId="0" applyNumberFormat="1" applyFont="1" applyBorder="1" applyAlignment="1">
      <alignment vertical="center" wrapText="1"/>
    </xf>
    <xf numFmtId="2" fontId="0" fillId="0" borderId="0" xfId="0" applyNumberFormat="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43" fontId="14" fillId="0" borderId="0" xfId="0" applyNumberFormat="1" applyFont="1" applyAlignment="1">
      <alignment horizontal="center"/>
    </xf>
    <xf numFmtId="0" fontId="14" fillId="0" borderId="0" xfId="0" applyFont="1" applyAlignment="1">
      <alignment horizontal="center"/>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31" zoomScale="90" zoomScaleNormal="90" workbookViewId="0">
      <selection activeCell="B48" sqref="B48"/>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9" x14ac:dyDescent="0.25">
      <c r="A1" s="61" t="s">
        <v>0</v>
      </c>
      <c r="B1" s="61"/>
      <c r="C1" s="61"/>
      <c r="D1" s="61"/>
      <c r="E1" s="61"/>
      <c r="F1" s="61"/>
      <c r="G1" s="61"/>
      <c r="H1" s="61"/>
      <c r="I1" s="61"/>
      <c r="J1" s="61"/>
      <c r="K1" s="61"/>
    </row>
    <row r="2" spans="1:19" ht="22.5" x14ac:dyDescent="0.25">
      <c r="A2" s="62" t="s">
        <v>1</v>
      </c>
      <c r="B2" s="62"/>
      <c r="C2" s="62"/>
      <c r="D2" s="62"/>
      <c r="E2" s="62"/>
      <c r="F2" s="62"/>
      <c r="G2" s="62"/>
      <c r="H2" s="62"/>
      <c r="I2" s="62"/>
      <c r="J2" s="62"/>
      <c r="K2" s="62"/>
    </row>
    <row r="3" spans="1:19" x14ac:dyDescent="0.25">
      <c r="A3" s="63" t="s">
        <v>2</v>
      </c>
      <c r="B3" s="63"/>
      <c r="C3" s="63"/>
      <c r="D3" s="63"/>
      <c r="E3" s="63"/>
      <c r="F3" s="63"/>
      <c r="G3" s="63"/>
      <c r="H3" s="63"/>
      <c r="I3" s="63"/>
      <c r="J3" s="63"/>
      <c r="K3" s="63"/>
    </row>
    <row r="4" spans="1:19" x14ac:dyDescent="0.25">
      <c r="A4" s="63" t="s">
        <v>3</v>
      </c>
      <c r="B4" s="63"/>
      <c r="C4" s="63"/>
      <c r="D4" s="63"/>
      <c r="E4" s="63"/>
      <c r="F4" s="63"/>
      <c r="G4" s="63"/>
      <c r="H4" s="63"/>
      <c r="I4" s="63"/>
      <c r="J4" s="63"/>
      <c r="K4" s="63"/>
    </row>
    <row r="5" spans="1:19" ht="18.75" x14ac:dyDescent="0.3">
      <c r="A5" s="64" t="s">
        <v>4</v>
      </c>
      <c r="B5" s="64"/>
      <c r="C5" s="64"/>
      <c r="D5" s="64"/>
      <c r="E5" s="64"/>
      <c r="F5" s="64"/>
      <c r="G5" s="64"/>
      <c r="H5" s="64"/>
      <c r="I5" s="64"/>
      <c r="J5" s="64"/>
      <c r="K5" s="64"/>
    </row>
    <row r="6" spans="1:19" ht="15.75" x14ac:dyDescent="0.25">
      <c r="A6" s="59" t="s">
        <v>62</v>
      </c>
      <c r="B6" s="59"/>
      <c r="C6" s="59"/>
      <c r="D6" s="59"/>
      <c r="E6" s="59"/>
      <c r="F6" s="59"/>
      <c r="G6" s="1"/>
      <c r="H6" s="60" t="s">
        <v>5</v>
      </c>
      <c r="I6" s="60"/>
      <c r="J6" s="60"/>
      <c r="K6" s="60"/>
    </row>
    <row r="7" spans="1:19" ht="15.75" x14ac:dyDescent="0.25">
      <c r="A7" s="66" t="s">
        <v>6</v>
      </c>
      <c r="B7" s="66"/>
      <c r="C7" s="66"/>
      <c r="D7" s="66"/>
      <c r="E7" s="66"/>
      <c r="F7" s="66"/>
      <c r="G7" s="2"/>
      <c r="H7" s="67" t="s">
        <v>61</v>
      </c>
      <c r="I7" s="67"/>
      <c r="J7" s="67"/>
      <c r="K7" s="67"/>
    </row>
    <row r="8" spans="1:19" ht="15.75" x14ac:dyDescent="0.25">
      <c r="A8" s="3" t="s">
        <v>7</v>
      </c>
      <c r="B8" s="4" t="s">
        <v>8</v>
      </c>
      <c r="C8" s="3" t="s">
        <v>9</v>
      </c>
      <c r="D8" s="5" t="s">
        <v>10</v>
      </c>
      <c r="E8" s="5" t="s">
        <v>11</v>
      </c>
      <c r="F8" s="5" t="s">
        <v>12</v>
      </c>
      <c r="G8" s="5" t="s">
        <v>13</v>
      </c>
      <c r="H8" s="3" t="s">
        <v>14</v>
      </c>
      <c r="I8" s="5" t="s">
        <v>15</v>
      </c>
      <c r="J8" s="5" t="s">
        <v>16</v>
      </c>
      <c r="K8" s="6" t="s">
        <v>17</v>
      </c>
    </row>
    <row r="9" spans="1:19" ht="30.75" x14ac:dyDescent="0.25">
      <c r="A9" s="28">
        <v>1</v>
      </c>
      <c r="B9" s="56" t="s">
        <v>48</v>
      </c>
      <c r="C9" s="18"/>
      <c r="D9" s="18"/>
      <c r="E9" s="18"/>
      <c r="F9" s="18"/>
      <c r="G9" s="18"/>
      <c r="H9" s="18"/>
      <c r="I9" s="18"/>
      <c r="J9" s="18"/>
      <c r="K9" s="18"/>
    </row>
    <row r="10" spans="1:19" ht="15" customHeight="1" x14ac:dyDescent="0.25">
      <c r="A10" s="8"/>
      <c r="B10" s="9" t="s">
        <v>49</v>
      </c>
      <c r="C10" s="18">
        <v>1</v>
      </c>
      <c r="D10" s="19">
        <f>((15+15.083)/2)/3.281</f>
        <v>4.5844254800365736</v>
      </c>
      <c r="E10" s="19">
        <f>((11.25+11.25)/2)/3.281</f>
        <v>3.4288326729655592</v>
      </c>
      <c r="F10" s="19">
        <v>0.15</v>
      </c>
      <c r="G10" s="20">
        <f>PRODUCT(C10:F10)</f>
        <v>2.3578841809087834</v>
      </c>
      <c r="H10" s="21"/>
      <c r="I10" s="21"/>
      <c r="J10" s="21"/>
      <c r="K10" s="12"/>
      <c r="M10" s="16"/>
      <c r="N10" s="17">
        <f>CONVERT((D10*E10),"m2","ft2")</f>
        <v>169.20036064186084</v>
      </c>
      <c r="O10" s="17"/>
      <c r="P10" s="17"/>
      <c r="Q10" s="17"/>
      <c r="R10" s="16"/>
      <c r="S10" s="16"/>
    </row>
    <row r="11" spans="1:19" ht="15" customHeight="1" x14ac:dyDescent="0.25">
      <c r="A11" s="8"/>
      <c r="B11" s="9"/>
      <c r="C11" s="18">
        <v>1</v>
      </c>
      <c r="D11" s="19">
        <f>((15+15.083)/2)/3.281</f>
        <v>4.5844254800365736</v>
      </c>
      <c r="E11" s="19">
        <f>((11.083+10.5)/2)/3.281</f>
        <v>3.289088692471807</v>
      </c>
      <c r="F11" s="19">
        <f>0.15</f>
        <v>0.15</v>
      </c>
      <c r="G11" s="20">
        <f>PRODUCT(C11:F11)</f>
        <v>2.2617873011801892</v>
      </c>
      <c r="H11" s="21"/>
      <c r="I11" s="21"/>
      <c r="J11" s="21"/>
      <c r="K11" s="12"/>
      <c r="M11" s="16"/>
      <c r="N11" s="17">
        <f>CONVERT((D11*E11),"m2","ft2")</f>
        <v>162.3045059437014</v>
      </c>
      <c r="O11" s="17"/>
      <c r="P11" s="17"/>
      <c r="Q11" s="17"/>
      <c r="R11" s="16"/>
      <c r="S11" s="16"/>
    </row>
    <row r="12" spans="1:19" ht="15" customHeight="1" x14ac:dyDescent="0.25">
      <c r="A12" s="8"/>
      <c r="B12" s="9"/>
      <c r="C12" s="18">
        <v>1</v>
      </c>
      <c r="D12" s="19">
        <f>((11.5+11.667)/2)/3.281</f>
        <v>3.5304785126485827</v>
      </c>
      <c r="E12" s="19">
        <f>((12.75+12.75)/2)/3.281</f>
        <v>3.8860103626943006</v>
      </c>
      <c r="F12" s="19">
        <f>0.15</f>
        <v>0.15</v>
      </c>
      <c r="G12" s="20">
        <f>PRODUCT(C12:F12)</f>
        <v>2.0579214128132932</v>
      </c>
      <c r="H12" s="21"/>
      <c r="I12" s="21"/>
      <c r="J12" s="21"/>
      <c r="K12" s="12"/>
      <c r="M12" s="16"/>
      <c r="N12" s="17">
        <f t="shared" ref="N12:N13" si="0">CONVERT((D12*E12),"m2","ft2")</f>
        <v>147.67521154767331</v>
      </c>
      <c r="O12" s="17"/>
      <c r="P12" s="17"/>
      <c r="Q12" s="17"/>
      <c r="R12" s="16"/>
      <c r="S12" s="16"/>
    </row>
    <row r="13" spans="1:19" ht="15" customHeight="1" x14ac:dyDescent="0.25">
      <c r="A13" s="8"/>
      <c r="B13" s="9"/>
      <c r="C13" s="18">
        <v>1</v>
      </c>
      <c r="D13" s="19">
        <f>((10.5+10)/2)/3.281</f>
        <v>3.1240475464797317</v>
      </c>
      <c r="E13" s="19">
        <f>((12+12)/2)/3.281</f>
        <v>3.6574215178299299</v>
      </c>
      <c r="F13" s="19">
        <f>0.15</f>
        <v>0.15</v>
      </c>
      <c r="G13" s="20">
        <f>PRODUCT(C13:F13)</f>
        <v>1.7138938078828154</v>
      </c>
      <c r="H13" s="21"/>
      <c r="I13" s="21"/>
      <c r="J13" s="21"/>
      <c r="K13" s="12"/>
      <c r="M13" s="16"/>
      <c r="N13" s="17">
        <f t="shared" si="0"/>
        <v>122.98799607869418</v>
      </c>
      <c r="O13" s="17"/>
      <c r="P13" s="17"/>
      <c r="Q13" s="17"/>
      <c r="R13" s="16"/>
      <c r="S13" s="16"/>
    </row>
    <row r="14" spans="1:19" ht="15" customHeight="1" x14ac:dyDescent="0.25">
      <c r="A14" s="8"/>
      <c r="B14" s="9" t="s">
        <v>18</v>
      </c>
      <c r="C14" s="10"/>
      <c r="D14" s="11"/>
      <c r="E14" s="12"/>
      <c r="F14" s="12"/>
      <c r="G14" s="13">
        <f>SUM(G10:G13)</f>
        <v>8.3914867027850804</v>
      </c>
      <c r="H14" s="14" t="s">
        <v>19</v>
      </c>
      <c r="I14" s="13">
        <v>663.31</v>
      </c>
      <c r="J14" s="15">
        <f>G14*I14</f>
        <v>5566.157044824371</v>
      </c>
      <c r="K14" s="12"/>
      <c r="M14" s="16"/>
      <c r="N14" s="17"/>
      <c r="O14" s="17"/>
      <c r="P14" s="17"/>
      <c r="Q14" s="17"/>
      <c r="R14" s="16"/>
      <c r="S14" s="16"/>
    </row>
    <row r="15" spans="1:19" ht="15" customHeight="1" x14ac:dyDescent="0.25">
      <c r="A15" s="8"/>
      <c r="B15" s="30"/>
      <c r="C15" s="10"/>
      <c r="D15" s="11"/>
      <c r="E15" s="12"/>
      <c r="F15" s="12"/>
      <c r="G15" s="13"/>
      <c r="H15" s="14"/>
      <c r="I15" s="13"/>
      <c r="J15" s="15"/>
      <c r="K15" s="12"/>
      <c r="M15" s="16"/>
      <c r="N15" s="17"/>
      <c r="O15" s="17"/>
      <c r="P15" s="17"/>
      <c r="Q15" s="17"/>
      <c r="R15" s="16"/>
      <c r="S15" s="16"/>
    </row>
    <row r="16" spans="1:19" ht="30.75" x14ac:dyDescent="0.25">
      <c r="A16" s="8">
        <v>2</v>
      </c>
      <c r="B16" s="56" t="s">
        <v>50</v>
      </c>
      <c r="C16" s="10"/>
      <c r="D16" s="11"/>
      <c r="E16" s="12"/>
      <c r="F16" s="12"/>
      <c r="G16" s="13"/>
      <c r="H16" s="14"/>
      <c r="I16" s="13"/>
      <c r="J16" s="15"/>
      <c r="K16" s="12"/>
      <c r="M16" s="16"/>
      <c r="N16" s="17"/>
      <c r="O16" s="17"/>
      <c r="P16" s="17"/>
      <c r="Q16" s="16"/>
      <c r="R16" s="16"/>
    </row>
    <row r="17" spans="1:19" ht="15" customHeight="1" x14ac:dyDescent="0.25">
      <c r="A17" s="8"/>
      <c r="B17" s="9" t="s">
        <v>49</v>
      </c>
      <c r="C17" s="18">
        <v>1</v>
      </c>
      <c r="D17" s="19">
        <f>((15+15.083)/2)/3.281</f>
        <v>4.5844254800365736</v>
      </c>
      <c r="E17" s="19">
        <f>((11.25+11.25)/2)/3.281</f>
        <v>3.4288326729655592</v>
      </c>
      <c r="F17" s="19">
        <f>0.15</f>
        <v>0.15</v>
      </c>
      <c r="G17" s="20">
        <f>PRODUCT(C17:F17)</f>
        <v>2.3578841809087834</v>
      </c>
      <c r="H17" s="21"/>
      <c r="I17" s="21"/>
      <c r="J17" s="21"/>
      <c r="K17" s="12"/>
      <c r="M17" s="16"/>
      <c r="N17" s="17"/>
      <c r="O17" s="17"/>
      <c r="P17" s="17"/>
      <c r="Q17" s="16"/>
      <c r="R17" s="16"/>
    </row>
    <row r="18" spans="1:19" ht="15" customHeight="1" x14ac:dyDescent="0.25">
      <c r="A18" s="8"/>
      <c r="B18" s="9"/>
      <c r="C18" s="18">
        <v>1</v>
      </c>
      <c r="D18" s="19">
        <f>((15+15.083)/2)/3.281</f>
        <v>4.5844254800365736</v>
      </c>
      <c r="E18" s="19">
        <f>((11.083+10.5)/2)/3.281</f>
        <v>3.289088692471807</v>
      </c>
      <c r="F18" s="19">
        <f>0.15</f>
        <v>0.15</v>
      </c>
      <c r="G18" s="20">
        <f>PRODUCT(C18:F18)</f>
        <v>2.2617873011801892</v>
      </c>
      <c r="H18" s="21"/>
      <c r="I18" s="21"/>
      <c r="J18" s="21"/>
      <c r="K18" s="12"/>
      <c r="M18" s="16"/>
      <c r="N18" s="17"/>
      <c r="O18" s="17"/>
      <c r="P18" s="17"/>
      <c r="Q18" s="16"/>
      <c r="R18" s="16"/>
    </row>
    <row r="19" spans="1:19" ht="15" customHeight="1" x14ac:dyDescent="0.25">
      <c r="A19" s="8"/>
      <c r="B19" s="9"/>
      <c r="C19" s="18">
        <v>1</v>
      </c>
      <c r="D19" s="19">
        <f>((11.5+11.667)/2)/3.281</f>
        <v>3.5304785126485827</v>
      </c>
      <c r="E19" s="19">
        <f>((12.75+12.75)/2)/3.281</f>
        <v>3.8860103626943006</v>
      </c>
      <c r="F19" s="19">
        <f>0.15</f>
        <v>0.15</v>
      </c>
      <c r="G19" s="20">
        <f>PRODUCT(C19:F19)</f>
        <v>2.0579214128132932</v>
      </c>
      <c r="H19" s="21"/>
      <c r="I19" s="21"/>
      <c r="J19" s="21"/>
      <c r="K19" s="12"/>
      <c r="M19" s="16"/>
      <c r="N19" s="17"/>
      <c r="O19" s="17"/>
      <c r="P19" s="17"/>
      <c r="Q19" s="16"/>
      <c r="R19" s="16"/>
    </row>
    <row r="20" spans="1:19" ht="15" customHeight="1" x14ac:dyDescent="0.25">
      <c r="A20" s="8"/>
      <c r="B20" s="9"/>
      <c r="C20" s="18">
        <v>1</v>
      </c>
      <c r="D20" s="19">
        <f>((10.5+10)/2)/3.281</f>
        <v>3.1240475464797317</v>
      </c>
      <c r="E20" s="19">
        <f>((12+12)/2)/3.281</f>
        <v>3.6574215178299299</v>
      </c>
      <c r="F20" s="19">
        <f>0.15</f>
        <v>0.15</v>
      </c>
      <c r="G20" s="20">
        <f>PRODUCT(C20:F20)</f>
        <v>1.7138938078828154</v>
      </c>
      <c r="H20" s="21"/>
      <c r="I20" s="21"/>
      <c r="J20" s="21"/>
      <c r="K20" s="12"/>
      <c r="M20" s="16"/>
      <c r="N20" s="17"/>
      <c r="O20" s="17"/>
      <c r="P20" s="17"/>
      <c r="Q20" s="16"/>
      <c r="R20" s="16"/>
    </row>
    <row r="21" spans="1:19" ht="15" customHeight="1" x14ac:dyDescent="0.25">
      <c r="A21" s="21"/>
      <c r="B21" s="9" t="s">
        <v>18</v>
      </c>
      <c r="C21" s="22"/>
      <c r="D21" s="23"/>
      <c r="E21" s="23"/>
      <c r="F21" s="23"/>
      <c r="G21" s="24">
        <f>SUM(G17:G20)</f>
        <v>8.3914867027850804</v>
      </c>
      <c r="H21" s="24" t="s">
        <v>19</v>
      </c>
      <c r="I21" s="24">
        <v>4473.1499999999996</v>
      </c>
      <c r="J21" s="25">
        <f>G21*I21</f>
        <v>37536.378744563081</v>
      </c>
      <c r="K21" s="18"/>
    </row>
    <row r="22" spans="1:19" x14ac:dyDescent="0.25">
      <c r="A22" s="21"/>
      <c r="B22" s="9" t="s">
        <v>20</v>
      </c>
      <c r="C22" s="22"/>
      <c r="D22" s="23"/>
      <c r="E22" s="23"/>
      <c r="F22" s="23"/>
      <c r="G22" s="23"/>
      <c r="H22" s="23"/>
      <c r="I22" s="23"/>
      <c r="J22" s="26">
        <f>0.13*G21*(3093.15)</f>
        <v>3374.2965223135575</v>
      </c>
      <c r="K22" s="18"/>
    </row>
    <row r="23" spans="1:19" x14ac:dyDescent="0.25">
      <c r="A23" s="21"/>
      <c r="B23" s="9"/>
      <c r="C23" s="22"/>
      <c r="D23" s="23"/>
      <c r="E23" s="23"/>
      <c r="F23" s="23"/>
      <c r="G23" s="23"/>
      <c r="H23" s="23"/>
      <c r="I23" s="23"/>
      <c r="J23" s="26"/>
      <c r="K23" s="18"/>
    </row>
    <row r="24" spans="1:19" ht="30.75" x14ac:dyDescent="0.25">
      <c r="A24" s="8">
        <v>3</v>
      </c>
      <c r="B24" s="56" t="s">
        <v>51</v>
      </c>
      <c r="C24" s="10"/>
      <c r="D24" s="11"/>
      <c r="E24" s="12"/>
      <c r="F24" s="12"/>
      <c r="G24" s="13"/>
      <c r="H24" s="14"/>
      <c r="I24" s="13"/>
      <c r="J24" s="15"/>
      <c r="K24" s="12"/>
      <c r="M24" s="16"/>
      <c r="N24" s="17"/>
      <c r="O24" s="17"/>
      <c r="P24" s="17"/>
      <c r="Q24" s="16"/>
      <c r="R24" s="16"/>
    </row>
    <row r="25" spans="1:19" ht="15" customHeight="1" x14ac:dyDescent="0.25">
      <c r="A25" s="8"/>
      <c r="B25" s="9" t="s">
        <v>49</v>
      </c>
      <c r="C25" s="18">
        <v>1</v>
      </c>
      <c r="D25" s="19">
        <f>((15+15.083)/2)/3.281</f>
        <v>4.5844254800365736</v>
      </c>
      <c r="E25" s="19">
        <f>((11.25+11.25)/2)/3.281</f>
        <v>3.4288326729655592</v>
      </c>
      <c r="F25" s="19">
        <v>7.4999999999999997E-2</v>
      </c>
      <c r="G25" s="20">
        <f>PRODUCT(C25:F25)</f>
        <v>1.1789420904543917</v>
      </c>
      <c r="H25" s="21"/>
      <c r="I25" s="21"/>
      <c r="J25" s="21"/>
      <c r="K25" s="12"/>
      <c r="M25" s="16"/>
      <c r="N25" s="17"/>
      <c r="O25" s="17"/>
      <c r="P25" s="17"/>
      <c r="Q25" s="16"/>
      <c r="R25" s="16"/>
    </row>
    <row r="26" spans="1:19" ht="15" customHeight="1" x14ac:dyDescent="0.25">
      <c r="A26" s="8"/>
      <c r="B26" s="9"/>
      <c r="C26" s="18">
        <v>1</v>
      </c>
      <c r="D26" s="19">
        <f>((15+15.083)/2)/3.281</f>
        <v>4.5844254800365736</v>
      </c>
      <c r="E26" s="19">
        <f>((11.083+10.5)/2)/3.281</f>
        <v>3.289088692471807</v>
      </c>
      <c r="F26" s="19">
        <v>7.4999999999999997E-2</v>
      </c>
      <c r="G26" s="20">
        <f>PRODUCT(C26:F26)</f>
        <v>1.1308936505900946</v>
      </c>
      <c r="H26" s="21"/>
      <c r="I26" s="21"/>
      <c r="J26" s="21"/>
      <c r="K26" s="12"/>
      <c r="M26" s="16"/>
      <c r="N26" s="17"/>
      <c r="O26" s="17"/>
      <c r="P26" s="17"/>
      <c r="Q26" s="16"/>
      <c r="R26" s="16"/>
    </row>
    <row r="27" spans="1:19" ht="15" customHeight="1" x14ac:dyDescent="0.25">
      <c r="A27" s="8"/>
      <c r="B27" s="9"/>
      <c r="C27" s="18">
        <v>1</v>
      </c>
      <c r="D27" s="19">
        <f>((11.5+11.667)/2)/3.281</f>
        <v>3.5304785126485827</v>
      </c>
      <c r="E27" s="19">
        <f>((12.75+12.75)/2)/3.281</f>
        <v>3.8860103626943006</v>
      </c>
      <c r="F27" s="19">
        <v>7.4999999999999997E-2</v>
      </c>
      <c r="G27" s="20">
        <f>PRODUCT(C27:F27)</f>
        <v>1.0289607064066466</v>
      </c>
      <c r="H27" s="21"/>
      <c r="I27" s="21"/>
      <c r="J27" s="21"/>
      <c r="K27" s="12"/>
      <c r="M27" s="16"/>
      <c r="N27" s="17"/>
      <c r="O27" s="17"/>
      <c r="P27" s="17"/>
      <c r="Q27" s="16"/>
      <c r="R27" s="16"/>
    </row>
    <row r="28" spans="1:19" ht="15" customHeight="1" x14ac:dyDescent="0.25">
      <c r="A28" s="8"/>
      <c r="B28" s="9"/>
      <c r="C28" s="18">
        <v>1</v>
      </c>
      <c r="D28" s="19">
        <f>((10.5+10)/2)/3.281</f>
        <v>3.1240475464797317</v>
      </c>
      <c r="E28" s="19">
        <f>((12+12)/2)/3.281</f>
        <v>3.6574215178299299</v>
      </c>
      <c r="F28" s="19">
        <v>7.4999999999999997E-2</v>
      </c>
      <c r="G28" s="20">
        <f>PRODUCT(C28:F28)</f>
        <v>0.85694690394140771</v>
      </c>
      <c r="H28" s="21"/>
      <c r="I28" s="21"/>
      <c r="J28" s="21"/>
      <c r="K28" s="12"/>
      <c r="M28" s="16"/>
      <c r="N28" s="17"/>
      <c r="O28" s="17"/>
      <c r="P28" s="17"/>
      <c r="Q28" s="16"/>
      <c r="R28" s="16"/>
    </row>
    <row r="29" spans="1:19" ht="15" customHeight="1" x14ac:dyDescent="0.25">
      <c r="A29" s="21"/>
      <c r="B29" s="9" t="s">
        <v>18</v>
      </c>
      <c r="C29" s="22"/>
      <c r="D29" s="23"/>
      <c r="E29" s="23"/>
      <c r="F29" s="23"/>
      <c r="G29" s="24">
        <f>SUM(G25:G28)</f>
        <v>4.1957433513925402</v>
      </c>
      <c r="H29" s="24" t="s">
        <v>19</v>
      </c>
      <c r="I29" s="24">
        <v>12983.1</v>
      </c>
      <c r="J29" s="25">
        <f>G29*I29</f>
        <v>54473.755505464491</v>
      </c>
      <c r="K29" s="18"/>
    </row>
    <row r="30" spans="1:19" ht="15" customHeight="1" x14ac:dyDescent="0.25">
      <c r="A30" s="21"/>
      <c r="B30" s="9" t="s">
        <v>20</v>
      </c>
      <c r="C30" s="22"/>
      <c r="D30" s="23"/>
      <c r="E30" s="23"/>
      <c r="F30" s="23"/>
      <c r="G30" s="23"/>
      <c r="H30" s="23"/>
      <c r="I30" s="23"/>
      <c r="J30" s="26">
        <f>0.13*G29*(8078.11)</f>
        <v>4406.1779221612869</v>
      </c>
      <c r="K30" s="18"/>
    </row>
    <row r="31" spans="1:19" ht="15" customHeight="1" x14ac:dyDescent="0.25">
      <c r="A31" s="21"/>
      <c r="B31" s="9"/>
      <c r="C31" s="22"/>
      <c r="D31" s="23"/>
      <c r="E31" s="23"/>
      <c r="F31" s="23"/>
      <c r="G31" s="23"/>
      <c r="H31" s="23"/>
      <c r="I31" s="23"/>
      <c r="J31" s="26"/>
      <c r="K31" s="18"/>
    </row>
    <row r="32" spans="1:19" ht="31.5" x14ac:dyDescent="0.25">
      <c r="A32" s="8">
        <v>4</v>
      </c>
      <c r="B32" s="56" t="s">
        <v>52</v>
      </c>
      <c r="C32" s="10"/>
      <c r="D32" s="11"/>
      <c r="E32" s="12"/>
      <c r="F32" s="12"/>
      <c r="G32" s="13"/>
      <c r="H32" s="14"/>
      <c r="I32" s="13"/>
      <c r="J32" s="15"/>
      <c r="K32" s="12"/>
      <c r="M32" s="16"/>
      <c r="N32" s="17"/>
      <c r="O32" s="17"/>
      <c r="P32" s="17"/>
      <c r="Q32" s="17"/>
      <c r="R32" s="16"/>
      <c r="S32" s="16"/>
    </row>
    <row r="33" spans="1:19" ht="15" customHeight="1" x14ac:dyDescent="0.25">
      <c r="A33" s="8"/>
      <c r="B33" s="9" t="s">
        <v>53</v>
      </c>
      <c r="C33" s="18">
        <f>4*3</f>
        <v>12</v>
      </c>
      <c r="D33" s="19">
        <f>(1+9.5/12)/3.281</f>
        <v>0.54607335162044091</v>
      </c>
      <c r="E33" s="19">
        <f>(4+1.5/12)/3.281</f>
        <v>1.2572386467540384</v>
      </c>
      <c r="F33" s="19"/>
      <c r="G33" s="20">
        <f>PRODUCT(C33:F33)</f>
        <v>8.2385342594367028</v>
      </c>
      <c r="H33" s="21"/>
      <c r="I33" s="21"/>
      <c r="J33" s="21"/>
      <c r="K33" s="12"/>
      <c r="M33" s="16"/>
      <c r="N33" s="17"/>
      <c r="O33" s="17"/>
      <c r="P33" s="17"/>
      <c r="Q33" s="17"/>
      <c r="R33" s="16"/>
      <c r="S33" s="16"/>
    </row>
    <row r="34" spans="1:19" ht="15" customHeight="1" x14ac:dyDescent="0.25">
      <c r="A34" s="21"/>
      <c r="B34" s="9" t="s">
        <v>18</v>
      </c>
      <c r="C34" s="22"/>
      <c r="D34" s="23"/>
      <c r="E34" s="23"/>
      <c r="F34" s="23"/>
      <c r="G34" s="24">
        <f>SUM(G33:G33)</f>
        <v>8.2385342594367028</v>
      </c>
      <c r="H34" s="24" t="s">
        <v>54</v>
      </c>
      <c r="I34" s="24">
        <v>10576.85</v>
      </c>
      <c r="J34" s="25">
        <f>G34*I34</f>
        <v>87137.741081923086</v>
      </c>
      <c r="K34" s="18"/>
    </row>
    <row r="35" spans="1:19" ht="15" customHeight="1" x14ac:dyDescent="0.25">
      <c r="A35" s="21"/>
      <c r="B35" s="9" t="s">
        <v>20</v>
      </c>
      <c r="C35" s="22"/>
      <c r="D35" s="23"/>
      <c r="E35" s="23"/>
      <c r="F35" s="23"/>
      <c r="G35" s="23"/>
      <c r="H35" s="23"/>
      <c r="I35" s="23"/>
      <c r="J35" s="26">
        <f>0.13*G34*(11733.39/2.23)</f>
        <v>5635.233907741328</v>
      </c>
      <c r="K35" s="18"/>
    </row>
    <row r="36" spans="1:19" ht="15" customHeight="1" x14ac:dyDescent="0.25">
      <c r="A36" s="21"/>
      <c r="B36" s="9"/>
      <c r="C36" s="22"/>
      <c r="D36" s="23"/>
      <c r="E36" s="23"/>
      <c r="F36" s="23"/>
      <c r="G36" s="23"/>
      <c r="H36" s="23"/>
      <c r="I36" s="23"/>
      <c r="J36" s="26"/>
      <c r="K36" s="18"/>
    </row>
    <row r="37" spans="1:19" ht="30.75" x14ac:dyDescent="0.25">
      <c r="A37" s="21">
        <v>5</v>
      </c>
      <c r="B37" s="56" t="s">
        <v>55</v>
      </c>
      <c r="C37" s="22"/>
      <c r="D37" s="23"/>
      <c r="E37" s="23"/>
      <c r="F37" s="23"/>
      <c r="G37" s="23"/>
      <c r="H37" s="23"/>
      <c r="I37" s="23"/>
      <c r="J37" s="26"/>
      <c r="K37" s="18"/>
    </row>
    <row r="38" spans="1:19" ht="15" customHeight="1" x14ac:dyDescent="0.25">
      <c r="A38" s="8"/>
      <c r="B38" s="9" t="s">
        <v>56</v>
      </c>
      <c r="C38" s="18">
        <v>1</v>
      </c>
      <c r="D38" s="19">
        <f>(14.17+12+12.5+14.25+13.5+11.5)/3.281</f>
        <v>23.748857055775677</v>
      </c>
      <c r="E38" s="19"/>
      <c r="F38" s="19">
        <f>8/3.281</f>
        <v>2.4382810118866196</v>
      </c>
      <c r="G38" s="20">
        <f>PRODUCT(C38:F38)</f>
        <v>57.906387213107401</v>
      </c>
      <c r="H38" s="21"/>
      <c r="I38" s="21"/>
      <c r="J38" s="21"/>
      <c r="K38" s="12"/>
      <c r="M38" s="16"/>
      <c r="N38" s="17"/>
      <c r="O38" s="17"/>
      <c r="P38" s="17"/>
      <c r="Q38" s="17"/>
      <c r="R38" s="16"/>
      <c r="S38" s="16"/>
    </row>
    <row r="39" spans="1:19" ht="15" hidden="1" customHeight="1" x14ac:dyDescent="0.25">
      <c r="A39" s="8"/>
      <c r="B39" s="9" t="s">
        <v>57</v>
      </c>
      <c r="C39" s="18">
        <f>0*4*2</f>
        <v>0</v>
      </c>
      <c r="D39" s="19">
        <v>0.3</v>
      </c>
      <c r="E39" s="19"/>
      <c r="F39" s="19">
        <f>8/3.281</f>
        <v>2.4382810118866196</v>
      </c>
      <c r="G39" s="20">
        <f>PRODUCT(C39:F39)</f>
        <v>0</v>
      </c>
      <c r="H39" s="21"/>
      <c r="I39" s="21"/>
      <c r="J39" s="21"/>
      <c r="K39" s="12"/>
      <c r="M39" s="16"/>
      <c r="N39" s="17"/>
      <c r="O39" s="17"/>
      <c r="P39" s="17"/>
      <c r="Q39" s="17"/>
      <c r="R39" s="16"/>
      <c r="S39" s="16"/>
    </row>
    <row r="40" spans="1:19" ht="15" hidden="1" customHeight="1" x14ac:dyDescent="0.25">
      <c r="A40" s="8"/>
      <c r="B40" s="9"/>
      <c r="C40" s="18">
        <f>0*1</f>
        <v>0</v>
      </c>
      <c r="D40" s="19">
        <v>0.23</v>
      </c>
      <c r="E40" s="19"/>
      <c r="F40" s="19">
        <f>8/3.281</f>
        <v>2.4382810118866196</v>
      </c>
      <c r="G40" s="20">
        <f>C40*(D40/2)*2*F40*PI()</f>
        <v>0</v>
      </c>
      <c r="H40" s="21"/>
      <c r="I40" s="21"/>
      <c r="J40" s="21"/>
      <c r="K40" s="12"/>
      <c r="M40" s="16"/>
      <c r="N40" s="17"/>
      <c r="O40" s="17"/>
      <c r="P40" s="17"/>
      <c r="Q40" s="17"/>
      <c r="R40" s="16"/>
      <c r="S40" s="16"/>
    </row>
    <row r="41" spans="1:19" ht="15" hidden="1" customHeight="1" x14ac:dyDescent="0.25">
      <c r="A41" s="8"/>
      <c r="B41" s="9" t="s">
        <v>58</v>
      </c>
      <c r="C41" s="18">
        <f>0*3</f>
        <v>0</v>
      </c>
      <c r="D41" s="19">
        <f>15/3.281</f>
        <v>4.5717768972874122</v>
      </c>
      <c r="E41" s="19">
        <f>0.23*3</f>
        <v>0.69000000000000006</v>
      </c>
      <c r="F41" s="19"/>
      <c r="G41" s="20">
        <f>PRODUCT(C41:F41)</f>
        <v>0</v>
      </c>
      <c r="H41" s="21"/>
      <c r="I41" s="21"/>
      <c r="J41" s="21"/>
      <c r="K41" s="12"/>
      <c r="M41" s="16"/>
      <c r="N41" s="17"/>
      <c r="O41" s="17"/>
      <c r="P41" s="17"/>
      <c r="Q41" s="17"/>
      <c r="R41" s="16"/>
      <c r="S41" s="16"/>
    </row>
    <row r="42" spans="1:19" ht="15" customHeight="1" x14ac:dyDescent="0.25">
      <c r="A42" s="8"/>
      <c r="B42" s="9" t="s">
        <v>59</v>
      </c>
      <c r="C42" s="18">
        <v>1</v>
      </c>
      <c r="D42" s="19">
        <f>(12.17*2+10.5*1+11.5*1)/3.281</f>
        <v>14.123742761353247</v>
      </c>
      <c r="E42" s="19"/>
      <c r="F42" s="19">
        <f>8/3.281</f>
        <v>2.4382810118866196</v>
      </c>
      <c r="G42" s="20">
        <f>PRODUCT(C42:F42)</f>
        <v>34.437653791778715</v>
      </c>
      <c r="H42" s="21"/>
      <c r="I42" s="21"/>
      <c r="J42" s="21"/>
      <c r="K42" s="12"/>
      <c r="M42" s="16"/>
      <c r="N42" s="17"/>
      <c r="O42" s="17"/>
      <c r="P42" s="17"/>
      <c r="Q42" s="17"/>
      <c r="R42" s="16"/>
      <c r="S42" s="16"/>
    </row>
    <row r="43" spans="1:19" ht="15" customHeight="1" x14ac:dyDescent="0.25">
      <c r="A43" s="8"/>
      <c r="B43" s="9" t="s">
        <v>53</v>
      </c>
      <c r="C43" s="18">
        <f>-4*2</f>
        <v>-8</v>
      </c>
      <c r="D43" s="19">
        <f>6/3.281</f>
        <v>1.8287107589149649</v>
      </c>
      <c r="E43" s="19"/>
      <c r="F43" s="19">
        <f>4.5/3.281</f>
        <v>1.3715330691862238</v>
      </c>
      <c r="G43" s="20">
        <f>PRODUCT(C43:F43)</f>
        <v>-20.065098238628082</v>
      </c>
      <c r="H43" s="21"/>
      <c r="I43" s="21"/>
      <c r="J43" s="21"/>
      <c r="K43" s="12"/>
      <c r="M43" s="16"/>
      <c r="N43" s="17"/>
      <c r="O43" s="17"/>
      <c r="P43" s="17"/>
      <c r="Q43" s="17"/>
      <c r="R43" s="16"/>
      <c r="S43" s="16"/>
    </row>
    <row r="44" spans="1:19" ht="15" customHeight="1" x14ac:dyDescent="0.25">
      <c r="A44" s="8"/>
      <c r="B44" s="9" t="s">
        <v>60</v>
      </c>
      <c r="C44" s="18">
        <f>-2*2</f>
        <v>-4</v>
      </c>
      <c r="D44" s="19">
        <f>3/3.281</f>
        <v>0.91435537945748246</v>
      </c>
      <c r="E44" s="19"/>
      <c r="F44" s="19">
        <f>7/3.281</f>
        <v>2.1334958854007922</v>
      </c>
      <c r="G44" s="20">
        <f>PRODUCT(C44:F44)</f>
        <v>-7.8030937594664751</v>
      </c>
      <c r="H44" s="21"/>
      <c r="I44" s="21"/>
      <c r="J44" s="21"/>
      <c r="K44" s="12"/>
      <c r="M44" s="16"/>
      <c r="N44" s="17"/>
      <c r="O44" s="17"/>
      <c r="P44" s="17"/>
      <c r="Q44" s="17"/>
      <c r="R44" s="16"/>
      <c r="S44" s="16"/>
    </row>
    <row r="45" spans="1:19" ht="15" customHeight="1" x14ac:dyDescent="0.25">
      <c r="A45" s="8"/>
      <c r="B45" s="9" t="s">
        <v>18</v>
      </c>
      <c r="C45" s="18"/>
      <c r="D45" s="19"/>
      <c r="E45" s="19"/>
      <c r="F45" s="19"/>
      <c r="G45" s="31">
        <f>SUM(G38:G44)</f>
        <v>64.475849006791563</v>
      </c>
      <c r="H45" s="21" t="s">
        <v>54</v>
      </c>
      <c r="I45" s="21">
        <v>405.86</v>
      </c>
      <c r="J45" s="26">
        <f>G45*I45</f>
        <v>26168.168077896426</v>
      </c>
      <c r="K45" s="12"/>
      <c r="M45" s="16"/>
      <c r="N45" s="17"/>
      <c r="O45" s="17"/>
      <c r="P45" s="17"/>
      <c r="Q45" s="17"/>
      <c r="R45" s="16"/>
      <c r="S45" s="16"/>
    </row>
    <row r="46" spans="1:19" ht="15" customHeight="1" x14ac:dyDescent="0.25">
      <c r="A46" s="8"/>
      <c r="B46" s="9" t="s">
        <v>20</v>
      </c>
      <c r="C46" s="18"/>
      <c r="D46" s="19"/>
      <c r="E46" s="19"/>
      <c r="F46" s="19"/>
      <c r="G46" s="20"/>
      <c r="H46" s="21"/>
      <c r="I46" s="21"/>
      <c r="J46" s="26">
        <f>0.13*G45*(11166.2/100)</f>
        <v>935.93529273352669</v>
      </c>
      <c r="K46" s="12"/>
      <c r="M46" s="16"/>
      <c r="N46" s="17"/>
      <c r="O46" s="17"/>
      <c r="P46" s="17"/>
      <c r="Q46" s="17"/>
      <c r="R46" s="16"/>
      <c r="S46" s="16"/>
    </row>
    <row r="47" spans="1:19" ht="15" customHeight="1" x14ac:dyDescent="0.25">
      <c r="A47" s="21"/>
      <c r="B47" s="9"/>
      <c r="C47" s="22"/>
      <c r="D47" s="23"/>
      <c r="E47" s="23"/>
      <c r="F47" s="23"/>
      <c r="G47" s="23"/>
      <c r="H47" s="23"/>
      <c r="I47" s="23"/>
      <c r="J47" s="26"/>
      <c r="K47" s="18"/>
    </row>
    <row r="48" spans="1:19" ht="15" customHeight="1" x14ac:dyDescent="0.25">
      <c r="A48" s="8">
        <v>6</v>
      </c>
      <c r="B48" s="7" t="s">
        <v>21</v>
      </c>
      <c r="C48" s="10">
        <v>1</v>
      </c>
      <c r="D48" s="11"/>
      <c r="E48" s="12"/>
      <c r="F48" s="12"/>
      <c r="G48" s="31">
        <f t="shared" ref="G48" si="1">PRODUCT(C48:F48)</f>
        <v>1</v>
      </c>
      <c r="H48" s="14" t="s">
        <v>22</v>
      </c>
      <c r="I48" s="13">
        <v>500</v>
      </c>
      <c r="J48" s="31">
        <f>G48*I48</f>
        <v>500</v>
      </c>
      <c r="K48" s="12"/>
      <c r="M48" s="16"/>
      <c r="N48" s="17"/>
      <c r="O48" s="17"/>
      <c r="P48" s="17"/>
      <c r="Q48" s="17"/>
      <c r="R48" s="16"/>
      <c r="S48" s="16"/>
    </row>
    <row r="49" spans="1:19" ht="11.25" customHeight="1" x14ac:dyDescent="0.25">
      <c r="A49" s="8"/>
      <c r="B49" s="30"/>
      <c r="C49" s="10"/>
      <c r="D49" s="11"/>
      <c r="E49" s="12"/>
      <c r="F49" s="12"/>
      <c r="G49" s="13"/>
      <c r="H49" s="14"/>
      <c r="I49" s="13"/>
      <c r="J49" s="15"/>
      <c r="K49" s="12"/>
      <c r="M49" s="16"/>
      <c r="N49" s="17"/>
      <c r="O49" s="17"/>
      <c r="P49" s="17"/>
      <c r="Q49" s="17"/>
      <c r="R49" s="16"/>
      <c r="S49" s="16"/>
    </row>
    <row r="50" spans="1:19" x14ac:dyDescent="0.25">
      <c r="A50" s="21"/>
      <c r="B50" s="41" t="s">
        <v>29</v>
      </c>
      <c r="C50" s="42"/>
      <c r="D50" s="19"/>
      <c r="E50" s="19"/>
      <c r="F50" s="19"/>
      <c r="G50" s="15"/>
      <c r="H50" s="15"/>
      <c r="I50" s="15"/>
      <c r="J50" s="15">
        <f>SUM(J10:J48)</f>
        <v>225733.84409962114</v>
      </c>
      <c r="K50" s="18"/>
    </row>
    <row r="52" spans="1:19" s="17" customFormat="1" x14ac:dyDescent="0.25">
      <c r="A52" s="32"/>
      <c r="B52" s="28" t="s">
        <v>23</v>
      </c>
      <c r="C52" s="65">
        <f>J50</f>
        <v>225733.84409962114</v>
      </c>
      <c r="D52" s="65"/>
      <c r="E52" s="20">
        <v>100</v>
      </c>
      <c r="F52" s="33"/>
      <c r="G52" s="34"/>
      <c r="H52" s="33"/>
      <c r="I52" s="35"/>
      <c r="J52" s="36"/>
      <c r="K52" s="37"/>
    </row>
    <row r="53" spans="1:19" x14ac:dyDescent="0.25">
      <c r="A53" s="38"/>
      <c r="B53" s="28" t="s">
        <v>24</v>
      </c>
      <c r="C53" s="68">
        <v>200000</v>
      </c>
      <c r="D53" s="68"/>
      <c r="E53" s="20"/>
      <c r="F53" s="39"/>
      <c r="G53" s="40"/>
      <c r="H53" s="40"/>
      <c r="I53" s="40"/>
      <c r="J53" s="40"/>
      <c r="K53" s="39"/>
    </row>
    <row r="54" spans="1:19" x14ac:dyDescent="0.25">
      <c r="A54" s="38"/>
      <c r="B54" s="28" t="s">
        <v>25</v>
      </c>
      <c r="C54" s="68">
        <f>C53-C56-C57</f>
        <v>190000</v>
      </c>
      <c r="D54" s="68"/>
      <c r="E54" s="20">
        <f>C54/C52*100</f>
        <v>84.169921775730245</v>
      </c>
      <c r="F54" s="39"/>
      <c r="G54" s="40"/>
      <c r="H54" s="40"/>
      <c r="I54" s="40"/>
      <c r="J54" s="40"/>
      <c r="K54" s="39"/>
    </row>
    <row r="55" spans="1:19" x14ac:dyDescent="0.25">
      <c r="A55" s="38"/>
      <c r="B55" s="28" t="s">
        <v>26</v>
      </c>
      <c r="C55" s="65">
        <f>C52-C54</f>
        <v>35733.844099621143</v>
      </c>
      <c r="D55" s="65"/>
      <c r="E55" s="20">
        <f>100-E54</f>
        <v>15.830078224269755</v>
      </c>
      <c r="F55" s="39"/>
      <c r="G55" s="40"/>
      <c r="H55" s="40"/>
      <c r="I55" s="40"/>
      <c r="J55" s="40"/>
      <c r="K55" s="39"/>
    </row>
    <row r="56" spans="1:19" x14ac:dyDescent="0.25">
      <c r="A56" s="38"/>
      <c r="B56" s="28" t="s">
        <v>27</v>
      </c>
      <c r="C56" s="65">
        <f>C53*0.03</f>
        <v>6000</v>
      </c>
      <c r="D56" s="65"/>
      <c r="E56" s="20">
        <v>3</v>
      </c>
      <c r="F56" s="39"/>
      <c r="G56" s="40"/>
      <c r="H56" s="40"/>
      <c r="I56" s="40"/>
      <c r="J56" s="40"/>
      <c r="K56" s="39"/>
    </row>
    <row r="57" spans="1:19" x14ac:dyDescent="0.25">
      <c r="A57" s="38"/>
      <c r="B57" s="28" t="s">
        <v>28</v>
      </c>
      <c r="C57" s="65">
        <f>C53*0.02</f>
        <v>4000</v>
      </c>
      <c r="D57" s="65"/>
      <c r="E57" s="20">
        <v>2</v>
      </c>
      <c r="F57" s="39"/>
      <c r="G57" s="40"/>
      <c r="H57" s="40"/>
      <c r="I57" s="40"/>
      <c r="J57" s="40"/>
      <c r="K57" s="39"/>
    </row>
  </sheetData>
  <mergeCells count="15">
    <mergeCell ref="C56:D56"/>
    <mergeCell ref="C57:D57"/>
    <mergeCell ref="A7:F7"/>
    <mergeCell ref="H7:K7"/>
    <mergeCell ref="C52:D52"/>
    <mergeCell ref="C53:D53"/>
    <mergeCell ref="C54:D54"/>
    <mergeCell ref="C55:D55"/>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view="pageBreakPreview" zoomScale="60" zoomScaleNormal="100" workbookViewId="0">
      <selection activeCell="I22" sqref="I22"/>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78" t="s">
        <v>0</v>
      </c>
      <c r="B1" s="78"/>
      <c r="C1" s="78"/>
      <c r="D1" s="78"/>
      <c r="E1" s="78"/>
      <c r="F1" s="78"/>
      <c r="G1" s="78"/>
      <c r="H1" s="78"/>
      <c r="I1" s="78"/>
      <c r="J1" s="78"/>
      <c r="K1" s="78"/>
    </row>
    <row r="2" spans="1:13" ht="25.5" x14ac:dyDescent="0.35">
      <c r="A2" s="79" t="s">
        <v>1</v>
      </c>
      <c r="B2" s="79"/>
      <c r="C2" s="79"/>
      <c r="D2" s="79"/>
      <c r="E2" s="79"/>
      <c r="F2" s="79"/>
      <c r="G2" s="79"/>
      <c r="H2" s="79"/>
      <c r="I2" s="79"/>
      <c r="J2" s="79"/>
      <c r="K2" s="79"/>
    </row>
    <row r="3" spans="1:13" s="17" customFormat="1" x14ac:dyDescent="0.25">
      <c r="A3" s="63" t="s">
        <v>2</v>
      </c>
      <c r="B3" s="63"/>
      <c r="C3" s="63"/>
      <c r="D3" s="63"/>
      <c r="E3" s="63"/>
      <c r="F3" s="63"/>
      <c r="G3" s="63"/>
      <c r="H3" s="63"/>
      <c r="I3" s="63"/>
      <c r="J3" s="63"/>
      <c r="K3" s="63"/>
    </row>
    <row r="4" spans="1:13" s="17" customFormat="1" x14ac:dyDescent="0.25">
      <c r="A4" s="63" t="s">
        <v>3</v>
      </c>
      <c r="B4" s="63"/>
      <c r="C4" s="63"/>
      <c r="D4" s="63"/>
      <c r="E4" s="63"/>
      <c r="F4" s="63"/>
      <c r="G4" s="63"/>
      <c r="H4" s="63"/>
      <c r="I4" s="63"/>
      <c r="J4" s="63"/>
      <c r="K4" s="63"/>
    </row>
    <row r="5" spans="1:13" ht="18.75" x14ac:dyDescent="0.3">
      <c r="A5" s="80" t="s">
        <v>30</v>
      </c>
      <c r="B5" s="80"/>
      <c r="C5" s="80"/>
      <c r="D5" s="80"/>
      <c r="E5" s="80"/>
      <c r="F5" s="80"/>
      <c r="G5" s="80"/>
      <c r="H5" s="80"/>
      <c r="I5" s="80"/>
      <c r="J5" s="80"/>
      <c r="K5" s="80"/>
    </row>
    <row r="6" spans="1:13" ht="18.75" x14ac:dyDescent="0.3">
      <c r="A6" s="43" t="s">
        <v>31</v>
      </c>
      <c r="B6" s="43"/>
      <c r="C6" s="76">
        <f>F29</f>
        <v>225733.84409962114</v>
      </c>
      <c r="D6" s="77"/>
      <c r="E6" s="44"/>
      <c r="F6" s="43"/>
      <c r="G6" s="43"/>
      <c r="H6" s="43" t="s">
        <v>32</v>
      </c>
      <c r="I6" s="43"/>
      <c r="J6" s="76">
        <f>I29</f>
        <v>228229.2890540208</v>
      </c>
      <c r="K6" s="77"/>
    </row>
    <row r="7" spans="1:13" x14ac:dyDescent="0.25">
      <c r="A7" s="45" t="s">
        <v>33</v>
      </c>
      <c r="B7" s="45"/>
      <c r="C7" s="45"/>
      <c r="D7" s="45"/>
      <c r="F7" s="72"/>
      <c r="G7" s="72"/>
      <c r="I7" s="73" t="s">
        <v>34</v>
      </c>
      <c r="J7" s="73"/>
      <c r="K7" s="73"/>
    </row>
    <row r="8" spans="1:13" ht="15.75" x14ac:dyDescent="0.25">
      <c r="A8" s="59" t="str">
        <f>Estimate!A6</f>
        <v>Project:- कालिका मन्दिरमा भएको सार्वजनिक भवन मर्मत सम्भार</v>
      </c>
      <c r="B8" s="59"/>
      <c r="C8" s="59"/>
      <c r="D8" s="59"/>
      <c r="E8" s="59"/>
      <c r="F8" s="59"/>
      <c r="I8" s="74" t="s">
        <v>43</v>
      </c>
      <c r="J8" s="74"/>
      <c r="K8" s="74"/>
    </row>
    <row r="9" spans="1:13" x14ac:dyDescent="0.25">
      <c r="A9" s="75" t="str">
        <f>Estimate!A7</f>
        <v>Location:- Shankharapur Municipality 9</v>
      </c>
      <c r="B9" s="75"/>
      <c r="C9" s="75"/>
      <c r="D9" s="75"/>
      <c r="E9" s="75"/>
      <c r="F9" s="75"/>
      <c r="I9" s="74" t="s">
        <v>44</v>
      </c>
      <c r="J9" s="74"/>
      <c r="K9" s="74"/>
    </row>
    <row r="11" spans="1:13" x14ac:dyDescent="0.25">
      <c r="A11" s="70" t="s">
        <v>35</v>
      </c>
      <c r="B11" s="70" t="s">
        <v>36</v>
      </c>
      <c r="C11" s="70" t="s">
        <v>14</v>
      </c>
      <c r="D11" s="71" t="s">
        <v>37</v>
      </c>
      <c r="E11" s="71"/>
      <c r="F11" s="71"/>
      <c r="G11" s="71" t="s">
        <v>38</v>
      </c>
      <c r="H11" s="71"/>
      <c r="I11" s="71"/>
      <c r="J11" s="70" t="s">
        <v>39</v>
      </c>
      <c r="K11" s="69" t="s">
        <v>40</v>
      </c>
    </row>
    <row r="12" spans="1:13" x14ac:dyDescent="0.25">
      <c r="A12" s="70"/>
      <c r="B12" s="70"/>
      <c r="C12" s="70"/>
      <c r="D12" s="46" t="s">
        <v>41</v>
      </c>
      <c r="E12" s="46" t="s">
        <v>15</v>
      </c>
      <c r="F12" s="46" t="s">
        <v>16</v>
      </c>
      <c r="G12" s="46" t="s">
        <v>41</v>
      </c>
      <c r="H12" s="46" t="s">
        <v>15</v>
      </c>
      <c r="I12" s="46" t="s">
        <v>16</v>
      </c>
      <c r="J12" s="70"/>
      <c r="K12" s="69"/>
    </row>
    <row r="13" spans="1:13" s="17" customFormat="1" ht="30" x14ac:dyDescent="0.2">
      <c r="A13" s="55">
        <f>Estimate!A9</f>
        <v>1</v>
      </c>
      <c r="B13" s="56" t="str">
        <f>Estimate!B9</f>
        <v>g/d k|sf/sf] Sn] / l;N6L df6f]df ;j} lsl;dsf] vGg] sfd</v>
      </c>
      <c r="C13" s="47" t="str">
        <f>Estimate!H14</f>
        <v>m3</v>
      </c>
      <c r="D13" s="47">
        <f>Estimate!G14</f>
        <v>8.3914867027850804</v>
      </c>
      <c r="E13" s="47">
        <f>Estimate!I14</f>
        <v>663.31</v>
      </c>
      <c r="F13" s="47">
        <f>D13*E13</f>
        <v>5566.157044824371</v>
      </c>
      <c r="G13" s="47">
        <f>Valuation!G14</f>
        <v>8.5378124999999994</v>
      </c>
      <c r="H13" s="47">
        <f>Valuation!I14</f>
        <v>663.31</v>
      </c>
      <c r="I13" s="47">
        <f>G13*H13</f>
        <v>5663.2164093749989</v>
      </c>
      <c r="J13" s="48">
        <f>I13-F13</f>
        <v>97.059364550627834</v>
      </c>
      <c r="K13" s="49"/>
      <c r="M13" s="58">
        <f>1.25*F13</f>
        <v>6957.6963060304643</v>
      </c>
    </row>
    <row r="14" spans="1:13" s="17" customFormat="1" x14ac:dyDescent="0.25">
      <c r="A14" s="27"/>
      <c r="B14" s="28"/>
      <c r="C14" s="47"/>
      <c r="D14" s="47"/>
      <c r="E14" s="47"/>
      <c r="F14" s="47"/>
      <c r="G14" s="47"/>
      <c r="H14" s="47"/>
      <c r="I14" s="47"/>
      <c r="J14" s="48"/>
      <c r="K14" s="49"/>
      <c r="M14" s="58"/>
    </row>
    <row r="15" spans="1:13" s="17" customFormat="1" ht="30" x14ac:dyDescent="0.25">
      <c r="A15" s="55">
        <f>Estimate!A16</f>
        <v>2</v>
      </c>
      <c r="B15" s="57" t="str">
        <f>Estimate!B16</f>
        <v>husf] vf8ndf 9'+uf eg]{ / n]en ug]{ sfddf</v>
      </c>
      <c r="C15" s="47" t="str">
        <f>Estimate!H21</f>
        <v>m3</v>
      </c>
      <c r="D15" s="47">
        <f>Estimate!G21</f>
        <v>8.3914867027850804</v>
      </c>
      <c r="E15" s="47">
        <f>Estimate!I21</f>
        <v>4473.1499999999996</v>
      </c>
      <c r="F15" s="47">
        <f>D15*E15</f>
        <v>37536.378744563081</v>
      </c>
      <c r="G15" s="47">
        <f>Valuation!G21</f>
        <v>8.5378124999999994</v>
      </c>
      <c r="H15" s="47">
        <f>Valuation!I21</f>
        <v>4473.1499999999996</v>
      </c>
      <c r="I15" s="47">
        <f>G15*H15</f>
        <v>38190.915984374995</v>
      </c>
      <c r="J15" s="48">
        <f>I15-F15</f>
        <v>654.53723981191433</v>
      </c>
      <c r="K15" s="49"/>
      <c r="M15" s="58">
        <f t="shared" ref="M15:M27" si="0">1.25*F15</f>
        <v>46920.473430703853</v>
      </c>
    </row>
    <row r="16" spans="1:13" s="17" customFormat="1" ht="15.75" x14ac:dyDescent="0.25">
      <c r="A16" s="55"/>
      <c r="B16" s="54" t="str">
        <f>Estimate!B22</f>
        <v>VAT calculation</v>
      </c>
      <c r="C16" s="47"/>
      <c r="D16" s="47"/>
      <c r="E16" s="47"/>
      <c r="F16" s="47">
        <f>Estimate!J22</f>
        <v>3374.2965223135575</v>
      </c>
      <c r="G16" s="47"/>
      <c r="H16" s="47"/>
      <c r="I16" s="47">
        <f>Valuation!J22</f>
        <v>3433.1355154687499</v>
      </c>
      <c r="J16" s="48">
        <f>I16-F16</f>
        <v>58.838993155192384</v>
      </c>
      <c r="K16" s="49"/>
      <c r="M16" s="58">
        <f t="shared" si="0"/>
        <v>4217.8706528919465</v>
      </c>
    </row>
    <row r="17" spans="1:13" s="17" customFormat="1" x14ac:dyDescent="0.25">
      <c r="A17" s="27"/>
      <c r="B17" s="28"/>
      <c r="C17" s="47"/>
      <c r="D17" s="47"/>
      <c r="E17" s="47"/>
      <c r="F17" s="47"/>
      <c r="G17" s="47"/>
      <c r="H17" s="47"/>
      <c r="I17" s="47"/>
      <c r="J17" s="48"/>
      <c r="K17" s="49"/>
      <c r="M17" s="58"/>
    </row>
    <row r="18" spans="1:13" s="17" customFormat="1" ht="30" x14ac:dyDescent="0.25">
      <c r="A18" s="55">
        <f>Estimate!A24</f>
        <v>3</v>
      </c>
      <c r="B18" s="57" t="str">
        <f>Estimate!B24</f>
        <v>hu leQf kvf{ndf l;d]G6 s+lqm6 ug]{ sfd -lk=;L=;L= !M@M$_</v>
      </c>
      <c r="C18" s="47" t="str">
        <f>Estimate!H29</f>
        <v>m3</v>
      </c>
      <c r="D18" s="47">
        <f>Estimate!G29</f>
        <v>4.1957433513925402</v>
      </c>
      <c r="E18" s="47">
        <f>Estimate!I29</f>
        <v>12983.1</v>
      </c>
      <c r="F18" s="47">
        <f>D18*E18</f>
        <v>54473.755505464491</v>
      </c>
      <c r="G18" s="47">
        <f>Valuation!G29</f>
        <v>4.2689062499999997</v>
      </c>
      <c r="H18" s="47">
        <f>Valuation!I29</f>
        <v>12983.1</v>
      </c>
      <c r="I18" s="47">
        <f>G18*H18</f>
        <v>55423.636734374995</v>
      </c>
      <c r="J18" s="48">
        <f>I18-F18</f>
        <v>949.88122891050443</v>
      </c>
      <c r="K18" s="49"/>
      <c r="M18" s="58">
        <f t="shared" si="0"/>
        <v>68092.194381830617</v>
      </c>
    </row>
    <row r="19" spans="1:13" s="17" customFormat="1" ht="15.75" x14ac:dyDescent="0.25">
      <c r="A19" s="55"/>
      <c r="B19" s="54" t="str">
        <f>Estimate!B30</f>
        <v>VAT calculation</v>
      </c>
      <c r="C19" s="47"/>
      <c r="D19" s="47"/>
      <c r="E19" s="47"/>
      <c r="F19" s="47">
        <f>Estimate!J30</f>
        <v>4406.1779221612869</v>
      </c>
      <c r="G19" s="47"/>
      <c r="H19" s="47"/>
      <c r="I19" s="47">
        <f>Valuation!J30</f>
        <v>4483.0102547343749</v>
      </c>
      <c r="J19" s="48">
        <f>I19-F19</f>
        <v>76.832332573088024</v>
      </c>
      <c r="K19" s="49"/>
      <c r="M19" s="58">
        <f t="shared" si="0"/>
        <v>5507.7224027016091</v>
      </c>
    </row>
    <row r="20" spans="1:13" s="17" customFormat="1" x14ac:dyDescent="0.25">
      <c r="A20" s="27"/>
      <c r="B20" s="28"/>
      <c r="C20" s="47"/>
      <c r="D20" s="47"/>
      <c r="E20" s="47"/>
      <c r="F20" s="47"/>
      <c r="G20" s="47"/>
      <c r="H20" s="47"/>
      <c r="I20" s="47"/>
      <c r="J20" s="48"/>
      <c r="K20" s="49"/>
      <c r="M20" s="58"/>
    </row>
    <row r="21" spans="1:13" s="17" customFormat="1" ht="30" x14ac:dyDescent="0.25">
      <c r="A21" s="55">
        <f>Estimate!A32</f>
        <v>4</v>
      </c>
      <c r="B21" s="57" t="str">
        <f>Estimate!B32</f>
        <v>#*X&amp;% dL=dL=lr/fg ;fn sf7sf] k|m]d $ dL=dL= P]gf vfkf agfO</v>
      </c>
      <c r="C21" s="47" t="str">
        <f>Estimate!H34</f>
        <v>sqm</v>
      </c>
      <c r="D21" s="47">
        <f>Estimate!G34</f>
        <v>8.2385342594367028</v>
      </c>
      <c r="E21" s="47">
        <f>Estimate!I34</f>
        <v>10576.85</v>
      </c>
      <c r="F21" s="47">
        <f>D21*E21</f>
        <v>87137.741081923086</v>
      </c>
      <c r="G21" s="47">
        <f>Valuation!G34</f>
        <v>7.9656582127886928</v>
      </c>
      <c r="H21" s="47">
        <f>Valuation!I34</f>
        <v>10576.85</v>
      </c>
      <c r="I21" s="47">
        <f>G21*H21</f>
        <v>84251.572067934088</v>
      </c>
      <c r="J21" s="48">
        <f>I21-F21</f>
        <v>-2886.1690139889979</v>
      </c>
      <c r="K21" s="49"/>
      <c r="M21" s="58">
        <f t="shared" si="0"/>
        <v>108922.17635240385</v>
      </c>
    </row>
    <row r="22" spans="1:13" s="17" customFormat="1" ht="15.75" x14ac:dyDescent="0.25">
      <c r="A22" s="55"/>
      <c r="B22" s="54" t="str">
        <f>Estimate!B35</f>
        <v>VAT calculation</v>
      </c>
      <c r="C22" s="47"/>
      <c r="D22" s="47"/>
      <c r="E22" s="47"/>
      <c r="F22" s="47">
        <f>Estimate!J35</f>
        <v>5635.233907741328</v>
      </c>
      <c r="G22" s="47"/>
      <c r="H22" s="47"/>
      <c r="I22" s="47">
        <f>Valuation!J35</f>
        <v>5448.5841588591284</v>
      </c>
      <c r="J22" s="48">
        <f>I22-F22</f>
        <v>-186.64974888219967</v>
      </c>
      <c r="K22" s="49"/>
      <c r="M22" s="58">
        <f t="shared" si="0"/>
        <v>7044.0423846766598</v>
      </c>
    </row>
    <row r="23" spans="1:13" s="17" customFormat="1" x14ac:dyDescent="0.25">
      <c r="A23" s="27"/>
      <c r="B23" s="28"/>
      <c r="C23" s="47"/>
      <c r="D23" s="47"/>
      <c r="E23" s="47"/>
      <c r="F23" s="47"/>
      <c r="G23" s="47"/>
      <c r="H23" s="47"/>
      <c r="I23" s="47"/>
      <c r="J23" s="48"/>
      <c r="K23" s="49"/>
      <c r="M23" s="58"/>
    </row>
    <row r="24" spans="1:13" s="17" customFormat="1" x14ac:dyDescent="0.25">
      <c r="A24" s="55">
        <f>Estimate!A37</f>
        <v>5</v>
      </c>
      <c r="B24" s="57" t="str">
        <f>Estimate!B37</f>
        <v>!@=% dL=dL= l;d]G6 afn'jf -!M$_ Knfi6/</v>
      </c>
      <c r="C24" s="47" t="str">
        <f>Estimate!H45</f>
        <v>sqm</v>
      </c>
      <c r="D24" s="47">
        <f>Estimate!G45</f>
        <v>64.475849006791563</v>
      </c>
      <c r="E24" s="47">
        <f>Estimate!I45</f>
        <v>405.86</v>
      </c>
      <c r="F24" s="47">
        <f>D24*E24</f>
        <v>26168.168077896426</v>
      </c>
      <c r="G24" s="47">
        <f>Valuation!G45</f>
        <v>73.35150800190543</v>
      </c>
      <c r="H24" s="47">
        <f>Valuation!I45</f>
        <v>405.86</v>
      </c>
      <c r="I24" s="47">
        <f>G24*H24</f>
        <v>29770.443037653338</v>
      </c>
      <c r="J24" s="48">
        <f>I24-F24</f>
        <v>3602.2749597569127</v>
      </c>
      <c r="K24" s="49"/>
      <c r="M24" s="58">
        <f t="shared" si="0"/>
        <v>32710.210097370531</v>
      </c>
    </row>
    <row r="25" spans="1:13" s="17" customFormat="1" ht="15.75" x14ac:dyDescent="0.25">
      <c r="A25" s="55"/>
      <c r="B25" s="54" t="str">
        <f>Estimate!B46</f>
        <v>VAT calculation</v>
      </c>
      <c r="C25" s="47"/>
      <c r="D25" s="47"/>
      <c r="E25" s="47"/>
      <c r="F25" s="47">
        <f>Estimate!J46</f>
        <v>935.93529273352669</v>
      </c>
      <c r="G25" s="47"/>
      <c r="H25" s="47"/>
      <c r="I25" s="47">
        <f>Valuation!J46</f>
        <v>1064.7748912461393</v>
      </c>
      <c r="J25" s="48">
        <f>I25-F25</f>
        <v>128.83959851261261</v>
      </c>
      <c r="K25" s="49"/>
      <c r="M25" s="58">
        <f t="shared" si="0"/>
        <v>1169.9191159169084</v>
      </c>
    </row>
    <row r="26" spans="1:13" s="17" customFormat="1" x14ac:dyDescent="0.25">
      <c r="A26" s="27"/>
      <c r="B26" s="28"/>
      <c r="C26" s="47"/>
      <c r="D26" s="47"/>
      <c r="E26" s="47"/>
      <c r="F26" s="47"/>
      <c r="G26" s="47"/>
      <c r="H26" s="47"/>
      <c r="I26" s="47"/>
      <c r="J26" s="48"/>
      <c r="K26" s="49"/>
      <c r="M26" s="58"/>
    </row>
    <row r="27" spans="1:13" s="17" customFormat="1" x14ac:dyDescent="0.25">
      <c r="A27" s="55">
        <f>Estimate!A48</f>
        <v>6</v>
      </c>
      <c r="B27" s="50" t="str">
        <f>Estimate!B48</f>
        <v>Information board (सुचना पाटि)</v>
      </c>
      <c r="C27" s="47" t="str">
        <f>Estimate!H48</f>
        <v>no.</v>
      </c>
      <c r="D27" s="47">
        <f>Estimate!G48</f>
        <v>1</v>
      </c>
      <c r="E27" s="47">
        <f>Estimate!I48</f>
        <v>500</v>
      </c>
      <c r="F27" s="47">
        <f>D27*E27</f>
        <v>500</v>
      </c>
      <c r="G27" s="47">
        <f>Valuation!G48</f>
        <v>1</v>
      </c>
      <c r="H27" s="47">
        <f>Valuation!I48</f>
        <v>500</v>
      </c>
      <c r="I27" s="47">
        <f>G27*H27</f>
        <v>500</v>
      </c>
      <c r="J27" s="48">
        <f>I27-F27</f>
        <v>0</v>
      </c>
      <c r="K27" s="49"/>
      <c r="M27" s="58">
        <f t="shared" si="0"/>
        <v>625</v>
      </c>
    </row>
    <row r="28" spans="1:13" s="17" customFormat="1" x14ac:dyDescent="0.25">
      <c r="A28" s="28"/>
      <c r="B28" s="28"/>
      <c r="C28" s="47"/>
      <c r="D28" s="47"/>
      <c r="E28" s="47"/>
      <c r="F28" s="47"/>
      <c r="G28" s="47"/>
      <c r="H28" s="47"/>
      <c r="I28" s="47"/>
      <c r="J28" s="48"/>
      <c r="K28" s="49"/>
    </row>
    <row r="29" spans="1:13" x14ac:dyDescent="0.25">
      <c r="A29" s="29"/>
      <c r="B29" s="51" t="s">
        <v>42</v>
      </c>
      <c r="C29" s="51"/>
      <c r="D29" s="52"/>
      <c r="E29" s="52"/>
      <c r="F29" s="52">
        <f>SUM(F13:F27)</f>
        <v>225733.84409962114</v>
      </c>
      <c r="G29" s="52"/>
      <c r="H29" s="52"/>
      <c r="I29" s="52">
        <f>SUM(I13:I27)</f>
        <v>228229.2890540208</v>
      </c>
      <c r="J29" s="53">
        <f>I29-F29</f>
        <v>2495.4449543996598</v>
      </c>
      <c r="K29" s="29"/>
    </row>
    <row r="34" spans="11:13" x14ac:dyDescent="0.25">
      <c r="K34">
        <v>1070</v>
      </c>
      <c r="L34">
        <f>(21/3.281)*(36/3.281)</f>
        <v>70.227843835198286</v>
      </c>
      <c r="M34">
        <f>L34*K34</f>
        <v>75143.792903662164</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view="pageBreakPreview" topLeftCell="A22" zoomScale="60" zoomScaleNormal="100" workbookViewId="0">
      <selection activeCell="H7" sqref="H7:K7"/>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9" x14ac:dyDescent="0.25">
      <c r="A1" s="61" t="s">
        <v>0</v>
      </c>
      <c r="B1" s="61"/>
      <c r="C1" s="61"/>
      <c r="D1" s="61"/>
      <c r="E1" s="61"/>
      <c r="F1" s="61"/>
      <c r="G1" s="61"/>
      <c r="H1" s="61"/>
      <c r="I1" s="61"/>
      <c r="J1" s="61"/>
      <c r="K1" s="61"/>
    </row>
    <row r="2" spans="1:19" ht="22.5" x14ac:dyDescent="0.25">
      <c r="A2" s="62" t="s">
        <v>1</v>
      </c>
      <c r="B2" s="62"/>
      <c r="C2" s="62"/>
      <c r="D2" s="62"/>
      <c r="E2" s="62"/>
      <c r="F2" s="62"/>
      <c r="G2" s="62"/>
      <c r="H2" s="62"/>
      <c r="I2" s="62"/>
      <c r="J2" s="62"/>
      <c r="K2" s="62"/>
    </row>
    <row r="3" spans="1:19" x14ac:dyDescent="0.25">
      <c r="A3" s="63" t="s">
        <v>2</v>
      </c>
      <c r="B3" s="63"/>
      <c r="C3" s="63"/>
      <c r="D3" s="63"/>
      <c r="E3" s="63"/>
      <c r="F3" s="63"/>
      <c r="G3" s="63"/>
      <c r="H3" s="63"/>
      <c r="I3" s="63"/>
      <c r="J3" s="63"/>
      <c r="K3" s="63"/>
    </row>
    <row r="4" spans="1:19" x14ac:dyDescent="0.25">
      <c r="A4" s="63" t="s">
        <v>3</v>
      </c>
      <c r="B4" s="63"/>
      <c r="C4" s="63"/>
      <c r="D4" s="63"/>
      <c r="E4" s="63"/>
      <c r="F4" s="63"/>
      <c r="G4" s="63"/>
      <c r="H4" s="63"/>
      <c r="I4" s="63"/>
      <c r="J4" s="63"/>
      <c r="K4" s="63"/>
    </row>
    <row r="5" spans="1:19" ht="18.75" x14ac:dyDescent="0.3">
      <c r="A5" s="64" t="s">
        <v>45</v>
      </c>
      <c r="B5" s="64"/>
      <c r="C5" s="64"/>
      <c r="D5" s="64"/>
      <c r="E5" s="64"/>
      <c r="F5" s="64"/>
      <c r="G5" s="64"/>
      <c r="H5" s="64"/>
      <c r="I5" s="64"/>
      <c r="J5" s="64"/>
      <c r="K5" s="64"/>
    </row>
    <row r="6" spans="1:19" ht="15.75" x14ac:dyDescent="0.25">
      <c r="A6" s="59" t="s">
        <v>62</v>
      </c>
      <c r="B6" s="59"/>
      <c r="C6" s="59"/>
      <c r="D6" s="59"/>
      <c r="E6" s="59"/>
      <c r="F6" s="59"/>
      <c r="G6" s="1"/>
      <c r="H6" s="60" t="s">
        <v>5</v>
      </c>
      <c r="I6" s="60"/>
      <c r="J6" s="60"/>
      <c r="K6" s="60"/>
    </row>
    <row r="7" spans="1:19" ht="15.75" x14ac:dyDescent="0.25">
      <c r="A7" s="66" t="s">
        <v>6</v>
      </c>
      <c r="B7" s="66"/>
      <c r="C7" s="66"/>
      <c r="D7" s="66"/>
      <c r="E7" s="66"/>
      <c r="F7" s="66"/>
      <c r="G7" s="2"/>
      <c r="H7" s="67" t="s">
        <v>47</v>
      </c>
      <c r="I7" s="67"/>
      <c r="J7" s="67"/>
      <c r="K7" s="67"/>
      <c r="N7" t="s">
        <v>64</v>
      </c>
    </row>
    <row r="8" spans="1:19" ht="15.75" x14ac:dyDescent="0.25">
      <c r="A8" s="3" t="s">
        <v>7</v>
      </c>
      <c r="B8" s="4" t="s">
        <v>8</v>
      </c>
      <c r="C8" s="3" t="s">
        <v>9</v>
      </c>
      <c r="D8" s="5" t="s">
        <v>10</v>
      </c>
      <c r="E8" s="5" t="s">
        <v>11</v>
      </c>
      <c r="F8" s="5" t="s">
        <v>12</v>
      </c>
      <c r="G8" s="5" t="s">
        <v>13</v>
      </c>
      <c r="H8" s="3" t="s">
        <v>14</v>
      </c>
      <c r="I8" s="5" t="s">
        <v>15</v>
      </c>
      <c r="J8" s="5" t="s">
        <v>16</v>
      </c>
      <c r="K8" s="6" t="s">
        <v>17</v>
      </c>
    </row>
    <row r="9" spans="1:19" ht="30.75" x14ac:dyDescent="0.25">
      <c r="A9" s="28">
        <v>1</v>
      </c>
      <c r="B9" s="56" t="s">
        <v>48</v>
      </c>
      <c r="C9" s="18"/>
      <c r="D9" s="18"/>
      <c r="E9" s="18"/>
      <c r="F9" s="18"/>
      <c r="G9" s="18"/>
      <c r="H9" s="18"/>
      <c r="I9" s="18"/>
      <c r="J9" s="18"/>
      <c r="K9" s="18"/>
    </row>
    <row r="10" spans="1:19" ht="15" customHeight="1" x14ac:dyDescent="0.25">
      <c r="A10" s="8"/>
      <c r="B10" s="9" t="s">
        <v>49</v>
      </c>
      <c r="C10" s="18">
        <v>1</v>
      </c>
      <c r="D10" s="19">
        <f>((7.15+7.27)/2)</f>
        <v>7.21</v>
      </c>
      <c r="E10" s="19">
        <v>4.3</v>
      </c>
      <c r="F10" s="19">
        <v>0.15</v>
      </c>
      <c r="G10" s="20">
        <f>PRODUCT(C10:F10)</f>
        <v>4.6504500000000002</v>
      </c>
      <c r="H10" s="21"/>
      <c r="I10" s="21"/>
      <c r="J10" s="21"/>
      <c r="K10" s="12"/>
      <c r="M10" s="16"/>
      <c r="N10" s="17">
        <f>CONVERT((D10*E10),"m2","ft2")</f>
        <v>333.71351464925152</v>
      </c>
      <c r="O10" s="17"/>
      <c r="P10" s="17"/>
      <c r="Q10" s="17"/>
      <c r="R10" s="16"/>
      <c r="S10" s="16"/>
    </row>
    <row r="11" spans="1:19" ht="15" customHeight="1" x14ac:dyDescent="0.25">
      <c r="A11" s="8"/>
      <c r="B11" s="9" t="s">
        <v>63</v>
      </c>
      <c r="C11" s="18">
        <v>1</v>
      </c>
      <c r="D11" s="19">
        <f>E10</f>
        <v>4.3</v>
      </c>
      <c r="E11" s="19">
        <v>0.23</v>
      </c>
      <c r="F11" s="19">
        <f>0.15</f>
        <v>0.15</v>
      </c>
      <c r="G11" s="20">
        <f>PRODUCT(C11:F11)</f>
        <v>0.14834999999999998</v>
      </c>
      <c r="H11" s="21"/>
      <c r="I11" s="21"/>
      <c r="J11" s="21"/>
      <c r="K11" s="12"/>
      <c r="M11" s="16"/>
      <c r="N11" s="17">
        <f>CONVERT((D11*E11),"m2","ft2")</f>
        <v>10.645507402125915</v>
      </c>
      <c r="O11" s="17"/>
      <c r="P11" s="17"/>
      <c r="Q11" s="17"/>
      <c r="R11" s="16"/>
      <c r="S11" s="16"/>
    </row>
    <row r="12" spans="1:19" ht="15" customHeight="1" x14ac:dyDescent="0.25">
      <c r="A12" s="8"/>
      <c r="B12" s="9" t="s">
        <v>65</v>
      </c>
      <c r="C12" s="18">
        <v>1</v>
      </c>
      <c r="D12" s="19">
        <f>((1.8+1.26)+3.19)/2</f>
        <v>3.125</v>
      </c>
      <c r="E12" s="19">
        <v>3.69</v>
      </c>
      <c r="F12" s="19">
        <f>0.15</f>
        <v>0.15</v>
      </c>
      <c r="G12" s="20">
        <f>PRODUCT(C12:F12)</f>
        <v>1.7296875</v>
      </c>
      <c r="H12" s="21"/>
      <c r="I12" s="21"/>
      <c r="J12" s="21"/>
      <c r="K12" s="12"/>
      <c r="M12" s="16"/>
      <c r="N12" s="17">
        <f>CONVERT((D12*E12),"m2","ft2")</f>
        <v>124.12134199268398</v>
      </c>
      <c r="O12" s="17"/>
      <c r="P12" s="17"/>
      <c r="Q12" s="17"/>
      <c r="R12" s="16"/>
      <c r="S12" s="16"/>
    </row>
    <row r="13" spans="1:19" ht="15" customHeight="1" x14ac:dyDescent="0.25">
      <c r="A13" s="8"/>
      <c r="B13" s="9"/>
      <c r="C13" s="18">
        <v>1</v>
      </c>
      <c r="D13" s="19">
        <f>(3.65+3.65)/2</f>
        <v>3.65</v>
      </c>
      <c r="E13" s="19">
        <v>3.67</v>
      </c>
      <c r="F13" s="19">
        <f>0.15</f>
        <v>0.15</v>
      </c>
      <c r="G13" s="20">
        <f>PRODUCT(C13:F13)</f>
        <v>2.009325</v>
      </c>
      <c r="H13" s="21"/>
      <c r="I13" s="21"/>
      <c r="J13" s="21"/>
      <c r="K13" s="12"/>
      <c r="M13" s="16"/>
      <c r="N13" s="17">
        <f t="shared" ref="N13" si="0">CONVERT((D13*E13),"m2","ft2")</f>
        <v>144.1879619870351</v>
      </c>
      <c r="O13" s="17"/>
      <c r="P13" s="17"/>
      <c r="Q13" s="17"/>
      <c r="R13" s="16"/>
      <c r="S13" s="16"/>
    </row>
    <row r="14" spans="1:19" ht="15" customHeight="1" x14ac:dyDescent="0.25">
      <c r="A14" s="8"/>
      <c r="B14" s="9" t="s">
        <v>18</v>
      </c>
      <c r="C14" s="10"/>
      <c r="D14" s="11"/>
      <c r="E14" s="12"/>
      <c r="F14" s="12"/>
      <c r="G14" s="13">
        <f>SUM(G10:G13)</f>
        <v>8.5378124999999994</v>
      </c>
      <c r="H14" s="14" t="s">
        <v>19</v>
      </c>
      <c r="I14" s="13">
        <v>663.31</v>
      </c>
      <c r="J14" s="15">
        <f>G14*I14</f>
        <v>5663.2164093749989</v>
      </c>
      <c r="K14" s="12"/>
      <c r="M14" s="16"/>
      <c r="N14" s="17"/>
      <c r="O14" s="17"/>
      <c r="P14" s="17"/>
      <c r="Q14" s="17"/>
      <c r="R14" s="16"/>
      <c r="S14" s="16"/>
    </row>
    <row r="15" spans="1:19" ht="15" customHeight="1" x14ac:dyDescent="0.25">
      <c r="A15" s="8"/>
      <c r="B15" s="30"/>
      <c r="C15" s="10"/>
      <c r="D15" s="11"/>
      <c r="E15" s="12"/>
      <c r="F15" s="12"/>
      <c r="G15" s="13"/>
      <c r="H15" s="14"/>
      <c r="I15" s="13"/>
      <c r="J15" s="15"/>
      <c r="K15" s="12"/>
      <c r="M15" s="16"/>
      <c r="N15" s="17"/>
      <c r="O15" s="17"/>
      <c r="P15" s="17"/>
      <c r="Q15" s="17"/>
      <c r="R15" s="16"/>
      <c r="S15" s="16"/>
    </row>
    <row r="16" spans="1:19" ht="30.75" x14ac:dyDescent="0.25">
      <c r="A16" s="8">
        <v>2</v>
      </c>
      <c r="B16" s="56" t="s">
        <v>50</v>
      </c>
      <c r="C16" s="10"/>
      <c r="D16" s="11"/>
      <c r="E16" s="12"/>
      <c r="F16" s="12"/>
      <c r="G16" s="13"/>
      <c r="H16" s="14"/>
      <c r="I16" s="13"/>
      <c r="J16" s="15"/>
      <c r="K16" s="12"/>
      <c r="M16" s="16"/>
      <c r="N16" s="17"/>
      <c r="O16" s="17"/>
      <c r="P16" s="17"/>
      <c r="Q16" s="16"/>
      <c r="R16" s="16"/>
    </row>
    <row r="17" spans="1:19" ht="15" customHeight="1" x14ac:dyDescent="0.25">
      <c r="A17" s="8"/>
      <c r="B17" s="9" t="str">
        <f>B10</f>
        <v>-Plinth area</v>
      </c>
      <c r="C17" s="18">
        <v>1</v>
      </c>
      <c r="D17" s="19">
        <f t="shared" ref="D17:E20" si="1">D10</f>
        <v>7.21</v>
      </c>
      <c r="E17" s="19">
        <f t="shared" si="1"/>
        <v>4.3</v>
      </c>
      <c r="F17" s="19">
        <f>0.15</f>
        <v>0.15</v>
      </c>
      <c r="G17" s="20">
        <f>PRODUCT(C17:F17)</f>
        <v>4.6504500000000002</v>
      </c>
      <c r="H17" s="21"/>
      <c r="I17" s="21"/>
      <c r="J17" s="21"/>
      <c r="K17" s="12"/>
      <c r="M17" s="16"/>
      <c r="N17" s="17"/>
      <c r="O17" s="17"/>
      <c r="P17" s="17"/>
      <c r="Q17" s="16"/>
      <c r="R17" s="16"/>
    </row>
    <row r="18" spans="1:19" ht="15" customHeight="1" x14ac:dyDescent="0.25">
      <c r="A18" s="8"/>
      <c r="B18" s="9" t="str">
        <f>B11</f>
        <v>-deduction for tie beam area</v>
      </c>
      <c r="C18" s="18">
        <v>1</v>
      </c>
      <c r="D18" s="19">
        <f t="shared" si="1"/>
        <v>4.3</v>
      </c>
      <c r="E18" s="19">
        <f t="shared" si="1"/>
        <v>0.23</v>
      </c>
      <c r="F18" s="19">
        <f>0.15</f>
        <v>0.15</v>
      </c>
      <c r="G18" s="20">
        <f>PRODUCT(C18:F18)</f>
        <v>0.14834999999999998</v>
      </c>
      <c r="H18" s="21"/>
      <c r="I18" s="21"/>
      <c r="J18" s="21"/>
      <c r="K18" s="12"/>
      <c r="M18" s="16"/>
      <c r="N18" s="17"/>
      <c r="O18" s="17"/>
      <c r="P18" s="17"/>
      <c r="Q18" s="16"/>
      <c r="R18" s="16"/>
    </row>
    <row r="19" spans="1:19" ht="15" customHeight="1" x14ac:dyDescent="0.25">
      <c r="A19" s="8"/>
      <c r="B19" s="9" t="str">
        <f>B12</f>
        <v>-Inner rooms</v>
      </c>
      <c r="C19" s="18">
        <v>1</v>
      </c>
      <c r="D19" s="19">
        <f t="shared" si="1"/>
        <v>3.125</v>
      </c>
      <c r="E19" s="19">
        <f t="shared" si="1"/>
        <v>3.69</v>
      </c>
      <c r="F19" s="19">
        <f>0.15</f>
        <v>0.15</v>
      </c>
      <c r="G19" s="20">
        <f>PRODUCT(C19:F19)</f>
        <v>1.7296875</v>
      </c>
      <c r="H19" s="21"/>
      <c r="I19" s="21"/>
      <c r="J19" s="21"/>
      <c r="K19" s="12"/>
      <c r="M19" s="16"/>
      <c r="N19" s="17"/>
      <c r="O19" s="17"/>
      <c r="P19" s="17"/>
      <c r="Q19" s="16"/>
      <c r="R19" s="16"/>
    </row>
    <row r="20" spans="1:19" ht="15" customHeight="1" x14ac:dyDescent="0.25">
      <c r="A20" s="8"/>
      <c r="B20" s="9"/>
      <c r="C20" s="18">
        <v>1</v>
      </c>
      <c r="D20" s="19">
        <f t="shared" si="1"/>
        <v>3.65</v>
      </c>
      <c r="E20" s="19">
        <f t="shared" si="1"/>
        <v>3.67</v>
      </c>
      <c r="F20" s="19">
        <f>0.15</f>
        <v>0.15</v>
      </c>
      <c r="G20" s="20">
        <f>PRODUCT(C20:F20)</f>
        <v>2.009325</v>
      </c>
      <c r="H20" s="21"/>
      <c r="I20" s="21"/>
      <c r="J20" s="21"/>
      <c r="K20" s="12"/>
      <c r="M20" s="16"/>
      <c r="N20" s="17"/>
      <c r="O20" s="17"/>
      <c r="P20" s="17"/>
      <c r="Q20" s="16"/>
      <c r="R20" s="16"/>
    </row>
    <row r="21" spans="1:19" ht="15" customHeight="1" x14ac:dyDescent="0.25">
      <c r="A21" s="21"/>
      <c r="B21" s="9" t="s">
        <v>18</v>
      </c>
      <c r="C21" s="22"/>
      <c r="D21" s="23"/>
      <c r="E21" s="23"/>
      <c r="F21" s="23"/>
      <c r="G21" s="24">
        <f>SUM(G17:G20)</f>
        <v>8.5378124999999994</v>
      </c>
      <c r="H21" s="24" t="s">
        <v>19</v>
      </c>
      <c r="I21" s="24">
        <v>4473.1499999999996</v>
      </c>
      <c r="J21" s="25">
        <f>G21*I21</f>
        <v>38190.915984374995</v>
      </c>
      <c r="K21" s="18"/>
    </row>
    <row r="22" spans="1:19" x14ac:dyDescent="0.25">
      <c r="A22" s="21"/>
      <c r="B22" s="9" t="s">
        <v>20</v>
      </c>
      <c r="C22" s="22"/>
      <c r="D22" s="23"/>
      <c r="E22" s="23"/>
      <c r="F22" s="23"/>
      <c r="G22" s="23"/>
      <c r="H22" s="23"/>
      <c r="I22" s="23"/>
      <c r="J22" s="26">
        <f>0.13*G21*(3093.15)</f>
        <v>3433.1355154687499</v>
      </c>
      <c r="K22" s="18"/>
    </row>
    <row r="23" spans="1:19" x14ac:dyDescent="0.25">
      <c r="A23" s="21"/>
      <c r="B23" s="9"/>
      <c r="C23" s="22"/>
      <c r="D23" s="23"/>
      <c r="E23" s="23"/>
      <c r="F23" s="23"/>
      <c r="G23" s="23"/>
      <c r="H23" s="23"/>
      <c r="I23" s="23"/>
      <c r="J23" s="26"/>
      <c r="K23" s="18"/>
    </row>
    <row r="24" spans="1:19" ht="30.75" x14ac:dyDescent="0.25">
      <c r="A24" s="8">
        <v>3</v>
      </c>
      <c r="B24" s="56" t="s">
        <v>51</v>
      </c>
      <c r="C24" s="10"/>
      <c r="D24" s="11"/>
      <c r="E24" s="12"/>
      <c r="F24" s="12"/>
      <c r="G24" s="13"/>
      <c r="H24" s="14"/>
      <c r="I24" s="13"/>
      <c r="J24" s="15"/>
      <c r="K24" s="12"/>
      <c r="M24" s="16"/>
      <c r="N24" s="17"/>
      <c r="O24" s="17"/>
      <c r="P24" s="17"/>
      <c r="Q24" s="16"/>
      <c r="R24" s="16"/>
    </row>
    <row r="25" spans="1:19" ht="15" customHeight="1" x14ac:dyDescent="0.25">
      <c r="A25" s="8"/>
      <c r="B25" s="9" t="s">
        <v>49</v>
      </c>
      <c r="C25" s="18">
        <v>1</v>
      </c>
      <c r="D25" s="19">
        <f t="shared" ref="D25:E28" si="2">D17</f>
        <v>7.21</v>
      </c>
      <c r="E25" s="19">
        <f t="shared" si="2"/>
        <v>4.3</v>
      </c>
      <c r="F25" s="19">
        <v>7.4999999999999997E-2</v>
      </c>
      <c r="G25" s="20">
        <f>PRODUCT(C25:F25)</f>
        <v>2.3252250000000001</v>
      </c>
      <c r="H25" s="21"/>
      <c r="I25" s="21"/>
      <c r="J25" s="21"/>
      <c r="K25" s="12"/>
      <c r="M25" s="16"/>
      <c r="N25" s="17"/>
      <c r="O25" s="17"/>
      <c r="P25" s="17"/>
      <c r="Q25" s="16"/>
      <c r="R25" s="16"/>
    </row>
    <row r="26" spans="1:19" ht="15" customHeight="1" x14ac:dyDescent="0.25">
      <c r="A26" s="8"/>
      <c r="B26" s="9"/>
      <c r="C26" s="18">
        <v>1</v>
      </c>
      <c r="D26" s="19">
        <f t="shared" si="2"/>
        <v>4.3</v>
      </c>
      <c r="E26" s="19">
        <f t="shared" si="2"/>
        <v>0.23</v>
      </c>
      <c r="F26" s="19">
        <v>7.4999999999999997E-2</v>
      </c>
      <c r="G26" s="20">
        <f>PRODUCT(C26:F26)</f>
        <v>7.4174999999999991E-2</v>
      </c>
      <c r="H26" s="21"/>
      <c r="I26" s="21"/>
      <c r="J26" s="21"/>
      <c r="K26" s="12"/>
      <c r="M26" s="16"/>
      <c r="N26" s="17"/>
      <c r="O26" s="17"/>
      <c r="P26" s="17"/>
      <c r="Q26" s="16"/>
      <c r="R26" s="16"/>
    </row>
    <row r="27" spans="1:19" ht="15" customHeight="1" x14ac:dyDescent="0.25">
      <c r="A27" s="8"/>
      <c r="B27" s="9"/>
      <c r="C27" s="18">
        <v>1</v>
      </c>
      <c r="D27" s="19">
        <f t="shared" si="2"/>
        <v>3.125</v>
      </c>
      <c r="E27" s="19">
        <f t="shared" si="2"/>
        <v>3.69</v>
      </c>
      <c r="F27" s="19">
        <v>7.4999999999999997E-2</v>
      </c>
      <c r="G27" s="20">
        <f>PRODUCT(C27:F27)</f>
        <v>0.86484375000000002</v>
      </c>
      <c r="H27" s="21"/>
      <c r="I27" s="21"/>
      <c r="J27" s="21"/>
      <c r="K27" s="12"/>
      <c r="M27" s="16"/>
      <c r="N27" s="17"/>
      <c r="O27" s="17"/>
      <c r="P27" s="17"/>
      <c r="Q27" s="16"/>
      <c r="R27" s="16"/>
    </row>
    <row r="28" spans="1:19" ht="15" customHeight="1" x14ac:dyDescent="0.25">
      <c r="A28" s="8"/>
      <c r="B28" s="9"/>
      <c r="C28" s="18">
        <v>1</v>
      </c>
      <c r="D28" s="19">
        <f t="shared" si="2"/>
        <v>3.65</v>
      </c>
      <c r="E28" s="19">
        <f t="shared" si="2"/>
        <v>3.67</v>
      </c>
      <c r="F28" s="19">
        <v>7.4999999999999997E-2</v>
      </c>
      <c r="G28" s="20">
        <f>PRODUCT(C28:F28)</f>
        <v>1.0046625</v>
      </c>
      <c r="H28" s="21"/>
      <c r="I28" s="21"/>
      <c r="J28" s="21"/>
      <c r="K28" s="12"/>
      <c r="M28" s="16"/>
      <c r="N28" s="17"/>
      <c r="O28" s="17"/>
      <c r="P28" s="17"/>
      <c r="Q28" s="16"/>
      <c r="R28" s="16"/>
    </row>
    <row r="29" spans="1:19" ht="15" customHeight="1" x14ac:dyDescent="0.25">
      <c r="A29" s="21"/>
      <c r="B29" s="9" t="s">
        <v>18</v>
      </c>
      <c r="C29" s="22"/>
      <c r="D29" s="23"/>
      <c r="E29" s="23"/>
      <c r="F29" s="23"/>
      <c r="G29" s="24">
        <f>SUM(G25:G28)</f>
        <v>4.2689062499999997</v>
      </c>
      <c r="H29" s="24" t="s">
        <v>19</v>
      </c>
      <c r="I29" s="24">
        <v>12983.1</v>
      </c>
      <c r="J29" s="25">
        <f>G29*I29</f>
        <v>55423.636734374995</v>
      </c>
      <c r="K29" s="18"/>
    </row>
    <row r="30" spans="1:19" ht="15" customHeight="1" x14ac:dyDescent="0.25">
      <c r="A30" s="21"/>
      <c r="B30" s="9" t="s">
        <v>20</v>
      </c>
      <c r="C30" s="22"/>
      <c r="D30" s="23"/>
      <c r="E30" s="23"/>
      <c r="F30" s="23"/>
      <c r="G30" s="23"/>
      <c r="H30" s="23"/>
      <c r="I30" s="23"/>
      <c r="J30" s="26">
        <f>0.13*G29*(8078.11)</f>
        <v>4483.0102547343749</v>
      </c>
      <c r="K30" s="18"/>
    </row>
    <row r="31" spans="1:19" ht="15" customHeight="1" x14ac:dyDescent="0.25">
      <c r="A31" s="21"/>
      <c r="B31" s="9"/>
      <c r="C31" s="22"/>
      <c r="D31" s="23"/>
      <c r="E31" s="23"/>
      <c r="F31" s="23"/>
      <c r="G31" s="23"/>
      <c r="H31" s="23"/>
      <c r="I31" s="23"/>
      <c r="J31" s="26"/>
      <c r="K31" s="18"/>
    </row>
    <row r="32" spans="1:19" ht="31.5" x14ac:dyDescent="0.25">
      <c r="A32" s="8">
        <v>4</v>
      </c>
      <c r="B32" s="56" t="s">
        <v>66</v>
      </c>
      <c r="C32" s="10"/>
      <c r="D32" s="11"/>
      <c r="E32" s="12"/>
      <c r="F32" s="12"/>
      <c r="G32" s="13"/>
      <c r="H32" s="14"/>
      <c r="I32" s="13"/>
      <c r="J32" s="15"/>
      <c r="K32" s="12"/>
      <c r="M32" s="16"/>
      <c r="N32" s="17"/>
      <c r="O32" s="17"/>
      <c r="P32" s="17"/>
      <c r="Q32" s="17"/>
      <c r="R32" s="16"/>
      <c r="S32" s="16"/>
    </row>
    <row r="33" spans="1:19" ht="15" customHeight="1" x14ac:dyDescent="0.25">
      <c r="A33" s="8"/>
      <c r="B33" s="9" t="s">
        <v>53</v>
      </c>
      <c r="C33" s="18">
        <f>4*3</f>
        <v>12</v>
      </c>
      <c r="D33" s="19">
        <f>(1+9/12)/3.281</f>
        <v>0.53337397135019804</v>
      </c>
      <c r="E33" s="19">
        <f>(4+1/12)/3.281</f>
        <v>1.2445392664837955</v>
      </c>
      <c r="F33" s="19"/>
      <c r="G33" s="20">
        <f>PRODUCT(C33:F33)</f>
        <v>7.9656582127886928</v>
      </c>
      <c r="H33" s="21"/>
      <c r="I33" s="21"/>
      <c r="J33" s="21"/>
      <c r="K33" s="12"/>
      <c r="M33" s="16"/>
      <c r="N33" s="17"/>
      <c r="O33" s="17"/>
      <c r="P33" s="17"/>
      <c r="Q33" s="17"/>
      <c r="R33" s="16"/>
      <c r="S33" s="16"/>
    </row>
    <row r="34" spans="1:19" ht="15" customHeight="1" x14ac:dyDescent="0.25">
      <c r="A34" s="21"/>
      <c r="B34" s="9" t="s">
        <v>18</v>
      </c>
      <c r="C34" s="22"/>
      <c r="D34" s="23"/>
      <c r="E34" s="23"/>
      <c r="F34" s="23"/>
      <c r="G34" s="24">
        <f>SUM(G33:G33)</f>
        <v>7.9656582127886928</v>
      </c>
      <c r="H34" s="24" t="s">
        <v>54</v>
      </c>
      <c r="I34" s="24">
        <v>10576.85</v>
      </c>
      <c r="J34" s="25">
        <f>G34*I34</f>
        <v>84251.572067934088</v>
      </c>
      <c r="K34" s="18"/>
    </row>
    <row r="35" spans="1:19" ht="15" customHeight="1" x14ac:dyDescent="0.25">
      <c r="A35" s="21"/>
      <c r="B35" s="9" t="s">
        <v>20</v>
      </c>
      <c r="C35" s="22"/>
      <c r="D35" s="23"/>
      <c r="E35" s="23"/>
      <c r="F35" s="23"/>
      <c r="G35" s="23"/>
      <c r="H35" s="23"/>
      <c r="I35" s="23"/>
      <c r="J35" s="26">
        <f>0.13*G34*(11733.39/2.23)</f>
        <v>5448.5841588591284</v>
      </c>
      <c r="K35" s="18"/>
    </row>
    <row r="36" spans="1:19" ht="15" customHeight="1" x14ac:dyDescent="0.25">
      <c r="A36" s="21"/>
      <c r="B36" s="9"/>
      <c r="C36" s="22"/>
      <c r="D36" s="23"/>
      <c r="E36" s="23"/>
      <c r="F36" s="23"/>
      <c r="G36" s="23"/>
      <c r="H36" s="23"/>
      <c r="I36" s="23"/>
      <c r="J36" s="26"/>
      <c r="K36" s="18"/>
    </row>
    <row r="37" spans="1:19" ht="30.75" x14ac:dyDescent="0.25">
      <c r="A37" s="21">
        <v>5</v>
      </c>
      <c r="B37" s="56" t="s">
        <v>55</v>
      </c>
      <c r="C37" s="22"/>
      <c r="D37" s="23"/>
      <c r="E37" s="23"/>
      <c r="F37" s="23"/>
      <c r="G37" s="23"/>
      <c r="H37" s="23"/>
      <c r="I37" s="23"/>
      <c r="J37" s="26"/>
      <c r="K37" s="18"/>
    </row>
    <row r="38" spans="1:19" ht="15" customHeight="1" x14ac:dyDescent="0.25">
      <c r="A38" s="8"/>
      <c r="B38" s="9" t="s">
        <v>56</v>
      </c>
      <c r="C38" s="18">
        <v>1</v>
      </c>
      <c r="D38" s="19">
        <f>7.15+7.3+0.25+4.42+4.42</f>
        <v>23.54</v>
      </c>
      <c r="E38" s="19"/>
      <c r="F38" s="19">
        <v>2.67</v>
      </c>
      <c r="G38" s="20">
        <f>PRODUCT(C38:F38)</f>
        <v>62.851799999999997</v>
      </c>
      <c r="H38" s="21"/>
      <c r="I38" s="21"/>
      <c r="J38" s="21"/>
      <c r="K38" s="12"/>
      <c r="M38" s="16"/>
      <c r="N38" s="17"/>
      <c r="O38" s="17"/>
      <c r="P38" s="17"/>
      <c r="Q38" s="17"/>
      <c r="R38" s="16"/>
      <c r="S38" s="16"/>
    </row>
    <row r="39" spans="1:19" ht="15" hidden="1" customHeight="1" x14ac:dyDescent="0.25">
      <c r="A39" s="8"/>
      <c r="B39" s="9" t="s">
        <v>57</v>
      </c>
      <c r="C39" s="18">
        <f>0*4*2</f>
        <v>0</v>
      </c>
      <c r="D39" s="19">
        <v>0.3</v>
      </c>
      <c r="E39" s="19"/>
      <c r="F39" s="19">
        <v>2.67</v>
      </c>
      <c r="G39" s="20">
        <f>PRODUCT(C39:F39)</f>
        <v>0</v>
      </c>
      <c r="H39" s="21"/>
      <c r="I39" s="21"/>
      <c r="J39" s="21"/>
      <c r="K39" s="12"/>
      <c r="M39" s="16"/>
      <c r="N39" s="17"/>
      <c r="O39" s="17"/>
      <c r="P39" s="17"/>
      <c r="Q39" s="17"/>
      <c r="R39" s="16"/>
      <c r="S39" s="16"/>
    </row>
    <row r="40" spans="1:19" ht="15" hidden="1" customHeight="1" x14ac:dyDescent="0.25">
      <c r="A40" s="8"/>
      <c r="B40" s="9"/>
      <c r="C40" s="18">
        <f>0*1</f>
        <v>0</v>
      </c>
      <c r="D40" s="19">
        <v>0.23</v>
      </c>
      <c r="E40" s="19"/>
      <c r="F40" s="19">
        <v>2.67</v>
      </c>
      <c r="G40" s="20">
        <f>C40*(D40/2)*2*F40*PI()</f>
        <v>0</v>
      </c>
      <c r="H40" s="21"/>
      <c r="I40" s="21"/>
      <c r="J40" s="21"/>
      <c r="K40" s="12"/>
      <c r="M40" s="16"/>
      <c r="N40" s="17"/>
      <c r="O40" s="17"/>
      <c r="P40" s="17"/>
      <c r="Q40" s="17"/>
      <c r="R40" s="16"/>
      <c r="S40" s="16"/>
    </row>
    <row r="41" spans="1:19" ht="15" hidden="1" customHeight="1" x14ac:dyDescent="0.25">
      <c r="A41" s="8"/>
      <c r="B41" s="9" t="s">
        <v>58</v>
      </c>
      <c r="C41" s="18">
        <f>0*3</f>
        <v>0</v>
      </c>
      <c r="D41" s="19">
        <f>15/3.281</f>
        <v>4.5717768972874122</v>
      </c>
      <c r="E41" s="19">
        <f>0.23*3</f>
        <v>0.69000000000000006</v>
      </c>
      <c r="F41" s="19">
        <v>2.67</v>
      </c>
      <c r="G41" s="20">
        <f>PRODUCT(C41:F41)</f>
        <v>0</v>
      </c>
      <c r="H41" s="21"/>
      <c r="I41" s="21"/>
      <c r="J41" s="21"/>
      <c r="K41" s="12"/>
      <c r="M41" s="16"/>
      <c r="N41" s="17"/>
      <c r="O41" s="17"/>
      <c r="P41" s="17"/>
      <c r="Q41" s="17"/>
      <c r="R41" s="16"/>
      <c r="S41" s="16"/>
    </row>
    <row r="42" spans="1:19" ht="15" customHeight="1" x14ac:dyDescent="0.25">
      <c r="A42" s="8"/>
      <c r="B42" s="9" t="s">
        <v>59</v>
      </c>
      <c r="C42" s="18">
        <v>1</v>
      </c>
      <c r="D42" s="19">
        <f>(3.83*2+(3.88*2+3.19)*0+1.8+1.26+3.65)</f>
        <v>14.370000000000001</v>
      </c>
      <c r="E42" s="19"/>
      <c r="F42" s="19">
        <v>2.67</v>
      </c>
      <c r="G42" s="20">
        <f>PRODUCT(C42:F42)</f>
        <v>38.367899999999999</v>
      </c>
      <c r="H42" s="21"/>
      <c r="I42" s="21"/>
      <c r="J42" s="21"/>
      <c r="K42" s="12"/>
      <c r="M42" s="16"/>
      <c r="N42" s="17"/>
      <c r="O42" s="17"/>
      <c r="P42" s="17"/>
      <c r="Q42" s="17"/>
      <c r="R42" s="16"/>
      <c r="S42" s="16"/>
    </row>
    <row r="43" spans="1:19" ht="15" customHeight="1" x14ac:dyDescent="0.25">
      <c r="A43" s="8"/>
      <c r="B43" s="9" t="s">
        <v>53</v>
      </c>
      <c r="C43" s="18">
        <f>-4*2</f>
        <v>-8</v>
      </c>
      <c r="D43" s="19">
        <f>6/3.281</f>
        <v>1.8287107589149649</v>
      </c>
      <c r="E43" s="19"/>
      <c r="F43" s="19">
        <f>4.5/3.281</f>
        <v>1.3715330691862238</v>
      </c>
      <c r="G43" s="20">
        <f>PRODUCT(C43:F43)</f>
        <v>-20.065098238628082</v>
      </c>
      <c r="H43" s="21"/>
      <c r="I43" s="21"/>
      <c r="J43" s="21"/>
      <c r="K43" s="12"/>
      <c r="M43" s="16"/>
      <c r="N43" s="17"/>
      <c r="O43" s="17"/>
      <c r="P43" s="17"/>
      <c r="Q43" s="17"/>
      <c r="R43" s="16"/>
      <c r="S43" s="16"/>
    </row>
    <row r="44" spans="1:19" ht="15" customHeight="1" x14ac:dyDescent="0.25">
      <c r="A44" s="8"/>
      <c r="B44" s="9" t="s">
        <v>60</v>
      </c>
      <c r="C44" s="18">
        <f>-2*2</f>
        <v>-4</v>
      </c>
      <c r="D44" s="19">
        <f>3/3.281</f>
        <v>0.91435537945748246</v>
      </c>
      <c r="E44" s="19"/>
      <c r="F44" s="19">
        <f>7/3.281</f>
        <v>2.1334958854007922</v>
      </c>
      <c r="G44" s="20">
        <f>PRODUCT(C44:F44)</f>
        <v>-7.8030937594664751</v>
      </c>
      <c r="H44" s="21"/>
      <c r="I44" s="21"/>
      <c r="J44" s="21"/>
      <c r="K44" s="12"/>
      <c r="M44" s="16"/>
      <c r="N44" s="17"/>
      <c r="O44" s="17"/>
      <c r="P44" s="17"/>
      <c r="Q44" s="17"/>
      <c r="R44" s="16"/>
      <c r="S44" s="16"/>
    </row>
    <row r="45" spans="1:19" ht="15" customHeight="1" x14ac:dyDescent="0.25">
      <c r="A45" s="8"/>
      <c r="B45" s="9" t="s">
        <v>18</v>
      </c>
      <c r="C45" s="18"/>
      <c r="D45" s="19"/>
      <c r="E45" s="19"/>
      <c r="F45" s="19"/>
      <c r="G45" s="31">
        <f>SUM(G38:G44)</f>
        <v>73.35150800190543</v>
      </c>
      <c r="H45" s="21" t="s">
        <v>54</v>
      </c>
      <c r="I45" s="21">
        <v>405.86</v>
      </c>
      <c r="J45" s="26">
        <f>G45*I45</f>
        <v>29770.443037653338</v>
      </c>
      <c r="K45" s="12"/>
      <c r="M45" s="16"/>
      <c r="N45" s="17"/>
      <c r="O45" s="17"/>
      <c r="P45" s="17"/>
      <c r="Q45" s="17"/>
      <c r="R45" s="16"/>
      <c r="S45" s="16"/>
    </row>
    <row r="46" spans="1:19" ht="15" customHeight="1" x14ac:dyDescent="0.25">
      <c r="A46" s="8"/>
      <c r="B46" s="9" t="s">
        <v>20</v>
      </c>
      <c r="C46" s="18"/>
      <c r="D46" s="19"/>
      <c r="E46" s="19"/>
      <c r="F46" s="19"/>
      <c r="G46" s="20"/>
      <c r="H46" s="21"/>
      <c r="I46" s="21"/>
      <c r="J46" s="26">
        <f>0.13*G45*(11166.2/100)</f>
        <v>1064.7748912461393</v>
      </c>
      <c r="K46" s="12"/>
      <c r="M46" s="16"/>
      <c r="N46" s="17"/>
      <c r="O46" s="17"/>
      <c r="P46" s="17"/>
      <c r="Q46" s="17"/>
      <c r="R46" s="16"/>
      <c r="S46" s="16"/>
    </row>
    <row r="47" spans="1:19" ht="15" customHeight="1" x14ac:dyDescent="0.25">
      <c r="A47" s="21"/>
      <c r="B47" s="9"/>
      <c r="C47" s="22"/>
      <c r="D47" s="23"/>
      <c r="E47" s="23"/>
      <c r="F47" s="23"/>
      <c r="G47" s="23"/>
      <c r="H47" s="23"/>
      <c r="I47" s="23"/>
      <c r="J47" s="26"/>
      <c r="K47" s="18"/>
    </row>
    <row r="48" spans="1:19" ht="15" customHeight="1" x14ac:dyDescent="0.25">
      <c r="A48" s="8">
        <v>6</v>
      </c>
      <c r="B48" s="7" t="s">
        <v>21</v>
      </c>
      <c r="C48" s="10">
        <v>1</v>
      </c>
      <c r="D48" s="11"/>
      <c r="E48" s="12"/>
      <c r="F48" s="12"/>
      <c r="G48" s="31">
        <f t="shared" ref="G48" si="3">PRODUCT(C48:F48)</f>
        <v>1</v>
      </c>
      <c r="H48" s="14" t="s">
        <v>22</v>
      </c>
      <c r="I48" s="13">
        <v>500</v>
      </c>
      <c r="J48" s="31">
        <f>G48*I48</f>
        <v>500</v>
      </c>
      <c r="K48" s="12"/>
      <c r="M48" s="16"/>
      <c r="N48" s="17"/>
      <c r="O48" s="17"/>
      <c r="P48" s="17"/>
      <c r="Q48" s="17"/>
      <c r="R48" s="16"/>
      <c r="S48" s="16"/>
    </row>
    <row r="49" spans="1:19" ht="11.25" customHeight="1" x14ac:dyDescent="0.25">
      <c r="A49" s="8"/>
      <c r="B49" s="30"/>
      <c r="C49" s="10"/>
      <c r="D49" s="11"/>
      <c r="E49" s="12"/>
      <c r="F49" s="12"/>
      <c r="G49" s="13"/>
      <c r="H49" s="14"/>
      <c r="I49" s="13"/>
      <c r="J49" s="15"/>
      <c r="K49" s="12"/>
      <c r="M49" s="16"/>
      <c r="N49" s="17"/>
      <c r="O49" s="17"/>
      <c r="P49" s="17"/>
      <c r="Q49" s="17"/>
      <c r="R49" s="16"/>
      <c r="S49" s="16"/>
    </row>
    <row r="50" spans="1:19" x14ac:dyDescent="0.25">
      <c r="A50" s="21"/>
      <c r="B50" s="41" t="s">
        <v>29</v>
      </c>
      <c r="C50" s="42"/>
      <c r="D50" s="19"/>
      <c r="E50" s="19"/>
      <c r="F50" s="19"/>
      <c r="G50" s="15"/>
      <c r="H50" s="15"/>
      <c r="I50" s="15"/>
      <c r="J50" s="15">
        <f>SUM(J10:J48)</f>
        <v>228229.2890540208</v>
      </c>
      <c r="K50" s="18"/>
    </row>
    <row r="52" spans="1:19" s="17" customFormat="1" x14ac:dyDescent="0.25">
      <c r="A52" s="32"/>
      <c r="B52" s="28" t="s">
        <v>46</v>
      </c>
      <c r="C52" s="65">
        <f>J50</f>
        <v>228229.2890540208</v>
      </c>
      <c r="D52" s="65"/>
      <c r="E52" s="20">
        <v>100</v>
      </c>
      <c r="F52" s="33"/>
      <c r="G52" s="34"/>
      <c r="H52" s="33"/>
      <c r="I52" s="35"/>
      <c r="J52" s="36"/>
      <c r="K52" s="37"/>
    </row>
    <row r="53" spans="1:19" x14ac:dyDescent="0.25">
      <c r="A53" s="38"/>
      <c r="B53" s="28" t="s">
        <v>24</v>
      </c>
      <c r="C53" s="68">
        <v>200000</v>
      </c>
      <c r="D53" s="68"/>
      <c r="E53" s="20"/>
      <c r="F53" s="39"/>
      <c r="G53" s="40"/>
      <c r="H53" s="40"/>
      <c r="I53" s="40"/>
      <c r="J53" s="40"/>
      <c r="K53" s="39"/>
    </row>
    <row r="54" spans="1:19" x14ac:dyDescent="0.25">
      <c r="A54" s="38"/>
      <c r="B54" s="28" t="s">
        <v>25</v>
      </c>
      <c r="C54" s="68">
        <f>C53-C56-C57</f>
        <v>190000</v>
      </c>
      <c r="D54" s="68"/>
      <c r="E54" s="20">
        <f>C54/C52*100</f>
        <v>83.249613048142962</v>
      </c>
      <c r="F54" s="39"/>
      <c r="G54" s="40"/>
      <c r="H54" s="40"/>
      <c r="I54" s="40"/>
      <c r="J54" s="40"/>
      <c r="K54" s="39"/>
    </row>
    <row r="55" spans="1:19" x14ac:dyDescent="0.25">
      <c r="A55" s="38"/>
      <c r="B55" s="28" t="s">
        <v>26</v>
      </c>
      <c r="C55" s="65">
        <f>C52-C54</f>
        <v>38229.289054020803</v>
      </c>
      <c r="D55" s="65"/>
      <c r="E55" s="20">
        <f>100-E54</f>
        <v>16.750386951857038</v>
      </c>
      <c r="F55" s="39"/>
      <c r="G55" s="40"/>
      <c r="H55" s="40"/>
      <c r="I55" s="40"/>
      <c r="J55" s="40"/>
      <c r="K55" s="39"/>
    </row>
    <row r="56" spans="1:19" x14ac:dyDescent="0.25">
      <c r="A56" s="38"/>
      <c r="B56" s="28" t="s">
        <v>27</v>
      </c>
      <c r="C56" s="65">
        <f>C53*0.03</f>
        <v>6000</v>
      </c>
      <c r="D56" s="65"/>
      <c r="E56" s="20">
        <v>3</v>
      </c>
      <c r="F56" s="39"/>
      <c r="G56" s="40"/>
      <c r="H56" s="40"/>
      <c r="I56" s="40"/>
      <c r="J56" s="40"/>
      <c r="K56" s="39"/>
    </row>
    <row r="57" spans="1:19" x14ac:dyDescent="0.25">
      <c r="A57" s="38"/>
      <c r="B57" s="28" t="s">
        <v>28</v>
      </c>
      <c r="C57" s="65">
        <f>C53*0.02</f>
        <v>4000</v>
      </c>
      <c r="D57" s="65"/>
      <c r="E57" s="20">
        <v>2</v>
      </c>
      <c r="F57" s="39"/>
      <c r="G57" s="40"/>
      <c r="H57" s="40"/>
      <c r="I57" s="40"/>
      <c r="J57" s="40"/>
      <c r="K57" s="39"/>
    </row>
  </sheetData>
  <mergeCells count="15">
    <mergeCell ref="C56:D56"/>
    <mergeCell ref="C57:D57"/>
    <mergeCell ref="A7:F7"/>
    <mergeCell ref="H7:K7"/>
    <mergeCell ref="C52:D52"/>
    <mergeCell ref="C53:D53"/>
    <mergeCell ref="C54:D54"/>
    <mergeCell ref="C55:D55"/>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abSelected="1" zoomScale="90" zoomScaleNormal="90" workbookViewId="0">
      <selection activeCell="A6" sqref="A6:F6"/>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hidden="1" customWidth="1"/>
    <col min="10" max="10" width="10.42578125" hidden="1" customWidth="1"/>
    <col min="11" max="11" width="11.5703125" customWidth="1"/>
  </cols>
  <sheetData>
    <row r="1" spans="1:19" x14ac:dyDescent="0.25">
      <c r="A1" s="61" t="s">
        <v>0</v>
      </c>
      <c r="B1" s="61"/>
      <c r="C1" s="61"/>
      <c r="D1" s="61"/>
      <c r="E1" s="61"/>
      <c r="F1" s="61"/>
      <c r="G1" s="61"/>
      <c r="H1" s="61"/>
      <c r="I1" s="61"/>
      <c r="J1" s="61"/>
      <c r="K1" s="61"/>
    </row>
    <row r="2" spans="1:19" ht="22.5" x14ac:dyDescent="0.25">
      <c r="A2" s="62" t="s">
        <v>1</v>
      </c>
      <c r="B2" s="62"/>
      <c r="C2" s="62"/>
      <c r="D2" s="62"/>
      <c r="E2" s="62"/>
      <c r="F2" s="62"/>
      <c r="G2" s="62"/>
      <c r="H2" s="62"/>
      <c r="I2" s="62"/>
      <c r="J2" s="62"/>
      <c r="K2" s="62"/>
    </row>
    <row r="3" spans="1:19" x14ac:dyDescent="0.25">
      <c r="A3" s="63" t="s">
        <v>2</v>
      </c>
      <c r="B3" s="63"/>
      <c r="C3" s="63"/>
      <c r="D3" s="63"/>
      <c r="E3" s="63"/>
      <c r="F3" s="63"/>
      <c r="G3" s="63"/>
      <c r="H3" s="63"/>
      <c r="I3" s="63"/>
      <c r="J3" s="63"/>
      <c r="K3" s="63"/>
    </row>
    <row r="4" spans="1:19" x14ac:dyDescent="0.25">
      <c r="A4" s="63" t="s">
        <v>3</v>
      </c>
      <c r="B4" s="63"/>
      <c r="C4" s="63"/>
      <c r="D4" s="63"/>
      <c r="E4" s="63"/>
      <c r="F4" s="63"/>
      <c r="G4" s="63"/>
      <c r="H4" s="63"/>
      <c r="I4" s="63"/>
      <c r="J4" s="63"/>
      <c r="K4" s="63"/>
    </row>
    <row r="5" spans="1:19" ht="18.75" x14ac:dyDescent="0.3">
      <c r="A5" s="64" t="s">
        <v>69</v>
      </c>
      <c r="B5" s="64"/>
      <c r="C5" s="64"/>
      <c r="D5" s="64"/>
      <c r="E5" s="64"/>
      <c r="F5" s="64"/>
      <c r="G5" s="64"/>
      <c r="H5" s="64"/>
      <c r="I5" s="64"/>
      <c r="J5" s="64"/>
      <c r="K5" s="64"/>
    </row>
    <row r="6" spans="1:19" ht="15.75" x14ac:dyDescent="0.25">
      <c r="A6" s="59" t="s">
        <v>62</v>
      </c>
      <c r="B6" s="59"/>
      <c r="C6" s="59"/>
      <c r="D6" s="59"/>
      <c r="E6" s="59"/>
      <c r="F6" s="59"/>
      <c r="G6" s="1"/>
      <c r="H6" s="60" t="s">
        <v>5</v>
      </c>
      <c r="I6" s="60"/>
      <c r="J6" s="60"/>
      <c r="K6" s="60"/>
    </row>
    <row r="7" spans="1:19" ht="15.75" x14ac:dyDescent="0.25">
      <c r="A7" s="66" t="s">
        <v>6</v>
      </c>
      <c r="B7" s="66"/>
      <c r="C7" s="66"/>
      <c r="D7" s="66"/>
      <c r="E7" s="66"/>
      <c r="F7" s="66"/>
      <c r="G7" s="2"/>
      <c r="H7" s="67" t="s">
        <v>47</v>
      </c>
      <c r="I7" s="67"/>
      <c r="J7" s="67"/>
      <c r="K7" s="67"/>
    </row>
    <row r="8" spans="1:19" ht="15.75" x14ac:dyDescent="0.25">
      <c r="A8" s="3" t="s">
        <v>7</v>
      </c>
      <c r="B8" s="4" t="s">
        <v>8</v>
      </c>
      <c r="C8" s="3" t="s">
        <v>9</v>
      </c>
      <c r="D8" s="5" t="s">
        <v>10</v>
      </c>
      <c r="E8" s="5" t="s">
        <v>11</v>
      </c>
      <c r="F8" s="5" t="s">
        <v>12</v>
      </c>
      <c r="G8" s="5" t="s">
        <v>13</v>
      </c>
      <c r="H8" s="3" t="s">
        <v>14</v>
      </c>
      <c r="I8" s="5" t="s">
        <v>15</v>
      </c>
      <c r="J8" s="5" t="s">
        <v>16</v>
      </c>
      <c r="K8" s="6" t="s">
        <v>17</v>
      </c>
    </row>
    <row r="9" spans="1:19" ht="30.75" x14ac:dyDescent="0.25">
      <c r="A9" s="28">
        <v>1</v>
      </c>
      <c r="B9" s="56" t="s">
        <v>48</v>
      </c>
      <c r="C9" s="18"/>
      <c r="D9" s="18"/>
      <c r="E9" s="18"/>
      <c r="F9" s="18"/>
      <c r="G9" s="18"/>
      <c r="H9" s="18"/>
      <c r="I9" s="18"/>
      <c r="J9" s="18"/>
      <c r="K9" s="18"/>
    </row>
    <row r="10" spans="1:19" ht="15" customHeight="1" x14ac:dyDescent="0.25">
      <c r="A10" s="8"/>
      <c r="B10" s="9" t="s">
        <v>49</v>
      </c>
      <c r="C10" s="18">
        <v>1</v>
      </c>
      <c r="D10" s="19">
        <f>((7.15+7.27)/2)</f>
        <v>7.21</v>
      </c>
      <c r="E10" s="19">
        <v>4.3</v>
      </c>
      <c r="F10" s="19">
        <v>0.15</v>
      </c>
      <c r="G10" s="20">
        <f>PRODUCT(C10:F10)</f>
        <v>4.6504500000000002</v>
      </c>
      <c r="H10" s="21"/>
      <c r="I10" s="21"/>
      <c r="J10" s="21"/>
      <c r="K10" s="12"/>
      <c r="M10" s="16"/>
      <c r="N10" s="17">
        <f>CONVERT((D10*E10),"m2","ft2")</f>
        <v>333.71351464925152</v>
      </c>
      <c r="O10" s="17"/>
      <c r="P10" s="17"/>
      <c r="Q10" s="17"/>
      <c r="R10" s="16"/>
      <c r="S10" s="16"/>
    </row>
    <row r="11" spans="1:19" ht="15" customHeight="1" x14ac:dyDescent="0.25">
      <c r="A11" s="8"/>
      <c r="B11" s="9" t="s">
        <v>63</v>
      </c>
      <c r="C11" s="18">
        <v>1</v>
      </c>
      <c r="D11" s="19">
        <f>E10</f>
        <v>4.3</v>
      </c>
      <c r="E11" s="19">
        <v>0.23</v>
      </c>
      <c r="F11" s="19">
        <f>0.15</f>
        <v>0.15</v>
      </c>
      <c r="G11" s="20">
        <f>PRODUCT(C11:F11)</f>
        <v>0.14834999999999998</v>
      </c>
      <c r="H11" s="21"/>
      <c r="I11" s="21"/>
      <c r="J11" s="21"/>
      <c r="K11" s="12"/>
      <c r="M11" s="16"/>
      <c r="N11" s="17">
        <f>CONVERT((D11*E11),"m2","ft2")</f>
        <v>10.645507402125915</v>
      </c>
      <c r="O11" s="17"/>
      <c r="P11" s="17"/>
      <c r="Q11" s="17"/>
      <c r="R11" s="16"/>
      <c r="S11" s="16"/>
    </row>
    <row r="12" spans="1:19" ht="15" customHeight="1" x14ac:dyDescent="0.25">
      <c r="A12" s="8"/>
      <c r="B12" s="9" t="s">
        <v>65</v>
      </c>
      <c r="C12" s="18">
        <v>1</v>
      </c>
      <c r="D12" s="19">
        <f>((1.8+1.26)+3.19)/2</f>
        <v>3.125</v>
      </c>
      <c r="E12" s="19">
        <v>3.69</v>
      </c>
      <c r="F12" s="19">
        <f>0.15</f>
        <v>0.15</v>
      </c>
      <c r="G12" s="20">
        <f>PRODUCT(C12:F12)</f>
        <v>1.7296875</v>
      </c>
      <c r="H12" s="21"/>
      <c r="I12" s="21"/>
      <c r="J12" s="21"/>
      <c r="K12" s="12"/>
      <c r="M12" s="16"/>
      <c r="N12" s="17">
        <f t="shared" ref="N12:N13" si="0">CONVERT((D12*E12),"m2","ft2")</f>
        <v>124.12134199268398</v>
      </c>
      <c r="O12" s="17"/>
      <c r="P12" s="17"/>
      <c r="Q12" s="17"/>
      <c r="R12" s="16"/>
      <c r="S12" s="16"/>
    </row>
    <row r="13" spans="1:19" ht="15" customHeight="1" x14ac:dyDescent="0.25">
      <c r="A13" s="8"/>
      <c r="B13" s="9"/>
      <c r="C13" s="18">
        <v>1</v>
      </c>
      <c r="D13" s="19">
        <f>(3.65+3.65)/2</f>
        <v>3.65</v>
      </c>
      <c r="E13" s="19">
        <v>3.67</v>
      </c>
      <c r="F13" s="19">
        <f>0.15</f>
        <v>0.15</v>
      </c>
      <c r="G13" s="20">
        <f>PRODUCT(C13:F13)</f>
        <v>2.009325</v>
      </c>
      <c r="H13" s="21"/>
      <c r="I13" s="21"/>
      <c r="J13" s="21"/>
      <c r="K13" s="12"/>
      <c r="M13" s="16"/>
      <c r="N13" s="17">
        <f t="shared" si="0"/>
        <v>144.1879619870351</v>
      </c>
      <c r="O13" s="17"/>
      <c r="P13" s="17"/>
      <c r="Q13" s="17"/>
      <c r="R13" s="16"/>
      <c r="S13" s="16"/>
    </row>
    <row r="14" spans="1:19" ht="15" customHeight="1" x14ac:dyDescent="0.25">
      <c r="A14" s="8"/>
      <c r="B14" s="9" t="s">
        <v>18</v>
      </c>
      <c r="C14" s="10"/>
      <c r="D14" s="11"/>
      <c r="E14" s="12"/>
      <c r="F14" s="12"/>
      <c r="G14" s="13">
        <f>SUM(G10:G13)</f>
        <v>8.5378124999999994</v>
      </c>
      <c r="H14" s="14" t="s">
        <v>19</v>
      </c>
      <c r="I14" s="13">
        <v>663.31</v>
      </c>
      <c r="J14" s="15">
        <f>G14*I14</f>
        <v>5663.2164093749989</v>
      </c>
      <c r="K14" s="12"/>
      <c r="M14" s="16"/>
      <c r="N14" s="17"/>
      <c r="O14" s="17"/>
      <c r="P14" s="17"/>
      <c r="Q14" s="17"/>
      <c r="R14" s="16"/>
      <c r="S14" s="16"/>
    </row>
    <row r="15" spans="1:19" ht="15" customHeight="1" x14ac:dyDescent="0.25">
      <c r="A15" s="8"/>
      <c r="B15" s="30"/>
      <c r="C15" s="10"/>
      <c r="D15" s="11"/>
      <c r="E15" s="12"/>
      <c r="F15" s="12"/>
      <c r="G15" s="13"/>
      <c r="H15" s="14"/>
      <c r="I15" s="13"/>
      <c r="J15" s="15"/>
      <c r="K15" s="12"/>
      <c r="M15" s="16"/>
      <c r="N15" s="17"/>
      <c r="O15" s="17"/>
      <c r="P15" s="17"/>
      <c r="Q15" s="17"/>
      <c r="R15" s="16"/>
      <c r="S15" s="16"/>
    </row>
    <row r="16" spans="1:19" ht="30.75" x14ac:dyDescent="0.25">
      <c r="A16" s="8">
        <v>2</v>
      </c>
      <c r="B16" s="56" t="s">
        <v>50</v>
      </c>
      <c r="C16" s="10"/>
      <c r="D16" s="11"/>
      <c r="E16" s="12"/>
      <c r="F16" s="12"/>
      <c r="G16" s="13"/>
      <c r="H16" s="14"/>
      <c r="I16" s="13"/>
      <c r="J16" s="15"/>
      <c r="K16" s="12"/>
      <c r="M16" s="16"/>
      <c r="N16" s="17"/>
      <c r="O16" s="17"/>
      <c r="P16" s="17"/>
      <c r="Q16" s="16"/>
      <c r="R16" s="16"/>
    </row>
    <row r="17" spans="1:19" ht="15" customHeight="1" x14ac:dyDescent="0.25">
      <c r="A17" s="8"/>
      <c r="B17" s="9" t="str">
        <f>B10</f>
        <v>-Plinth area</v>
      </c>
      <c r="C17" s="18">
        <v>1</v>
      </c>
      <c r="D17" s="19">
        <f>D10</f>
        <v>7.21</v>
      </c>
      <c r="E17" s="19">
        <f t="shared" ref="E17:F17" si="1">E10</f>
        <v>4.3</v>
      </c>
      <c r="F17" s="19">
        <f t="shared" si="1"/>
        <v>0.15</v>
      </c>
      <c r="G17" s="20">
        <f>PRODUCT(C17:F17)</f>
        <v>4.6504500000000002</v>
      </c>
      <c r="H17" s="21"/>
      <c r="I17" s="21"/>
      <c r="J17" s="21"/>
      <c r="K17" s="12"/>
      <c r="M17" s="16"/>
      <c r="N17" s="17"/>
      <c r="O17" s="17"/>
      <c r="P17" s="17"/>
      <c r="Q17" s="16"/>
      <c r="R17" s="16"/>
    </row>
    <row r="18" spans="1:19" ht="15" customHeight="1" x14ac:dyDescent="0.25">
      <c r="A18" s="8"/>
      <c r="B18" s="9" t="str">
        <f t="shared" ref="B18:B19" si="2">B11</f>
        <v>-deduction for tie beam area</v>
      </c>
      <c r="C18" s="18">
        <v>1</v>
      </c>
      <c r="D18" s="19">
        <f t="shared" ref="D18:F18" si="3">D11</f>
        <v>4.3</v>
      </c>
      <c r="E18" s="19">
        <f t="shared" si="3"/>
        <v>0.23</v>
      </c>
      <c r="F18" s="19">
        <f t="shared" si="3"/>
        <v>0.15</v>
      </c>
      <c r="G18" s="20">
        <f>PRODUCT(C18:F18)</f>
        <v>0.14834999999999998</v>
      </c>
      <c r="H18" s="21"/>
      <c r="I18" s="21"/>
      <c r="J18" s="21"/>
      <c r="K18" s="12"/>
      <c r="M18" s="16"/>
      <c r="N18" s="17"/>
      <c r="O18" s="17"/>
      <c r="P18" s="17"/>
      <c r="Q18" s="16"/>
      <c r="R18" s="16"/>
    </row>
    <row r="19" spans="1:19" ht="15" customHeight="1" x14ac:dyDescent="0.25">
      <c r="A19" s="8"/>
      <c r="B19" s="9" t="str">
        <f t="shared" si="2"/>
        <v>-Inner rooms</v>
      </c>
      <c r="C19" s="18">
        <v>1</v>
      </c>
      <c r="D19" s="19">
        <f t="shared" ref="D19:F19" si="4">D12</f>
        <v>3.125</v>
      </c>
      <c r="E19" s="19">
        <f t="shared" si="4"/>
        <v>3.69</v>
      </c>
      <c r="F19" s="19">
        <f t="shared" si="4"/>
        <v>0.15</v>
      </c>
      <c r="G19" s="20">
        <f>PRODUCT(C19:F19)</f>
        <v>1.7296875</v>
      </c>
      <c r="H19" s="21"/>
      <c r="I19" s="21"/>
      <c r="J19" s="21"/>
      <c r="K19" s="12"/>
      <c r="M19" s="16"/>
      <c r="N19" s="17"/>
      <c r="O19" s="17"/>
      <c r="P19" s="17"/>
      <c r="Q19" s="16"/>
      <c r="R19" s="16"/>
    </row>
    <row r="20" spans="1:19" ht="15" customHeight="1" x14ac:dyDescent="0.25">
      <c r="A20" s="8"/>
      <c r="B20" s="9"/>
      <c r="C20" s="18">
        <v>1</v>
      </c>
      <c r="D20" s="19">
        <f t="shared" ref="D20:F20" si="5">D13</f>
        <v>3.65</v>
      </c>
      <c r="E20" s="19">
        <f t="shared" si="5"/>
        <v>3.67</v>
      </c>
      <c r="F20" s="19">
        <f t="shared" si="5"/>
        <v>0.15</v>
      </c>
      <c r="G20" s="20">
        <f>PRODUCT(C20:F20)</f>
        <v>2.009325</v>
      </c>
      <c r="H20" s="21"/>
      <c r="I20" s="21"/>
      <c r="J20" s="21"/>
      <c r="K20" s="12"/>
      <c r="M20" s="16"/>
      <c r="N20" s="17"/>
      <c r="O20" s="17"/>
      <c r="P20" s="17"/>
      <c r="Q20" s="16"/>
      <c r="R20" s="16"/>
    </row>
    <row r="21" spans="1:19" ht="15" customHeight="1" x14ac:dyDescent="0.25">
      <c r="A21" s="21"/>
      <c r="B21" s="9" t="s">
        <v>18</v>
      </c>
      <c r="C21" s="22"/>
      <c r="D21" s="23"/>
      <c r="E21" s="23"/>
      <c r="F21" s="23"/>
      <c r="G21" s="24">
        <f>SUM(G17:G20)</f>
        <v>8.5378124999999994</v>
      </c>
      <c r="H21" s="24" t="s">
        <v>19</v>
      </c>
      <c r="I21" s="24">
        <v>4473.1499999999996</v>
      </c>
      <c r="J21" s="25">
        <f>G21*I21</f>
        <v>38190.915984374995</v>
      </c>
      <c r="K21" s="18"/>
    </row>
    <row r="22" spans="1:19" hidden="1" x14ac:dyDescent="0.25">
      <c r="A22" s="21"/>
      <c r="B22" s="9" t="s">
        <v>20</v>
      </c>
      <c r="C22" s="22"/>
      <c r="D22" s="23"/>
      <c r="E22" s="23"/>
      <c r="F22" s="23"/>
      <c r="G22" s="23"/>
      <c r="H22" s="23"/>
      <c r="I22" s="23"/>
      <c r="J22" s="26">
        <f>0.13*G21*(3093.15)</f>
        <v>3433.1355154687499</v>
      </c>
      <c r="K22" s="18"/>
    </row>
    <row r="23" spans="1:19" x14ac:dyDescent="0.25">
      <c r="A23" s="21"/>
      <c r="B23" s="9"/>
      <c r="C23" s="22"/>
      <c r="D23" s="23"/>
      <c r="E23" s="23"/>
      <c r="F23" s="23"/>
      <c r="G23" s="23"/>
      <c r="H23" s="23"/>
      <c r="I23" s="23"/>
      <c r="J23" s="26"/>
      <c r="K23" s="18"/>
    </row>
    <row r="24" spans="1:19" ht="30.75" x14ac:dyDescent="0.25">
      <c r="A24" s="8">
        <v>3</v>
      </c>
      <c r="B24" s="56" t="s">
        <v>51</v>
      </c>
      <c r="C24" s="10"/>
      <c r="D24" s="11"/>
      <c r="E24" s="12"/>
      <c r="F24" s="12"/>
      <c r="G24" s="13"/>
      <c r="H24" s="14"/>
      <c r="I24" s="13"/>
      <c r="J24" s="15"/>
      <c r="K24" s="12"/>
      <c r="M24" s="16"/>
      <c r="N24" s="17"/>
      <c r="O24" s="17"/>
      <c r="P24" s="17"/>
      <c r="Q24" s="16"/>
      <c r="R24" s="16"/>
    </row>
    <row r="25" spans="1:19" ht="15" customHeight="1" x14ac:dyDescent="0.25">
      <c r="A25" s="8"/>
      <c r="B25" s="9" t="str">
        <f>B17</f>
        <v>-Plinth area</v>
      </c>
      <c r="C25" s="18">
        <v>1</v>
      </c>
      <c r="D25" s="19">
        <f>D17</f>
        <v>7.21</v>
      </c>
      <c r="E25" s="19">
        <f>E17</f>
        <v>4.3</v>
      </c>
      <c r="F25" s="19">
        <v>7.4999999999999997E-2</v>
      </c>
      <c r="G25" s="20">
        <f>PRODUCT(C25:F25)</f>
        <v>2.3252250000000001</v>
      </c>
      <c r="H25" s="21"/>
      <c r="I25" s="21"/>
      <c r="J25" s="21"/>
      <c r="K25" s="12"/>
      <c r="M25" s="16"/>
      <c r="N25" s="17"/>
      <c r="O25" s="17"/>
      <c r="P25" s="17"/>
      <c r="Q25" s="16"/>
      <c r="R25" s="16"/>
    </row>
    <row r="26" spans="1:19" ht="15" customHeight="1" x14ac:dyDescent="0.25">
      <c r="A26" s="8"/>
      <c r="B26" s="9" t="str">
        <f t="shared" ref="B26:B27" si="6">B18</f>
        <v>-deduction for tie beam area</v>
      </c>
      <c r="C26" s="18">
        <v>1</v>
      </c>
      <c r="D26" s="19">
        <f t="shared" ref="D26:E26" si="7">D18</f>
        <v>4.3</v>
      </c>
      <c r="E26" s="19">
        <f t="shared" si="7"/>
        <v>0.23</v>
      </c>
      <c r="F26" s="19">
        <v>7.4999999999999997E-2</v>
      </c>
      <c r="G26" s="20">
        <f>PRODUCT(C26:F26)</f>
        <v>7.4174999999999991E-2</v>
      </c>
      <c r="H26" s="21"/>
      <c r="I26" s="21"/>
      <c r="J26" s="21"/>
      <c r="K26" s="12"/>
      <c r="M26" s="16"/>
      <c r="N26" s="17"/>
      <c r="O26" s="17"/>
      <c r="P26" s="17"/>
      <c r="Q26" s="16"/>
      <c r="R26" s="16"/>
    </row>
    <row r="27" spans="1:19" ht="15" customHeight="1" x14ac:dyDescent="0.25">
      <c r="A27" s="8"/>
      <c r="B27" s="9" t="str">
        <f t="shared" si="6"/>
        <v>-Inner rooms</v>
      </c>
      <c r="C27" s="18">
        <v>1</v>
      </c>
      <c r="D27" s="19">
        <f t="shared" ref="D27:E27" si="8">D19</f>
        <v>3.125</v>
      </c>
      <c r="E27" s="19">
        <f t="shared" si="8"/>
        <v>3.69</v>
      </c>
      <c r="F27" s="19">
        <v>7.4999999999999997E-2</v>
      </c>
      <c r="G27" s="20">
        <f>PRODUCT(C27:F27)</f>
        <v>0.86484375000000002</v>
      </c>
      <c r="H27" s="21"/>
      <c r="I27" s="21"/>
      <c r="J27" s="21"/>
      <c r="K27" s="12"/>
      <c r="M27" s="16"/>
      <c r="N27" s="17"/>
      <c r="O27" s="17"/>
      <c r="P27" s="17"/>
      <c r="Q27" s="16"/>
      <c r="R27" s="16"/>
    </row>
    <row r="28" spans="1:19" ht="15" customHeight="1" x14ac:dyDescent="0.25">
      <c r="A28" s="8"/>
      <c r="B28" s="9"/>
      <c r="C28" s="18">
        <v>1</v>
      </c>
      <c r="D28" s="19">
        <f t="shared" ref="D28:E28" si="9">D20</f>
        <v>3.65</v>
      </c>
      <c r="E28" s="19">
        <f t="shared" si="9"/>
        <v>3.67</v>
      </c>
      <c r="F28" s="19">
        <v>7.4999999999999997E-2</v>
      </c>
      <c r="G28" s="20">
        <f>PRODUCT(C28:F28)</f>
        <v>1.0046625</v>
      </c>
      <c r="H28" s="21"/>
      <c r="I28" s="21"/>
      <c r="J28" s="21"/>
      <c r="K28" s="12"/>
      <c r="M28" s="16"/>
      <c r="N28" s="17"/>
      <c r="O28" s="17"/>
      <c r="P28" s="17"/>
      <c r="Q28" s="16"/>
      <c r="R28" s="16"/>
    </row>
    <row r="29" spans="1:19" ht="15" customHeight="1" x14ac:dyDescent="0.25">
      <c r="A29" s="21"/>
      <c r="B29" s="9" t="s">
        <v>18</v>
      </c>
      <c r="C29" s="22"/>
      <c r="D29" s="23"/>
      <c r="E29" s="23"/>
      <c r="F29" s="23"/>
      <c r="G29" s="24">
        <f>SUM(G25:G28)</f>
        <v>4.2689062499999997</v>
      </c>
      <c r="H29" s="24" t="s">
        <v>19</v>
      </c>
      <c r="I29" s="24">
        <v>12983.1</v>
      </c>
      <c r="J29" s="25">
        <f>G29*I29</f>
        <v>55423.636734374995</v>
      </c>
      <c r="K29" s="18"/>
    </row>
    <row r="30" spans="1:19" ht="15" hidden="1" customHeight="1" x14ac:dyDescent="0.25">
      <c r="A30" s="21"/>
      <c r="B30" s="9" t="s">
        <v>20</v>
      </c>
      <c r="C30" s="22"/>
      <c r="D30" s="23"/>
      <c r="E30" s="23"/>
      <c r="F30" s="23"/>
      <c r="G30" s="23"/>
      <c r="H30" s="23"/>
      <c r="I30" s="23"/>
      <c r="J30" s="26">
        <f>0.13*G29*(8078.11)</f>
        <v>4483.0102547343749</v>
      </c>
      <c r="K30" s="18"/>
    </row>
    <row r="31" spans="1:19" ht="15" customHeight="1" x14ac:dyDescent="0.25">
      <c r="A31" s="21"/>
      <c r="B31" s="9"/>
      <c r="C31" s="22"/>
      <c r="D31" s="23"/>
      <c r="E31" s="23"/>
      <c r="F31" s="23"/>
      <c r="G31" s="23"/>
      <c r="H31" s="23"/>
      <c r="I31" s="23"/>
      <c r="J31" s="26"/>
      <c r="K31" s="18"/>
    </row>
    <row r="32" spans="1:19" ht="31.5" x14ac:dyDescent="0.25">
      <c r="A32" s="8">
        <v>4</v>
      </c>
      <c r="B32" s="56" t="s">
        <v>52</v>
      </c>
      <c r="C32" s="10"/>
      <c r="D32" s="11"/>
      <c r="E32" s="12"/>
      <c r="F32" s="12"/>
      <c r="G32" s="13"/>
      <c r="H32" s="14"/>
      <c r="I32" s="13"/>
      <c r="J32" s="15"/>
      <c r="K32" s="12"/>
      <c r="M32" s="16"/>
      <c r="N32" s="17"/>
      <c r="O32" s="17"/>
      <c r="P32" s="17"/>
      <c r="Q32" s="17"/>
      <c r="R32" s="16"/>
      <c r="S32" s="16"/>
    </row>
    <row r="33" spans="1:19" ht="15" customHeight="1" x14ac:dyDescent="0.25">
      <c r="A33" s="8"/>
      <c r="B33" s="9" t="s">
        <v>53</v>
      </c>
      <c r="C33" s="18">
        <f>4*3</f>
        <v>12</v>
      </c>
      <c r="D33" s="19">
        <f>(1+9/12)/3.281</f>
        <v>0.53337397135019804</v>
      </c>
      <c r="E33" s="19">
        <f>(4+1/12)/3.281</f>
        <v>1.2445392664837955</v>
      </c>
      <c r="F33" s="19"/>
      <c r="G33" s="20">
        <f>PRODUCT(C33:F33)</f>
        <v>7.9656582127886928</v>
      </c>
      <c r="H33" s="21"/>
      <c r="I33" s="21"/>
      <c r="J33" s="21"/>
      <c r="K33" s="12"/>
      <c r="M33" s="16"/>
      <c r="N33" s="17"/>
      <c r="O33" s="17"/>
      <c r="P33" s="17"/>
      <c r="Q33" s="17"/>
      <c r="R33" s="16"/>
      <c r="S33" s="16"/>
    </row>
    <row r="34" spans="1:19" ht="15" customHeight="1" x14ac:dyDescent="0.25">
      <c r="A34" s="21"/>
      <c r="B34" s="9" t="s">
        <v>18</v>
      </c>
      <c r="C34" s="22"/>
      <c r="D34" s="23"/>
      <c r="E34" s="23"/>
      <c r="F34" s="23"/>
      <c r="G34" s="24">
        <f>SUM(G33:G33)</f>
        <v>7.9656582127886928</v>
      </c>
      <c r="H34" s="24" t="s">
        <v>54</v>
      </c>
      <c r="I34" s="24">
        <v>10576.85</v>
      </c>
      <c r="J34" s="25">
        <f>G34*I34</f>
        <v>84251.572067934088</v>
      </c>
      <c r="K34" s="18"/>
    </row>
    <row r="35" spans="1:19" ht="15" hidden="1" customHeight="1" x14ac:dyDescent="0.25">
      <c r="A35" s="21"/>
      <c r="B35" s="9" t="s">
        <v>20</v>
      </c>
      <c r="C35" s="22"/>
      <c r="D35" s="23"/>
      <c r="E35" s="23"/>
      <c r="F35" s="23"/>
      <c r="G35" s="23"/>
      <c r="H35" s="23"/>
      <c r="I35" s="23"/>
      <c r="J35" s="26">
        <f>0.13*G34*(11733.39/2.23)</f>
        <v>5448.5841588591284</v>
      </c>
      <c r="K35" s="18"/>
    </row>
    <row r="36" spans="1:19" ht="15" customHeight="1" x14ac:dyDescent="0.25">
      <c r="A36" s="21"/>
      <c r="B36" s="9"/>
      <c r="C36" s="22"/>
      <c r="D36" s="23"/>
      <c r="E36" s="23"/>
      <c r="F36" s="23"/>
      <c r="G36" s="23"/>
      <c r="H36" s="23"/>
      <c r="I36" s="23"/>
      <c r="J36" s="26"/>
      <c r="K36" s="18"/>
    </row>
    <row r="37" spans="1:19" ht="30.75" x14ac:dyDescent="0.25">
      <c r="A37" s="21">
        <v>5</v>
      </c>
      <c r="B37" s="56" t="s">
        <v>55</v>
      </c>
      <c r="C37" s="22"/>
      <c r="D37" s="23"/>
      <c r="E37" s="23"/>
      <c r="F37" s="23"/>
      <c r="G37" s="23"/>
      <c r="H37" s="23"/>
      <c r="I37" s="23"/>
      <c r="J37" s="26"/>
      <c r="K37" s="18"/>
    </row>
    <row r="38" spans="1:19" ht="15" customHeight="1" x14ac:dyDescent="0.25">
      <c r="A38" s="8"/>
      <c r="B38" s="9" t="s">
        <v>56</v>
      </c>
      <c r="C38" s="18">
        <v>1</v>
      </c>
      <c r="D38" s="19">
        <f>7.15+7.3+0.25+4.42+4.42</f>
        <v>23.54</v>
      </c>
      <c r="E38" s="19"/>
      <c r="F38" s="19">
        <v>2.67</v>
      </c>
      <c r="G38" s="20">
        <f>PRODUCT(C38:F38)</f>
        <v>62.851799999999997</v>
      </c>
      <c r="H38" s="21"/>
      <c r="I38" s="21"/>
      <c r="J38" s="21"/>
      <c r="K38" s="12"/>
      <c r="M38" s="16"/>
      <c r="N38" s="17"/>
      <c r="O38" s="17"/>
      <c r="P38" s="17"/>
      <c r="Q38" s="17"/>
      <c r="R38" s="16"/>
      <c r="S38" s="16"/>
    </row>
    <row r="39" spans="1:19" ht="15" hidden="1" customHeight="1" x14ac:dyDescent="0.25">
      <c r="A39" s="8"/>
      <c r="B39" s="9" t="s">
        <v>57</v>
      </c>
      <c r="C39" s="18">
        <f>0*4*2</f>
        <v>0</v>
      </c>
      <c r="D39" s="19">
        <v>0.3</v>
      </c>
      <c r="E39" s="19"/>
      <c r="F39" s="19">
        <v>2.67</v>
      </c>
      <c r="G39" s="20">
        <f>PRODUCT(C39:F39)</f>
        <v>0</v>
      </c>
      <c r="H39" s="21"/>
      <c r="I39" s="21"/>
      <c r="J39" s="21"/>
      <c r="K39" s="12"/>
      <c r="M39" s="16"/>
      <c r="N39" s="17"/>
      <c r="O39" s="17"/>
      <c r="P39" s="17"/>
      <c r="Q39" s="17"/>
      <c r="R39" s="16"/>
      <c r="S39" s="16"/>
    </row>
    <row r="40" spans="1:19" ht="15" hidden="1" customHeight="1" x14ac:dyDescent="0.25">
      <c r="A40" s="8"/>
      <c r="B40" s="9"/>
      <c r="C40" s="18">
        <f>0*1</f>
        <v>0</v>
      </c>
      <c r="D40" s="19">
        <v>0.23</v>
      </c>
      <c r="E40" s="19"/>
      <c r="F40" s="19">
        <v>2.67</v>
      </c>
      <c r="G40" s="20">
        <f>C40*(D40/2)*2*F40*PI()</f>
        <v>0</v>
      </c>
      <c r="H40" s="21"/>
      <c r="I40" s="21"/>
      <c r="J40" s="21"/>
      <c r="K40" s="12"/>
      <c r="M40" s="16"/>
      <c r="N40" s="17"/>
      <c r="O40" s="17"/>
      <c r="P40" s="17"/>
      <c r="Q40" s="17"/>
      <c r="R40" s="16"/>
      <c r="S40" s="16"/>
    </row>
    <row r="41" spans="1:19" ht="15" hidden="1" customHeight="1" x14ac:dyDescent="0.25">
      <c r="A41" s="8"/>
      <c r="B41" s="9" t="s">
        <v>58</v>
      </c>
      <c r="C41" s="18">
        <f>0*3</f>
        <v>0</v>
      </c>
      <c r="D41" s="19">
        <f>15/3.281</f>
        <v>4.5717768972874122</v>
      </c>
      <c r="E41" s="19">
        <f>0.23*3</f>
        <v>0.69000000000000006</v>
      </c>
      <c r="F41" s="19">
        <v>2.67</v>
      </c>
      <c r="G41" s="20">
        <f>PRODUCT(C41:F41)</f>
        <v>0</v>
      </c>
      <c r="H41" s="21"/>
      <c r="I41" s="21"/>
      <c r="J41" s="21"/>
      <c r="K41" s="12"/>
      <c r="M41" s="16"/>
      <c r="N41" s="17"/>
      <c r="O41" s="17"/>
      <c r="P41" s="17"/>
      <c r="Q41" s="17"/>
      <c r="R41" s="16"/>
      <c r="S41" s="16"/>
    </row>
    <row r="42" spans="1:19" ht="15" customHeight="1" x14ac:dyDescent="0.25">
      <c r="A42" s="8"/>
      <c r="B42" s="9" t="s">
        <v>59</v>
      </c>
      <c r="C42" s="18">
        <v>1</v>
      </c>
      <c r="D42" s="19">
        <f>(3.83*2+(3.88*2+3.19)*0+1.8+1.26+3.65)</f>
        <v>14.370000000000001</v>
      </c>
      <c r="E42" s="19"/>
      <c r="F42" s="19">
        <v>2.67</v>
      </c>
      <c r="G42" s="20">
        <f>PRODUCT(C42:F42)</f>
        <v>38.367899999999999</v>
      </c>
      <c r="H42" s="21"/>
      <c r="I42" s="21"/>
      <c r="J42" s="21"/>
      <c r="K42" s="12"/>
      <c r="M42" s="16"/>
      <c r="N42" s="17"/>
      <c r="O42" s="17"/>
      <c r="P42" s="17"/>
      <c r="Q42" s="17"/>
      <c r="R42" s="16"/>
      <c r="S42" s="16"/>
    </row>
    <row r="43" spans="1:19" ht="15" customHeight="1" x14ac:dyDescent="0.25">
      <c r="A43" s="8"/>
      <c r="B43" s="9" t="s">
        <v>67</v>
      </c>
      <c r="C43" s="18">
        <f>-4*2</f>
        <v>-8</v>
      </c>
      <c r="D43" s="19">
        <f>6/3.281</f>
        <v>1.8287107589149649</v>
      </c>
      <c r="E43" s="19"/>
      <c r="F43" s="19">
        <f>4.5/3.281</f>
        <v>1.3715330691862238</v>
      </c>
      <c r="G43" s="20">
        <f>PRODUCT(C43:F43)</f>
        <v>-20.065098238628082</v>
      </c>
      <c r="H43" s="21"/>
      <c r="I43" s="21"/>
      <c r="J43" s="21"/>
      <c r="K43" s="12"/>
      <c r="M43" s="16"/>
      <c r="N43" s="17"/>
      <c r="O43" s="17"/>
      <c r="P43" s="17"/>
      <c r="Q43" s="17"/>
      <c r="R43" s="16"/>
      <c r="S43" s="16"/>
    </row>
    <row r="44" spans="1:19" ht="15" customHeight="1" x14ac:dyDescent="0.25">
      <c r="A44" s="8"/>
      <c r="B44" s="9" t="s">
        <v>68</v>
      </c>
      <c r="C44" s="18">
        <f>-2*2</f>
        <v>-4</v>
      </c>
      <c r="D44" s="19">
        <f>3/3.281</f>
        <v>0.91435537945748246</v>
      </c>
      <c r="E44" s="19"/>
      <c r="F44" s="19">
        <f>7/3.281</f>
        <v>2.1334958854007922</v>
      </c>
      <c r="G44" s="20">
        <f>PRODUCT(C44:F44)</f>
        <v>-7.8030937594664751</v>
      </c>
      <c r="H44" s="21"/>
      <c r="I44" s="21"/>
      <c r="J44" s="21"/>
      <c r="K44" s="12"/>
      <c r="M44" s="16"/>
      <c r="N44" s="17"/>
      <c r="O44" s="17"/>
      <c r="P44" s="17"/>
      <c r="Q44" s="17"/>
      <c r="R44" s="16"/>
      <c r="S44" s="16"/>
    </row>
    <row r="45" spans="1:19" ht="15" customHeight="1" x14ac:dyDescent="0.25">
      <c r="A45" s="8"/>
      <c r="B45" s="9" t="s">
        <v>18</v>
      </c>
      <c r="C45" s="18"/>
      <c r="D45" s="19"/>
      <c r="E45" s="19"/>
      <c r="F45" s="19"/>
      <c r="G45" s="31">
        <f>SUM(G38:G44)</f>
        <v>73.35150800190543</v>
      </c>
      <c r="H45" s="21" t="s">
        <v>54</v>
      </c>
      <c r="I45" s="21">
        <v>405.86</v>
      </c>
      <c r="J45" s="26">
        <f>G45*I45</f>
        <v>29770.443037653338</v>
      </c>
      <c r="K45" s="12"/>
      <c r="M45" s="16"/>
      <c r="N45" s="17"/>
      <c r="O45" s="17"/>
      <c r="P45" s="17"/>
      <c r="Q45" s="17"/>
      <c r="R45" s="16"/>
      <c r="S45" s="16"/>
    </row>
    <row r="46" spans="1:19" ht="15" hidden="1" customHeight="1" x14ac:dyDescent="0.25">
      <c r="A46" s="8"/>
      <c r="B46" s="9" t="s">
        <v>20</v>
      </c>
      <c r="C46" s="18"/>
      <c r="D46" s="19"/>
      <c r="E46" s="19"/>
      <c r="F46" s="19"/>
      <c r="G46" s="20"/>
      <c r="H46" s="21"/>
      <c r="I46" s="21"/>
      <c r="J46" s="26">
        <f>0.13*G45*(11166.2/100)</f>
        <v>1064.7748912461393</v>
      </c>
      <c r="K46" s="12"/>
      <c r="M46" s="16"/>
      <c r="N46" s="17"/>
      <c r="O46" s="17"/>
      <c r="P46" s="17"/>
      <c r="Q46" s="17"/>
      <c r="R46" s="16"/>
      <c r="S46" s="16"/>
    </row>
    <row r="47" spans="1:19" ht="15" customHeight="1" x14ac:dyDescent="0.25">
      <c r="A47" s="21"/>
      <c r="B47" s="9"/>
      <c r="C47" s="22"/>
      <c r="D47" s="23"/>
      <c r="E47" s="23"/>
      <c r="F47" s="23"/>
      <c r="G47" s="23"/>
      <c r="H47" s="23"/>
      <c r="I47" s="23"/>
      <c r="J47" s="26"/>
      <c r="K47" s="18"/>
    </row>
    <row r="48" spans="1:19" ht="15" customHeight="1" x14ac:dyDescent="0.25">
      <c r="A48" s="8">
        <v>6</v>
      </c>
      <c r="B48" s="7" t="s">
        <v>21</v>
      </c>
      <c r="C48" s="10">
        <v>1</v>
      </c>
      <c r="D48" s="11"/>
      <c r="E48" s="12"/>
      <c r="F48" s="12"/>
      <c r="G48" s="31">
        <f t="shared" ref="G48" si="10">PRODUCT(C48:F48)</f>
        <v>1</v>
      </c>
      <c r="H48" s="14" t="s">
        <v>22</v>
      </c>
      <c r="I48" s="13">
        <v>500</v>
      </c>
      <c r="J48" s="31">
        <f>G48*I48</f>
        <v>500</v>
      </c>
      <c r="K48" s="12"/>
      <c r="M48" s="16"/>
      <c r="N48" s="17"/>
      <c r="O48" s="17"/>
      <c r="P48" s="17"/>
      <c r="Q48" s="17"/>
      <c r="R48" s="16"/>
      <c r="S48" s="16"/>
    </row>
    <row r="49" spans="1:19" ht="11.25" customHeight="1" x14ac:dyDescent="0.25">
      <c r="A49" s="8"/>
      <c r="B49" s="30"/>
      <c r="C49" s="10"/>
      <c r="D49" s="11"/>
      <c r="E49" s="12"/>
      <c r="F49" s="12"/>
      <c r="G49" s="13"/>
      <c r="H49" s="14"/>
      <c r="I49" s="13"/>
      <c r="J49" s="15"/>
      <c r="K49" s="12"/>
      <c r="M49" s="16"/>
      <c r="N49" s="17"/>
      <c r="O49" s="17"/>
      <c r="P49" s="17"/>
      <c r="Q49" s="17"/>
      <c r="R49" s="16"/>
      <c r="S49" s="16"/>
    </row>
    <row r="50" spans="1:19" x14ac:dyDescent="0.25">
      <c r="A50" s="21"/>
      <c r="B50" s="41" t="s">
        <v>29</v>
      </c>
      <c r="C50" s="42"/>
      <c r="D50" s="19"/>
      <c r="E50" s="19"/>
      <c r="F50" s="19"/>
      <c r="G50" s="15"/>
      <c r="H50" s="15"/>
      <c r="I50" s="15"/>
      <c r="J50" s="15">
        <f>SUM(J10:J48)</f>
        <v>228229.2890540208</v>
      </c>
      <c r="K50" s="18"/>
    </row>
    <row r="52" spans="1:19" s="17" customFormat="1" hidden="1" x14ac:dyDescent="0.25">
      <c r="A52" s="32"/>
      <c r="B52" s="28" t="s">
        <v>23</v>
      </c>
      <c r="C52" s="65">
        <f>J50</f>
        <v>228229.2890540208</v>
      </c>
      <c r="D52" s="65"/>
      <c r="E52" s="20">
        <v>100</v>
      </c>
      <c r="F52" s="33"/>
      <c r="G52" s="34"/>
      <c r="H52" s="33"/>
      <c r="I52" s="35"/>
      <c r="J52" s="36"/>
      <c r="K52" s="37"/>
    </row>
    <row r="53" spans="1:19" hidden="1" x14ac:dyDescent="0.25">
      <c r="A53" s="38"/>
      <c r="B53" s="28" t="s">
        <v>24</v>
      </c>
      <c r="C53" s="68">
        <v>200000</v>
      </c>
      <c r="D53" s="68"/>
      <c r="E53" s="20"/>
      <c r="F53" s="39"/>
      <c r="G53" s="40"/>
      <c r="H53" s="40"/>
      <c r="I53" s="40"/>
      <c r="J53" s="40"/>
      <c r="K53" s="39"/>
    </row>
    <row r="54" spans="1:19" hidden="1" x14ac:dyDescent="0.25">
      <c r="A54" s="38"/>
      <c r="B54" s="28" t="s">
        <v>25</v>
      </c>
      <c r="C54" s="68">
        <f>C53-C56-C57</f>
        <v>190000</v>
      </c>
      <c r="D54" s="68"/>
      <c r="E54" s="20">
        <f>C54/C52*100</f>
        <v>83.249613048142962</v>
      </c>
      <c r="F54" s="39"/>
      <c r="G54" s="40"/>
      <c r="H54" s="40"/>
      <c r="I54" s="40"/>
      <c r="J54" s="40"/>
      <c r="K54" s="39"/>
    </row>
    <row r="55" spans="1:19" hidden="1" x14ac:dyDescent="0.25">
      <c r="A55" s="38"/>
      <c r="B55" s="28" t="s">
        <v>26</v>
      </c>
      <c r="C55" s="65">
        <f>C52-C54</f>
        <v>38229.289054020803</v>
      </c>
      <c r="D55" s="65"/>
      <c r="E55" s="20">
        <f>100-E54</f>
        <v>16.750386951857038</v>
      </c>
      <c r="F55" s="39"/>
      <c r="G55" s="40"/>
      <c r="H55" s="40"/>
      <c r="I55" s="40"/>
      <c r="J55" s="40"/>
      <c r="K55" s="39"/>
    </row>
    <row r="56" spans="1:19" hidden="1" x14ac:dyDescent="0.25">
      <c r="A56" s="38"/>
      <c r="B56" s="28" t="s">
        <v>27</v>
      </c>
      <c r="C56" s="65">
        <f>C53*0.03</f>
        <v>6000</v>
      </c>
      <c r="D56" s="65"/>
      <c r="E56" s="20">
        <v>3</v>
      </c>
      <c r="F56" s="39"/>
      <c r="G56" s="40"/>
      <c r="H56" s="40"/>
      <c r="I56" s="40"/>
      <c r="J56" s="40"/>
      <c r="K56" s="39"/>
    </row>
    <row r="57" spans="1:19" hidden="1" x14ac:dyDescent="0.25">
      <c r="A57" s="38"/>
      <c r="B57" s="28" t="s">
        <v>28</v>
      </c>
      <c r="C57" s="65">
        <f>C53*0.02</f>
        <v>4000</v>
      </c>
      <c r="D57" s="65"/>
      <c r="E57" s="20">
        <v>2</v>
      </c>
      <c r="F57" s="39"/>
      <c r="G57" s="40"/>
      <c r="H57" s="40"/>
      <c r="I57" s="40"/>
      <c r="J57" s="40"/>
      <c r="K57" s="39"/>
    </row>
  </sheetData>
  <mergeCells count="15">
    <mergeCell ref="A6:F6"/>
    <mergeCell ref="H6:K6"/>
    <mergeCell ref="A1:K1"/>
    <mergeCell ref="A2:K2"/>
    <mergeCell ref="A3:K3"/>
    <mergeCell ref="A4:K4"/>
    <mergeCell ref="A5:K5"/>
    <mergeCell ref="C56:D56"/>
    <mergeCell ref="C57:D57"/>
    <mergeCell ref="A7:F7"/>
    <mergeCell ref="H7:K7"/>
    <mergeCell ref="C52:D52"/>
    <mergeCell ref="C53:D53"/>
    <mergeCell ref="C54:D54"/>
    <mergeCell ref="C55:D55"/>
  </mergeCells>
  <pageMargins left="0.7" right="0.7" top="0.75" bottom="0.75" header="0.3" footer="0.3"/>
  <pageSetup paperSize="9" scale="80" orientation="portrait" verticalDpi="0"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Estimate</vt:lpstr>
      <vt:lpstr>WCR</vt:lpstr>
      <vt:lpstr>Valuation</vt:lpstr>
      <vt:lpstr>Measure</vt:lpstr>
      <vt:lpstr>Measure!Print_Area</vt:lpstr>
      <vt:lpstr>Valuation!Print_Area</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2025-02-06T10:08:58Z</dcterms:modified>
</cp:coreProperties>
</file>