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परोपकार भवन मर्मत\"/>
    </mc:Choice>
  </mc:AlternateContent>
  <bookViews>
    <workbookView xWindow="-120" yWindow="-120" windowWidth="20736" windowHeight="11160" activeTab="1"/>
  </bookViews>
  <sheets>
    <sheet name="backyard" sheetId="22" r:id="rId1"/>
    <sheet name="WCR" sheetId="6" r:id="rId2"/>
    <sheet name="rate analysis" sheetId="18" state="hidden" r:id="rId3"/>
    <sheet name="V" sheetId="23" r:id="rId4"/>
  </sheets>
  <externalReferences>
    <externalReference r:id="rId5"/>
    <externalReference r:id="rId6"/>
    <externalReference r:id="rId7"/>
    <externalReference r:id="rId8"/>
    <externalReference r:id="rId9"/>
    <externalReference r:id="rId10"/>
    <externalReference r:id="rId11"/>
  </externalReferences>
  <definedNames>
    <definedName name="_cgi24">'[1]update Rate'!$N$95</definedName>
    <definedName name="_cgi26">'[1]update Rate'!$N$97</definedName>
    <definedName name="adopted_rate_diesel">'[2]Material rate'!$L$33</definedName>
    <definedName name="awood">'[1]update Rate'!$N$53</definedName>
    <definedName name="bmarble" localSheetId="0">'[1]update Rate'!#REF!</definedName>
    <definedName name="bmarble" localSheetId="2">'[1]update Rate'!#REF!</definedName>
    <definedName name="bmarble" localSheetId="3">'[1]update Rate'!#REF!</definedName>
    <definedName name="bmarble">'[1]update Rate'!#REF!</definedName>
    <definedName name="cheskini100">'[1]update Rate'!$N$64</definedName>
    <definedName name="cheskini150">'[1]update Rate'!$N$65</definedName>
    <definedName name="cheskini300">'[1]update Rate'!$N$66</definedName>
    <definedName name="description_103">[3]Abstract!$B$16</definedName>
    <definedName name="description_124" localSheetId="0">#REF!</definedName>
    <definedName name="description_124" localSheetId="3">#REF!</definedName>
    <definedName name="description_124">#REF!</definedName>
    <definedName name="description_247">[3]Abstract!$B$22</definedName>
    <definedName name="description_248">[3]Abstract!$B$23</definedName>
    <definedName name="description_261">[4]Abstract!$B$33</definedName>
    <definedName name="description_262">[3]Abstract!$B$34</definedName>
    <definedName name="description_3">[3]Abstract!$B$169</definedName>
    <definedName name="description_310">[5]Abstract!$B$60</definedName>
    <definedName name="description_312">[6]Abstract!$B$61</definedName>
    <definedName name="description_5">[3]Abstract!$B$171</definedName>
    <definedName name="description_6">[5]Abstract!$B$172</definedName>
    <definedName name="description_759">[3]Abstract!$B$278</definedName>
    <definedName name="description_783">[3]Abstract!$B$301</definedName>
    <definedName name="Diagowar">'[1]update Rate'!$N$189</definedName>
    <definedName name="diesel">'[2]Material rate'!$D$33</definedName>
    <definedName name="electricity">'[2]Material rate'!$D$36</definedName>
    <definedName name="giwar">'[1]update Rate'!$N$188</definedName>
    <definedName name="giwire">'[1]update Rate'!$N$49</definedName>
    <definedName name="giwire24">'[1]update Rate'!$N$50</definedName>
    <definedName name="glass4">'[1]update Rate'!$N$88</definedName>
    <definedName name="glass5">'[1]update Rate'!$N$89</definedName>
    <definedName name="holpass">'[1]update Rate'!$N$61</definedName>
    <definedName name="Jparling">'[1]update Rate'!$N$93</definedName>
    <definedName name="jphalak">'[1]update Rate'!$N$57</definedName>
    <definedName name="Jwarling">'[1]update Rate'!$N$94</definedName>
    <definedName name="Jwood">'[1]update Rate'!$N$55</definedName>
    <definedName name="jyami" localSheetId="0">'[1]update Rate'!#REF!,'[1]update Rate'!#REF!,'[1]update Rate'!#REF!,'[1]update Rate'!#REF!,'[1]update Rate'!#REF!</definedName>
    <definedName name="jyami" localSheetId="2">'[1]update Rate'!#REF!,'[1]update Rate'!#REF!,'[1]update Rate'!#REF!,'[1]update Rate'!#REF!,'[1]update Rate'!#REF!</definedName>
    <definedName name="jyami" localSheetId="3">'[1]update Rate'!#REF!,'[1]update Rate'!#REF!,'[1]update Rate'!#REF!,'[1]update Rate'!#REF!,'[1]update Rate'!#REF!</definedName>
    <definedName name="jyami">'[1]update Rate'!#REF!,'[1]update Rate'!#REF!,'[1]update Rate'!#REF!,'[1]update Rate'!#REF!,'[1]update Rate'!#REF!</definedName>
    <definedName name="Kabja100">'[1]update Rate'!$N$62</definedName>
    <definedName name="kabja75">'[1]update Rate'!$N$63</definedName>
    <definedName name="kila">'[1]update Rate'!$N$58</definedName>
    <definedName name="Labour" localSheetId="0">'[1]Update Descrip'!$F$7,'[1]Update Descrip'!#REF!,'[1]Update Descrip'!$F$28,'[1]Update Descrip'!$F$40,'[1]Update Descrip'!$F$49,'[1]Update Descrip'!$F$61,'[1]Update Descrip'!#REF!,'[1]Update Descrip'!$F$117,'[1]Update Descrip'!$F$129,'[1]Update Descrip'!$F$141</definedName>
    <definedName name="Labour" localSheetId="2">'[1]Update Descrip'!$F$7,'[1]Update Descrip'!#REF!,'[1]Update Descrip'!$F$28,'[1]Update Descrip'!$F$40,'[1]Update Descrip'!$F$49,'[1]Update Descrip'!$F$61,'[1]Update Descrip'!#REF!,'[1]Update Descrip'!$F$117,'[1]Update Descrip'!$F$129,'[1]Update Descrip'!$F$141</definedName>
    <definedName name="Labour" localSheetId="3">'[1]Update Descrip'!$F$7,'[1]Update Descrip'!#REF!,'[1]Update Descrip'!$F$28,'[1]Update Descrip'!$F$40,'[1]Update Descrip'!$F$49,'[1]Update Descrip'!$F$61,'[1]Update Descrip'!#REF!,'[1]Update Descrip'!$F$117,'[1]Update Descrip'!$F$129,'[1]Update Descrip'!$F$141</definedName>
    <definedName name="Labour">'[1]Update Descrip'!$F$7,'[1]Update Descrip'!#REF!,'[1]Update Descrip'!$F$28,'[1]Update Descrip'!$F$40,'[1]Update Descrip'!$F$49,'[1]Update Descrip'!$F$61,'[1]Update Descrip'!#REF!,'[1]Update Descrip'!$F$117,'[1]Update Descrip'!$F$129,'[1]Update Descrip'!$F$141</definedName>
    <definedName name="lucking300">'[1]update Rate'!$N$67</definedName>
    <definedName name="Marble">'[1]update Rate'!$N$41</definedName>
    <definedName name="mason">'[1]update Rate'!$N$6</definedName>
    <definedName name="moluck">'[1]update Rate'!$N$68</definedName>
    <definedName name="nutbolt" localSheetId="0">'[1]update Rate'!#REF!</definedName>
    <definedName name="nutbolt" localSheetId="2">'[1]update Rate'!#REF!</definedName>
    <definedName name="nutbolt" localSheetId="3">'[1]update Rate'!#REF!</definedName>
    <definedName name="nutbolt">'[1]update Rate'!#REF!</definedName>
    <definedName name="nutbolt8" localSheetId="0">'[1]update Rate'!#REF!</definedName>
    <definedName name="nutbolt8" localSheetId="2">'[1]update Rate'!#REF!</definedName>
    <definedName name="nutbolt8" localSheetId="3">'[1]update Rate'!#REF!</definedName>
    <definedName name="nutbolt8">'[1]update Rate'!#REF!</definedName>
    <definedName name="pkila">'[1]update Rate'!$N$60</definedName>
    <definedName name="Planst" localSheetId="0">'[1]update Rate'!#REF!</definedName>
    <definedName name="Planst" localSheetId="2">'[1]update Rate'!#REF!</definedName>
    <definedName name="Planst" localSheetId="3">'[1]update Rate'!#REF!</definedName>
    <definedName name="Planst">'[1]update Rate'!#REF!</definedName>
    <definedName name="plywood4">'[1]update Rate'!$N$69</definedName>
    <definedName name="plywood6">'[1]update Rate'!$N$71</definedName>
    <definedName name="_xlnm.Print_Area" localSheetId="0">backyard!$A$1:$K$154</definedName>
    <definedName name="_xlnm.Print_Area" localSheetId="3">V!$A$1:$K$217</definedName>
    <definedName name="_xlnm.Print_Titles" localSheetId="0">backyard!$1:$8</definedName>
    <definedName name="_xlnm.Print_Titles" localSheetId="3">V!$1:$8</definedName>
    <definedName name="_xlnm.Print_Titles" localSheetId="1">WCR!$1:$12</definedName>
    <definedName name="shandle">'[1]update Rate'!$N$92</definedName>
    <definedName name="skilled">'[2]Material rate'!$D$146</definedName>
    <definedName name="Swood">'[1]update Rate'!$N$56</definedName>
    <definedName name="Tikply4">'[1]update Rate'!$N$83</definedName>
    <definedName name="tikwood4" localSheetId="0">'[1]update Rate'!#REF!</definedName>
    <definedName name="tikwood4" localSheetId="2">'[1]update Rate'!#REF!</definedName>
    <definedName name="tikwood4" localSheetId="3">'[1]update Rate'!#REF!</definedName>
    <definedName name="tikwood4">'[1]update Rate'!#REF!</definedName>
    <definedName name="torsteel" localSheetId="0">'[1]update Rate'!#REF!</definedName>
    <definedName name="torsteel" localSheetId="2">'[1]update Rate'!#REF!</definedName>
    <definedName name="torsteel" localSheetId="3">'[1]update Rate'!#REF!</definedName>
    <definedName name="torsteel">'[1]update Rate'!#REF!</definedName>
    <definedName name="Ttile">'[1]update Rate'!$N$43</definedName>
    <definedName name="unskilled">'[2]Material rate'!$D$154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98" i="23" l="1"/>
  <c r="D196" i="23"/>
  <c r="D195" i="23"/>
  <c r="D193" i="23"/>
  <c r="G175" i="23" l="1"/>
  <c r="D60" i="23"/>
  <c r="D61" i="23"/>
  <c r="G61" i="23" s="1"/>
  <c r="B60" i="23"/>
  <c r="G60" i="23"/>
  <c r="D202" i="23"/>
  <c r="G202" i="23" s="1"/>
  <c r="D174" i="23"/>
  <c r="E83" i="23"/>
  <c r="D83" i="23"/>
  <c r="C83" i="23"/>
  <c r="B83" i="23"/>
  <c r="G73" i="23"/>
  <c r="G82" i="23"/>
  <c r="F173" i="23"/>
  <c r="G83" i="23" l="1"/>
  <c r="C128" i="23"/>
  <c r="C138" i="23"/>
  <c r="M128" i="23"/>
  <c r="D128" i="23"/>
  <c r="D181" i="23"/>
  <c r="C172" i="23"/>
  <c r="C137" i="23" l="1"/>
  <c r="D138" i="23"/>
  <c r="C139" i="23"/>
  <c r="D141" i="23"/>
  <c r="F141" i="23" s="1"/>
  <c r="G141" i="23" s="1"/>
  <c r="C141" i="23"/>
  <c r="D54" i="23"/>
  <c r="G114" i="23" l="1"/>
  <c r="G170" i="23" l="1"/>
  <c r="G171" i="23"/>
  <c r="G174" i="23"/>
  <c r="D173" i="23"/>
  <c r="G173" i="23" s="1"/>
  <c r="G172" i="23"/>
  <c r="D169" i="23"/>
  <c r="G169" i="23" s="1"/>
  <c r="F168" i="23"/>
  <c r="D168" i="23"/>
  <c r="G168" i="23" s="1"/>
  <c r="F167" i="23"/>
  <c r="D167" i="23"/>
  <c r="G167" i="23" s="1"/>
  <c r="D166" i="23"/>
  <c r="G166" i="23" s="1"/>
  <c r="D165" i="23"/>
  <c r="G165" i="23" s="1"/>
  <c r="F164" i="23"/>
  <c r="D164" i="23"/>
  <c r="F163" i="23"/>
  <c r="D163" i="23"/>
  <c r="F162" i="23"/>
  <c r="D162" i="23"/>
  <c r="F161" i="23"/>
  <c r="D161" i="23"/>
  <c r="D160" i="23"/>
  <c r="F159" i="23"/>
  <c r="D159" i="23"/>
  <c r="F157" i="23"/>
  <c r="F156" i="23"/>
  <c r="F155" i="23"/>
  <c r="F154" i="23"/>
  <c r="F153" i="23"/>
  <c r="F152" i="23"/>
  <c r="F151" i="23"/>
  <c r="F150" i="23"/>
  <c r="F149" i="23"/>
  <c r="F148" i="23"/>
  <c r="F147" i="23"/>
  <c r="F146" i="23"/>
  <c r="F20" i="23"/>
  <c r="D158" i="23"/>
  <c r="G158" i="23" s="1"/>
  <c r="D157" i="23"/>
  <c r="D156" i="23"/>
  <c r="D155" i="23"/>
  <c r="D154" i="23"/>
  <c r="D153" i="23"/>
  <c r="D152" i="23"/>
  <c r="D151" i="23"/>
  <c r="D150" i="23"/>
  <c r="D149" i="23"/>
  <c r="D148" i="23"/>
  <c r="D147" i="23"/>
  <c r="N146" i="23"/>
  <c r="D146" i="23"/>
  <c r="D137" i="23"/>
  <c r="F137" i="23" s="1"/>
  <c r="G137" i="23" s="1"/>
  <c r="D135" i="23"/>
  <c r="F135" i="23" s="1"/>
  <c r="G135" i="23" s="1"/>
  <c r="D134" i="23"/>
  <c r="F133" i="23"/>
  <c r="G133" i="23" s="1"/>
  <c r="G36" i="23"/>
  <c r="G37" i="23"/>
  <c r="F130" i="23"/>
  <c r="G130" i="23" s="1"/>
  <c r="F131" i="23"/>
  <c r="G131" i="23" s="1"/>
  <c r="C110" i="23"/>
  <c r="G110" i="23" s="1"/>
  <c r="C111" i="23"/>
  <c r="G111" i="23" s="1"/>
  <c r="C112" i="23"/>
  <c r="G112" i="23" s="1"/>
  <c r="C113" i="23"/>
  <c r="G113" i="23" s="1"/>
  <c r="C109" i="23"/>
  <c r="G109" i="23" s="1"/>
  <c r="C108" i="23"/>
  <c r="G108" i="23" s="1"/>
  <c r="C107" i="23"/>
  <c r="G107" i="23" s="1"/>
  <c r="C106" i="23"/>
  <c r="H65" i="6"/>
  <c r="H67" i="6"/>
  <c r="H69" i="6"/>
  <c r="E69" i="6"/>
  <c r="C69" i="6"/>
  <c r="E67" i="6"/>
  <c r="C67" i="6"/>
  <c r="E65" i="6"/>
  <c r="C65" i="6"/>
  <c r="B69" i="6"/>
  <c r="A69" i="6"/>
  <c r="B67" i="6"/>
  <c r="A67" i="6"/>
  <c r="B65" i="6"/>
  <c r="A65" i="6"/>
  <c r="C62" i="6"/>
  <c r="B63" i="6"/>
  <c r="B62" i="6"/>
  <c r="A62" i="6"/>
  <c r="H59" i="6"/>
  <c r="E59" i="6"/>
  <c r="C59" i="6"/>
  <c r="A59" i="6"/>
  <c r="H56" i="6"/>
  <c r="E56" i="6"/>
  <c r="C56" i="6"/>
  <c r="B57" i="6"/>
  <c r="B56" i="6"/>
  <c r="A56" i="6"/>
  <c r="H53" i="6"/>
  <c r="E53" i="6"/>
  <c r="C53" i="6"/>
  <c r="B54" i="6"/>
  <c r="B53" i="6"/>
  <c r="A53" i="6"/>
  <c r="H50" i="6"/>
  <c r="E50" i="6"/>
  <c r="C50" i="6"/>
  <c r="B51" i="6"/>
  <c r="B50" i="6"/>
  <c r="A50" i="6"/>
  <c r="H47" i="6"/>
  <c r="E47" i="6"/>
  <c r="C47" i="6"/>
  <c r="B48" i="6"/>
  <c r="B47" i="6"/>
  <c r="A47" i="6"/>
  <c r="C44" i="6"/>
  <c r="B45" i="6"/>
  <c r="B44" i="6"/>
  <c r="A44" i="6"/>
  <c r="H41" i="6"/>
  <c r="E41" i="6"/>
  <c r="C41" i="6"/>
  <c r="B42" i="6"/>
  <c r="B41" i="6"/>
  <c r="A41" i="6"/>
  <c r="H38" i="6"/>
  <c r="E38" i="6"/>
  <c r="C38" i="6"/>
  <c r="B39" i="6"/>
  <c r="A38" i="6"/>
  <c r="H35" i="6"/>
  <c r="E35" i="6"/>
  <c r="C35" i="6"/>
  <c r="B36" i="6"/>
  <c r="B35" i="6"/>
  <c r="A35" i="6"/>
  <c r="H32" i="6"/>
  <c r="E32" i="6"/>
  <c r="C32" i="6"/>
  <c r="B33" i="6"/>
  <c r="B32" i="6"/>
  <c r="A32" i="6"/>
  <c r="H30" i="6"/>
  <c r="E30" i="6"/>
  <c r="C30" i="6"/>
  <c r="B30" i="6"/>
  <c r="A30" i="6"/>
  <c r="H27" i="6"/>
  <c r="E27" i="6"/>
  <c r="C27" i="6"/>
  <c r="B28" i="6"/>
  <c r="B27" i="6"/>
  <c r="A27" i="6"/>
  <c r="H24" i="6"/>
  <c r="E24" i="6"/>
  <c r="C24" i="6"/>
  <c r="B25" i="6"/>
  <c r="B24" i="6"/>
  <c r="A24" i="6"/>
  <c r="H21" i="6"/>
  <c r="E21" i="6"/>
  <c r="C21" i="6"/>
  <c r="B22" i="6"/>
  <c r="B21" i="6"/>
  <c r="A21" i="6"/>
  <c r="H18" i="6"/>
  <c r="E18" i="6"/>
  <c r="C18" i="6"/>
  <c r="B19" i="6"/>
  <c r="B18" i="6"/>
  <c r="A18" i="6"/>
  <c r="H15" i="6"/>
  <c r="E15" i="6"/>
  <c r="C15" i="6"/>
  <c r="B16" i="6"/>
  <c r="B15" i="6"/>
  <c r="A15" i="6"/>
  <c r="H13" i="6"/>
  <c r="E13" i="6"/>
  <c r="C13" i="6"/>
  <c r="B13" i="6"/>
  <c r="A13" i="6"/>
  <c r="D186" i="23"/>
  <c r="D187" i="23"/>
  <c r="M188" i="23"/>
  <c r="G188" i="23" s="1"/>
  <c r="G161" i="23" l="1"/>
  <c r="G181" i="23" s="1"/>
  <c r="G163" i="23"/>
  <c r="G162" i="23"/>
  <c r="G164" i="23"/>
  <c r="G152" i="23"/>
  <c r="G150" i="23"/>
  <c r="G151" i="23"/>
  <c r="D136" i="23"/>
  <c r="F136" i="23" s="1"/>
  <c r="G136" i="23" s="1"/>
  <c r="G159" i="23"/>
  <c r="G147" i="23"/>
  <c r="G156" i="23"/>
  <c r="G153" i="23"/>
  <c r="G157" i="23"/>
  <c r="G155" i="23"/>
  <c r="G154" i="23"/>
  <c r="G149" i="23"/>
  <c r="G148" i="23"/>
  <c r="G146" i="23"/>
  <c r="D101" i="23"/>
  <c r="C100" i="23" s="1"/>
  <c r="D100" i="23"/>
  <c r="C101" i="23" s="1"/>
  <c r="D99" i="23"/>
  <c r="C98" i="23" s="1"/>
  <c r="D98" i="23"/>
  <c r="C99" i="23" s="1"/>
  <c r="D97" i="23"/>
  <c r="C96" i="23" s="1"/>
  <c r="D96" i="23"/>
  <c r="C97" i="23" s="1"/>
  <c r="E96" i="23"/>
  <c r="E97" i="23"/>
  <c r="E98" i="23"/>
  <c r="E99" i="23"/>
  <c r="D95" i="23"/>
  <c r="C94" i="23" s="1"/>
  <c r="D94" i="23"/>
  <c r="C95" i="23" s="1"/>
  <c r="D81" i="23"/>
  <c r="D80" i="23"/>
  <c r="C81" i="23"/>
  <c r="F31" i="23"/>
  <c r="F30" i="23"/>
  <c r="D31" i="23"/>
  <c r="D120" i="23"/>
  <c r="D121" i="23"/>
  <c r="D122" i="23"/>
  <c r="D119" i="23"/>
  <c r="G89" i="23"/>
  <c r="D88" i="23"/>
  <c r="E123" i="23"/>
  <c r="E203" i="23" s="1"/>
  <c r="D123" i="23"/>
  <c r="F35" i="23"/>
  <c r="F34" i="23"/>
  <c r="F33" i="23"/>
  <c r="F32" i="23"/>
  <c r="F29" i="23"/>
  <c r="F28" i="23"/>
  <c r="F27" i="23"/>
  <c r="F26" i="23"/>
  <c r="F25" i="23"/>
  <c r="F24" i="23"/>
  <c r="F23" i="23"/>
  <c r="F22" i="23"/>
  <c r="F21" i="23"/>
  <c r="F19" i="23"/>
  <c r="F18" i="23"/>
  <c r="E71" i="23"/>
  <c r="E79" i="23" s="1"/>
  <c r="D71" i="23"/>
  <c r="D66" i="23"/>
  <c r="D78" i="23" s="1"/>
  <c r="D30" i="23"/>
  <c r="D29" i="23"/>
  <c r="D28" i="23"/>
  <c r="D27" i="23"/>
  <c r="D26" i="23"/>
  <c r="D25" i="23"/>
  <c r="D22" i="23"/>
  <c r="D24" i="23"/>
  <c r="D23" i="23"/>
  <c r="D21" i="23"/>
  <c r="D20" i="23"/>
  <c r="G20" i="23" s="1"/>
  <c r="D19" i="23"/>
  <c r="D18" i="23"/>
  <c r="D35" i="23"/>
  <c r="D34" i="23"/>
  <c r="D33" i="23"/>
  <c r="D32" i="23"/>
  <c r="D10" i="23"/>
  <c r="F10" i="23"/>
  <c r="N10" i="23"/>
  <c r="F14" i="23"/>
  <c r="G14" i="23" s="1"/>
  <c r="F13" i="23"/>
  <c r="G13" i="23" s="1"/>
  <c r="F12" i="23"/>
  <c r="G12" i="23" s="1"/>
  <c r="F11" i="23"/>
  <c r="G11" i="23" s="1"/>
  <c r="C217" i="23"/>
  <c r="C216" i="23"/>
  <c r="G208" i="23"/>
  <c r="G206" i="23"/>
  <c r="B203" i="23"/>
  <c r="I198" i="23"/>
  <c r="H62" i="6" s="1"/>
  <c r="G197" i="23"/>
  <c r="G196" i="23"/>
  <c r="G194" i="23"/>
  <c r="G193" i="23"/>
  <c r="G187" i="23"/>
  <c r="D140" i="23"/>
  <c r="F138" i="23"/>
  <c r="G138" i="23" s="1"/>
  <c r="F134" i="23"/>
  <c r="G134" i="23" s="1"/>
  <c r="F132" i="23"/>
  <c r="G132" i="23" s="1"/>
  <c r="F129" i="23"/>
  <c r="G129" i="23" s="1"/>
  <c r="I115" i="23"/>
  <c r="H44" i="6" s="1"/>
  <c r="G106" i="23"/>
  <c r="G115" i="23" s="1"/>
  <c r="E101" i="23"/>
  <c r="E100" i="23"/>
  <c r="E95" i="23"/>
  <c r="E94" i="23"/>
  <c r="N92" i="23"/>
  <c r="E80" i="23"/>
  <c r="C80" i="23"/>
  <c r="B80" i="23"/>
  <c r="C79" i="23"/>
  <c r="B79" i="23"/>
  <c r="C72" i="23"/>
  <c r="B72" i="23"/>
  <c r="E78" i="23"/>
  <c r="C70" i="23"/>
  <c r="C78" i="23" s="1"/>
  <c r="B70" i="23"/>
  <c r="B78" i="23" s="1"/>
  <c r="N59" i="23"/>
  <c r="N54" i="23"/>
  <c r="G54" i="23"/>
  <c r="N49" i="23"/>
  <c r="E49" i="23"/>
  <c r="D49" i="23"/>
  <c r="E44" i="23"/>
  <c r="D44" i="23"/>
  <c r="N43" i="23"/>
  <c r="E43" i="23"/>
  <c r="D43" i="23"/>
  <c r="N42" i="23"/>
  <c r="E42" i="23"/>
  <c r="D42" i="23"/>
  <c r="N18" i="23"/>
  <c r="G55" i="23" l="1"/>
  <c r="G24" i="6" s="1"/>
  <c r="I24" i="6" s="1"/>
  <c r="G31" i="23"/>
  <c r="F96" i="23"/>
  <c r="G96" i="23" s="1"/>
  <c r="G22" i="23"/>
  <c r="G33" i="23"/>
  <c r="G30" i="23"/>
  <c r="F100" i="23"/>
  <c r="G100" i="23" s="1"/>
  <c r="J206" i="23"/>
  <c r="G67" i="6"/>
  <c r="I67" i="6" s="1"/>
  <c r="F139" i="23"/>
  <c r="G139" i="23" s="1"/>
  <c r="F128" i="23"/>
  <c r="G128" i="23" s="1"/>
  <c r="J208" i="23"/>
  <c r="G69" i="6"/>
  <c r="F99" i="23"/>
  <c r="G99" i="23" s="1"/>
  <c r="M120" i="23"/>
  <c r="G120" i="23"/>
  <c r="G122" i="23"/>
  <c r="G26" i="23"/>
  <c r="G28" i="23"/>
  <c r="G29" i="23"/>
  <c r="G34" i="23"/>
  <c r="G121" i="23"/>
  <c r="G81" i="23"/>
  <c r="F98" i="23"/>
  <c r="G98" i="23" s="1"/>
  <c r="F97" i="23"/>
  <c r="G97" i="23" s="1"/>
  <c r="G42" i="23"/>
  <c r="G21" i="23"/>
  <c r="G123" i="23"/>
  <c r="G23" i="23"/>
  <c r="G32" i="23"/>
  <c r="G25" i="23"/>
  <c r="F95" i="23"/>
  <c r="G95" i="23" s="1"/>
  <c r="G35" i="23"/>
  <c r="D59" i="23"/>
  <c r="G59" i="23" s="1"/>
  <c r="G62" i="23" s="1"/>
  <c r="G19" i="23"/>
  <c r="G24" i="23"/>
  <c r="G27" i="23"/>
  <c r="D203" i="23"/>
  <c r="G203" i="23" s="1"/>
  <c r="G204" i="23" s="1"/>
  <c r="G71" i="23"/>
  <c r="G195" i="23"/>
  <c r="G72" i="23"/>
  <c r="F101" i="23"/>
  <c r="G101" i="23" s="1"/>
  <c r="C214" i="23"/>
  <c r="G10" i="23"/>
  <c r="G15" i="23" s="1"/>
  <c r="G49" i="23"/>
  <c r="G50" i="23" s="1"/>
  <c r="F94" i="23"/>
  <c r="G94" i="23" s="1"/>
  <c r="G186" i="23"/>
  <c r="G189" i="23" s="1"/>
  <c r="D79" i="23"/>
  <c r="G160" i="23" s="1"/>
  <c r="G176" i="23" s="1"/>
  <c r="G43" i="23"/>
  <c r="G119" i="23"/>
  <c r="G44" i="23"/>
  <c r="G18" i="23"/>
  <c r="G80" i="23"/>
  <c r="G88" i="23"/>
  <c r="D125" i="22"/>
  <c r="G125" i="22" s="1"/>
  <c r="F96" i="22"/>
  <c r="G96" i="22" s="1"/>
  <c r="J55" i="23" l="1"/>
  <c r="G124" i="23"/>
  <c r="G102" i="23"/>
  <c r="G90" i="23"/>
  <c r="G38" i="6" s="1"/>
  <c r="I38" i="6" s="1"/>
  <c r="J56" i="23"/>
  <c r="I25" i="6" s="1"/>
  <c r="G62" i="6"/>
  <c r="I62" i="6" s="1"/>
  <c r="J62" i="23"/>
  <c r="J63" i="23" s="1"/>
  <c r="I28" i="6" s="1"/>
  <c r="G27" i="6"/>
  <c r="I27" i="6" s="1"/>
  <c r="G38" i="23"/>
  <c r="J51" i="23"/>
  <c r="I22" i="6" s="1"/>
  <c r="G21" i="6"/>
  <c r="I21" i="6" s="1"/>
  <c r="J115" i="23"/>
  <c r="G44" i="6"/>
  <c r="I44" i="6" s="1"/>
  <c r="G41" i="6"/>
  <c r="I41" i="6" s="1"/>
  <c r="J15" i="23"/>
  <c r="G13" i="6"/>
  <c r="F140" i="23"/>
  <c r="G140" i="23" s="1"/>
  <c r="G142" i="23" s="1"/>
  <c r="J198" i="23"/>
  <c r="J199" i="23" s="1"/>
  <c r="I63" i="6" s="1"/>
  <c r="G79" i="23"/>
  <c r="J116" i="23"/>
  <c r="I45" i="6" s="1"/>
  <c r="J50" i="23"/>
  <c r="G45" i="23"/>
  <c r="G66" i="23"/>
  <c r="G67" i="23" s="1"/>
  <c r="D70" i="23"/>
  <c r="J91" i="23"/>
  <c r="I39" i="6" s="1"/>
  <c r="D95" i="22"/>
  <c r="F95" i="22" s="1"/>
  <c r="G95" i="22" s="1"/>
  <c r="B95" i="22"/>
  <c r="B125" i="22" s="1"/>
  <c r="D92" i="22"/>
  <c r="F92" i="22" s="1"/>
  <c r="G92" i="22" s="1"/>
  <c r="C154" i="22"/>
  <c r="C153" i="22"/>
  <c r="G145" i="22"/>
  <c r="G143" i="22"/>
  <c r="E140" i="22"/>
  <c r="D140" i="22"/>
  <c r="B140" i="22"/>
  <c r="I135" i="22"/>
  <c r="E62" i="6" s="1"/>
  <c r="E134" i="22"/>
  <c r="G134" i="22" s="1"/>
  <c r="E133" i="22"/>
  <c r="G133" i="22" s="1"/>
  <c r="E132" i="22"/>
  <c r="D132" i="22"/>
  <c r="F131" i="22"/>
  <c r="G131" i="22" s="1"/>
  <c r="F130" i="22"/>
  <c r="G130" i="22" s="1"/>
  <c r="E124" i="22"/>
  <c r="D124" i="22"/>
  <c r="G124" i="22" s="1"/>
  <c r="G126" i="22" s="1"/>
  <c r="D59" i="6" s="1"/>
  <c r="F59" i="6" s="1"/>
  <c r="C114" i="22"/>
  <c r="B114" i="22"/>
  <c r="D112" i="22"/>
  <c r="G112" i="22" s="1"/>
  <c r="F111" i="22"/>
  <c r="D111" i="22"/>
  <c r="F110" i="22"/>
  <c r="D110" i="22"/>
  <c r="D109" i="22"/>
  <c r="G109" i="22" s="1"/>
  <c r="F108" i="22"/>
  <c r="G108" i="22" s="1"/>
  <c r="D107" i="22"/>
  <c r="G107" i="22" s="1"/>
  <c r="D106" i="22"/>
  <c r="G106" i="22" s="1"/>
  <c r="F105" i="22"/>
  <c r="D105" i="22"/>
  <c r="G105" i="22" s="1"/>
  <c r="D104" i="22"/>
  <c r="G104" i="22" s="1"/>
  <c r="D99" i="22"/>
  <c r="F98" i="22"/>
  <c r="G98" i="22" s="1"/>
  <c r="D98" i="22"/>
  <c r="D97" i="22"/>
  <c r="F97" i="22" s="1"/>
  <c r="G97" i="22" s="1"/>
  <c r="D94" i="22"/>
  <c r="F94" i="22" s="1"/>
  <c r="G94" i="22" s="1"/>
  <c r="D93" i="22"/>
  <c r="F93" i="22" s="1"/>
  <c r="G93" i="22" s="1"/>
  <c r="D91" i="22"/>
  <c r="F91" i="22" s="1"/>
  <c r="G91" i="22" s="1"/>
  <c r="D90" i="22"/>
  <c r="C90" i="22"/>
  <c r="C99" i="22" s="1"/>
  <c r="F99" i="22" s="1"/>
  <c r="G99" i="22" s="1"/>
  <c r="D89" i="22"/>
  <c r="F89" i="22" s="1"/>
  <c r="G89" i="22" s="1"/>
  <c r="D88" i="22"/>
  <c r="F88" i="22" s="1"/>
  <c r="G88" i="22" s="1"/>
  <c r="G83" i="22"/>
  <c r="E82" i="22"/>
  <c r="G82" i="22" s="1"/>
  <c r="E81" i="22"/>
  <c r="N80" i="22"/>
  <c r="I77" i="22"/>
  <c r="E44" i="6" s="1"/>
  <c r="D76" i="22"/>
  <c r="G76" i="22" s="1"/>
  <c r="G75" i="22"/>
  <c r="C74" i="22"/>
  <c r="G74" i="22" s="1"/>
  <c r="C73" i="22"/>
  <c r="G73" i="22" s="1"/>
  <c r="E68" i="22"/>
  <c r="D68" i="22"/>
  <c r="C68" i="22"/>
  <c r="F68" i="22" s="1"/>
  <c r="G68" i="22" s="1"/>
  <c r="E67" i="22"/>
  <c r="C67" i="22"/>
  <c r="E66" i="22"/>
  <c r="C66" i="22"/>
  <c r="E65" i="22"/>
  <c r="C65" i="22"/>
  <c r="N63" i="22"/>
  <c r="D60" i="22"/>
  <c r="G60" i="22" s="1"/>
  <c r="G61" i="22" s="1"/>
  <c r="D38" i="6" s="1"/>
  <c r="F38" i="6" s="1"/>
  <c r="E55" i="22"/>
  <c r="C55" i="22"/>
  <c r="B55" i="22"/>
  <c r="C54" i="22"/>
  <c r="B54" i="22"/>
  <c r="B113" i="22" s="1"/>
  <c r="E48" i="22"/>
  <c r="D48" i="22"/>
  <c r="C48" i="22"/>
  <c r="G48" i="22" s="1"/>
  <c r="B48" i="22"/>
  <c r="E47" i="22"/>
  <c r="E54" i="22" s="1"/>
  <c r="D47" i="22"/>
  <c r="D54" i="22" s="1"/>
  <c r="D113" i="22" s="1"/>
  <c r="E46" i="22"/>
  <c r="E53" i="22" s="1"/>
  <c r="C46" i="22"/>
  <c r="C53" i="22" s="1"/>
  <c r="B46" i="22"/>
  <c r="B53" i="22" s="1"/>
  <c r="N37" i="22"/>
  <c r="D37" i="22"/>
  <c r="G37" i="22" s="1"/>
  <c r="G38" i="22" s="1"/>
  <c r="N32" i="22"/>
  <c r="D32" i="22"/>
  <c r="G32" i="22" s="1"/>
  <c r="G33" i="22" s="1"/>
  <c r="D24" i="6" s="1"/>
  <c r="F24" i="6" s="1"/>
  <c r="J24" i="6" s="1"/>
  <c r="N27" i="22"/>
  <c r="E27" i="22"/>
  <c r="D27" i="22"/>
  <c r="G27" i="22" s="1"/>
  <c r="G28" i="22" s="1"/>
  <c r="D21" i="6" s="1"/>
  <c r="F21" i="6" s="1"/>
  <c r="E22" i="22"/>
  <c r="D22" i="22"/>
  <c r="N21" i="22"/>
  <c r="E21" i="22"/>
  <c r="D21" i="22"/>
  <c r="G21" i="22" s="1"/>
  <c r="N20" i="22"/>
  <c r="E20" i="22"/>
  <c r="D20" i="22"/>
  <c r="G15" i="22"/>
  <c r="N14" i="22"/>
  <c r="N10" i="22"/>
  <c r="F10" i="22"/>
  <c r="F14" i="22" s="1"/>
  <c r="F114" i="22" s="1"/>
  <c r="E10" i="22"/>
  <c r="D10" i="22"/>
  <c r="D14" i="22" s="1"/>
  <c r="G22" i="22" l="1"/>
  <c r="D42" i="22"/>
  <c r="G42" i="22" s="1"/>
  <c r="G43" i="22" s="1"/>
  <c r="G110" i="22"/>
  <c r="J38" i="6"/>
  <c r="G140" i="22"/>
  <c r="J21" i="6"/>
  <c r="J143" i="22"/>
  <c r="D67" i="6"/>
  <c r="F67" i="6" s="1"/>
  <c r="J67" i="6" s="1"/>
  <c r="J90" i="23"/>
  <c r="J145" i="22"/>
  <c r="D69" i="6"/>
  <c r="J38" i="22"/>
  <c r="J39" i="22" s="1"/>
  <c r="F28" i="6" s="1"/>
  <c r="J28" i="6" s="1"/>
  <c r="D27" i="6"/>
  <c r="F27" i="6" s="1"/>
  <c r="J27" i="6" s="1"/>
  <c r="C151" i="22"/>
  <c r="M140" i="23"/>
  <c r="J143" i="23"/>
  <c r="I51" i="6" s="1"/>
  <c r="J103" i="23"/>
  <c r="I42" i="6" s="1"/>
  <c r="G65" i="6"/>
  <c r="I65" i="6" s="1"/>
  <c r="J177" i="23"/>
  <c r="I54" i="6" s="1"/>
  <c r="G53" i="6"/>
  <c r="I53" i="6" s="1"/>
  <c r="J190" i="23"/>
  <c r="I60" i="6" s="1"/>
  <c r="G59" i="6"/>
  <c r="I59" i="6" s="1"/>
  <c r="J59" i="6" s="1"/>
  <c r="J67" i="23"/>
  <c r="G30" i="6"/>
  <c r="I30" i="6" s="1"/>
  <c r="G50" i="6"/>
  <c r="I50" i="6" s="1"/>
  <c r="J50" i="6" s="1"/>
  <c r="J125" i="23"/>
  <c r="I48" i="6" s="1"/>
  <c r="G47" i="6"/>
  <c r="I47" i="6" s="1"/>
  <c r="J47" i="6" s="1"/>
  <c r="J102" i="23"/>
  <c r="J38" i="23"/>
  <c r="G15" i="6"/>
  <c r="I15" i="6" s="1"/>
  <c r="J45" i="23"/>
  <c r="J46" i="23" s="1"/>
  <c r="I19" i="6" s="1"/>
  <c r="G18" i="6"/>
  <c r="I18" i="6" s="1"/>
  <c r="J189" i="23"/>
  <c r="J124" i="23"/>
  <c r="J39" i="23"/>
  <c r="I16" i="6" s="1"/>
  <c r="J176" i="23"/>
  <c r="G180" i="23"/>
  <c r="G182" i="23" s="1"/>
  <c r="G78" i="23"/>
  <c r="G84" i="23" s="1"/>
  <c r="G70" i="23"/>
  <c r="G74" i="23" s="1"/>
  <c r="F67" i="22"/>
  <c r="G67" i="22" s="1"/>
  <c r="G111" i="22"/>
  <c r="G20" i="22"/>
  <c r="G23" i="22" s="1"/>
  <c r="G132" i="22"/>
  <c r="G135" i="22"/>
  <c r="D62" i="6" s="1"/>
  <c r="F62" i="6" s="1"/>
  <c r="J62" i="6" s="1"/>
  <c r="F65" i="22"/>
  <c r="G65" i="22" s="1"/>
  <c r="D81" i="22"/>
  <c r="G81" i="22" s="1"/>
  <c r="G84" i="22" s="1"/>
  <c r="D47" i="6" s="1"/>
  <c r="F47" i="6" s="1"/>
  <c r="G54" i="22"/>
  <c r="F66" i="22"/>
  <c r="G66" i="22" s="1"/>
  <c r="G77" i="22"/>
  <c r="J61" i="22"/>
  <c r="J62" i="22"/>
  <c r="F39" i="6" s="1"/>
  <c r="J39" i="6" s="1"/>
  <c r="G14" i="22"/>
  <c r="G16" i="22" s="1"/>
  <c r="D15" i="6" s="1"/>
  <c r="F15" i="6" s="1"/>
  <c r="D114" i="22"/>
  <c r="G114" i="22" s="1"/>
  <c r="D55" i="22"/>
  <c r="G55" i="22" s="1"/>
  <c r="J29" i="22"/>
  <c r="F22" i="6" s="1"/>
  <c r="J22" i="6" s="1"/>
  <c r="J28" i="22"/>
  <c r="J34" i="22"/>
  <c r="F25" i="6" s="1"/>
  <c r="J25" i="6" s="1"/>
  <c r="J33" i="22"/>
  <c r="J127" i="22"/>
  <c r="F60" i="6" s="1"/>
  <c r="J126" i="22"/>
  <c r="C113" i="22"/>
  <c r="G113" i="22" s="1"/>
  <c r="F90" i="22"/>
  <c r="G90" i="22" s="1"/>
  <c r="G100" i="22" s="1"/>
  <c r="D50" i="6" s="1"/>
  <c r="F50" i="6" s="1"/>
  <c r="G10" i="22"/>
  <c r="G11" i="22" s="1"/>
  <c r="G47" i="22"/>
  <c r="J23" i="22" l="1"/>
  <c r="J24" i="22" s="1"/>
  <c r="F19" i="6" s="1"/>
  <c r="D18" i="6"/>
  <c r="F18" i="6" s="1"/>
  <c r="J43" i="22"/>
  <c r="D30" i="6"/>
  <c r="F30" i="6" s="1"/>
  <c r="J30" i="6" s="1"/>
  <c r="D46" i="22"/>
  <c r="D53" i="22" s="1"/>
  <c r="G53" i="22" s="1"/>
  <c r="G56" i="22" s="1"/>
  <c r="D35" i="6" s="1"/>
  <c r="F35" i="6" s="1"/>
  <c r="G139" i="22"/>
  <c r="G141" i="22" s="1"/>
  <c r="J15" i="6"/>
  <c r="J78" i="22"/>
  <c r="F45" i="6" s="1"/>
  <c r="J45" i="6" s="1"/>
  <c r="D44" i="6"/>
  <c r="F44" i="6" s="1"/>
  <c r="J44" i="6" s="1"/>
  <c r="J135" i="22"/>
  <c r="J136" i="22" s="1"/>
  <c r="F63" i="6" s="1"/>
  <c r="J63" i="6" s="1"/>
  <c r="J18" i="6"/>
  <c r="J19" i="6"/>
  <c r="G69" i="22"/>
  <c r="D41" i="6" s="1"/>
  <c r="F41" i="6" s="1"/>
  <c r="J41" i="6" s="1"/>
  <c r="J60" i="6"/>
  <c r="J16" i="6"/>
  <c r="J11" i="22"/>
  <c r="D13" i="6"/>
  <c r="G35" i="6"/>
  <c r="I35" i="6" s="1"/>
  <c r="G32" i="6"/>
  <c r="I32" i="6" s="1"/>
  <c r="J142" i="23"/>
  <c r="G56" i="6"/>
  <c r="I56" i="6" s="1"/>
  <c r="J204" i="23"/>
  <c r="J75" i="23"/>
  <c r="I33" i="6" s="1"/>
  <c r="J74" i="23"/>
  <c r="J85" i="23"/>
  <c r="I36" i="6" s="1"/>
  <c r="J84" i="23"/>
  <c r="J84" i="22"/>
  <c r="J85" i="22"/>
  <c r="F48" i="6" s="1"/>
  <c r="J48" i="6" s="1"/>
  <c r="G115" i="22"/>
  <c r="J77" i="22"/>
  <c r="J101" i="22"/>
  <c r="F51" i="6" s="1"/>
  <c r="J51" i="6" s="1"/>
  <c r="J100" i="22"/>
  <c r="J70" i="22"/>
  <c r="F42" i="6" s="1"/>
  <c r="J42" i="6" s="1"/>
  <c r="G46" i="22"/>
  <c r="G49" i="22" s="1"/>
  <c r="D32" i="6" s="1"/>
  <c r="F32" i="6" s="1"/>
  <c r="J17" i="22"/>
  <c r="F16" i="6" s="1"/>
  <c r="J16" i="22"/>
  <c r="J115" i="22" l="1"/>
  <c r="D53" i="6"/>
  <c r="F53" i="6" s="1"/>
  <c r="J53" i="6" s="1"/>
  <c r="J56" i="6"/>
  <c r="J32" i="6"/>
  <c r="J69" i="22"/>
  <c r="J35" i="6"/>
  <c r="J141" i="22"/>
  <c r="D65" i="6"/>
  <c r="F65" i="6" s="1"/>
  <c r="J65" i="6" s="1"/>
  <c r="J182" i="23"/>
  <c r="J183" i="23"/>
  <c r="I57" i="6" s="1"/>
  <c r="J116" i="22"/>
  <c r="F54" i="6" s="1"/>
  <c r="J54" i="6" s="1"/>
  <c r="G119" i="22"/>
  <c r="G120" i="22" s="1"/>
  <c r="D56" i="6" s="1"/>
  <c r="F56" i="6" s="1"/>
  <c r="J120" i="22"/>
  <c r="J50" i="22"/>
  <c r="F33" i="6" s="1"/>
  <c r="J33" i="6" s="1"/>
  <c r="J49" i="22"/>
  <c r="J56" i="22"/>
  <c r="J57" i="22"/>
  <c r="F36" i="6" s="1"/>
  <c r="J36" i="6" s="1"/>
  <c r="J121" i="22" l="1"/>
  <c r="F57" i="6" s="1"/>
  <c r="J57" i="6" s="1"/>
  <c r="J210" i="23"/>
  <c r="C212" i="23" s="1"/>
  <c r="C215" i="23" s="1"/>
  <c r="J147" i="22"/>
  <c r="C149" i="22" s="1"/>
  <c r="C152" i="22" s="1"/>
  <c r="E214" i="23" l="1"/>
  <c r="E215" i="23" s="1"/>
  <c r="E151" i="22"/>
  <c r="E152" i="22" s="1"/>
  <c r="G28" i="18" l="1"/>
  <c r="F31" i="18"/>
  <c r="G31" i="18" s="1"/>
  <c r="F30" i="18"/>
  <c r="G30" i="18" s="1"/>
  <c r="F29" i="18"/>
  <c r="G29" i="18" s="1"/>
  <c r="G27" i="18"/>
  <c r="G26" i="18"/>
  <c r="A22" i="18"/>
  <c r="H31" i="18" l="1"/>
  <c r="H27" i="18"/>
  <c r="H32" i="18" l="1"/>
  <c r="H33" i="18" s="1"/>
  <c r="H34" i="18" l="1"/>
  <c r="B34" i="18" s="1"/>
  <c r="D34" i="18" s="1"/>
  <c r="F13" i="18" l="1"/>
  <c r="G13" i="18" s="1"/>
  <c r="J12" i="18"/>
  <c r="F12" i="18"/>
  <c r="G12" i="18" s="1"/>
  <c r="F11" i="18"/>
  <c r="G11" i="18" s="1"/>
  <c r="J10" i="18"/>
  <c r="G10" i="18"/>
  <c r="G9" i="18"/>
  <c r="G8" i="18"/>
  <c r="G7" i="18"/>
  <c r="G6" i="18"/>
  <c r="H7" i="18" s="1"/>
  <c r="A1" i="18"/>
  <c r="H13" i="18" l="1"/>
  <c r="H14" i="18" s="1"/>
  <c r="H15" i="18" l="1"/>
  <c r="H16" i="18" s="1"/>
  <c r="B16" i="18" l="1"/>
  <c r="H17" i="18"/>
  <c r="H18" i="18" s="1"/>
  <c r="I69" i="6" l="1"/>
  <c r="F69" i="6"/>
  <c r="J69" i="6" l="1"/>
  <c r="I13" i="6"/>
  <c r="I71" i="6" s="1"/>
  <c r="F13" i="6" l="1"/>
  <c r="J13" i="6" s="1"/>
  <c r="F71" i="6" l="1"/>
  <c r="J71" i="6" s="1"/>
  <c r="A9" i="6"/>
  <c r="A8" i="6"/>
  <c r="J6" i="6" l="1"/>
  <c r="C6" i="6" l="1"/>
</calcChain>
</file>

<file path=xl/comments1.xml><?xml version="1.0" encoding="utf-8"?>
<comments xmlns="http://schemas.openxmlformats.org/spreadsheetml/2006/main">
  <authors>
    <author>Windows User</author>
    <author>DELL</author>
  </authors>
  <commentList>
    <comment ref="B138" authorId="0" shapeId="0">
      <text>
        <r>
          <rPr>
            <b/>
            <sz val="9"/>
            <color indexed="81"/>
            <rFont val="Tahoma"/>
          </rPr>
          <t>Windows User:</t>
        </r>
        <r>
          <rPr>
            <sz val="9"/>
            <color indexed="81"/>
            <rFont val="Tahoma"/>
          </rPr>
          <t xml:space="preserve">
by measurement in field by weight balance</t>
        </r>
      </text>
    </comment>
    <comment ref="E140" authorId="0" shapeId="0">
      <text>
        <r>
          <rPr>
            <b/>
            <sz val="9"/>
            <color indexed="81"/>
            <rFont val="Tahoma"/>
          </rPr>
          <t>Windows User:</t>
        </r>
        <r>
          <rPr>
            <sz val="9"/>
            <color indexed="81"/>
            <rFont val="Tahoma"/>
          </rPr>
          <t xml:space="preserve">
weight by measurement in field</t>
        </r>
      </text>
    </comment>
    <comment ref="B161" authorId="1" shapeId="0">
      <text>
        <r>
          <rPr>
            <b/>
            <sz val="10"/>
            <color indexed="81"/>
            <rFont val="Tahoma"/>
            <family val="2"/>
          </rPr>
          <t>DELL:</t>
        </r>
        <r>
          <rPr>
            <sz val="10"/>
            <color indexed="81"/>
            <rFont val="Tahoma"/>
            <family val="2"/>
          </rPr>
          <t xml:space="preserve">
1 section</t>
        </r>
      </text>
    </comment>
    <comment ref="G188" authorId="1" shapeId="0">
      <text>
        <r>
          <rPr>
            <b/>
            <sz val="10"/>
            <color indexed="81"/>
            <rFont val="Tahoma"/>
          </rPr>
          <t>DELL:</t>
        </r>
        <r>
          <rPr>
            <sz val="10"/>
            <color indexed="81"/>
            <rFont val="Tahoma"/>
          </rPr>
          <t xml:space="preserve">
Quantity=sqrt(s(s-a)(s-b)(s-c))</t>
        </r>
      </text>
    </comment>
  </commentList>
</comments>
</file>

<file path=xl/sharedStrings.xml><?xml version="1.0" encoding="utf-8"?>
<sst xmlns="http://schemas.openxmlformats.org/spreadsheetml/2006/main" count="406" uniqueCount="175">
  <si>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</si>
  <si>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</si>
  <si>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</si>
  <si>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</si>
  <si>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</si>
  <si>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</si>
  <si>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</si>
  <si>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</si>
  <si>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</si>
  <si>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</si>
  <si>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</si>
  <si>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</si>
  <si>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</si>
  <si>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</si>
  <si>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</si>
  <si>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</si>
  <si>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</si>
  <si>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</si>
  <si>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</si>
  <si>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</si>
  <si>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</si>
  <si>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</si>
  <si>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</si>
  <si>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</si>
  <si>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</si>
  <si>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</si>
  <si>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</si>
  <si>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</si>
  <si>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</si>
  <si>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</si>
  <si>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</si>
  <si>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</si>
  <si>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</si>
  <si>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</si>
  <si>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</si>
  <si>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</si>
  <si>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</si>
  <si>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</si>
  <si>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</si>
  <si>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</si>
  <si>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</si>
  <si>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Sub-total</t>
  </si>
  <si>
    <t>F.Y.: 2081/2082</t>
  </si>
  <si>
    <t>sqm</t>
  </si>
  <si>
    <t>Project:- परोपकार भवन मर्मत</t>
  </si>
  <si>
    <t>dfn;fdfg pknAw u/L lh=cfO{=k|m]ddf ;fwf/0f d]6fnfOH8 kf]lnP6/ nfldg]6]8 jf]8{sf] l;lnË nufpg] sfd -ss{t kftfsf] 5fgfd'lg_</t>
  </si>
  <si>
    <t>-false ceiling</t>
  </si>
  <si>
    <t xml:space="preserve">).#^ lblv ).$ dL.dL.afSnf] sf]?u]6]8 /+lug ss{6 kftfsf] 5fgf 5fpg] sfd </t>
  </si>
  <si>
    <t>-at roof</t>
  </si>
  <si>
    <t>हयाबिटेक ईन्टरलक ब्रिकको गारो सिमेन्ट , बालुवा, र स्टोन डष्ट ( 1 2 4)</t>
  </si>
  <si>
    <t>C13</t>
  </si>
  <si>
    <t>#) dL= ;Dd 9'jfgL ;d]t</t>
  </si>
  <si>
    <t>;|f]t ;fwg</t>
  </si>
  <si>
    <t>tx÷lsl;d</t>
  </si>
  <si>
    <t>kl/df0f</t>
  </si>
  <si>
    <t>PsfO{</t>
  </si>
  <si>
    <t>b/ k|lt PsfO{</t>
  </si>
  <si>
    <t>/sd</t>
  </si>
  <si>
    <t>k|To]s ;|f]t ;fwgsf] hDdf</t>
  </si>
  <si>
    <t>&gt;lds</t>
  </si>
  <si>
    <t>s_ l;kfn'</t>
  </si>
  <si>
    <t>hjfg</t>
  </si>
  <si>
    <t>v_ HofdL</t>
  </si>
  <si>
    <t>lgdf{0f ;fdu|L</t>
  </si>
  <si>
    <r>
      <rPr>
        <sz val="11"/>
        <color theme="1"/>
        <rFont val="Calibri"/>
        <family val="2"/>
        <scheme val="minor"/>
      </rPr>
      <t>300X150X100</t>
    </r>
    <r>
      <rPr>
        <sz val="11"/>
        <color theme="1"/>
        <rFont val="Preeti"/>
      </rPr>
      <t xml:space="preserve"> Pd=Pd=sf] हयाबिटेक ब्रिक</t>
    </r>
  </si>
  <si>
    <t>j6f</t>
  </si>
  <si>
    <t>l;d]G6</t>
  </si>
  <si>
    <t>d]=6=</t>
  </si>
  <si>
    <t xml:space="preserve">afn'jf </t>
  </si>
  <si>
    <t>3=dL=</t>
  </si>
  <si>
    <t>:6f]g 8:6</t>
  </si>
  <si>
    <t>!) ld ld 8l08</t>
  </si>
  <si>
    <t>s].lh</t>
  </si>
  <si>
    <t>kfgL</t>
  </si>
  <si>
    <t>nL6/</t>
  </si>
  <si>
    <t>jf:tljs b//]6</t>
  </si>
  <si>
    <t>b/ k|lt 3=dL=sf]</t>
  </si>
  <si>
    <t>!%Ü 7]s]bf/ cf]e/x]8</t>
  </si>
  <si>
    <t>?=</t>
  </si>
  <si>
    <t>k}=</t>
  </si>
  <si>
    <t>hDdf b/ /]6</t>
  </si>
  <si>
    <t>b/ /]6 k|lt ju{ ld</t>
  </si>
  <si>
    <t>cf]e/x]8 afx]s</t>
  </si>
  <si>
    <t>Block Size</t>
  </si>
  <si>
    <t>-at drain wall</t>
  </si>
  <si>
    <t>cum</t>
  </si>
  <si>
    <r>
      <t>b/ ljZn]if0fsf] nflu</t>
    </r>
    <r>
      <rPr>
        <sz val="11"/>
        <color theme="1"/>
        <rFont val="Times New Roman"/>
        <family val="1"/>
      </rPr>
      <t xml:space="preserve"> ९ </t>
    </r>
    <r>
      <rPr>
        <sz val="11"/>
        <color theme="1"/>
        <rFont val="Preeti"/>
      </rPr>
      <t>j=ld= lnOPsf]</t>
    </r>
  </si>
  <si>
    <t>l;d]G6 jf jh|df hf]8]sf] uf/f] eTsfO{ To;af6 cfPsf] ;fdfu+|L !) dL= x6fpg] sfd .</t>
  </si>
  <si>
    <r>
      <rPr>
        <b/>
        <sz val="9"/>
        <rFont val="Preeti"/>
      </rPr>
      <t>हयाबिटेक ईन्टरलक ब्रिकको गारो सिमेन्ट , बालुवा, र स्टोन डष्ट</t>
    </r>
    <r>
      <rPr>
        <b/>
        <sz val="11"/>
        <rFont val="Preeti"/>
      </rPr>
      <t xml:space="preserve"> </t>
    </r>
    <r>
      <rPr>
        <b/>
        <sz val="11"/>
        <rFont val="Times New Roman"/>
        <family val="1"/>
      </rPr>
      <t>( 1 2 4)</t>
    </r>
    <r>
      <rPr>
        <b/>
        <sz val="11"/>
        <rFont val="Preeti"/>
      </rPr>
      <t xml:space="preserve"> #) dL= ;Dd 9'jfgL ;d]t</t>
    </r>
  </si>
  <si>
    <t xml:space="preserve">g/d k|sf/sf] Sn] / l;N6L df6f]df ;j} lsl;dsf] vGg] sfd </t>
  </si>
  <si>
    <t>-at drain wall base</t>
  </si>
  <si>
    <t>;'Vvf O{6f RofK6f] 5fKg] sfd</t>
  </si>
  <si>
    <t xml:space="preserve">hu leQf kvf{ndf l;d]G6 s+lqm6 ug]{ sfd -lk=;L=;L= !M@M$_ </t>
  </si>
  <si>
    <t>cf/=;L=;L= nflu kmnfd] 808L sf6\g], df]8\g] #) dL6/ ;Dd</t>
  </si>
  <si>
    <t>Length (m)</t>
  </si>
  <si>
    <t>Unit wt. (kg/m)</t>
  </si>
  <si>
    <t>Total wt. (kg)</t>
  </si>
  <si>
    <t>Total wt. (MT)</t>
  </si>
  <si>
    <t>MT</t>
  </si>
  <si>
    <t>-For slab cover</t>
  </si>
  <si>
    <t>kmnfd]sf] kfOk / KnfOaf]8{af6 kmdf{ agfpg] sfd</t>
  </si>
  <si>
    <t>-at slab cover</t>
  </si>
  <si>
    <t>E2</t>
  </si>
  <si>
    <t>b/ ljZn]if0fsf] nflu !)) j=ld= lnOPsf]</t>
  </si>
  <si>
    <t xml:space="preserve">!% dL=dL= jf]8{ </t>
  </si>
  <si>
    <t>j=dL=</t>
  </si>
  <si>
    <t xml:space="preserve">:yfgLo s'–sf7 </t>
  </si>
  <si>
    <t>;+Vof</t>
  </si>
  <si>
    <t>lsnf sfF6L</t>
  </si>
  <si>
    <t>s]=hL=</t>
  </si>
  <si>
    <t>b/ k|lt j=dL=sf]</t>
  </si>
  <si>
    <t>1.6875x1.1x0.7516= 0.232</t>
  </si>
  <si>
    <t xml:space="preserve">   M KNffO{ M ^ k6s;dd k|of]u ug{ ;lsg] To;kl5 !)Ü d"No afFsL /xg] lx;fan] ul/Psf] </t>
  </si>
  <si>
    <t>100x1.1x0.9/6=16.5</t>
  </si>
  <si>
    <t xml:space="preserve">   M kfO{k M !% k6s;Dd k|of]u ug{ ;lsg] To;kl5 @%Ü d"No afFsL /xg] lx;fan] ul/Psf] </t>
  </si>
  <si>
    <t>88/15x0.75 =4.4</t>
  </si>
  <si>
    <r>
      <t xml:space="preserve">kmnfdsf] kfOk </t>
    </r>
    <r>
      <rPr>
        <sz val="9"/>
        <rFont val="Arial"/>
        <family val="2"/>
      </rPr>
      <t>(Prop),</t>
    </r>
    <r>
      <rPr>
        <sz val="16"/>
        <rFont val="Preeti"/>
      </rPr>
      <t xml:space="preserve"> KnfOjf]8{ k|of]u u/L km;{ / :nfjsf] nflu kmdf{ agfpg] sfd . </t>
    </r>
  </si>
  <si>
    <r>
      <t xml:space="preserve">kmnfd] kfO{k  </t>
    </r>
    <r>
      <rPr>
        <sz val="9"/>
        <rFont val="Arial"/>
        <family val="2"/>
      </rPr>
      <t>(NMB 50-M)</t>
    </r>
  </si>
  <si>
    <r>
      <t>gf]6</t>
    </r>
    <r>
      <rPr>
        <sz val="11"/>
        <rFont val="Preeti"/>
      </rPr>
      <t xml:space="preserve"> M sf7 M ^ k6s;dd k|of]u ug{ ;lsg] To;kl5 @%Ü d"No afFsL /xg] lx;fan] ul/Psf] </t>
    </r>
  </si>
  <si>
    <t>d]lzgsf] k|of]u u/L ;'k/ :6«Sr/df l;d]G6 s+lqm6 ug]{ sfd -!M!=%M#_</t>
  </si>
  <si>
    <t>-slab cover</t>
  </si>
  <si>
    <t>ljleGg ;fO{hsf] kmnfd] PËn km]lj|s]zg u/L k|fOd/ k]G6 ;lxt ug]{</t>
  </si>
  <si>
    <t>Kg</t>
  </si>
  <si>
    <t>-MS Flats 20mm*5mm</t>
  </si>
  <si>
    <t>Total wt. (Kg)</t>
  </si>
  <si>
    <t>-MS square pipe of 2"*2" of 1.8mm thickness for vertical post</t>
  </si>
  <si>
    <t>-MS square pipe 1.5"*1.5" of 1.6mm thickness for horizontal member</t>
  </si>
  <si>
    <t>!@=% dL=dL= l;d]G6 afn'jf -!M$_ Knfi6/</t>
  </si>
  <si>
    <t>-wall</t>
  </si>
  <si>
    <t>sub-total</t>
  </si>
  <si>
    <t>-VAT 13% for materials</t>
  </si>
  <si>
    <t xml:space="preserve"> Ps sf]6 k|fO{d/ ;lxt b'O{ sf]6 j]b/sf]6 k]G6 ug]{ sfd</t>
  </si>
  <si>
    <t>-35*35*3mm Equal angles at windows</t>
  </si>
  <si>
    <t xml:space="preserve">-equal angles for fencing </t>
  </si>
  <si>
    <t>-MS flats for fencing</t>
  </si>
  <si>
    <t>-MS square rod12mm *12mm size</t>
  </si>
  <si>
    <t>-roof</t>
  </si>
  <si>
    <t>Provisional sum for unforeseen works</t>
  </si>
  <si>
    <t>PS</t>
  </si>
  <si>
    <t>sfk]{6 b'jf]</t>
  </si>
  <si>
    <t>-for open spaces</t>
  </si>
  <si>
    <t>m2</t>
  </si>
  <si>
    <r>
      <t>Area (m</t>
    </r>
    <r>
      <rPr>
        <vertAlign val="superscript"/>
        <sz val="11"/>
        <color theme="1"/>
        <rFont val="Times New Roman"/>
        <family val="1"/>
      </rPr>
      <t>2</t>
    </r>
    <r>
      <rPr>
        <sz val="11"/>
        <color theme="1"/>
        <rFont val="Times New Roman"/>
        <family val="1"/>
      </rPr>
      <t>)</t>
    </r>
  </si>
  <si>
    <t>;km]{;nfO{ 8«]l;Ë ug]{ sfo{ vfN6f] k'g]{, p7]sf] df6f] sf6\g], ;tx ldnfpg]</t>
  </si>
  <si>
    <t>cflb sfo{ ;d]t -;le{;/f]8 cflb_</t>
  </si>
  <si>
    <t>;km]{;nfO{ 8«]l;Ë ug]{ sfo{ vfN6f] k'g]{, p7]sf] df6f] sf6\g], ;tx ldnfpg] cflb sfo{ ;d]t -;le{;/f]8 cflb_</t>
  </si>
  <si>
    <t>-as of item no. 15</t>
  </si>
  <si>
    <t>df6f]df hf]8]sf] uf/f] eTsfO{ To;af6 cfPsf] ;fdu|L !) dL=;Dd</t>
  </si>
  <si>
    <t>-existing wall</t>
  </si>
  <si>
    <t>e'O{+tNnfdf lrDgL e§fsf] O{+6fsf] uf/f] l;d]G6 d;nf -!M^_ df</t>
  </si>
  <si>
    <r>
      <t xml:space="preserve">dfn;fdfg pknAw u/L </t>
    </r>
    <r>
      <rPr>
        <sz val="9"/>
        <rFont val="Arial"/>
        <family val="2"/>
      </rPr>
      <t>UPVC sheet with PMMA Coating</t>
    </r>
    <r>
      <rPr>
        <sz val="9"/>
        <rFont val="Preeti"/>
      </rPr>
      <t xml:space="preserve"> </t>
    </r>
    <r>
      <rPr>
        <sz val="9"/>
        <rFont val="Arial"/>
        <family val="2"/>
      </rPr>
      <t>and mesh (Regular)</t>
    </r>
    <r>
      <rPr>
        <sz val="14"/>
        <rFont val="Preeti"/>
      </rPr>
      <t>5fgf 5fpg] sfd .</t>
    </r>
  </si>
  <si>
    <t>-at drain</t>
  </si>
  <si>
    <t>-at one side drain</t>
  </si>
  <si>
    <t>-as of plaster excluding drain</t>
  </si>
  <si>
    <t xml:space="preserve">)=%) dL=dL=  Kn]g zL6sf] !%) ld=ld= rf}8fO{, u6/ agfO{ jf;/ </t>
  </si>
  <si>
    <t>rm</t>
  </si>
  <si>
    <t>-at entrance</t>
  </si>
  <si>
    <t>-at compound</t>
  </si>
  <si>
    <t>Date:2081/09/28</t>
  </si>
  <si>
    <t>-left</t>
  </si>
  <si>
    <t>-right</t>
  </si>
  <si>
    <t>Wing part 1 upto mid length</t>
  </si>
  <si>
    <t>Wing part 1 upto end length from mid</t>
  </si>
  <si>
    <r>
      <t>Area (m</t>
    </r>
    <r>
      <rPr>
        <vertAlign val="superscript"/>
        <sz val="11"/>
        <color rgb="FFFF0000"/>
        <rFont val="Times New Roman"/>
        <family val="1"/>
      </rPr>
      <t>2</t>
    </r>
    <r>
      <rPr>
        <sz val="11"/>
        <color rgb="FFFF0000"/>
        <rFont val="Times New Roman"/>
        <family val="1"/>
      </rPr>
      <t>)</t>
    </r>
  </si>
  <si>
    <t>at compound</t>
  </si>
  <si>
    <t>Detail Valuated Sheet</t>
  </si>
  <si>
    <t>Total Valuated</t>
  </si>
  <si>
    <t>-MS square rod10mm *10mm size</t>
  </si>
  <si>
    <t>MS black pipe of 2" *2" of 1.6mm thickness for vertical post</t>
  </si>
  <si>
    <t>-compound</t>
  </si>
  <si>
    <t>-1"*1"*2mm Equal angles at windows</t>
  </si>
  <si>
    <t>-at room</t>
  </si>
  <si>
    <t>-at backyard</t>
  </si>
  <si>
    <t>-near compound wall</t>
  </si>
  <si>
    <t>-deduction for plaster near gate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</si>
</sst>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52">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1"/>
      <name val="Preeti"/>
    </font>
    <font>
      <sz val="10"/>
      <name val="Arial"/>
    </font>
    <font>
      <sz val="10"/>
      <name val="FONTASY_ HIMALI_ TT"/>
      <family val="5"/>
    </font>
    <font>
      <sz val="16"/>
      <color theme="1"/>
      <name val="Preeti"/>
    </font>
    <font>
      <sz val="12"/>
      <name val="Calibri"/>
      <family val="2"/>
      <scheme val="minor"/>
    </font>
    <font>
      <sz val="14"/>
      <color theme="1"/>
      <name val="Preeti"/>
    </font>
    <font>
      <sz val="12"/>
      <name val="Preeti"/>
    </font>
    <font>
      <sz val="11"/>
      <color theme="1"/>
      <name val="Preeti"/>
    </font>
    <font>
      <sz val="13"/>
      <name val="Preeti"/>
    </font>
    <font>
      <sz val="10"/>
      <name val="Fontasy Himali"/>
      <family val="5"/>
    </font>
    <font>
      <sz val="10"/>
      <name val="Prachin"/>
      <family val="2"/>
    </font>
    <font>
      <sz val="8"/>
      <name val="Times New Roman"/>
      <family val="1"/>
    </font>
    <font>
      <sz val="16"/>
      <name val="Preeti"/>
    </font>
    <font>
      <b/>
      <sz val="9"/>
      <name val="Preeti"/>
    </font>
    <font>
      <b/>
      <sz val="12"/>
      <name val="Preeti"/>
    </font>
    <font>
      <sz val="12"/>
      <name val="Calibri"/>
      <family val="2"/>
    </font>
    <font>
      <sz val="9"/>
      <name val="Arial"/>
      <family val="2"/>
    </font>
    <font>
      <sz val="11"/>
      <name val="Preeti"/>
    </font>
    <font>
      <sz val="10"/>
      <name val="Arial"/>
      <family val="2"/>
    </font>
    <font>
      <u/>
      <sz val="11"/>
      <name val="Preeti"/>
    </font>
    <font>
      <b/>
      <sz val="12"/>
      <color theme="1"/>
      <name val="Preeti"/>
    </font>
    <font>
      <sz val="11"/>
      <name val="Calibri"/>
      <family val="2"/>
      <scheme val="minor"/>
    </font>
    <font>
      <vertAlign val="superscript"/>
      <sz val="11"/>
      <color theme="1"/>
      <name val="Times New Roman"/>
      <family val="1"/>
    </font>
    <font>
      <sz val="14"/>
      <name val="Preeti"/>
    </font>
    <font>
      <sz val="9"/>
      <name val="Preeti"/>
    </font>
    <font>
      <sz val="11"/>
      <color rgb="FFFF0000"/>
      <name val="Calibri"/>
      <family val="2"/>
      <scheme val="minor"/>
    </font>
    <font>
      <b/>
      <sz val="11"/>
      <color rgb="FFFF0000"/>
      <name val="Times New Roman"/>
      <family val="1"/>
    </font>
    <font>
      <sz val="11"/>
      <color rgb="FFFF0000"/>
      <name val="Times New Roman"/>
      <family val="1"/>
    </font>
    <font>
      <b/>
      <sz val="12"/>
      <color rgb="FFFF0000"/>
      <name val="Preeti"/>
    </font>
    <font>
      <sz val="10"/>
      <color indexed="81"/>
      <name val="Tahoma"/>
    </font>
    <font>
      <b/>
      <sz val="10"/>
      <color indexed="81"/>
      <name val="Tahoma"/>
    </font>
    <font>
      <vertAlign val="superscript"/>
      <sz val="11"/>
      <color rgb="FFFF0000"/>
      <name val="Times New Roman"/>
      <family val="1"/>
    </font>
    <font>
      <b/>
      <sz val="11"/>
      <color rgb="FFFF0000"/>
      <name val="Preeti"/>
    </font>
    <font>
      <sz val="10"/>
      <color indexed="81"/>
      <name val="Tahoma"/>
      <family val="2"/>
    </font>
    <font>
      <b/>
      <sz val="10"/>
      <color indexed="81"/>
      <name val="Tahoma"/>
      <family val="2"/>
    </font>
    <font>
      <sz val="9"/>
      <color indexed="81"/>
      <name val="Tahoma"/>
    </font>
    <font>
      <b/>
      <sz val="9"/>
      <color indexed="81"/>
      <name val="Tahoma"/>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3">
    <xf numFmtId="0" fontId="0" fillId="0" borderId="0"/>
    <xf numFmtId="164" fontId="1" fillId="0" borderId="0" applyFont="0" applyFill="0" applyBorder="0" applyAlignment="0" applyProtection="0"/>
    <xf numFmtId="0" fontId="16" fillId="0" borderId="0"/>
  </cellStyleXfs>
  <cellXfs count="223">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164"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4" fillId="0" borderId="0" xfId="0" applyNumberFormat="1" applyFont="1" applyBorder="1"/>
    <xf numFmtId="0" fontId="3" fillId="0" borderId="1" xfId="0" applyFont="1" applyBorder="1" applyAlignment="1">
      <alignment vertical="center"/>
    </xf>
    <xf numFmtId="0" fontId="15" fillId="3" borderId="1" xfId="0" applyFont="1" applyFill="1" applyBorder="1" applyAlignment="1">
      <alignment vertical="center" wrapText="1"/>
    </xf>
    <xf numFmtId="2" fontId="13" fillId="0" borderId="4" xfId="0" applyNumberFormat="1" applyFont="1" applyFill="1" applyBorder="1" applyAlignment="1">
      <alignment horizontal="center" vertical="center" wrapText="1"/>
    </xf>
    <xf numFmtId="1" fontId="17" fillId="0" borderId="1" xfId="2" applyNumberFormat="1" applyFont="1" applyBorder="1" applyAlignment="1">
      <alignment horizontal="center"/>
    </xf>
    <xf numFmtId="0" fontId="18" fillId="0" borderId="0" xfId="2" applyFont="1" applyAlignment="1"/>
    <xf numFmtId="0" fontId="16" fillId="0" borderId="0" xfId="2"/>
    <xf numFmtId="1" fontId="17" fillId="0" borderId="5" xfId="2" applyNumberFormat="1" applyFont="1" applyBorder="1" applyAlignment="1"/>
    <xf numFmtId="1" fontId="17" fillId="0" borderId="0" xfId="2" applyNumberFormat="1" applyFont="1" applyBorder="1" applyAlignment="1"/>
    <xf numFmtId="0" fontId="19" fillId="0" borderId="4" xfId="2" applyFont="1" applyBorder="1" applyAlignment="1">
      <alignment horizontal="center"/>
    </xf>
    <xf numFmtId="0" fontId="21" fillId="0" borderId="0" xfId="2" applyFont="1"/>
    <xf numFmtId="0" fontId="23" fillId="0" borderId="1" xfId="2" applyFont="1" applyBorder="1" applyAlignment="1">
      <alignment horizontal="center" vertical="center" wrapText="1"/>
    </xf>
    <xf numFmtId="2" fontId="24" fillId="0" borderId="1" xfId="2" applyNumberFormat="1" applyFont="1" applyBorder="1" applyAlignment="1">
      <alignment horizontal="center"/>
    </xf>
    <xf numFmtId="0" fontId="23" fillId="0" borderId="1" xfId="2" applyFont="1" applyBorder="1" applyAlignment="1">
      <alignment horizontal="center"/>
    </xf>
    <xf numFmtId="2" fontId="17" fillId="0" borderId="1" xfId="2" applyNumberFormat="1" applyFont="1" applyBorder="1" applyAlignment="1">
      <alignment horizontal="center" vertical="center" wrapText="1"/>
    </xf>
    <xf numFmtId="2" fontId="17" fillId="0" borderId="1" xfId="2" applyNumberFormat="1" applyFont="1" applyBorder="1" applyAlignment="1">
      <alignment horizontal="center"/>
    </xf>
    <xf numFmtId="2" fontId="17" fillId="0" borderId="1" xfId="2" applyNumberFormat="1" applyFont="1" applyBorder="1" applyAlignment="1">
      <alignment horizontal="center" vertical="center"/>
    </xf>
    <xf numFmtId="0" fontId="22" fillId="0" borderId="1" xfId="2" applyFont="1" applyBorder="1" applyAlignment="1">
      <alignment horizontal="center" wrapText="1"/>
    </xf>
    <xf numFmtId="166" fontId="24" fillId="0" borderId="1" xfId="2" applyNumberFormat="1" applyFont="1" applyBorder="1" applyAlignment="1">
      <alignment horizontal="center"/>
    </xf>
    <xf numFmtId="0" fontId="21" fillId="0" borderId="1" xfId="2" applyFont="1" applyBorder="1"/>
    <xf numFmtId="2" fontId="17" fillId="0" borderId="3" xfId="2" applyNumberFormat="1" applyFont="1" applyBorder="1" applyAlignment="1">
      <alignment horizontal="center"/>
    </xf>
    <xf numFmtId="0" fontId="16" fillId="0" borderId="1" xfId="2" applyBorder="1"/>
    <xf numFmtId="0" fontId="23" fillId="0" borderId="0" xfId="2" applyFont="1"/>
    <xf numFmtId="2" fontId="17" fillId="0" borderId="0" xfId="2" applyNumberFormat="1" applyFont="1"/>
    <xf numFmtId="2" fontId="17" fillId="0" borderId="4" xfId="2" applyNumberFormat="1" applyFont="1" applyBorder="1" applyAlignment="1">
      <alignment horizontal="center"/>
    </xf>
    <xf numFmtId="0" fontId="21" fillId="0" borderId="0" xfId="2" applyFont="1" applyAlignment="1">
      <alignment horizontal="center"/>
    </xf>
    <xf numFmtId="0" fontId="25" fillId="0" borderId="0" xfId="2" applyFont="1" applyAlignment="1">
      <alignment horizontal="right"/>
    </xf>
    <xf numFmtId="2" fontId="17" fillId="0" borderId="0" xfId="2" applyNumberFormat="1" applyFont="1" applyBorder="1" applyAlignment="1">
      <alignment horizontal="center"/>
    </xf>
    <xf numFmtId="2" fontId="26" fillId="0" borderId="0" xfId="2" applyNumberFormat="1" applyFont="1" applyBorder="1" applyAlignment="1">
      <alignment horizontal="center"/>
    </xf>
    <xf numFmtId="0" fontId="29" fillId="3" borderId="1" xfId="0" applyFont="1" applyFill="1" applyBorder="1" applyAlignment="1">
      <alignment wrapText="1"/>
    </xf>
    <xf numFmtId="0" fontId="27" fillId="0" borderId="0" xfId="0" applyFont="1" applyBorder="1" applyAlignment="1"/>
    <xf numFmtId="1" fontId="29" fillId="0" borderId="1" xfId="0" applyNumberFormat="1"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6" fontId="13" fillId="0" borderId="1" xfId="1" applyNumberFormat="1" applyFont="1" applyFill="1" applyBorder="1" applyAlignment="1">
      <alignment vertical="center"/>
    </xf>
    <xf numFmtId="1" fontId="17" fillId="0" borderId="1" xfId="0" applyNumberFormat="1" applyFont="1" applyFill="1" applyBorder="1" applyAlignment="1">
      <alignment horizontal="center"/>
    </xf>
    <xf numFmtId="0" fontId="21" fillId="0" borderId="0" xfId="0" applyFont="1" applyFill="1" applyBorder="1"/>
    <xf numFmtId="0" fontId="30" fillId="0" borderId="4" xfId="0" applyFont="1" applyFill="1" applyBorder="1" applyAlignment="1">
      <alignment horizontal="center"/>
    </xf>
    <xf numFmtId="0" fontId="23" fillId="0" borderId="1" xfId="0" applyFont="1" applyFill="1" applyBorder="1" applyAlignment="1">
      <alignment horizontal="center" vertical="center" wrapText="1"/>
    </xf>
    <xf numFmtId="0" fontId="23" fillId="0" borderId="6" xfId="0" applyFont="1" applyFill="1" applyBorder="1" applyAlignment="1">
      <alignment horizontal="center" vertical="center" wrapText="1"/>
    </xf>
    <xf numFmtId="2" fontId="24" fillId="0" borderId="6" xfId="0" applyNumberFormat="1" applyFont="1" applyFill="1" applyBorder="1" applyAlignment="1">
      <alignment horizontal="center"/>
    </xf>
    <xf numFmtId="0" fontId="23" fillId="0" borderId="6" xfId="0" applyFont="1" applyFill="1" applyBorder="1" applyAlignment="1">
      <alignment horizontal="center"/>
    </xf>
    <xf numFmtId="2" fontId="17" fillId="0" borderId="6" xfId="0" applyNumberFormat="1" applyFont="1" applyFill="1" applyBorder="1" applyAlignment="1">
      <alignment horizontal="center" vertical="center" wrapText="1"/>
    </xf>
    <xf numFmtId="2" fontId="17" fillId="0" borderId="6" xfId="0" applyNumberFormat="1" applyFont="1" applyFill="1" applyBorder="1" applyAlignment="1">
      <alignment horizontal="center"/>
    </xf>
    <xf numFmtId="2" fontId="17" fillId="0" borderId="6" xfId="0" applyNumberFormat="1" applyFont="1" applyFill="1" applyBorder="1" applyAlignment="1">
      <alignment horizontal="center" vertical="center"/>
    </xf>
    <xf numFmtId="0" fontId="23" fillId="0" borderId="3" xfId="0" applyFont="1" applyFill="1" applyBorder="1" applyAlignment="1">
      <alignment horizontal="center"/>
    </xf>
    <xf numFmtId="2" fontId="24" fillId="0" borderId="3" xfId="0" applyNumberFormat="1" applyFont="1" applyFill="1" applyBorder="1" applyAlignment="1">
      <alignment horizontal="center"/>
    </xf>
    <xf numFmtId="0" fontId="23" fillId="0" borderId="4" xfId="0" applyFont="1" applyFill="1" applyBorder="1" applyAlignment="1">
      <alignment horizontal="center"/>
    </xf>
    <xf numFmtId="2" fontId="17" fillId="0" borderId="3" xfId="0" applyNumberFormat="1" applyFont="1" applyFill="1" applyBorder="1" applyAlignment="1">
      <alignment horizontal="center"/>
    </xf>
    <xf numFmtId="2" fontId="17" fillId="0" borderId="3" xfId="0" applyNumberFormat="1" applyFont="1" applyFill="1" applyBorder="1" applyAlignment="1">
      <alignment horizontal="center" vertical="center"/>
    </xf>
    <xf numFmtId="0" fontId="24" fillId="0" borderId="6" xfId="0" applyFont="1" applyFill="1" applyBorder="1" applyAlignment="1">
      <alignment horizontal="center"/>
    </xf>
    <xf numFmtId="0" fontId="24" fillId="0" borderId="3" xfId="0" applyFont="1" applyFill="1" applyBorder="1" applyAlignment="1">
      <alignment horizontal="center"/>
    </xf>
    <xf numFmtId="0" fontId="23" fillId="0" borderId="3" xfId="0" applyFont="1" applyFill="1" applyBorder="1" applyAlignment="1">
      <alignment horizontal="center" vertical="top" wrapText="1"/>
    </xf>
    <xf numFmtId="2" fontId="24" fillId="0" borderId="4" xfId="0" applyNumberFormat="1" applyFont="1" applyFill="1" applyBorder="1" applyAlignment="1">
      <alignment horizontal="center"/>
    </xf>
    <xf numFmtId="2" fontId="17" fillId="0" borderId="4" xfId="0" applyNumberFormat="1" applyFont="1" applyFill="1" applyBorder="1" applyAlignment="1">
      <alignment horizontal="center"/>
    </xf>
    <xf numFmtId="2" fontId="17" fillId="0" borderId="4" xfId="0" applyNumberFormat="1" applyFont="1" applyFill="1" applyBorder="1" applyAlignment="1">
      <alignment horizontal="center" vertical="center"/>
    </xf>
    <xf numFmtId="0" fontId="23" fillId="0" borderId="0" xfId="0" applyFont="1" applyFill="1" applyBorder="1"/>
    <xf numFmtId="2" fontId="17" fillId="0" borderId="1" xfId="0" applyNumberFormat="1" applyFont="1" applyFill="1" applyBorder="1" applyAlignment="1">
      <alignment horizontal="center"/>
    </xf>
    <xf numFmtId="0" fontId="21" fillId="0" borderId="0" xfId="0" applyFont="1" applyFill="1" applyBorder="1" applyAlignment="1">
      <alignment horizontal="right"/>
    </xf>
    <xf numFmtId="2" fontId="17" fillId="0" borderId="2" xfId="0" applyNumberFormat="1" applyFont="1" applyFill="1" applyBorder="1" applyAlignment="1">
      <alignment horizontal="center"/>
    </xf>
    <xf numFmtId="0" fontId="17" fillId="0" borderId="0" xfId="0" applyFont="1" applyFill="1" applyBorder="1" applyAlignment="1">
      <alignment horizontal="center"/>
    </xf>
    <xf numFmtId="0" fontId="31" fillId="0" borderId="0" xfId="0" applyFont="1" applyFill="1" applyBorder="1"/>
    <xf numFmtId="0" fontId="35" fillId="0" borderId="1" xfId="0" applyFont="1" applyBorder="1" applyAlignment="1">
      <alignment wrapText="1"/>
    </xf>
    <xf numFmtId="0" fontId="2" fillId="0" borderId="1" xfId="0" applyFont="1" applyBorder="1" applyAlignment="1">
      <alignment vertical="center"/>
    </xf>
    <xf numFmtId="0" fontId="0" fillId="0" borderId="1" xfId="0" applyBorder="1" applyAlignment="1">
      <alignment vertical="center"/>
    </xf>
    <xf numFmtId="165" fontId="0" fillId="0" borderId="1" xfId="0" applyNumberFormat="1" applyBorder="1" applyAlignment="1">
      <alignment vertical="center"/>
    </xf>
    <xf numFmtId="2" fontId="2" fillId="0" borderId="1" xfId="0" applyNumberFormat="1" applyFont="1" applyBorder="1" applyAlignment="1">
      <alignment vertical="center"/>
    </xf>
    <xf numFmtId="0" fontId="0" fillId="0" borderId="1" xfId="0" quotePrefix="1" applyBorder="1" applyAlignment="1">
      <alignment horizontal="right" vertical="center"/>
    </xf>
    <xf numFmtId="0" fontId="14" fillId="0" borderId="1" xfId="0" quotePrefix="1" applyFont="1" applyBorder="1" applyAlignment="1">
      <alignment horizontal="right" vertical="center" wrapText="1"/>
    </xf>
    <xf numFmtId="2" fontId="36" fillId="0" borderId="1" xfId="0" applyNumberFormat="1" applyFont="1" applyBorder="1" applyAlignment="1">
      <alignment vertical="center"/>
    </xf>
    <xf numFmtId="0" fontId="0" fillId="0" borderId="0" xfId="0" applyBorder="1" applyAlignment="1">
      <alignment vertical="center"/>
    </xf>
    <xf numFmtId="0" fontId="29" fillId="3" borderId="1" xfId="0" applyFont="1" applyFill="1" applyBorder="1" applyAlignment="1">
      <alignment vertical="center" wrapText="1"/>
    </xf>
    <xf numFmtId="0" fontId="35" fillId="0" borderId="1" xfId="0" quotePrefix="1" applyFont="1" applyBorder="1" applyAlignment="1">
      <alignment wrapText="1"/>
    </xf>
    <xf numFmtId="165" fontId="14" fillId="0" borderId="1" xfId="0" applyNumberFormat="1" applyFont="1" applyBorder="1" applyAlignment="1"/>
    <xf numFmtId="2" fontId="14" fillId="0" borderId="1" xfId="0" applyNumberFormat="1" applyFont="1" applyBorder="1" applyAlignment="1"/>
    <xf numFmtId="2" fontId="3" fillId="0" borderId="1" xfId="0" applyNumberFormat="1" applyFont="1" applyBorder="1" applyAlignment="1"/>
    <xf numFmtId="2" fontId="3" fillId="0" borderId="1" xfId="1" applyNumberFormat="1" applyFont="1" applyBorder="1" applyAlignment="1"/>
    <xf numFmtId="2" fontId="0" fillId="0" borderId="1" xfId="0" applyNumberFormat="1" applyBorder="1"/>
    <xf numFmtId="0" fontId="3" fillId="0" borderId="1" xfId="0" applyFont="1" applyBorder="1" applyAlignment="1"/>
    <xf numFmtId="0" fontId="0" fillId="0" borderId="1" xfId="0" applyBorder="1" applyAlignment="1"/>
    <xf numFmtId="0" fontId="14" fillId="0" borderId="1" xfId="0" applyFont="1" applyBorder="1" applyAlignment="1"/>
    <xf numFmtId="0" fontId="0" fillId="0" borderId="0" xfId="0" applyAlignment="1"/>
    <xf numFmtId="0" fontId="27" fillId="0" borderId="0" xfId="0" applyFont="1" applyBorder="1" applyAlignment="1">
      <alignment horizontal="center"/>
    </xf>
    <xf numFmtId="0" fontId="38" fillId="3" borderId="1" xfId="0" applyFont="1" applyFill="1" applyBorder="1" applyAlignment="1">
      <alignment wrapText="1"/>
    </xf>
    <xf numFmtId="2" fontId="14" fillId="0" borderId="1" xfId="0" quotePrefix="1" applyNumberFormat="1" applyFont="1" applyBorder="1" applyAlignment="1">
      <alignment horizontal="right" wrapText="1"/>
    </xf>
    <xf numFmtId="0" fontId="14" fillId="0" borderId="1" xfId="0" quotePrefix="1" applyFont="1" applyBorder="1" applyAlignment="1">
      <alignment wrapText="1"/>
    </xf>
    <xf numFmtId="0" fontId="27" fillId="0" borderId="0" xfId="0" applyFont="1" applyBorder="1" applyAlignment="1">
      <alignment horizontal="center"/>
    </xf>
    <xf numFmtId="1" fontId="41" fillId="0" borderId="1" xfId="0" applyNumberFormat="1" applyFont="1" applyFill="1" applyBorder="1" applyAlignment="1">
      <alignment vertical="center"/>
    </xf>
    <xf numFmtId="0" fontId="41" fillId="0" borderId="1" xfId="0" applyFont="1" applyBorder="1" applyAlignment="1">
      <alignment vertical="center"/>
    </xf>
    <xf numFmtId="0" fontId="42" fillId="0" borderId="1" xfId="0" quotePrefix="1" applyFont="1" applyBorder="1" applyAlignment="1">
      <alignment horizontal="right" wrapText="1"/>
    </xf>
    <xf numFmtId="165" fontId="42" fillId="0" borderId="1" xfId="0" applyNumberFormat="1" applyFont="1" applyFill="1" applyBorder="1" applyAlignment="1">
      <alignment vertical="center"/>
    </xf>
    <xf numFmtId="2" fontId="42" fillId="0" borderId="1" xfId="1" applyNumberFormat="1" applyFont="1" applyFill="1" applyBorder="1" applyAlignment="1">
      <alignment vertical="center"/>
    </xf>
    <xf numFmtId="2" fontId="42" fillId="0" borderId="1" xfId="0" applyNumberFormat="1" applyFont="1" applyFill="1" applyBorder="1" applyAlignment="1">
      <alignment vertical="center"/>
    </xf>
    <xf numFmtId="2" fontId="42" fillId="0" borderId="1" xfId="0" applyNumberFormat="1" applyFont="1" applyBorder="1" applyAlignment="1">
      <alignment vertical="center"/>
    </xf>
    <xf numFmtId="2" fontId="42" fillId="0" borderId="1" xfId="0" quotePrefix="1" applyNumberFormat="1" applyFont="1" applyBorder="1" applyAlignment="1">
      <alignment horizontal="right" wrapText="1"/>
    </xf>
    <xf numFmtId="0" fontId="13" fillId="0" borderId="1" xfId="0" quotePrefix="1" applyFont="1" applyBorder="1" applyAlignment="1">
      <alignment horizontal="right" wrapText="1"/>
    </xf>
    <xf numFmtId="2" fontId="13" fillId="0" borderId="1" xfId="0" quotePrefix="1" applyNumberFormat="1" applyFont="1" applyBorder="1" applyAlignment="1">
      <alignment horizontal="right" wrapText="1"/>
    </xf>
    <xf numFmtId="2" fontId="13" fillId="0" borderId="1" xfId="0" applyNumberFormat="1" applyFont="1" applyBorder="1" applyAlignment="1">
      <alignment vertical="center"/>
    </xf>
    <xf numFmtId="2" fontId="12" fillId="0" borderId="1" xfId="0" applyNumberFormat="1" applyFont="1" applyBorder="1"/>
    <xf numFmtId="0" fontId="36" fillId="0" borderId="0" xfId="0" applyFont="1"/>
    <xf numFmtId="1" fontId="43" fillId="0" borderId="1" xfId="0" applyNumberFormat="1" applyFont="1" applyFill="1" applyBorder="1" applyAlignment="1">
      <alignment vertical="center" wrapText="1"/>
    </xf>
    <xf numFmtId="2" fontId="41" fillId="0" borderId="1" xfId="1" applyNumberFormat="1" applyFont="1" applyFill="1" applyBorder="1" applyAlignment="1">
      <alignment vertical="center"/>
    </xf>
    <xf numFmtId="2" fontId="41" fillId="0" borderId="1" xfId="0" applyNumberFormat="1" applyFont="1" applyFill="1" applyBorder="1" applyAlignment="1">
      <alignment vertical="center"/>
    </xf>
    <xf numFmtId="2" fontId="41" fillId="0" borderId="1" xfId="0" applyNumberFormat="1" applyFont="1" applyBorder="1"/>
    <xf numFmtId="0" fontId="42" fillId="0" borderId="1" xfId="0" applyFont="1" applyBorder="1"/>
    <xf numFmtId="2" fontId="42" fillId="0" borderId="1" xfId="0" applyNumberFormat="1" applyFont="1" applyBorder="1"/>
    <xf numFmtId="0" fontId="41" fillId="0" borderId="1" xfId="0" applyFont="1" applyBorder="1"/>
    <xf numFmtId="2" fontId="41" fillId="0" borderId="1" xfId="0" applyNumberFormat="1" applyFont="1" applyBorder="1" applyAlignment="1">
      <alignment vertical="center"/>
    </xf>
    <xf numFmtId="2" fontId="41" fillId="0" borderId="1" xfId="1" applyNumberFormat="1" applyFont="1" applyBorder="1" applyAlignment="1">
      <alignment vertical="center"/>
    </xf>
    <xf numFmtId="0" fontId="41" fillId="0" borderId="1" xfId="0" applyFont="1" applyBorder="1" applyAlignment="1"/>
    <xf numFmtId="0" fontId="43" fillId="0" borderId="1" xfId="0" quotePrefix="1" applyFont="1" applyBorder="1" applyAlignment="1">
      <alignment wrapText="1"/>
    </xf>
    <xf numFmtId="165" fontId="42" fillId="0" borderId="1" xfId="0" applyNumberFormat="1" applyFont="1" applyBorder="1" applyAlignment="1"/>
    <xf numFmtId="2" fontId="42" fillId="0" borderId="1" xfId="0" applyNumberFormat="1" applyFont="1" applyBorder="1" applyAlignment="1"/>
    <xf numFmtId="0" fontId="40" fillId="0" borderId="1" xfId="0" applyFont="1" applyBorder="1" applyAlignment="1"/>
    <xf numFmtId="2" fontId="41" fillId="0" borderId="1" xfId="1" applyNumberFormat="1" applyFont="1" applyBorder="1" applyAlignment="1"/>
    <xf numFmtId="0" fontId="42" fillId="0" borderId="1" xfId="0" applyFont="1" applyBorder="1" applyAlignment="1"/>
    <xf numFmtId="0" fontId="40" fillId="0" borderId="0" xfId="0" applyFont="1" applyAlignment="1"/>
    <xf numFmtId="0" fontId="40" fillId="0" borderId="0" xfId="0" applyFont="1"/>
    <xf numFmtId="0" fontId="40" fillId="0" borderId="1" xfId="0" applyFont="1" applyBorder="1"/>
    <xf numFmtId="2" fontId="40" fillId="0" borderId="1" xfId="0" applyNumberFormat="1" applyFont="1" applyBorder="1"/>
    <xf numFmtId="2" fontId="40" fillId="0" borderId="1" xfId="0" applyNumberFormat="1" applyFont="1" applyBorder="1" applyAlignment="1">
      <alignment vertical="center"/>
    </xf>
    <xf numFmtId="0" fontId="40" fillId="0" borderId="0" xfId="0" applyFont="1" applyAlignment="1">
      <alignment vertical="center"/>
    </xf>
    <xf numFmtId="2" fontId="41" fillId="0" borderId="1" xfId="0" applyNumberFormat="1" applyFont="1" applyBorder="1" applyAlignment="1"/>
    <xf numFmtId="0" fontId="47" fillId="3" borderId="1" xfId="0" applyFont="1" applyFill="1" applyBorder="1" applyAlignment="1">
      <alignment vertical="center" wrapText="1"/>
    </xf>
    <xf numFmtId="0" fontId="40" fillId="0" borderId="0" xfId="0" applyFont="1" applyBorder="1"/>
    <xf numFmtId="1" fontId="15" fillId="3" borderId="1" xfId="0" applyNumberFormat="1" applyFont="1" applyFill="1" applyBorder="1" applyAlignment="1">
      <alignment vertical="center" wrapText="1"/>
    </xf>
    <xf numFmtId="0" fontId="42" fillId="0" borderId="1" xfId="0" quotePrefix="1" applyFont="1" applyBorder="1" applyAlignment="1">
      <alignment horizontal="right" vertical="center" wrapText="1"/>
    </xf>
    <xf numFmtId="0" fontId="13" fillId="0" borderId="1" xfId="0" quotePrefix="1" applyFont="1" applyBorder="1" applyAlignment="1">
      <alignment horizontal="right" vertical="center" wrapText="1"/>
    </xf>
    <xf numFmtId="2" fontId="13" fillId="0" borderId="1" xfId="0" applyNumberFormat="1" applyFont="1" applyFill="1" applyBorder="1" applyAlignment="1">
      <alignment horizontal="center" vertical="center" wrapText="1"/>
    </xf>
    <xf numFmtId="2" fontId="14" fillId="0" borderId="1" xfId="0" applyNumberFormat="1" applyFont="1" applyBorder="1" applyAlignment="1">
      <alignment horizontal="center" vertical="center"/>
    </xf>
    <xf numFmtId="0" fontId="38" fillId="0" borderId="0" xfId="0" applyFont="1" applyAlignment="1">
      <alignment horizontal="center"/>
    </xf>
    <xf numFmtId="2" fontId="14" fillId="0" borderId="1" xfId="1" applyNumberFormat="1" applyFon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6" fillId="0" borderId="2" xfId="0" applyFont="1" applyBorder="1"/>
    <xf numFmtId="0" fontId="6" fillId="0" borderId="2" xfId="0" applyFont="1" applyBorder="1" applyAlignment="1">
      <alignment horizontal="right"/>
    </xf>
    <xf numFmtId="0" fontId="27" fillId="0" borderId="0" xfId="0" applyFont="1" applyBorder="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32" fillId="0" borderId="0" xfId="0" applyFont="1" applyFill="1" applyBorder="1" applyAlignment="1">
      <alignment horizontal="left"/>
    </xf>
    <xf numFmtId="0" fontId="27" fillId="0" borderId="0" xfId="0" applyFont="1" applyFill="1" applyBorder="1" applyAlignment="1">
      <alignment horizontal="center"/>
    </xf>
    <xf numFmtId="0" fontId="32" fillId="0" borderId="0" xfId="0" applyFont="1" applyFill="1" applyBorder="1" applyAlignment="1">
      <alignment horizontal="center"/>
    </xf>
    <xf numFmtId="0" fontId="23" fillId="0" borderId="6" xfId="0" applyFont="1" applyFill="1" applyBorder="1" applyAlignment="1">
      <alignment horizontal="center" vertical="center" wrapText="1"/>
    </xf>
    <xf numFmtId="0" fontId="33" fillId="0" borderId="4" xfId="0" applyFont="1" applyFill="1" applyBorder="1" applyAlignment="1">
      <alignment horizontal="center" vertical="center"/>
    </xf>
    <xf numFmtId="0" fontId="23" fillId="0" borderId="6" xfId="0" applyFont="1" applyFill="1" applyBorder="1" applyAlignment="1">
      <alignment horizontal="center" vertical="center"/>
    </xf>
    <xf numFmtId="0" fontId="23" fillId="0" borderId="3" xfId="0" applyFont="1" applyFill="1" applyBorder="1" applyAlignment="1">
      <alignment horizontal="center" vertical="center"/>
    </xf>
    <xf numFmtId="0" fontId="23" fillId="0" borderId="4" xfId="0" applyFont="1" applyFill="1" applyBorder="1" applyAlignment="1">
      <alignment horizontal="center" vertical="center"/>
    </xf>
    <xf numFmtId="0" fontId="34" fillId="0" borderId="0" xfId="0" applyFont="1" applyFill="1" applyBorder="1" applyAlignment="1">
      <alignment horizontal="left"/>
    </xf>
    <xf numFmtId="0" fontId="20" fillId="0" borderId="0" xfId="2" applyFont="1" applyAlignment="1">
      <alignment horizontal="center"/>
    </xf>
    <xf numFmtId="0" fontId="22" fillId="0" borderId="2" xfId="2" applyFont="1" applyBorder="1" applyAlignment="1">
      <alignment horizontal="center"/>
    </xf>
    <xf numFmtId="0" fontId="23" fillId="0" borderId="1" xfId="2" applyFont="1" applyBorder="1" applyAlignment="1">
      <alignment horizontal="center" vertical="center"/>
    </xf>
    <xf numFmtId="0" fontId="16" fillId="0" borderId="1" xfId="2" applyBorder="1" applyAlignment="1">
      <alignment horizontal="center" vertical="center"/>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178514</xdr:colOff>
      <xdr:row>32</xdr:row>
      <xdr:rowOff>130996</xdr:rowOff>
    </xdr:from>
    <xdr:to>
      <xdr:col>2</xdr:col>
      <xdr:colOff>435689</xdr:colOff>
      <xdr:row>33</xdr:row>
      <xdr:rowOff>96428</xdr:rowOff>
    </xdr:to>
    <xdr:sp macro="" textlink="">
      <xdr:nvSpPr>
        <xdr:cNvPr id="2" name="Text Box 181"/>
        <xdr:cNvSpPr txBox="1">
          <a:spLocks noChangeArrowheads="1"/>
        </xdr:cNvSpPr>
      </xdr:nvSpPr>
      <xdr:spPr bwMode="auto">
        <a:xfrm>
          <a:off x="1572974" y="228982456"/>
          <a:ext cx="257175" cy="194032"/>
        </a:xfrm>
        <a:prstGeom prst="rect">
          <a:avLst/>
        </a:prstGeom>
        <a:solidFill>
          <a:srgbClr val="FFFFFF"/>
        </a:solid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dar%20rate\dar%20rate%2080%2081\Civil%20rate%20analysis%2080-81%20%20shankharapur%20%20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ar%20rate%2078%2079\Road-rate%20analysis%20078-79_Kageshwori%20Mu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081_082/ofc/ofc/Rate%20analysis/for-all-Civil-rate-analysis-81-82-shankharapur-Municipalit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2)"/>
      <sheetName val="Sheet3"/>
      <sheetName val="Table of Content 1"/>
      <sheetName val="Sheet1"/>
      <sheetName val="rate anal ciaa"/>
      <sheetName val="inland revenue"/>
    </sheetNames>
    <sheetDataSet>
      <sheetData sheetId="0" refreshError="1"/>
      <sheetData sheetId="1" refreshError="1"/>
      <sheetData sheetId="2" refreshError="1"/>
      <sheetData sheetId="3" refreshError="1">
        <row r="5">
          <cell r="N5">
            <v>900</v>
          </cell>
        </row>
        <row r="6">
          <cell r="N6">
            <v>1200</v>
          </cell>
        </row>
        <row r="41">
          <cell r="N41">
            <v>0</v>
          </cell>
        </row>
        <row r="43">
          <cell r="N43">
            <v>613.31999999999994</v>
          </cell>
        </row>
        <row r="46">
          <cell r="N46">
            <v>99000</v>
          </cell>
        </row>
        <row r="49">
          <cell r="N49">
            <v>106</v>
          </cell>
        </row>
        <row r="50">
          <cell r="N50">
            <v>312</v>
          </cell>
        </row>
        <row r="53">
          <cell r="N53">
            <v>215037.9</v>
          </cell>
        </row>
        <row r="55">
          <cell r="N55">
            <v>57449.37</v>
          </cell>
        </row>
        <row r="56">
          <cell r="N56">
            <v>231704.22</v>
          </cell>
        </row>
        <row r="57">
          <cell r="N57">
            <v>2023.7766666666666</v>
          </cell>
        </row>
        <row r="60">
          <cell r="N60">
            <v>4</v>
          </cell>
        </row>
        <row r="61">
          <cell r="N61">
            <v>21.142857142857142</v>
          </cell>
        </row>
        <row r="62">
          <cell r="N62">
            <v>29</v>
          </cell>
        </row>
        <row r="63">
          <cell r="N63">
            <v>15</v>
          </cell>
        </row>
        <row r="64">
          <cell r="N64">
            <v>42</v>
          </cell>
        </row>
        <row r="65">
          <cell r="N65">
            <v>71</v>
          </cell>
        </row>
        <row r="66">
          <cell r="N66">
            <v>114</v>
          </cell>
        </row>
        <row r="67">
          <cell r="N67">
            <v>1821</v>
          </cell>
        </row>
        <row r="68">
          <cell r="N68">
            <v>666</v>
          </cell>
        </row>
        <row r="69">
          <cell r="N69">
            <v>387.36</v>
          </cell>
        </row>
        <row r="71">
          <cell r="N71">
            <v>570.28</v>
          </cell>
        </row>
        <row r="83">
          <cell r="N83">
            <v>688.64</v>
          </cell>
        </row>
        <row r="88">
          <cell r="N88">
            <v>742.44</v>
          </cell>
        </row>
        <row r="89">
          <cell r="N89">
            <v>850.04</v>
          </cell>
        </row>
        <row r="92">
          <cell r="N92">
            <v>34</v>
          </cell>
        </row>
        <row r="93">
          <cell r="N93">
            <v>166</v>
          </cell>
        </row>
        <row r="94">
          <cell r="N94">
            <v>93</v>
          </cell>
        </row>
        <row r="95">
          <cell r="N95">
            <v>584.80941704035877</v>
          </cell>
        </row>
        <row r="97">
          <cell r="N97">
            <v>490.07847533632287</v>
          </cell>
        </row>
        <row r="188">
          <cell r="N188">
            <v>16.428571428571427</v>
          </cell>
        </row>
        <row r="189">
          <cell r="N189">
            <v>52</v>
          </cell>
        </row>
      </sheetData>
      <sheetData sheetId="4" refreshError="1"/>
      <sheetData sheetId="5" refreshError="1"/>
      <sheetData sheetId="6" refreshError="1"/>
      <sheetData sheetId="7" refreshError="1">
        <row r="7">
          <cell r="F7">
            <v>900</v>
          </cell>
        </row>
        <row r="28">
          <cell r="F28">
            <v>900</v>
          </cell>
        </row>
        <row r="40">
          <cell r="F40" t="str">
            <v>jf:tljs b//]6</v>
          </cell>
        </row>
        <row r="49">
          <cell r="F49">
            <v>900</v>
          </cell>
        </row>
        <row r="61">
          <cell r="F61" t="str">
            <v>jf:tljs b//]6</v>
          </cell>
        </row>
        <row r="117">
          <cell r="F117">
            <v>900</v>
          </cell>
        </row>
        <row r="129">
          <cell r="F129">
            <v>900</v>
          </cell>
        </row>
        <row r="665">
          <cell r="F665">
            <v>0.28000000000000003</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 val="Datasheet"/>
      <sheetName val="Abstract"/>
      <sheetName val="Quantity_Sheet"/>
      <sheetName val="District_Rate"/>
      <sheetName val="Equipment_Rate"/>
      <sheetName val="Summary_of_Rates"/>
      <sheetName val="rate (roadway)"/>
      <sheetName val="manhole"/>
    </sheetNames>
    <sheetDataSet>
      <sheetData sheetId="0" refreshError="1"/>
      <sheetData sheetId="1" refreshError="1"/>
      <sheetData sheetId="2" refreshError="1">
        <row r="36">
          <cell r="D36">
            <v>40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59">
          <cell r="N59">
            <v>132</v>
          </cell>
        </row>
        <row r="215">
          <cell r="N215">
            <v>2304</v>
          </cell>
        </row>
      </sheetData>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20dL=dL=%20l;d]G6%20afn'jf%20-!M$_%20Knfi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mailto:!@=%25%20dL=dL=%20l;d]G6%20afn'jf%20-!M$_%20Knfi6/"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1"/>
  <sheetViews>
    <sheetView topLeftCell="A85" zoomScaleNormal="100" workbookViewId="0">
      <selection activeCell="E97" sqref="E97"/>
    </sheetView>
  </sheetViews>
  <sheetFormatPr defaultRowHeight="14.4"/>
  <cols>
    <col min="1" max="1" width="4.6640625" customWidth="1"/>
    <col min="2" max="2" width="31.33203125" customWidth="1"/>
    <col min="3" max="3" width="5.5546875" bestFit="1" customWidth="1"/>
    <col min="4" max="4" width="7.5546875" customWidth="1"/>
    <col min="5" max="5" width="10.109375" bestFit="1" customWidth="1"/>
    <col min="6" max="6" width="9.5546875" bestFit="1" customWidth="1"/>
    <col min="7" max="7" width="9.44140625" customWidth="1"/>
    <col min="8" max="8" width="5" bestFit="1" customWidth="1"/>
    <col min="9" max="10" width="10.6640625" bestFit="1" customWidth="1"/>
  </cols>
  <sheetData>
    <row r="1" spans="1:14" s="1" customFormat="1">
      <c r="A1" s="189" t="s">
        <v>0</v>
      </c>
      <c r="B1" s="189"/>
      <c r="C1" s="189"/>
      <c r="D1" s="189"/>
      <c r="E1" s="189"/>
      <c r="F1" s="189"/>
      <c r="G1" s="189"/>
      <c r="H1" s="189"/>
      <c r="I1" s="189"/>
      <c r="J1" s="189"/>
      <c r="K1" s="189"/>
    </row>
    <row r="2" spans="1:14" s="1" customFormat="1" ht="22.8">
      <c r="A2" s="190" t="s">
        <v>1</v>
      </c>
      <c r="B2" s="190"/>
      <c r="C2" s="190"/>
      <c r="D2" s="190"/>
      <c r="E2" s="190"/>
      <c r="F2" s="190"/>
      <c r="G2" s="190"/>
      <c r="H2" s="190"/>
      <c r="I2" s="190"/>
      <c r="J2" s="190"/>
      <c r="K2" s="190"/>
    </row>
    <row r="3" spans="1:14" s="1" customFormat="1">
      <c r="A3" s="191" t="s">
        <v>2</v>
      </c>
      <c r="B3" s="191"/>
      <c r="C3" s="191"/>
      <c r="D3" s="191"/>
      <c r="E3" s="191"/>
      <c r="F3" s="191"/>
      <c r="G3" s="191"/>
      <c r="H3" s="191"/>
      <c r="I3" s="191"/>
      <c r="J3" s="191"/>
      <c r="K3" s="191"/>
    </row>
    <row r="4" spans="1:14" s="1" customFormat="1">
      <c r="A4" s="191" t="s">
        <v>3</v>
      </c>
      <c r="B4" s="191"/>
      <c r="C4" s="191"/>
      <c r="D4" s="191"/>
      <c r="E4" s="191"/>
      <c r="F4" s="191"/>
      <c r="G4" s="191"/>
      <c r="H4" s="191"/>
      <c r="I4" s="191"/>
      <c r="J4" s="191"/>
      <c r="K4" s="191"/>
    </row>
    <row r="5" spans="1:14" ht="17.399999999999999">
      <c r="A5" s="192" t="s">
        <v>4</v>
      </c>
      <c r="B5" s="192"/>
      <c r="C5" s="192"/>
      <c r="D5" s="192"/>
      <c r="E5" s="192"/>
      <c r="F5" s="192"/>
      <c r="G5" s="192"/>
      <c r="H5" s="192"/>
      <c r="I5" s="192"/>
      <c r="J5" s="192"/>
      <c r="K5" s="192"/>
    </row>
    <row r="6" spans="1:14" ht="15.6">
      <c r="A6" s="193" t="s">
        <v>44</v>
      </c>
      <c r="B6" s="193"/>
      <c r="C6" s="193"/>
      <c r="D6" s="193"/>
      <c r="E6" s="193"/>
      <c r="F6" s="193"/>
      <c r="G6" s="2"/>
      <c r="H6" s="194" t="s">
        <v>42</v>
      </c>
      <c r="I6" s="194"/>
      <c r="J6" s="194"/>
      <c r="K6" s="194"/>
    </row>
    <row r="7" spans="1:14" ht="15.6">
      <c r="A7" s="195" t="s">
        <v>28</v>
      </c>
      <c r="B7" s="195"/>
      <c r="C7" s="195"/>
      <c r="D7" s="195"/>
      <c r="E7" s="195"/>
      <c r="F7" s="195"/>
      <c r="G7" s="3"/>
      <c r="H7" s="196" t="s">
        <v>158</v>
      </c>
      <c r="I7" s="196"/>
      <c r="J7" s="196"/>
      <c r="K7" s="196"/>
    </row>
    <row r="8" spans="1:14" ht="15" customHeight="1">
      <c r="A8" s="4" t="s">
        <v>5</v>
      </c>
      <c r="B8" s="15" t="s">
        <v>6</v>
      </c>
      <c r="C8" s="4" t="s">
        <v>7</v>
      </c>
      <c r="D8" s="16" t="s">
        <v>8</v>
      </c>
      <c r="E8" s="16" t="s">
        <v>9</v>
      </c>
      <c r="F8" s="16" t="s">
        <v>10</v>
      </c>
      <c r="G8" s="16" t="s">
        <v>11</v>
      </c>
      <c r="H8" s="4" t="s">
        <v>12</v>
      </c>
      <c r="I8" s="16" t="s">
        <v>13</v>
      </c>
      <c r="J8" s="16" t="s">
        <v>14</v>
      </c>
      <c r="K8" s="17" t="s">
        <v>15</v>
      </c>
    </row>
    <row r="9" spans="1:14" ht="27.6">
      <c r="A9" s="18">
        <v>1</v>
      </c>
      <c r="B9" s="59" t="s">
        <v>147</v>
      </c>
      <c r="C9" s="4"/>
      <c r="D9" s="16"/>
      <c r="E9" s="16"/>
      <c r="F9" s="16"/>
      <c r="G9" s="16"/>
      <c r="H9" s="4"/>
      <c r="I9" s="16"/>
      <c r="J9" s="16"/>
      <c r="K9" s="17"/>
    </row>
    <row r="10" spans="1:14" ht="15" customHeight="1">
      <c r="A10" s="18"/>
      <c r="B10" s="35" t="s">
        <v>148</v>
      </c>
      <c r="C10" s="34">
        <v>1</v>
      </c>
      <c r="D10" s="36">
        <f>3.1+3.1+2.3+2.3+5.6+1.6</f>
        <v>18</v>
      </c>
      <c r="E10" s="36">
        <f>0.1</f>
        <v>0.1</v>
      </c>
      <c r="F10" s="36">
        <f>2.333/3.281</f>
        <v>0.7110637000914356</v>
      </c>
      <c r="G10" s="37">
        <f t="shared" ref="G10" si="0">PRODUCT(C10:F10)</f>
        <v>1.2799146601645841</v>
      </c>
      <c r="H10" s="38"/>
      <c r="I10" s="38"/>
      <c r="J10" s="38"/>
      <c r="K10" s="60"/>
      <c r="N10">
        <f>5.84+1.76</f>
        <v>7.6</v>
      </c>
    </row>
    <row r="11" spans="1:14" ht="15" customHeight="1">
      <c r="A11" s="18"/>
      <c r="B11" s="35" t="s">
        <v>41</v>
      </c>
      <c r="C11" s="34"/>
      <c r="D11" s="36"/>
      <c r="E11" s="36"/>
      <c r="F11" s="36"/>
      <c r="G11" s="32">
        <f>SUM(G10:G10)</f>
        <v>1.2799146601645841</v>
      </c>
      <c r="H11" s="38" t="s">
        <v>85</v>
      </c>
      <c r="I11" s="38">
        <v>975.2</v>
      </c>
      <c r="J11" s="40">
        <f>G11*I11</f>
        <v>1248.1727765925025</v>
      </c>
      <c r="K11" s="21"/>
    </row>
    <row r="12" spans="1:14" ht="15" customHeight="1">
      <c r="A12" s="18"/>
      <c r="B12" s="35"/>
      <c r="C12" s="34"/>
      <c r="D12" s="36"/>
      <c r="E12" s="36"/>
      <c r="F12" s="36"/>
      <c r="G12" s="37"/>
      <c r="H12" s="38"/>
      <c r="I12" s="38"/>
      <c r="J12" s="40"/>
      <c r="K12" s="21"/>
    </row>
    <row r="13" spans="1:14" ht="27.6">
      <c r="A13" s="18">
        <v>2</v>
      </c>
      <c r="B13" s="59" t="s">
        <v>149</v>
      </c>
      <c r="C13" s="34"/>
      <c r="D13" s="36"/>
      <c r="E13" s="36"/>
      <c r="F13" s="36"/>
      <c r="G13" s="37"/>
      <c r="H13" s="38"/>
      <c r="I13" s="38"/>
      <c r="J13" s="40"/>
      <c r="K13" s="21"/>
    </row>
    <row r="14" spans="1:14" ht="15" customHeight="1">
      <c r="A14" s="18"/>
      <c r="B14" s="35" t="s">
        <v>48</v>
      </c>
      <c r="C14" s="34">
        <v>1</v>
      </c>
      <c r="D14" s="36">
        <f>D10</f>
        <v>18</v>
      </c>
      <c r="E14" s="36">
        <v>0.23</v>
      </c>
      <c r="F14" s="36">
        <f>F10</f>
        <v>0.7110637000914356</v>
      </c>
      <c r="G14" s="37">
        <f>PRODUCT(C14:F14)</f>
        <v>2.9438037183785437</v>
      </c>
      <c r="H14" s="38"/>
      <c r="I14" s="38"/>
      <c r="J14" s="38"/>
      <c r="K14" s="60"/>
      <c r="N14">
        <f>5.84+1.76</f>
        <v>7.6</v>
      </c>
    </row>
    <row r="15" spans="1:14" ht="15" customHeight="1">
      <c r="A15" s="18"/>
      <c r="B15" s="35" t="s">
        <v>151</v>
      </c>
      <c r="C15" s="34">
        <v>1</v>
      </c>
      <c r="D15" s="36">
        <v>6.55</v>
      </c>
      <c r="E15" s="36">
        <v>0.23</v>
      </c>
      <c r="F15" s="36">
        <v>0.3</v>
      </c>
      <c r="G15" s="37">
        <f>PRODUCT(C15:F15)</f>
        <v>0.45194999999999996</v>
      </c>
      <c r="H15" s="38"/>
      <c r="I15" s="38"/>
      <c r="J15" s="38"/>
      <c r="K15" s="60"/>
    </row>
    <row r="16" spans="1:14" ht="15" customHeight="1">
      <c r="A16" s="18"/>
      <c r="B16" s="35" t="s">
        <v>41</v>
      </c>
      <c r="C16" s="34"/>
      <c r="D16" s="36"/>
      <c r="E16" s="36"/>
      <c r="F16" s="36"/>
      <c r="G16" s="32">
        <f>SUM(G14:G15)</f>
        <v>3.3957537183785438</v>
      </c>
      <c r="H16" s="38" t="s">
        <v>85</v>
      </c>
      <c r="I16" s="38">
        <v>14362.76</v>
      </c>
      <c r="J16" s="40">
        <f>G16*I16</f>
        <v>48772.395676178618</v>
      </c>
      <c r="K16" s="21"/>
    </row>
    <row r="17" spans="1:14" ht="15" customHeight="1">
      <c r="A17" s="18"/>
      <c r="B17" s="35" t="s">
        <v>40</v>
      </c>
      <c r="C17" s="34"/>
      <c r="D17" s="36"/>
      <c r="E17" s="36"/>
      <c r="F17" s="36"/>
      <c r="G17" s="37"/>
      <c r="H17" s="38"/>
      <c r="I17" s="38"/>
      <c r="J17" s="40">
        <f>0.13*G16*10311.74</f>
        <v>4552.0968282338599</v>
      </c>
      <c r="K17" s="21"/>
    </row>
    <row r="18" spans="1:14" ht="15" customHeight="1">
      <c r="A18" s="18"/>
      <c r="B18" s="35"/>
      <c r="C18" s="34"/>
      <c r="D18" s="36"/>
      <c r="E18" s="36"/>
      <c r="F18" s="36"/>
      <c r="G18" s="37"/>
      <c r="H18" s="38"/>
      <c r="I18" s="38"/>
      <c r="J18" s="40"/>
      <c r="K18" s="21"/>
    </row>
    <row r="19" spans="1:14" s="1" customFormat="1" ht="55.2">
      <c r="A19" s="58">
        <v>3</v>
      </c>
      <c r="B19" s="59" t="s">
        <v>45</v>
      </c>
      <c r="C19" s="59"/>
      <c r="D19" s="37"/>
      <c r="E19" s="37"/>
      <c r="F19" s="37"/>
      <c r="G19" s="37"/>
      <c r="H19" s="37"/>
      <c r="I19" s="37"/>
      <c r="J19" s="40"/>
      <c r="K19" s="28"/>
    </row>
    <row r="20" spans="1:14" ht="15" customHeight="1">
      <c r="A20" s="18"/>
      <c r="B20" s="35" t="s">
        <v>46</v>
      </c>
      <c r="C20" s="34">
        <v>1</v>
      </c>
      <c r="D20" s="36">
        <f>((5.84+1.76)+(4.23+3.4))/2</f>
        <v>7.6150000000000002</v>
      </c>
      <c r="E20" s="36">
        <f>(3.48+3.5)/2</f>
        <v>3.49</v>
      </c>
      <c r="F20" s="36"/>
      <c r="G20" s="37">
        <f t="shared" ref="G20:G22" si="1">PRODUCT(C20:F20)</f>
        <v>26.576350000000001</v>
      </c>
      <c r="H20" s="38"/>
      <c r="I20" s="38"/>
      <c r="J20" s="38"/>
      <c r="K20" s="60"/>
      <c r="N20">
        <f>5.84+1.76</f>
        <v>7.6</v>
      </c>
    </row>
    <row r="21" spans="1:14" ht="15" customHeight="1">
      <c r="A21" s="18"/>
      <c r="B21" s="35"/>
      <c r="C21" s="34">
        <v>1</v>
      </c>
      <c r="D21" s="36">
        <f>((3.87+1.86)+(3.57+2.18))/2</f>
        <v>5.74</v>
      </c>
      <c r="E21" s="36">
        <f>1.15+0.59+0.59</f>
        <v>2.3299999999999996</v>
      </c>
      <c r="F21" s="36"/>
      <c r="G21" s="37">
        <f t="shared" si="1"/>
        <v>13.374199999999998</v>
      </c>
      <c r="H21" s="38"/>
      <c r="I21" s="38"/>
      <c r="J21" s="38"/>
      <c r="K21" s="60"/>
      <c r="N21">
        <f>3.87+1.86</f>
        <v>5.73</v>
      </c>
    </row>
    <row r="22" spans="1:14" ht="15" customHeight="1">
      <c r="A22" s="18"/>
      <c r="B22" s="35"/>
      <c r="C22" s="34">
        <v>1</v>
      </c>
      <c r="D22" s="36">
        <f>5.7</f>
        <v>5.7</v>
      </c>
      <c r="E22" s="36">
        <f>2.3</f>
        <v>2.2999999999999998</v>
      </c>
      <c r="F22" s="36"/>
      <c r="G22" s="37">
        <f t="shared" si="1"/>
        <v>13.11</v>
      </c>
      <c r="H22" s="38"/>
      <c r="I22" s="38"/>
      <c r="J22" s="38"/>
      <c r="K22" s="60"/>
    </row>
    <row r="23" spans="1:14" ht="15" customHeight="1">
      <c r="A23" s="18"/>
      <c r="B23" s="35" t="s">
        <v>41</v>
      </c>
      <c r="C23" s="34"/>
      <c r="D23" s="36"/>
      <c r="E23" s="36"/>
      <c r="F23" s="36"/>
      <c r="G23" s="32">
        <f>SUM(G20:G22)</f>
        <v>53.060549999999999</v>
      </c>
      <c r="H23" s="38" t="s">
        <v>43</v>
      </c>
      <c r="I23" s="38">
        <v>817.76</v>
      </c>
      <c r="J23" s="40">
        <f>G23*I23</f>
        <v>43390.795367999999</v>
      </c>
      <c r="K23" s="21"/>
    </row>
    <row r="24" spans="1:14" ht="15" customHeight="1">
      <c r="A24" s="18"/>
      <c r="B24" s="35" t="s">
        <v>40</v>
      </c>
      <c r="C24" s="34"/>
      <c r="D24" s="36"/>
      <c r="E24" s="36"/>
      <c r="F24" s="36"/>
      <c r="G24" s="37"/>
      <c r="H24" s="38"/>
      <c r="I24" s="38"/>
      <c r="J24" s="40">
        <f>0.13*J23</f>
        <v>5640.8033978399999</v>
      </c>
      <c r="K24" s="21"/>
    </row>
    <row r="25" spans="1:14" ht="15" customHeight="1">
      <c r="A25" s="18"/>
      <c r="B25" s="35"/>
      <c r="C25" s="34"/>
      <c r="D25" s="36"/>
      <c r="E25" s="36"/>
      <c r="F25" s="36"/>
      <c r="G25" s="37"/>
      <c r="H25" s="38"/>
      <c r="I25" s="38"/>
      <c r="J25" s="40"/>
      <c r="K25" s="21"/>
    </row>
    <row r="26" spans="1:14" ht="27.6">
      <c r="A26" s="18">
        <v>4</v>
      </c>
      <c r="B26" s="59" t="s">
        <v>47</v>
      </c>
      <c r="C26" s="34"/>
      <c r="D26" s="36"/>
      <c r="E26" s="36"/>
      <c r="F26" s="36"/>
      <c r="G26" s="37"/>
      <c r="H26" s="38"/>
      <c r="I26" s="38"/>
      <c r="J26" s="40"/>
      <c r="K26" s="21"/>
    </row>
    <row r="27" spans="1:14" ht="15" customHeight="1">
      <c r="A27" s="18"/>
      <c r="B27" s="35" t="s">
        <v>48</v>
      </c>
      <c r="C27" s="34">
        <v>3</v>
      </c>
      <c r="D27" s="36">
        <f>12/3.281</f>
        <v>3.6574215178299299</v>
      </c>
      <c r="E27" s="36">
        <f>3.5/3.281</f>
        <v>1.0667479427003961</v>
      </c>
      <c r="F27" s="36"/>
      <c r="G27" s="37">
        <f>PRODUCT(C27:F27)</f>
        <v>11.704640639199713</v>
      </c>
      <c r="H27" s="38"/>
      <c r="I27" s="38"/>
      <c r="J27" s="38"/>
      <c r="K27" s="60"/>
      <c r="N27">
        <f>5.84+1.76</f>
        <v>7.6</v>
      </c>
    </row>
    <row r="28" spans="1:14" ht="15" customHeight="1">
      <c r="A28" s="18"/>
      <c r="B28" s="35" t="s">
        <v>41</v>
      </c>
      <c r="C28" s="34"/>
      <c r="D28" s="36"/>
      <c r="E28" s="36"/>
      <c r="F28" s="36"/>
      <c r="G28" s="32">
        <f>SUM(G27:G27)</f>
        <v>11.704640639199713</v>
      </c>
      <c r="H28" s="38" t="s">
        <v>43</v>
      </c>
      <c r="I28" s="38">
        <v>1070.9000000000001</v>
      </c>
      <c r="J28" s="40">
        <f>G28*I28</f>
        <v>12534.499660518974</v>
      </c>
      <c r="K28" s="21"/>
    </row>
    <row r="29" spans="1:14" ht="15" customHeight="1">
      <c r="A29" s="18"/>
      <c r="B29" s="35" t="s">
        <v>40</v>
      </c>
      <c r="C29" s="34"/>
      <c r="D29" s="36"/>
      <c r="E29" s="36"/>
      <c r="F29" s="36"/>
      <c r="G29" s="37"/>
      <c r="H29" s="38"/>
      <c r="I29" s="38"/>
      <c r="J29" s="40">
        <f>0.13*G28*8587.63/10</f>
        <v>1306.6966002013382</v>
      </c>
      <c r="K29" s="21"/>
    </row>
    <row r="30" spans="1:14" ht="15" customHeight="1">
      <c r="A30" s="18"/>
      <c r="B30" s="35"/>
      <c r="C30" s="34"/>
      <c r="D30" s="36"/>
      <c r="E30" s="36"/>
      <c r="F30" s="36"/>
      <c r="G30" s="37"/>
      <c r="H30" s="38"/>
      <c r="I30" s="38"/>
      <c r="J30" s="40"/>
      <c r="K30" s="21"/>
    </row>
    <row r="31" spans="1:14" ht="27.6">
      <c r="A31" s="18">
        <v>5</v>
      </c>
      <c r="B31" s="59" t="s">
        <v>154</v>
      </c>
      <c r="C31" s="34"/>
      <c r="D31" s="36"/>
      <c r="E31" s="36"/>
      <c r="F31" s="36"/>
      <c r="G31" s="37"/>
      <c r="H31" s="38"/>
      <c r="I31" s="38"/>
      <c r="J31" s="40"/>
      <c r="K31" s="21"/>
    </row>
    <row r="32" spans="1:14" ht="15" customHeight="1">
      <c r="A32" s="18"/>
      <c r="B32" s="35" t="s">
        <v>48</v>
      </c>
      <c r="C32" s="34">
        <v>1</v>
      </c>
      <c r="D32" s="36">
        <f>3.1+3.1+5.6+1.6</f>
        <v>13.4</v>
      </c>
      <c r="E32" s="36"/>
      <c r="F32" s="36"/>
      <c r="G32" s="37">
        <f>PRODUCT(C32:F32)</f>
        <v>13.4</v>
      </c>
      <c r="H32" s="38"/>
      <c r="I32" s="38"/>
      <c r="J32" s="38"/>
      <c r="K32" s="60"/>
      <c r="N32">
        <f>5.84+1.76</f>
        <v>7.6</v>
      </c>
    </row>
    <row r="33" spans="1:19" ht="15" customHeight="1">
      <c r="A33" s="18"/>
      <c r="B33" s="35" t="s">
        <v>41</v>
      </c>
      <c r="C33" s="34"/>
      <c r="D33" s="36"/>
      <c r="E33" s="36"/>
      <c r="F33" s="36"/>
      <c r="G33" s="32">
        <f>SUM(G32:G32)</f>
        <v>13.4</v>
      </c>
      <c r="H33" s="38" t="s">
        <v>155</v>
      </c>
      <c r="I33" s="38">
        <v>1108.01</v>
      </c>
      <c r="J33" s="40">
        <f>G33*I33</f>
        <v>14847.334000000001</v>
      </c>
      <c r="K33" s="21"/>
    </row>
    <row r="34" spans="1:19" ht="15" customHeight="1">
      <c r="A34" s="18"/>
      <c r="B34" s="35" t="s">
        <v>40</v>
      </c>
      <c r="C34" s="34"/>
      <c r="D34" s="36"/>
      <c r="E34" s="36"/>
      <c r="F34" s="36"/>
      <c r="G34" s="37"/>
      <c r="H34" s="38"/>
      <c r="I34" s="38"/>
      <c r="J34" s="40">
        <f>0.13*G33*7076.41/10</f>
        <v>1232.7106220000001</v>
      </c>
      <c r="K34" s="21"/>
    </row>
    <row r="35" spans="1:19" ht="15" customHeight="1">
      <c r="A35" s="18"/>
      <c r="B35" s="35"/>
      <c r="C35" s="34"/>
      <c r="D35" s="36"/>
      <c r="E35" s="36"/>
      <c r="F35" s="36"/>
      <c r="G35" s="37"/>
      <c r="H35" s="38"/>
      <c r="I35" s="38"/>
      <c r="J35" s="40"/>
      <c r="K35" s="21"/>
    </row>
    <row r="36" spans="1:19" ht="41.4">
      <c r="A36" s="18">
        <v>6</v>
      </c>
      <c r="B36" s="59" t="s">
        <v>87</v>
      </c>
      <c r="C36" s="34"/>
      <c r="D36" s="36"/>
      <c r="E36" s="36"/>
      <c r="F36" s="36"/>
      <c r="G36" s="37"/>
      <c r="H36" s="38"/>
      <c r="I36" s="38"/>
      <c r="J36" s="40"/>
      <c r="K36" s="21"/>
    </row>
    <row r="37" spans="1:19" ht="15" customHeight="1">
      <c r="A37" s="18"/>
      <c r="B37" s="35" t="s">
        <v>84</v>
      </c>
      <c r="C37" s="34">
        <v>2</v>
      </c>
      <c r="D37" s="36">
        <f>(18+14)/3.281</f>
        <v>9.7531240475464784</v>
      </c>
      <c r="E37" s="36">
        <v>0.15</v>
      </c>
      <c r="F37" s="36">
        <v>0.6</v>
      </c>
      <c r="G37" s="37">
        <f>PRODUCT(C37:F37)</f>
        <v>1.7555623285583659</v>
      </c>
      <c r="H37" s="38"/>
      <c r="I37" s="38"/>
      <c r="J37" s="38"/>
      <c r="K37" s="60"/>
      <c r="N37">
        <f>5.84+1.76</f>
        <v>7.6</v>
      </c>
    </row>
    <row r="38" spans="1:19" ht="15" customHeight="1">
      <c r="A38" s="18"/>
      <c r="B38" s="35" t="s">
        <v>41</v>
      </c>
      <c r="C38" s="34"/>
      <c r="D38" s="36"/>
      <c r="E38" s="36"/>
      <c r="F38" s="36"/>
      <c r="G38" s="32">
        <f>SUM(G37:G37)</f>
        <v>1.7555623285583659</v>
      </c>
      <c r="H38" s="38" t="s">
        <v>85</v>
      </c>
      <c r="I38" s="38">
        <v>1950.4</v>
      </c>
      <c r="J38" s="40">
        <f>G38*I38</f>
        <v>3424.0487656202372</v>
      </c>
      <c r="K38" s="21"/>
    </row>
    <row r="39" spans="1:19" ht="15" customHeight="1">
      <c r="A39" s="18"/>
      <c r="B39" s="35" t="s">
        <v>40</v>
      </c>
      <c r="C39" s="34"/>
      <c r="D39" s="36"/>
      <c r="E39" s="36"/>
      <c r="F39" s="36"/>
      <c r="G39" s="37"/>
      <c r="H39" s="38"/>
      <c r="I39" s="38"/>
      <c r="J39" s="40">
        <f>0.13*J38</f>
        <v>445.12633953063084</v>
      </c>
      <c r="K39" s="21"/>
    </row>
    <row r="40" spans="1:19" ht="15" customHeight="1">
      <c r="A40" s="18"/>
      <c r="B40" s="35"/>
      <c r="C40" s="34"/>
      <c r="D40" s="36"/>
      <c r="E40" s="36"/>
      <c r="F40" s="36"/>
      <c r="G40" s="37"/>
      <c r="H40" s="38"/>
      <c r="I40" s="38"/>
      <c r="J40" s="40"/>
      <c r="K40" s="21"/>
    </row>
    <row r="41" spans="1:19" ht="30.6">
      <c r="A41" s="18">
        <v>7</v>
      </c>
      <c r="B41" s="86" t="s">
        <v>89</v>
      </c>
      <c r="C41" s="19"/>
      <c r="D41" s="20"/>
      <c r="E41" s="21"/>
      <c r="F41" s="21"/>
      <c r="G41" s="23"/>
      <c r="H41" s="22"/>
      <c r="I41" s="23"/>
      <c r="J41" s="39"/>
      <c r="K41" s="21"/>
      <c r="M41" s="87"/>
      <c r="N41" s="1"/>
      <c r="O41" s="1"/>
      <c r="P41" s="1"/>
      <c r="Q41" s="1"/>
      <c r="R41" s="87"/>
      <c r="S41" s="87"/>
    </row>
    <row r="42" spans="1:19" ht="15" customHeight="1">
      <c r="A42" s="18"/>
      <c r="B42" s="35" t="s">
        <v>90</v>
      </c>
      <c r="C42" s="19">
        <v>1</v>
      </c>
      <c r="D42" s="20">
        <f>D60</f>
        <v>9.7531240475464784</v>
      </c>
      <c r="E42" s="21">
        <v>0.4</v>
      </c>
      <c r="F42" s="21">
        <v>0.125</v>
      </c>
      <c r="G42" s="37">
        <f>PRODUCT(C42:F42)</f>
        <v>0.48765620237732393</v>
      </c>
      <c r="H42" s="22"/>
      <c r="I42" s="23"/>
      <c r="J42" s="39"/>
      <c r="K42" s="21"/>
    </row>
    <row r="43" spans="1:19" ht="15" customHeight="1">
      <c r="A43" s="18"/>
      <c r="B43" s="35" t="s">
        <v>41</v>
      </c>
      <c r="C43" s="19"/>
      <c r="D43" s="20"/>
      <c r="E43" s="21"/>
      <c r="F43" s="21"/>
      <c r="G43" s="23">
        <f>SUM(G42:G42)</f>
        <v>0.48765620237732393</v>
      </c>
      <c r="H43" s="22" t="s">
        <v>85</v>
      </c>
      <c r="I43" s="23">
        <v>663.31</v>
      </c>
      <c r="J43" s="39">
        <f>G43*I43</f>
        <v>323.46723559890273</v>
      </c>
      <c r="K43" s="21"/>
    </row>
    <row r="44" spans="1:19" ht="15" customHeight="1">
      <c r="A44" s="18"/>
      <c r="B44" s="35"/>
      <c r="C44" s="19"/>
      <c r="D44" s="20"/>
      <c r="E44" s="21"/>
      <c r="F44" s="21"/>
      <c r="G44" s="23"/>
      <c r="H44" s="22"/>
      <c r="I44" s="23"/>
      <c r="J44" s="39"/>
      <c r="K44" s="21"/>
    </row>
    <row r="45" spans="1:19" ht="15">
      <c r="A45" s="18">
        <v>8</v>
      </c>
      <c r="B45" s="88" t="s">
        <v>91</v>
      </c>
      <c r="C45" s="19"/>
      <c r="D45" s="20"/>
      <c r="E45" s="21"/>
      <c r="F45" s="21"/>
      <c r="G45" s="23"/>
      <c r="H45" s="22"/>
      <c r="I45" s="23"/>
      <c r="J45" s="39"/>
      <c r="K45" s="21"/>
    </row>
    <row r="46" spans="1:19" ht="15" customHeight="1">
      <c r="A46" s="18"/>
      <c r="B46" s="35" t="str">
        <f>B42</f>
        <v>-at drain wall base</v>
      </c>
      <c r="C46" s="19">
        <f>C42</f>
        <v>1</v>
      </c>
      <c r="D46" s="20">
        <f>D42</f>
        <v>9.7531240475464784</v>
      </c>
      <c r="E46" s="21">
        <f>E42+0.3</f>
        <v>0.7</v>
      </c>
      <c r="F46" s="21"/>
      <c r="G46" s="37">
        <f>PRODUCT(C46:F46)</f>
        <v>6.8271868332825347</v>
      </c>
      <c r="H46" s="22"/>
      <c r="I46" s="23"/>
      <c r="J46" s="39"/>
      <c r="K46" s="21"/>
    </row>
    <row r="47" spans="1:19" ht="15" customHeight="1">
      <c r="A47" s="18"/>
      <c r="B47" s="35" t="s">
        <v>152</v>
      </c>
      <c r="C47" s="19">
        <v>1</v>
      </c>
      <c r="D47" s="20">
        <f>D15</f>
        <v>6.55</v>
      </c>
      <c r="E47" s="21">
        <f>E15</f>
        <v>0.23</v>
      </c>
      <c r="F47" s="21"/>
      <c r="G47" s="37">
        <f>PRODUCT(C47:F47)</f>
        <v>1.5065</v>
      </c>
      <c r="H47" s="22"/>
      <c r="I47" s="23"/>
      <c r="J47" s="39"/>
      <c r="K47" s="21"/>
    </row>
    <row r="48" spans="1:19" ht="15" customHeight="1">
      <c r="A48" s="18"/>
      <c r="B48" s="35" t="str">
        <f>B83</f>
        <v>-at entrance</v>
      </c>
      <c r="C48" s="19">
        <f t="shared" ref="C48:E48" si="2">C83</f>
        <v>1</v>
      </c>
      <c r="D48" s="141">
        <f t="shared" si="2"/>
        <v>1.95</v>
      </c>
      <c r="E48" s="141">
        <f t="shared" si="2"/>
        <v>1</v>
      </c>
      <c r="F48" s="35"/>
      <c r="G48" s="37">
        <f>PRODUCT(C48:F48)</f>
        <v>1.95</v>
      </c>
      <c r="H48" s="22"/>
      <c r="I48" s="23"/>
      <c r="J48" s="39"/>
      <c r="K48" s="21"/>
    </row>
    <row r="49" spans="1:20" ht="15" customHeight="1">
      <c r="A49" s="18"/>
      <c r="B49" s="35" t="s">
        <v>41</v>
      </c>
      <c r="C49" s="19"/>
      <c r="D49" s="20"/>
      <c r="E49" s="21"/>
      <c r="F49" s="21"/>
      <c r="G49" s="23">
        <f>SUM(G46:G48)</f>
        <v>10.283686833282534</v>
      </c>
      <c r="H49" s="22" t="s">
        <v>43</v>
      </c>
      <c r="I49" s="23">
        <v>1014.97</v>
      </c>
      <c r="J49" s="39">
        <f>G49*I49</f>
        <v>10437.633625176773</v>
      </c>
      <c r="K49" s="21"/>
    </row>
    <row r="50" spans="1:20" ht="15" customHeight="1">
      <c r="A50" s="18"/>
      <c r="B50" s="35" t="s">
        <v>40</v>
      </c>
      <c r="C50" s="19"/>
      <c r="D50" s="20"/>
      <c r="E50" s="21"/>
      <c r="F50" s="21"/>
      <c r="G50" s="23"/>
      <c r="H50" s="22"/>
      <c r="I50" s="23"/>
      <c r="J50" s="39">
        <f>0.13*G49*8617.2/10</f>
        <v>1152.0156203369095</v>
      </c>
      <c r="K50" s="21"/>
    </row>
    <row r="51" spans="1:20" ht="15" customHeight="1">
      <c r="A51" s="18"/>
      <c r="B51" s="35"/>
      <c r="C51" s="19"/>
      <c r="D51" s="20"/>
      <c r="E51" s="21"/>
      <c r="F51" s="21"/>
      <c r="G51" s="23"/>
      <c r="H51" s="22"/>
      <c r="I51" s="23"/>
      <c r="J51" s="39"/>
      <c r="K51" s="21"/>
    </row>
    <row r="52" spans="1:20" ht="30">
      <c r="A52" s="18">
        <v>9</v>
      </c>
      <c r="B52" s="88" t="s">
        <v>92</v>
      </c>
      <c r="C52" s="19"/>
      <c r="D52" s="20"/>
      <c r="E52" s="21"/>
      <c r="F52" s="21"/>
      <c r="G52" s="23"/>
      <c r="H52" s="22"/>
      <c r="I52" s="23"/>
      <c r="J52" s="39"/>
      <c r="K52" s="21"/>
    </row>
    <row r="53" spans="1:20" ht="15" customHeight="1">
      <c r="A53" s="18"/>
      <c r="B53" s="35" t="str">
        <f>B46</f>
        <v>-at drain wall base</v>
      </c>
      <c r="C53" s="19">
        <f>C46</f>
        <v>1</v>
      </c>
      <c r="D53" s="20">
        <f>D46</f>
        <v>9.7531240475464784</v>
      </c>
      <c r="E53" s="21">
        <f>E46</f>
        <v>0.7</v>
      </c>
      <c r="F53" s="21">
        <v>0.1</v>
      </c>
      <c r="G53" s="37">
        <f>PRODUCT(C53:F53)</f>
        <v>0.68271868332825347</v>
      </c>
      <c r="H53" s="22"/>
      <c r="I53" s="23"/>
      <c r="J53" s="39"/>
      <c r="K53" s="21"/>
    </row>
    <row r="54" spans="1:20" ht="15" customHeight="1">
      <c r="A54" s="18"/>
      <c r="B54" s="35" t="str">
        <f>B47</f>
        <v>-at one side drain</v>
      </c>
      <c r="C54" s="19">
        <f>C47</f>
        <v>1</v>
      </c>
      <c r="D54" s="20">
        <f>D47</f>
        <v>6.55</v>
      </c>
      <c r="E54" s="21">
        <f>E47+0.3</f>
        <v>0.53</v>
      </c>
      <c r="F54" s="21">
        <v>7.4999999999999997E-2</v>
      </c>
      <c r="G54" s="37">
        <f>PRODUCT(C54:F54)</f>
        <v>0.2603625</v>
      </c>
      <c r="H54" s="22"/>
      <c r="I54" s="23"/>
      <c r="J54" s="39"/>
      <c r="K54" s="21"/>
    </row>
    <row r="55" spans="1:20" ht="15" customHeight="1">
      <c r="A55" s="18"/>
      <c r="B55" s="35" t="str">
        <f>B14</f>
        <v>-at roof</v>
      </c>
      <c r="C55" s="19">
        <f>C14</f>
        <v>1</v>
      </c>
      <c r="D55" s="20">
        <f>D14</f>
        <v>18</v>
      </c>
      <c r="E55" s="21">
        <f>E14</f>
        <v>0.23</v>
      </c>
      <c r="F55" s="21">
        <v>0.05</v>
      </c>
      <c r="G55" s="37">
        <f>PRODUCT(C55:F55)</f>
        <v>0.20700000000000005</v>
      </c>
      <c r="H55" s="22"/>
      <c r="I55" s="23"/>
      <c r="J55" s="39"/>
      <c r="K55" s="21"/>
    </row>
    <row r="56" spans="1:20" ht="15" customHeight="1">
      <c r="A56" s="18"/>
      <c r="B56" s="35" t="s">
        <v>41</v>
      </c>
      <c r="C56" s="19"/>
      <c r="D56" s="20"/>
      <c r="E56" s="21"/>
      <c r="F56" s="21"/>
      <c r="G56" s="23">
        <f>SUM(G53:G55)</f>
        <v>1.1500811833282536</v>
      </c>
      <c r="H56" s="22" t="s">
        <v>85</v>
      </c>
      <c r="I56" s="23">
        <v>12983.1</v>
      </c>
      <c r="J56" s="39">
        <f>G56*I56</f>
        <v>14931.619011269049</v>
      </c>
      <c r="K56" s="21"/>
    </row>
    <row r="57" spans="1:20" ht="15" customHeight="1">
      <c r="A57" s="18"/>
      <c r="B57" s="35" t="s">
        <v>40</v>
      </c>
      <c r="C57" s="19"/>
      <c r="D57" s="20"/>
      <c r="E57" s="21"/>
      <c r="F57" s="21"/>
      <c r="G57" s="23"/>
      <c r="H57" s="22"/>
      <c r="I57" s="23"/>
      <c r="J57" s="39">
        <f>0.13*G56*8078.11</f>
        <v>1207.7627000212537</v>
      </c>
      <c r="K57" s="21"/>
    </row>
    <row r="58" spans="1:20" ht="15">
      <c r="A58" s="18"/>
      <c r="B58" s="88"/>
      <c r="C58" s="19"/>
      <c r="D58" s="20"/>
      <c r="E58" s="21"/>
      <c r="F58" s="21"/>
      <c r="G58" s="23"/>
      <c r="H58" s="22"/>
      <c r="I58" s="23"/>
      <c r="J58" s="39"/>
      <c r="K58" s="21"/>
    </row>
    <row r="59" spans="1:20" ht="39">
      <c r="A59" s="18">
        <v>10</v>
      </c>
      <c r="B59" s="59" t="s">
        <v>88</v>
      </c>
      <c r="C59" s="34"/>
      <c r="D59" s="36"/>
      <c r="E59" s="36"/>
      <c r="F59" s="36"/>
      <c r="G59" s="37"/>
      <c r="H59" s="38"/>
      <c r="I59" s="38"/>
      <c r="J59" s="40"/>
      <c r="K59" s="21"/>
      <c r="N59" s="65" t="s">
        <v>49</v>
      </c>
      <c r="O59" s="65"/>
      <c r="P59" s="65"/>
      <c r="Q59" s="65"/>
      <c r="R59" s="65"/>
      <c r="S59" s="65"/>
      <c r="T59" s="65"/>
    </row>
    <row r="60" spans="1:20" ht="15" customHeight="1">
      <c r="A60" s="18"/>
      <c r="B60" s="35" t="s">
        <v>84</v>
      </c>
      <c r="C60" s="34">
        <v>2</v>
      </c>
      <c r="D60" s="36">
        <f>(18+14)/3.281</f>
        <v>9.7531240475464784</v>
      </c>
      <c r="E60" s="36">
        <v>0.15</v>
      </c>
      <c r="F60" s="36">
        <v>0.6</v>
      </c>
      <c r="G60" s="37">
        <f>PRODUCT(C60:F60)</f>
        <v>1.7555623285583659</v>
      </c>
      <c r="H60" s="38"/>
      <c r="I60" s="38"/>
      <c r="J60" s="38"/>
      <c r="K60" s="60"/>
      <c r="N60" s="197" t="s">
        <v>87</v>
      </c>
      <c r="O60" s="197"/>
      <c r="P60" s="197"/>
      <c r="Q60" s="197"/>
      <c r="R60" s="197"/>
      <c r="S60" s="197"/>
      <c r="T60" s="197"/>
    </row>
    <row r="61" spans="1:20" ht="15" customHeight="1">
      <c r="A61" s="18"/>
      <c r="B61" s="35" t="s">
        <v>41</v>
      </c>
      <c r="C61" s="34"/>
      <c r="D61" s="36"/>
      <c r="E61" s="36"/>
      <c r="F61" s="36"/>
      <c r="G61" s="32">
        <f>SUM(G60:G60)</f>
        <v>1.7555623285583659</v>
      </c>
      <c r="H61" s="38" t="s">
        <v>85</v>
      </c>
      <c r="I61" s="38">
        <v>8569.2999999999993</v>
      </c>
      <c r="J61" s="40">
        <f>G61*I61</f>
        <v>15043.940262115204</v>
      </c>
      <c r="K61" s="21"/>
    </row>
    <row r="62" spans="1:20" ht="15" customHeight="1">
      <c r="A62" s="18"/>
      <c r="B62" s="35" t="s">
        <v>40</v>
      </c>
      <c r="C62" s="34"/>
      <c r="D62" s="36"/>
      <c r="E62" s="36"/>
      <c r="F62" s="36"/>
      <c r="G62" s="37"/>
      <c r="H62" s="38"/>
      <c r="I62" s="38"/>
      <c r="J62" s="40">
        <f>0.13*G61*5504.3/9</f>
        <v>139.57871380676622</v>
      </c>
      <c r="K62" s="21"/>
    </row>
    <row r="63" spans="1:20" ht="15" customHeight="1">
      <c r="A63" s="18"/>
      <c r="B63" s="35"/>
      <c r="C63" s="34"/>
      <c r="D63" s="36"/>
      <c r="E63" s="36"/>
      <c r="F63" s="36"/>
      <c r="G63" s="37"/>
      <c r="H63" s="38"/>
      <c r="I63" s="38"/>
      <c r="J63" s="40"/>
      <c r="K63" s="21"/>
      <c r="N63">
        <f>9.75/0.75</f>
        <v>13</v>
      </c>
    </row>
    <row r="64" spans="1:20" ht="30">
      <c r="A64" s="18">
        <v>11</v>
      </c>
      <c r="B64" s="88" t="s">
        <v>93</v>
      </c>
      <c r="C64" s="19" t="s">
        <v>7</v>
      </c>
      <c r="D64" s="89" t="s">
        <v>94</v>
      </c>
      <c r="E64" s="90" t="s">
        <v>95</v>
      </c>
      <c r="F64" s="90" t="s">
        <v>96</v>
      </c>
      <c r="G64" s="90" t="s">
        <v>97</v>
      </c>
      <c r="H64" s="22"/>
      <c r="I64" s="23"/>
      <c r="J64" s="39"/>
      <c r="K64" s="21"/>
    </row>
    <row r="65" spans="1:20" ht="15" customHeight="1">
      <c r="A65" s="18"/>
      <c r="B65" s="35" t="s">
        <v>99</v>
      </c>
      <c r="C65" s="19">
        <f>TRUNC((D66-0.1)/0.15,0)+1</f>
        <v>5</v>
      </c>
      <c r="D65" s="20">
        <v>0.75</v>
      </c>
      <c r="E65" s="21">
        <f>8*8/162</f>
        <v>0.39506172839506171</v>
      </c>
      <c r="F65" s="21">
        <f>PRODUCT(C65:E65)</f>
        <v>1.4814814814814814</v>
      </c>
      <c r="G65" s="91">
        <f>F65/1000</f>
        <v>1.4814814814814814E-3</v>
      </c>
      <c r="H65" s="22"/>
      <c r="I65" s="23"/>
      <c r="J65" s="39"/>
      <c r="K65" s="21"/>
    </row>
    <row r="66" spans="1:20" ht="15" customHeight="1">
      <c r="A66" s="18"/>
      <c r="B66" s="35"/>
      <c r="C66" s="19">
        <f>13*(TRUNC((D65-0.1)/0.15,0)+1)</f>
        <v>65</v>
      </c>
      <c r="D66" s="20">
        <v>0.7</v>
      </c>
      <c r="E66" s="21">
        <f>8*8/162</f>
        <v>0.39506172839506171</v>
      </c>
      <c r="F66" s="21">
        <f>PRODUCT(C66:E66)</f>
        <v>17.975308641975307</v>
      </c>
      <c r="G66" s="91">
        <f>F66/1000</f>
        <v>1.7975308641975305E-2</v>
      </c>
      <c r="H66" s="22"/>
      <c r="I66" s="23"/>
      <c r="J66" s="39"/>
      <c r="K66" s="21"/>
    </row>
    <row r="67" spans="1:20" ht="15" customHeight="1">
      <c r="A67" s="18"/>
      <c r="B67" s="35"/>
      <c r="C67" s="19">
        <f>TRUNC((D68-0.1)/0.15,0)+1</f>
        <v>5</v>
      </c>
      <c r="D67" s="20">
        <v>0.9</v>
      </c>
      <c r="E67" s="21">
        <f>8*8/162</f>
        <v>0.39506172839506171</v>
      </c>
      <c r="F67" s="21">
        <f>PRODUCT(C67:E67)</f>
        <v>1.7777777777777777</v>
      </c>
      <c r="G67" s="91">
        <f>F67/1000</f>
        <v>1.7777777777777776E-3</v>
      </c>
      <c r="H67" s="22"/>
      <c r="I67" s="23"/>
      <c r="J67" s="39"/>
      <c r="K67" s="21"/>
    </row>
    <row r="68" spans="1:20" ht="15" customHeight="1">
      <c r="A68" s="18"/>
      <c r="B68" s="35"/>
      <c r="C68" s="19">
        <f>(TRUNC((D67-0.1)/0.15,0)+1)</f>
        <v>6</v>
      </c>
      <c r="D68" s="20">
        <f>2.75/3.281</f>
        <v>0.8381590978360256</v>
      </c>
      <c r="E68" s="21">
        <f>8*8/162</f>
        <v>0.39506172839506171</v>
      </c>
      <c r="F68" s="21">
        <f>PRODUCT(C68:E68)</f>
        <v>1.9867474911668754</v>
      </c>
      <c r="G68" s="91">
        <f>F68/1000</f>
        <v>1.9867474911668755E-3</v>
      </c>
      <c r="H68" s="22"/>
      <c r="I68" s="23"/>
      <c r="J68" s="39"/>
      <c r="K68" s="21"/>
    </row>
    <row r="69" spans="1:20" ht="15" customHeight="1">
      <c r="A69" s="18"/>
      <c r="B69" s="35" t="s">
        <v>41</v>
      </c>
      <c r="C69" s="19"/>
      <c r="D69" s="20"/>
      <c r="E69" s="21"/>
      <c r="F69" s="21"/>
      <c r="G69" s="23">
        <f>SUM(G65:G68)</f>
        <v>2.3221315392401441E-2</v>
      </c>
      <c r="H69" s="22" t="s">
        <v>98</v>
      </c>
      <c r="I69" s="23">
        <v>131940</v>
      </c>
      <c r="J69" s="39">
        <f>G69*I69</f>
        <v>3063.8203528734462</v>
      </c>
      <c r="K69" s="21"/>
    </row>
    <row r="70" spans="1:20" ht="15" customHeight="1">
      <c r="A70" s="18"/>
      <c r="B70" s="35" t="s">
        <v>40</v>
      </c>
      <c r="C70" s="19"/>
      <c r="D70" s="20"/>
      <c r="E70" s="21"/>
      <c r="F70" s="21"/>
      <c r="G70" s="23"/>
      <c r="H70" s="22"/>
      <c r="I70" s="23"/>
      <c r="J70" s="39">
        <f>0.13*G69*106200</f>
        <v>320.5934803074943</v>
      </c>
      <c r="K70" s="21"/>
    </row>
    <row r="71" spans="1:20" ht="15" customHeight="1">
      <c r="A71" s="18"/>
      <c r="B71" s="35"/>
      <c r="C71" s="19"/>
      <c r="D71" s="20"/>
      <c r="E71" s="21"/>
      <c r="F71" s="21"/>
      <c r="G71" s="23"/>
      <c r="H71" s="22"/>
      <c r="I71" s="23"/>
      <c r="J71" s="39"/>
      <c r="K71" s="21"/>
    </row>
    <row r="72" spans="1:20" ht="30">
      <c r="A72" s="18">
        <v>12</v>
      </c>
      <c r="B72" s="88" t="s">
        <v>100</v>
      </c>
      <c r="C72" s="19"/>
      <c r="D72" s="20"/>
      <c r="E72" s="21"/>
      <c r="F72" s="21"/>
      <c r="G72" s="23"/>
      <c r="H72" s="22"/>
      <c r="I72" s="23"/>
      <c r="J72" s="39"/>
      <c r="K72" s="21"/>
    </row>
    <row r="73" spans="1:20" ht="15" customHeight="1">
      <c r="A73" s="18"/>
      <c r="B73" s="35" t="s">
        <v>101</v>
      </c>
      <c r="C73" s="34">
        <f>2*13</f>
        <v>26</v>
      </c>
      <c r="D73" s="36">
        <v>0.75</v>
      </c>
      <c r="E73" s="36"/>
      <c r="F73" s="36">
        <v>0.1</v>
      </c>
      <c r="G73" s="37">
        <f>PRODUCT(C73:F73)</f>
        <v>1.9500000000000002</v>
      </c>
      <c r="H73" s="38"/>
      <c r="I73" s="38"/>
      <c r="J73" s="38"/>
      <c r="K73" s="60"/>
      <c r="N73" s="197" t="s">
        <v>87</v>
      </c>
      <c r="O73" s="197"/>
      <c r="P73" s="197"/>
      <c r="Q73" s="197"/>
      <c r="R73" s="197"/>
      <c r="S73" s="197"/>
      <c r="T73" s="197"/>
    </row>
    <row r="74" spans="1:20" ht="15" customHeight="1">
      <c r="A74" s="18"/>
      <c r="B74" s="35"/>
      <c r="C74" s="34">
        <f>2*13</f>
        <v>26</v>
      </c>
      <c r="D74" s="36">
        <v>0.7</v>
      </c>
      <c r="E74" s="36"/>
      <c r="F74" s="36">
        <v>0.1</v>
      </c>
      <c r="G74" s="37">
        <f>PRODUCT(C74:F74)</f>
        <v>1.82</v>
      </c>
      <c r="H74" s="38"/>
      <c r="I74" s="38"/>
      <c r="J74" s="38"/>
      <c r="K74" s="60"/>
      <c r="N74" s="139"/>
      <c r="O74" s="139"/>
      <c r="P74" s="139"/>
      <c r="Q74" s="139"/>
      <c r="R74" s="139"/>
      <c r="S74" s="139"/>
      <c r="T74" s="139"/>
    </row>
    <row r="75" spans="1:20" ht="15" customHeight="1">
      <c r="A75" s="18"/>
      <c r="B75" s="35"/>
      <c r="C75" s="34">
        <v>2</v>
      </c>
      <c r="D75" s="36">
        <v>0.9</v>
      </c>
      <c r="E75" s="36"/>
      <c r="F75" s="36">
        <v>0.1</v>
      </c>
      <c r="G75" s="37">
        <f t="shared" ref="G75:G76" si="3">PRODUCT(C75:F75)</f>
        <v>0.18000000000000002</v>
      </c>
      <c r="H75" s="38"/>
      <c r="I75" s="38"/>
      <c r="J75" s="38"/>
      <c r="K75" s="60"/>
      <c r="N75" s="139"/>
      <c r="O75" s="139"/>
      <c r="P75" s="139"/>
      <c r="Q75" s="139"/>
      <c r="R75" s="139"/>
      <c r="S75" s="139"/>
      <c r="T75" s="139"/>
    </row>
    <row r="76" spans="1:20" ht="15" customHeight="1">
      <c r="A76" s="18"/>
      <c r="B76" s="35"/>
      <c r="C76" s="34">
        <v>2</v>
      </c>
      <c r="D76" s="36">
        <f>2.75/3.281</f>
        <v>0.8381590978360256</v>
      </c>
      <c r="E76" s="36"/>
      <c r="F76" s="36">
        <v>0.1</v>
      </c>
      <c r="G76" s="37">
        <f t="shared" si="3"/>
        <v>0.16763181956720513</v>
      </c>
      <c r="H76" s="38"/>
      <c r="I76" s="38"/>
      <c r="J76" s="38"/>
      <c r="K76" s="60"/>
      <c r="N76" s="139"/>
      <c r="O76" s="139"/>
      <c r="P76" s="139"/>
      <c r="Q76" s="139"/>
      <c r="R76" s="139"/>
      <c r="S76" s="139"/>
      <c r="T76" s="139"/>
    </row>
    <row r="77" spans="1:20" ht="15" customHeight="1">
      <c r="A77" s="18"/>
      <c r="B77" s="35" t="s">
        <v>41</v>
      </c>
      <c r="C77" s="34"/>
      <c r="D77" s="36"/>
      <c r="E77" s="36"/>
      <c r="F77" s="36"/>
      <c r="G77" s="32">
        <f>SUM(G73:G76)</f>
        <v>4.1176318195672055</v>
      </c>
      <c r="H77" s="38" t="s">
        <v>43</v>
      </c>
      <c r="I77" s="23">
        <f>81404.27/100</f>
        <v>814.04270000000008</v>
      </c>
      <c r="J77" s="40">
        <f>G77*I77</f>
        <v>3351.928124006401</v>
      </c>
      <c r="K77" s="21"/>
    </row>
    <row r="78" spans="1:20" ht="15" customHeight="1">
      <c r="A78" s="18"/>
      <c r="B78" s="35" t="s">
        <v>40</v>
      </c>
      <c r="C78" s="34"/>
      <c r="D78" s="36"/>
      <c r="E78" s="36"/>
      <c r="F78" s="36"/>
      <c r="G78" s="37"/>
      <c r="H78" s="38"/>
      <c r="I78" s="38"/>
      <c r="J78" s="40">
        <f>0.13*G77*36690.27/100</f>
        <v>196.40013018666568</v>
      </c>
      <c r="K78" s="21"/>
    </row>
    <row r="79" spans="1:20" ht="15" customHeight="1">
      <c r="A79" s="18"/>
      <c r="B79" s="35"/>
      <c r="C79" s="34"/>
      <c r="D79" s="36"/>
      <c r="E79" s="36"/>
      <c r="F79" s="36"/>
      <c r="G79" s="37"/>
      <c r="H79" s="38"/>
      <c r="I79" s="38"/>
      <c r="J79" s="40"/>
      <c r="K79" s="21"/>
    </row>
    <row r="80" spans="1:20" ht="30">
      <c r="A80" s="18">
        <v>13</v>
      </c>
      <c r="B80" s="88" t="s">
        <v>119</v>
      </c>
      <c r="C80" s="34"/>
      <c r="D80" s="36"/>
      <c r="E80" s="36"/>
      <c r="F80" s="36"/>
      <c r="G80" s="37"/>
      <c r="H80" s="38"/>
      <c r="I80" s="38"/>
      <c r="J80" s="40"/>
      <c r="K80" s="21"/>
      <c r="N80">
        <f>9.75/0.75</f>
        <v>13</v>
      </c>
    </row>
    <row r="81" spans="1:20" ht="15" customHeight="1">
      <c r="A81" s="18"/>
      <c r="B81" s="35" t="s">
        <v>120</v>
      </c>
      <c r="C81" s="34">
        <v>1</v>
      </c>
      <c r="D81" s="36">
        <f>D60</f>
        <v>9.7531240475464784</v>
      </c>
      <c r="E81" s="36">
        <f>0.7</f>
        <v>0.7</v>
      </c>
      <c r="F81" s="36">
        <v>0.1</v>
      </c>
      <c r="G81" s="37">
        <f>PRODUCT(C81:F81)</f>
        <v>0.68271868332825347</v>
      </c>
      <c r="H81" s="38"/>
      <c r="I81" s="38"/>
      <c r="J81" s="38"/>
      <c r="K81" s="60"/>
      <c r="N81" s="197" t="s">
        <v>87</v>
      </c>
      <c r="O81" s="197"/>
      <c r="P81" s="197"/>
      <c r="Q81" s="197"/>
      <c r="R81" s="197"/>
      <c r="S81" s="197"/>
      <c r="T81" s="197"/>
    </row>
    <row r="82" spans="1:20" ht="15" customHeight="1">
      <c r="A82" s="18"/>
      <c r="B82" s="35"/>
      <c r="C82" s="34">
        <v>1</v>
      </c>
      <c r="D82" s="36">
        <v>0.9</v>
      </c>
      <c r="E82" s="36">
        <f>2.75/3.281</f>
        <v>0.8381590978360256</v>
      </c>
      <c r="F82" s="36">
        <v>0.1</v>
      </c>
      <c r="G82" s="37">
        <f t="shared" ref="G82:G83" si="4">PRODUCT(C82:F82)</f>
        <v>7.5434318805242317E-2</v>
      </c>
      <c r="H82" s="38"/>
      <c r="I82" s="38"/>
      <c r="J82" s="38"/>
      <c r="K82" s="60"/>
      <c r="N82" s="139"/>
      <c r="O82" s="139"/>
      <c r="P82" s="139"/>
      <c r="Q82" s="139"/>
      <c r="R82" s="139"/>
      <c r="S82" s="139"/>
      <c r="T82" s="139"/>
    </row>
    <row r="83" spans="1:20" ht="15" customHeight="1">
      <c r="A83" s="18"/>
      <c r="B83" s="35" t="s">
        <v>156</v>
      </c>
      <c r="C83" s="34">
        <v>1</v>
      </c>
      <c r="D83" s="36">
        <v>1.95</v>
      </c>
      <c r="E83" s="36">
        <v>1</v>
      </c>
      <c r="F83" s="36">
        <v>0.1</v>
      </c>
      <c r="G83" s="37">
        <f t="shared" si="4"/>
        <v>0.19500000000000001</v>
      </c>
      <c r="H83" s="38"/>
      <c r="I83" s="38"/>
      <c r="J83" s="38"/>
      <c r="K83" s="60"/>
      <c r="N83" s="139"/>
      <c r="O83" s="139"/>
      <c r="P83" s="139"/>
      <c r="Q83" s="139"/>
      <c r="R83" s="139"/>
      <c r="S83" s="139"/>
      <c r="T83" s="139"/>
    </row>
    <row r="84" spans="1:20" ht="15" customHeight="1">
      <c r="A84" s="18"/>
      <c r="B84" s="35" t="s">
        <v>41</v>
      </c>
      <c r="C84" s="34"/>
      <c r="D84" s="36"/>
      <c r="E84" s="36"/>
      <c r="F84" s="36"/>
      <c r="G84" s="32">
        <f>SUM(G81:G83)</f>
        <v>0.95315300213349574</v>
      </c>
      <c r="H84" s="38" t="s">
        <v>85</v>
      </c>
      <c r="I84" s="23">
        <v>13568.9</v>
      </c>
      <c r="J84" s="40">
        <f>G84*I84</f>
        <v>12933.23777064919</v>
      </c>
      <c r="K84" s="21"/>
    </row>
    <row r="85" spans="1:20" ht="15" customHeight="1">
      <c r="A85" s="18"/>
      <c r="B85" s="35" t="s">
        <v>40</v>
      </c>
      <c r="C85" s="34"/>
      <c r="D85" s="36"/>
      <c r="E85" s="36"/>
      <c r="F85" s="36"/>
      <c r="G85" s="37"/>
      <c r="H85" s="38"/>
      <c r="I85" s="38"/>
      <c r="J85" s="40">
        <f>0.13*G84*9524.2</f>
        <v>1180.1425769795794</v>
      </c>
      <c r="K85" s="21"/>
    </row>
    <row r="86" spans="1:20" ht="15" customHeight="1">
      <c r="A86" s="18"/>
      <c r="B86" s="35"/>
      <c r="C86" s="34"/>
      <c r="D86" s="36"/>
      <c r="E86" s="36"/>
      <c r="F86" s="36"/>
      <c r="G86" s="37"/>
      <c r="H86" s="38"/>
      <c r="I86" s="38"/>
      <c r="J86" s="40"/>
      <c r="K86" s="21"/>
    </row>
    <row r="87" spans="1:20" ht="30.6">
      <c r="A87" s="18">
        <v>14</v>
      </c>
      <c r="B87" s="119" t="s">
        <v>121</v>
      </c>
      <c r="C87" s="19" t="s">
        <v>7</v>
      </c>
      <c r="D87" s="89" t="s">
        <v>94</v>
      </c>
      <c r="E87" s="90" t="s">
        <v>95</v>
      </c>
      <c r="F87" s="90" t="s">
        <v>96</v>
      </c>
      <c r="G87" s="90" t="s">
        <v>124</v>
      </c>
      <c r="H87" s="22"/>
      <c r="I87" s="23"/>
      <c r="J87" s="39"/>
      <c r="K87" s="21"/>
    </row>
    <row r="88" spans="1:20">
      <c r="A88" s="120"/>
      <c r="B88" s="124" t="s">
        <v>123</v>
      </c>
      <c r="C88" s="122">
        <v>6</v>
      </c>
      <c r="D88" s="12">
        <f>(2.5+2+2.5)/12/3.281</f>
        <v>0.17779132378339937</v>
      </c>
      <c r="E88" s="12">
        <v>0.8</v>
      </c>
      <c r="F88" s="21">
        <f>PRODUCT(C88:E88)</f>
        <v>0.85339835416031706</v>
      </c>
      <c r="G88" s="91">
        <f>F88</f>
        <v>0.85339835416031706</v>
      </c>
      <c r="H88" s="120"/>
      <c r="I88" s="123"/>
      <c r="J88" s="123"/>
      <c r="K88" s="121"/>
    </row>
    <row r="89" spans="1:20">
      <c r="A89" s="120"/>
      <c r="B89" s="124"/>
      <c r="C89" s="122">
        <v>2</v>
      </c>
      <c r="D89" s="12">
        <f>1.6+5.6</f>
        <v>7.1999999999999993</v>
      </c>
      <c r="E89" s="12">
        <v>0.8</v>
      </c>
      <c r="F89" s="21">
        <f>PRODUCT(C89:E89)</f>
        <v>11.52</v>
      </c>
      <c r="G89" s="91">
        <f>F89</f>
        <v>11.52</v>
      </c>
      <c r="H89" s="120"/>
      <c r="I89" s="123"/>
      <c r="J89" s="123"/>
      <c r="K89" s="121"/>
    </row>
    <row r="90" spans="1:20">
      <c r="A90" s="120"/>
      <c r="B90" s="124" t="s">
        <v>134</v>
      </c>
      <c r="C90" s="122">
        <f>TRUNC(D98/0.1,0)</f>
        <v>482</v>
      </c>
      <c r="D90" s="12">
        <f>0.15</f>
        <v>0.15</v>
      </c>
      <c r="E90" s="12">
        <v>0.8</v>
      </c>
      <c r="F90" s="21">
        <f>PRODUCT(C90:E90)</f>
        <v>57.84</v>
      </c>
      <c r="G90" s="91">
        <f>F90</f>
        <v>57.84</v>
      </c>
      <c r="H90" s="120"/>
      <c r="I90" s="123"/>
      <c r="J90" s="123"/>
      <c r="K90" s="121"/>
    </row>
    <row r="91" spans="1:20" s="1" customFormat="1" ht="27.6">
      <c r="A91" s="120"/>
      <c r="B91" s="125" t="s">
        <v>125</v>
      </c>
      <c r="C91" s="122">
        <v>4</v>
      </c>
      <c r="D91" s="12">
        <f>7.5/3.281</f>
        <v>2.2858884486437061</v>
      </c>
      <c r="E91" s="12">
        <v>2.72</v>
      </c>
      <c r="F91" s="12">
        <f t="shared" ref="F91" si="5">PRODUCT(C91:E91)</f>
        <v>24.870466321243523</v>
      </c>
      <c r="G91" s="126">
        <f t="shared" ref="G91:G99" si="6">F91</f>
        <v>24.870466321243523</v>
      </c>
      <c r="H91" s="123"/>
      <c r="I91" s="123"/>
      <c r="J91" s="123"/>
      <c r="K91" s="121"/>
      <c r="M91" s="127"/>
    </row>
    <row r="92" spans="1:20" s="1" customFormat="1">
      <c r="A92" s="120"/>
      <c r="B92" s="125" t="s">
        <v>157</v>
      </c>
      <c r="C92" s="122">
        <v>5</v>
      </c>
      <c r="D92" s="12">
        <f>7/3.281</f>
        <v>2.1334958854007922</v>
      </c>
      <c r="E92" s="12">
        <v>2.72</v>
      </c>
      <c r="F92" s="12">
        <f t="shared" ref="F92" si="7">PRODUCT(C92:E92)</f>
        <v>29.015544041450777</v>
      </c>
      <c r="G92" s="126">
        <f t="shared" ref="G92" si="8">F92</f>
        <v>29.015544041450777</v>
      </c>
      <c r="H92" s="123"/>
      <c r="I92" s="123"/>
      <c r="J92" s="123"/>
      <c r="K92" s="121"/>
      <c r="M92" s="127"/>
    </row>
    <row r="93" spans="1:20" s="1" customFormat="1" ht="41.4">
      <c r="A93" s="120"/>
      <c r="B93" s="125" t="s">
        <v>126</v>
      </c>
      <c r="C93" s="122">
        <v>1</v>
      </c>
      <c r="D93" s="12">
        <f>(1.6+5.6)</f>
        <v>7.1999999999999993</v>
      </c>
      <c r="E93" s="12">
        <v>3.87</v>
      </c>
      <c r="F93" s="12">
        <f t="shared" ref="F93:F99" si="9">PRODUCT(C93:E93)</f>
        <v>27.863999999999997</v>
      </c>
      <c r="G93" s="126">
        <f t="shared" si="6"/>
        <v>27.863999999999997</v>
      </c>
      <c r="H93" s="123"/>
      <c r="I93" s="123"/>
      <c r="J93" s="123"/>
      <c r="K93" s="121"/>
      <c r="M93" s="127"/>
    </row>
    <row r="94" spans="1:20" s="1" customFormat="1">
      <c r="A94" s="120"/>
      <c r="B94" s="125"/>
      <c r="C94" s="122">
        <v>4</v>
      </c>
      <c r="D94" s="12">
        <f>(7.333+1)/3.281</f>
        <v>2.5397744590064004</v>
      </c>
      <c r="E94" s="12">
        <v>3.87</v>
      </c>
      <c r="F94" s="12">
        <f t="shared" si="9"/>
        <v>39.315708625419077</v>
      </c>
      <c r="G94" s="126">
        <f t="shared" si="6"/>
        <v>39.315708625419077</v>
      </c>
      <c r="H94" s="123"/>
      <c r="I94" s="123"/>
      <c r="J94" s="123"/>
      <c r="K94" s="121"/>
      <c r="M94" s="127"/>
    </row>
    <row r="95" spans="1:20" s="1" customFormat="1">
      <c r="A95" s="120"/>
      <c r="B95" s="125" t="str">
        <f>B92</f>
        <v>-at compound</v>
      </c>
      <c r="C95" s="122">
        <v>2</v>
      </c>
      <c r="D95" s="12">
        <f>3+3+7.2</f>
        <v>13.2</v>
      </c>
      <c r="E95" s="12">
        <v>3.87</v>
      </c>
      <c r="F95" s="12">
        <f t="shared" si="9"/>
        <v>102.16799999999999</v>
      </c>
      <c r="G95" s="126">
        <f t="shared" ref="G95" si="10">F95</f>
        <v>102.16799999999999</v>
      </c>
      <c r="H95" s="123"/>
      <c r="I95" s="123"/>
      <c r="J95" s="123"/>
      <c r="K95" s="121"/>
      <c r="M95" s="127"/>
    </row>
    <row r="96" spans="1:20" s="1" customFormat="1">
      <c r="A96" s="120"/>
      <c r="B96" s="125"/>
      <c r="C96" s="122">
        <v>5</v>
      </c>
      <c r="D96" s="12">
        <v>1.5</v>
      </c>
      <c r="E96" s="12">
        <v>3.87</v>
      </c>
      <c r="F96" s="12">
        <f t="shared" ref="F96" si="11">PRODUCT(C96:E96)</f>
        <v>29.025000000000002</v>
      </c>
      <c r="G96" s="126">
        <f t="shared" ref="G96" si="12">F96</f>
        <v>29.025000000000002</v>
      </c>
      <c r="H96" s="123"/>
      <c r="I96" s="123"/>
      <c r="J96" s="123"/>
      <c r="K96" s="121"/>
      <c r="M96" s="127"/>
    </row>
    <row r="97" spans="1:13" s="1" customFormat="1" ht="27.6">
      <c r="A97" s="120"/>
      <c r="B97" s="125" t="s">
        <v>132</v>
      </c>
      <c r="C97" s="122">
        <v>1</v>
      </c>
      <c r="D97" s="12">
        <f>1.6+5.6</f>
        <v>7.1999999999999993</v>
      </c>
      <c r="E97" s="12">
        <v>1.52</v>
      </c>
      <c r="F97" s="12">
        <f t="shared" si="9"/>
        <v>10.943999999999999</v>
      </c>
      <c r="G97" s="126">
        <f t="shared" si="6"/>
        <v>10.943999999999999</v>
      </c>
      <c r="H97" s="123"/>
      <c r="I97" s="123"/>
      <c r="J97" s="123"/>
      <c r="K97" s="121"/>
      <c r="M97" s="127"/>
    </row>
    <row r="98" spans="1:13" s="1" customFormat="1">
      <c r="A98" s="120"/>
      <c r="B98" s="125" t="s">
        <v>133</v>
      </c>
      <c r="C98" s="122">
        <v>2</v>
      </c>
      <c r="D98" s="12">
        <f>5.6+5.92+2.83+1.2+0.85+5.2+6.9+5.8+4.3+6.3+1.5+1.8</f>
        <v>48.199999999999989</v>
      </c>
      <c r="E98" s="12">
        <v>1.52</v>
      </c>
      <c r="F98" s="12">
        <f t="shared" si="9"/>
        <v>146.52799999999996</v>
      </c>
      <c r="G98" s="126">
        <f t="shared" si="6"/>
        <v>146.52799999999996</v>
      </c>
      <c r="H98" s="123"/>
      <c r="I98" s="123"/>
      <c r="J98" s="123"/>
      <c r="K98" s="121"/>
      <c r="M98" s="127"/>
    </row>
    <row r="99" spans="1:13" s="1" customFormat="1">
      <c r="A99" s="120"/>
      <c r="B99" s="125" t="s">
        <v>135</v>
      </c>
      <c r="C99" s="122">
        <f>C90</f>
        <v>482</v>
      </c>
      <c r="D99" s="12">
        <f>2.5/3.281</f>
        <v>0.76196281621456874</v>
      </c>
      <c r="E99" s="12">
        <v>1.1299999999999999</v>
      </c>
      <c r="F99" s="12">
        <f t="shared" si="9"/>
        <v>415.01066747942701</v>
      </c>
      <c r="G99" s="126">
        <f t="shared" si="6"/>
        <v>415.01066747942701</v>
      </c>
      <c r="H99" s="123"/>
      <c r="I99" s="123"/>
      <c r="J99" s="123"/>
      <c r="K99" s="121"/>
      <c r="M99" s="127"/>
    </row>
    <row r="100" spans="1:13" ht="15" customHeight="1">
      <c r="A100" s="18"/>
      <c r="B100" s="35" t="s">
        <v>41</v>
      </c>
      <c r="C100" s="19"/>
      <c r="D100" s="20"/>
      <c r="E100" s="21"/>
      <c r="F100" s="21"/>
      <c r="G100" s="23">
        <f>SUM(G88:G99)</f>
        <v>894.95478482170074</v>
      </c>
      <c r="H100" s="22" t="s">
        <v>122</v>
      </c>
      <c r="I100" s="23">
        <v>181.17</v>
      </c>
      <c r="J100" s="39">
        <f>G100*I100</f>
        <v>162138.9583661475</v>
      </c>
      <c r="K100" s="21"/>
    </row>
    <row r="101" spans="1:13" ht="15" customHeight="1">
      <c r="A101" s="18"/>
      <c r="B101" s="35" t="s">
        <v>40</v>
      </c>
      <c r="C101" s="19"/>
      <c r="D101" s="20"/>
      <c r="E101" s="21"/>
      <c r="F101" s="21"/>
      <c r="G101" s="23"/>
      <c r="H101" s="22"/>
      <c r="I101" s="23"/>
      <c r="J101" s="39">
        <f>0.13*G100*1871.42/18.94</f>
        <v>11495.708386664917</v>
      </c>
      <c r="K101" s="21"/>
    </row>
    <row r="102" spans="1:13" ht="15" customHeight="1">
      <c r="A102" s="18"/>
      <c r="B102" s="35"/>
      <c r="C102" s="19"/>
      <c r="D102" s="20"/>
      <c r="E102" s="21"/>
      <c r="F102" s="21"/>
      <c r="G102" s="23"/>
      <c r="H102" s="22"/>
      <c r="I102" s="23"/>
      <c r="J102" s="39"/>
      <c r="K102" s="21"/>
    </row>
    <row r="103" spans="1:13" s="1" customFormat="1" ht="30">
      <c r="A103" s="18">
        <v>15</v>
      </c>
      <c r="B103" s="128" t="s">
        <v>127</v>
      </c>
      <c r="C103" s="19"/>
      <c r="D103" s="20"/>
      <c r="E103" s="21"/>
      <c r="F103" s="21"/>
      <c r="G103" s="123"/>
      <c r="H103" s="22"/>
      <c r="I103" s="23"/>
      <c r="J103" s="123"/>
      <c r="K103" s="21"/>
    </row>
    <row r="104" spans="1:13" s="1" customFormat="1">
      <c r="A104" s="18"/>
      <c r="B104" s="125" t="s">
        <v>128</v>
      </c>
      <c r="C104" s="19">
        <v>2</v>
      </c>
      <c r="D104" s="20">
        <f>(4/3.281)+0.85</f>
        <v>2.0691405059433099</v>
      </c>
      <c r="E104" s="21"/>
      <c r="F104" s="21">
        <v>1.6</v>
      </c>
      <c r="G104" s="126">
        <f t="shared" ref="G104:G114" si="13">PRODUCT(C104:F104)</f>
        <v>6.6212496190185917</v>
      </c>
      <c r="H104" s="22"/>
      <c r="I104" s="23"/>
      <c r="J104" s="123"/>
      <c r="K104" s="21"/>
    </row>
    <row r="105" spans="1:13" s="1" customFormat="1">
      <c r="A105" s="18"/>
      <c r="B105" s="125"/>
      <c r="C105" s="19">
        <v>1</v>
      </c>
      <c r="D105" s="20">
        <f>5.2+6.9</f>
        <v>12.100000000000001</v>
      </c>
      <c r="E105" s="21"/>
      <c r="F105" s="21">
        <f>(1.5+1.3+1.75)/3</f>
        <v>1.5166666666666666</v>
      </c>
      <c r="G105" s="126">
        <f t="shared" si="13"/>
        <v>18.351666666666667</v>
      </c>
      <c r="H105" s="22"/>
      <c r="I105" s="23"/>
      <c r="J105" s="123"/>
      <c r="K105" s="21"/>
    </row>
    <row r="106" spans="1:13" s="1" customFormat="1">
      <c r="A106" s="18"/>
      <c r="B106" s="125"/>
      <c r="C106" s="19">
        <v>1</v>
      </c>
      <c r="D106" s="20">
        <f>5.2+6.9</f>
        <v>12.100000000000001</v>
      </c>
      <c r="E106" s="21"/>
      <c r="F106" s="21">
        <v>1.3</v>
      </c>
      <c r="G106" s="126">
        <f t="shared" si="13"/>
        <v>15.730000000000002</v>
      </c>
      <c r="H106" s="22"/>
      <c r="I106" s="23"/>
      <c r="J106" s="123"/>
      <c r="K106" s="21"/>
    </row>
    <row r="107" spans="1:13" s="1" customFormat="1">
      <c r="A107" s="18"/>
      <c r="B107" s="125"/>
      <c r="C107" s="19">
        <v>1</v>
      </c>
      <c r="D107" s="20">
        <f>5.8</f>
        <v>5.8</v>
      </c>
      <c r="E107" s="21"/>
      <c r="F107" s="21">
        <v>1.4</v>
      </c>
      <c r="G107" s="126">
        <f t="shared" si="13"/>
        <v>8.1199999999999992</v>
      </c>
      <c r="H107" s="22"/>
      <c r="I107" s="23"/>
      <c r="J107" s="123"/>
      <c r="K107" s="21"/>
    </row>
    <row r="108" spans="1:13" s="1" customFormat="1">
      <c r="A108" s="18"/>
      <c r="B108" s="125"/>
      <c r="C108" s="19">
        <v>1</v>
      </c>
      <c r="D108" s="20">
        <v>5.8</v>
      </c>
      <c r="E108" s="21"/>
      <c r="F108" s="21">
        <f>3.6/3.281</f>
        <v>1.097226455348979</v>
      </c>
      <c r="G108" s="126">
        <f t="shared" si="13"/>
        <v>6.3639134410240779</v>
      </c>
      <c r="H108" s="22"/>
      <c r="I108" s="23"/>
      <c r="J108" s="123"/>
      <c r="K108" s="21"/>
    </row>
    <row r="109" spans="1:13" s="1" customFormat="1">
      <c r="A109" s="18"/>
      <c r="B109" s="125"/>
      <c r="C109" s="19">
        <v>1</v>
      </c>
      <c r="D109" s="20">
        <f>4.3+6.3</f>
        <v>10.6</v>
      </c>
      <c r="E109" s="21"/>
      <c r="F109" s="21">
        <v>1.27</v>
      </c>
      <c r="G109" s="126">
        <f t="shared" si="13"/>
        <v>13.462</v>
      </c>
      <c r="H109" s="22"/>
      <c r="I109" s="23"/>
      <c r="J109" s="123"/>
      <c r="K109" s="21"/>
    </row>
    <row r="110" spans="1:13" s="1" customFormat="1">
      <c r="A110" s="18"/>
      <c r="B110" s="125"/>
      <c r="C110" s="19">
        <v>1</v>
      </c>
      <c r="D110" s="20">
        <f>6/3.281</f>
        <v>1.8287107589149649</v>
      </c>
      <c r="E110" s="21"/>
      <c r="F110" s="21">
        <f>3/3.281</f>
        <v>0.91435537945748246</v>
      </c>
      <c r="G110" s="126">
        <f t="shared" si="13"/>
        <v>1.6720915198856734</v>
      </c>
      <c r="H110" s="22"/>
      <c r="I110" s="23"/>
      <c r="J110" s="123"/>
      <c r="K110" s="21"/>
    </row>
    <row r="111" spans="1:13" s="1" customFormat="1">
      <c r="A111" s="18"/>
      <c r="B111" s="125"/>
      <c r="C111" s="19">
        <v>1</v>
      </c>
      <c r="D111" s="20">
        <f>5/3.281</f>
        <v>1.5239256324291375</v>
      </c>
      <c r="E111" s="21"/>
      <c r="F111" s="21">
        <f>2/3.281</f>
        <v>0.6095702529716549</v>
      </c>
      <c r="G111" s="126">
        <f t="shared" si="13"/>
        <v>0.92893973326981849</v>
      </c>
      <c r="H111" s="22"/>
      <c r="I111" s="23"/>
      <c r="J111" s="123"/>
      <c r="K111" s="21"/>
    </row>
    <row r="112" spans="1:13" s="1" customFormat="1">
      <c r="A112" s="18"/>
      <c r="B112" s="125"/>
      <c r="C112" s="19">
        <v>1</v>
      </c>
      <c r="D112" s="20">
        <f>5.45+6.25+1.27</f>
        <v>12.969999999999999</v>
      </c>
      <c r="E112" s="21"/>
      <c r="F112" s="21">
        <v>0.3</v>
      </c>
      <c r="G112" s="126">
        <f t="shared" si="13"/>
        <v>3.8909999999999996</v>
      </c>
      <c r="H112" s="22"/>
      <c r="I112" s="23"/>
      <c r="J112" s="123"/>
      <c r="K112" s="21"/>
    </row>
    <row r="113" spans="1:11" s="1" customFormat="1">
      <c r="A113" s="18"/>
      <c r="B113" s="125" t="str">
        <f>B54</f>
        <v>-at one side drain</v>
      </c>
      <c r="C113" s="19">
        <f>C54</f>
        <v>1</v>
      </c>
      <c r="D113" s="20">
        <f>D54</f>
        <v>6.55</v>
      </c>
      <c r="E113" s="21"/>
      <c r="F113" s="21">
        <v>0.23</v>
      </c>
      <c r="G113" s="126">
        <f t="shared" si="13"/>
        <v>1.5065</v>
      </c>
      <c r="H113" s="22"/>
      <c r="I113" s="23"/>
      <c r="J113" s="123"/>
      <c r="K113" s="21"/>
    </row>
    <row r="114" spans="1:11" s="1" customFormat="1">
      <c r="A114" s="18"/>
      <c r="B114" s="125" t="str">
        <f>B14</f>
        <v>-at roof</v>
      </c>
      <c r="C114" s="19">
        <f>C14</f>
        <v>1</v>
      </c>
      <c r="D114" s="20">
        <f>D14</f>
        <v>18</v>
      </c>
      <c r="E114" s="21"/>
      <c r="F114" s="21">
        <f>F14</f>
        <v>0.7110637000914356</v>
      </c>
      <c r="G114" s="126">
        <f t="shared" si="13"/>
        <v>12.799146601645841</v>
      </c>
      <c r="H114" s="22"/>
      <c r="I114" s="23"/>
      <c r="J114" s="123"/>
      <c r="K114" s="21"/>
    </row>
    <row r="115" spans="1:11" s="1" customFormat="1">
      <c r="A115" s="18"/>
      <c r="B115" s="125" t="s">
        <v>129</v>
      </c>
      <c r="C115" s="19"/>
      <c r="D115" s="20"/>
      <c r="E115" s="21"/>
      <c r="F115" s="21"/>
      <c r="G115" s="123">
        <f>SUM(G104:G114)</f>
        <v>89.446507581510673</v>
      </c>
      <c r="H115" s="22" t="s">
        <v>43</v>
      </c>
      <c r="I115" s="23">
        <v>405.86</v>
      </c>
      <c r="J115" s="123">
        <f>G115*I115</f>
        <v>36302.759567031921</v>
      </c>
      <c r="K115" s="21"/>
    </row>
    <row r="116" spans="1:11" s="1" customFormat="1">
      <c r="A116" s="18"/>
      <c r="B116" s="125" t="s">
        <v>130</v>
      </c>
      <c r="C116" s="19"/>
      <c r="D116" s="20"/>
      <c r="E116" s="21"/>
      <c r="F116" s="21"/>
      <c r="G116" s="123"/>
      <c r="H116" s="22"/>
      <c r="I116" s="23"/>
      <c r="J116" s="123">
        <f>0.13*G115*11166.2/100</f>
        <v>1298.410870843664</v>
      </c>
      <c r="K116" s="21"/>
    </row>
    <row r="117" spans="1:11" s="1" customFormat="1">
      <c r="A117" s="18"/>
      <c r="B117" s="125"/>
      <c r="C117" s="19"/>
      <c r="D117" s="20"/>
      <c r="E117" s="21"/>
      <c r="F117" s="21"/>
      <c r="G117" s="123"/>
      <c r="H117" s="22"/>
      <c r="I117" s="23"/>
      <c r="J117" s="123"/>
      <c r="K117" s="21"/>
    </row>
    <row r="118" spans="1:11" ht="30.6">
      <c r="A118" s="18">
        <v>16</v>
      </c>
      <c r="B118" s="119" t="s">
        <v>131</v>
      </c>
      <c r="C118" s="19"/>
      <c r="D118" s="20"/>
      <c r="E118" s="21"/>
      <c r="F118" s="21"/>
      <c r="G118" s="23"/>
      <c r="H118" s="22"/>
      <c r="I118" s="23"/>
      <c r="J118" s="39"/>
      <c r="K118" s="21"/>
    </row>
    <row r="119" spans="1:11" ht="15" customHeight="1">
      <c r="A119" s="18"/>
      <c r="B119" s="35" t="s">
        <v>153</v>
      </c>
      <c r="C119" s="19">
        <v>1</v>
      </c>
      <c r="D119" s="20"/>
      <c r="E119" s="21"/>
      <c r="F119" s="21"/>
      <c r="G119" s="37">
        <f>G115-G113</f>
        <v>87.94000758151067</v>
      </c>
      <c r="H119" s="22"/>
      <c r="I119" s="23"/>
      <c r="J119" s="39"/>
      <c r="K119" s="21"/>
    </row>
    <row r="120" spans="1:11" ht="15" customHeight="1">
      <c r="A120" s="18"/>
      <c r="B120" s="35" t="s">
        <v>41</v>
      </c>
      <c r="C120" s="19"/>
      <c r="D120" s="20"/>
      <c r="E120" s="21"/>
      <c r="F120" s="21"/>
      <c r="G120" s="23">
        <f>SUM(G119:G119)</f>
        <v>87.94000758151067</v>
      </c>
      <c r="H120" s="22" t="s">
        <v>43</v>
      </c>
      <c r="I120" s="23">
        <v>251.77</v>
      </c>
      <c r="J120" s="39">
        <f>G120*I120</f>
        <v>22140.655708796941</v>
      </c>
      <c r="K120" s="21"/>
    </row>
    <row r="121" spans="1:11" ht="15" customHeight="1">
      <c r="A121" s="18"/>
      <c r="B121" s="35" t="s">
        <v>40</v>
      </c>
      <c r="C121" s="19"/>
      <c r="D121" s="20"/>
      <c r="E121" s="21"/>
      <c r="F121" s="21"/>
      <c r="G121" s="23"/>
      <c r="H121" s="22"/>
      <c r="I121" s="23"/>
      <c r="J121" s="39">
        <f>0.13*G120*12736/100</f>
        <v>1456.0051175255562</v>
      </c>
      <c r="K121" s="21"/>
    </row>
    <row r="122" spans="1:11" ht="15" customHeight="1">
      <c r="A122" s="18"/>
      <c r="B122" s="35"/>
      <c r="C122" s="19"/>
      <c r="D122" s="20"/>
      <c r="E122" s="21"/>
      <c r="F122" s="21"/>
      <c r="G122" s="23"/>
      <c r="H122" s="22"/>
      <c r="I122" s="23"/>
      <c r="J122" s="39"/>
      <c r="K122" s="21"/>
    </row>
    <row r="123" spans="1:11" s="1" customFormat="1" ht="46.2">
      <c r="A123" s="18">
        <v>17</v>
      </c>
      <c r="B123" s="140" t="s">
        <v>150</v>
      </c>
      <c r="C123" s="140"/>
      <c r="D123" s="20"/>
      <c r="G123" s="123"/>
      <c r="H123" s="22"/>
      <c r="I123" s="23"/>
      <c r="J123" s="123"/>
      <c r="K123" s="21"/>
    </row>
    <row r="124" spans="1:11" ht="15" customHeight="1">
      <c r="A124" s="18"/>
      <c r="B124" s="35" t="s">
        <v>136</v>
      </c>
      <c r="C124" s="19">
        <v>1</v>
      </c>
      <c r="D124" s="20">
        <f>1.6+5.6</f>
        <v>7.1999999999999993</v>
      </c>
      <c r="E124" s="21">
        <f>(7.333+1.5)/3.281</f>
        <v>2.6921670222493144</v>
      </c>
      <c r="F124" s="21"/>
      <c r="G124" s="126">
        <f t="shared" ref="G124:G125" si="14">PRODUCT(C124:F124)</f>
        <v>19.383602560195062</v>
      </c>
      <c r="H124" s="22"/>
      <c r="I124" s="23"/>
      <c r="J124" s="39"/>
      <c r="K124" s="21"/>
    </row>
    <row r="125" spans="1:11" ht="15" customHeight="1">
      <c r="A125" s="18"/>
      <c r="B125" s="35" t="str">
        <f>B95</f>
        <v>-at compound</v>
      </c>
      <c r="C125" s="19">
        <v>1</v>
      </c>
      <c r="D125" s="20">
        <f>13.2</f>
        <v>13.2</v>
      </c>
      <c r="E125" s="21">
        <v>1.5</v>
      </c>
      <c r="F125" s="21"/>
      <c r="G125" s="126">
        <f t="shared" si="14"/>
        <v>19.799999999999997</v>
      </c>
      <c r="H125" s="22"/>
      <c r="I125" s="23"/>
      <c r="J125" s="39"/>
      <c r="K125" s="21"/>
    </row>
    <row r="126" spans="1:11" ht="15" customHeight="1">
      <c r="A126" s="18"/>
      <c r="B126" s="35" t="s">
        <v>41</v>
      </c>
      <c r="C126" s="19"/>
      <c r="D126" s="20"/>
      <c r="E126" s="21"/>
      <c r="F126" s="21"/>
      <c r="G126" s="23">
        <f>SUM(G124:G125)</f>
        <v>39.183602560195055</v>
      </c>
      <c r="H126" s="22" t="s">
        <v>43</v>
      </c>
      <c r="I126" s="23">
        <v>2271.5500000000002</v>
      </c>
      <c r="J126" s="39">
        <f>G126*I126</f>
        <v>89007.512395611091</v>
      </c>
      <c r="K126" s="21"/>
    </row>
    <row r="127" spans="1:11" ht="15" customHeight="1">
      <c r="A127" s="18"/>
      <c r="B127" s="35" t="s">
        <v>40</v>
      </c>
      <c r="C127" s="19"/>
      <c r="D127" s="20"/>
      <c r="E127" s="21"/>
      <c r="F127" s="21"/>
      <c r="G127" s="23"/>
      <c r="H127" s="22"/>
      <c r="I127" s="23"/>
      <c r="J127" s="39">
        <f>0.13*G126*(20218/10)</f>
        <v>10298.782995306306</v>
      </c>
      <c r="K127" s="21"/>
    </row>
    <row r="128" spans="1:11" ht="15" customHeight="1">
      <c r="A128" s="18"/>
      <c r="B128" s="35"/>
      <c r="C128" s="19"/>
      <c r="D128" s="20"/>
      <c r="E128" s="21"/>
      <c r="F128" s="21"/>
      <c r="G128" s="23"/>
      <c r="H128" s="22"/>
      <c r="I128" s="23"/>
      <c r="J128" s="39"/>
      <c r="K128" s="21"/>
    </row>
    <row r="129" spans="1:20" s="138" customFormat="1" ht="17.399999999999999">
      <c r="A129" s="135">
        <v>18</v>
      </c>
      <c r="B129" s="129" t="s">
        <v>139</v>
      </c>
      <c r="C129" s="130"/>
      <c r="D129" s="131"/>
      <c r="E129" s="136"/>
      <c r="F129" s="131" t="s">
        <v>142</v>
      </c>
      <c r="G129" s="131"/>
      <c r="H129" s="131"/>
      <c r="I129" s="131"/>
      <c r="J129" s="133"/>
      <c r="K129" s="137"/>
    </row>
    <row r="130" spans="1:20" ht="15" customHeight="1">
      <c r="A130" s="18"/>
      <c r="B130" s="35" t="s">
        <v>140</v>
      </c>
      <c r="C130" s="34">
        <v>1</v>
      </c>
      <c r="D130" s="36"/>
      <c r="E130" s="5"/>
      <c r="F130" s="134">
        <f>CONVERT(48.3735,"ft2","m2")</f>
        <v>4.49404520544</v>
      </c>
      <c r="G130" s="126">
        <f>PRODUCT(C130:F130)</f>
        <v>4.49404520544</v>
      </c>
      <c r="H130" s="38"/>
      <c r="I130" s="38"/>
      <c r="J130" s="38"/>
      <c r="K130" s="21"/>
      <c r="M130" s="1"/>
      <c r="N130" s="1"/>
      <c r="O130" s="1"/>
      <c r="P130" s="87"/>
      <c r="Q130" s="87"/>
    </row>
    <row r="131" spans="1:20" ht="15" customHeight="1">
      <c r="A131" s="18"/>
      <c r="B131" s="35"/>
      <c r="C131" s="34">
        <v>1</v>
      </c>
      <c r="D131" s="36"/>
      <c r="E131" s="5"/>
      <c r="F131" s="134">
        <f>CONVERT(224.2762,"ft2","m2")</f>
        <v>20.835940779647999</v>
      </c>
      <c r="G131" s="126">
        <f>PRODUCT(C131:F131)</f>
        <v>20.835940779647999</v>
      </c>
      <c r="H131" s="38"/>
      <c r="I131" s="38"/>
      <c r="J131" s="38"/>
      <c r="K131" s="21"/>
      <c r="M131" s="1"/>
      <c r="N131" s="1"/>
      <c r="O131" s="1"/>
      <c r="P131" s="87"/>
      <c r="Q131" s="87"/>
    </row>
    <row r="132" spans="1:20" ht="15" customHeight="1">
      <c r="A132" s="18"/>
      <c r="B132" s="35"/>
      <c r="C132" s="34">
        <v>1</v>
      </c>
      <c r="D132" s="36">
        <f>(4.1+4.4)/2</f>
        <v>4.25</v>
      </c>
      <c r="E132" s="36">
        <f>2.6</f>
        <v>2.6</v>
      </c>
      <c r="F132" s="36"/>
      <c r="G132" s="126">
        <f t="shared" ref="G132:G134" si="15">PRODUCT(C132:F132)</f>
        <v>11.05</v>
      </c>
      <c r="H132" s="38"/>
      <c r="I132" s="38"/>
      <c r="J132" s="38"/>
      <c r="K132" s="21"/>
      <c r="M132" s="1"/>
      <c r="N132" s="1"/>
      <c r="O132" s="1"/>
      <c r="P132" s="87"/>
      <c r="Q132" s="87"/>
    </row>
    <row r="133" spans="1:20" ht="15" customHeight="1">
      <c r="A133" s="18"/>
      <c r="B133" s="35"/>
      <c r="C133" s="34">
        <v>1</v>
      </c>
      <c r="D133" s="36">
        <v>7</v>
      </c>
      <c r="E133" s="36">
        <f>((2.5+4.75)/2)/3.281</f>
        <v>1.1048460835111247</v>
      </c>
      <c r="F133" s="36"/>
      <c r="G133" s="126">
        <f t="shared" si="15"/>
        <v>7.733922584577873</v>
      </c>
      <c r="H133" s="38"/>
      <c r="I133" s="38"/>
      <c r="J133" s="38"/>
      <c r="K133" s="21"/>
      <c r="M133" s="1"/>
      <c r="N133" s="187" t="s">
        <v>143</v>
      </c>
      <c r="O133" s="187"/>
      <c r="P133" s="187"/>
      <c r="Q133" s="187"/>
      <c r="R133" s="187"/>
      <c r="S133" s="187"/>
      <c r="T133" s="187"/>
    </row>
    <row r="134" spans="1:20" ht="15" customHeight="1">
      <c r="A134" s="18"/>
      <c r="B134" s="35"/>
      <c r="C134" s="34">
        <v>1</v>
      </c>
      <c r="D134" s="36">
        <v>6.55</v>
      </c>
      <c r="E134" s="36">
        <f>((16.17+1)/2)/3.281</f>
        <v>2.616580310880829</v>
      </c>
      <c r="F134" s="36"/>
      <c r="G134" s="126">
        <f t="shared" si="15"/>
        <v>17.138601036269428</v>
      </c>
      <c r="H134" s="38"/>
      <c r="I134" s="38"/>
      <c r="J134" s="38"/>
      <c r="K134" s="21"/>
      <c r="M134" s="1"/>
      <c r="N134" s="187" t="s">
        <v>144</v>
      </c>
      <c r="O134" s="187"/>
      <c r="P134" s="187"/>
      <c r="Q134" s="187"/>
      <c r="R134" s="187"/>
      <c r="S134" s="187"/>
      <c r="T134" s="187"/>
    </row>
    <row r="135" spans="1:20" ht="15" customHeight="1">
      <c r="A135" s="38"/>
      <c r="B135" s="35" t="s">
        <v>41</v>
      </c>
      <c r="C135" s="130"/>
      <c r="D135" s="131"/>
      <c r="E135" s="131"/>
      <c r="F135" s="131"/>
      <c r="G135" s="132">
        <f>SUM(G130:G134)</f>
        <v>61.252509605935302</v>
      </c>
      <c r="H135" s="132" t="s">
        <v>141</v>
      </c>
      <c r="I135" s="132">
        <f>35*10.7639</f>
        <v>376.73649999999998</v>
      </c>
      <c r="J135" s="133">
        <f>G135*I135</f>
        <v>23076.056085156444</v>
      </c>
      <c r="K135" s="34"/>
    </row>
    <row r="136" spans="1:20" ht="15" customHeight="1">
      <c r="A136" s="38"/>
      <c r="B136" s="35" t="s">
        <v>40</v>
      </c>
      <c r="C136" s="130"/>
      <c r="D136" s="131"/>
      <c r="E136" s="131"/>
      <c r="F136" s="131"/>
      <c r="G136" s="131"/>
      <c r="H136" s="131"/>
      <c r="I136" s="131"/>
      <c r="J136" s="40">
        <f>0.13*J135</f>
        <v>2999.8872910703381</v>
      </c>
      <c r="K136" s="34"/>
    </row>
    <row r="137" spans="1:20" ht="15" customHeight="1">
      <c r="A137" s="38"/>
      <c r="B137" s="35"/>
      <c r="C137" s="130"/>
      <c r="D137" s="131"/>
      <c r="E137" s="131"/>
      <c r="F137" s="131"/>
      <c r="G137" s="131"/>
      <c r="H137" s="131"/>
      <c r="I137" s="131"/>
      <c r="J137" s="40"/>
      <c r="K137" s="34"/>
    </row>
    <row r="138" spans="1:20" ht="41.4">
      <c r="A138" s="18">
        <v>19</v>
      </c>
      <c r="B138" s="59" t="s">
        <v>145</v>
      </c>
      <c r="C138" s="34"/>
      <c r="D138" s="36"/>
      <c r="E138" s="36"/>
      <c r="F138" s="36"/>
      <c r="G138" s="37"/>
      <c r="H138" s="38"/>
      <c r="I138" s="38"/>
      <c r="J138" s="40"/>
      <c r="K138" s="21"/>
    </row>
    <row r="139" spans="1:20" ht="15" customHeight="1">
      <c r="A139" s="38"/>
      <c r="B139" s="35" t="s">
        <v>146</v>
      </c>
      <c r="C139" s="19"/>
      <c r="D139" s="131"/>
      <c r="E139" s="131"/>
      <c r="F139" s="131"/>
      <c r="G139" s="131">
        <f>G135</f>
        <v>61.252509605935302</v>
      </c>
      <c r="H139" s="131"/>
      <c r="I139" s="131"/>
      <c r="J139" s="40"/>
      <c r="K139" s="34"/>
    </row>
    <row r="140" spans="1:20" ht="15" customHeight="1">
      <c r="A140" s="38"/>
      <c r="B140" s="35" t="str">
        <f>B83</f>
        <v>-at entrance</v>
      </c>
      <c r="C140" s="19">
        <v>1</v>
      </c>
      <c r="D140" s="141">
        <f t="shared" ref="D140:E140" si="16">D83</f>
        <v>1.95</v>
      </c>
      <c r="E140" s="141">
        <f t="shared" si="16"/>
        <v>1</v>
      </c>
      <c r="F140" s="141"/>
      <c r="G140" s="126">
        <f t="shared" ref="G140" si="17">PRODUCT(C140:F140)</f>
        <v>1.95</v>
      </c>
      <c r="H140" s="131"/>
      <c r="I140" s="131"/>
      <c r="J140" s="40"/>
      <c r="K140" s="34"/>
    </row>
    <row r="141" spans="1:20" ht="15" customHeight="1">
      <c r="A141" s="38"/>
      <c r="B141" s="35" t="s">
        <v>41</v>
      </c>
      <c r="C141" s="130"/>
      <c r="D141" s="131"/>
      <c r="E141" s="131"/>
      <c r="F141" s="131"/>
      <c r="G141" s="132">
        <f>SUM(G139:G140)</f>
        <v>63.202509605935305</v>
      </c>
      <c r="H141" s="132" t="s">
        <v>141</v>
      </c>
      <c r="I141" s="132">
        <v>9.1999999999999993</v>
      </c>
      <c r="J141" s="133">
        <f>G141*I141</f>
        <v>581.46308837460481</v>
      </c>
      <c r="K141" s="34"/>
    </row>
    <row r="142" spans="1:20" ht="15" customHeight="1">
      <c r="A142" s="18"/>
      <c r="B142" s="35"/>
      <c r="C142" s="19"/>
      <c r="D142" s="20"/>
      <c r="E142" s="21"/>
      <c r="F142" s="21"/>
      <c r="G142" s="23"/>
      <c r="H142" s="22"/>
      <c r="I142" s="23"/>
      <c r="J142" s="39"/>
      <c r="K142" s="21"/>
    </row>
    <row r="143" spans="1:20" ht="15" customHeight="1">
      <c r="A143" s="18">
        <v>20</v>
      </c>
      <c r="B143" s="142" t="s">
        <v>137</v>
      </c>
      <c r="C143" s="19">
        <v>1</v>
      </c>
      <c r="D143" s="20"/>
      <c r="E143" s="21"/>
      <c r="F143" s="21"/>
      <c r="G143" s="126">
        <f t="shared" ref="G143" si="18">PRODUCT(C143:F143)</f>
        <v>1</v>
      </c>
      <c r="H143" s="22" t="s">
        <v>138</v>
      </c>
      <c r="I143" s="23">
        <v>2000</v>
      </c>
      <c r="J143" s="32">
        <f>G143*I143</f>
        <v>2000</v>
      </c>
      <c r="K143" s="21"/>
    </row>
    <row r="144" spans="1:20" ht="15" customHeight="1">
      <c r="A144" s="18"/>
      <c r="B144" s="35"/>
      <c r="C144" s="19"/>
      <c r="D144" s="20"/>
      <c r="E144" s="21"/>
      <c r="F144" s="21"/>
      <c r="G144" s="23"/>
      <c r="H144" s="22"/>
      <c r="I144" s="23"/>
      <c r="J144" s="39"/>
      <c r="K144" s="21"/>
    </row>
    <row r="145" spans="1:11" ht="15" customHeight="1">
      <c r="A145" s="18">
        <v>21</v>
      </c>
      <c r="B145" s="29" t="s">
        <v>30</v>
      </c>
      <c r="C145" s="19">
        <v>1</v>
      </c>
      <c r="D145" s="20"/>
      <c r="E145" s="21"/>
      <c r="F145" s="21"/>
      <c r="G145" s="32">
        <f t="shared" ref="G145" si="19">PRODUCT(C145:F145)</f>
        <v>1</v>
      </c>
      <c r="H145" s="22" t="s">
        <v>31</v>
      </c>
      <c r="I145" s="23">
        <v>500</v>
      </c>
      <c r="J145" s="32">
        <f>G145*I145</f>
        <v>500</v>
      </c>
      <c r="K145" s="21"/>
    </row>
    <row r="146" spans="1:11" ht="15" customHeight="1">
      <c r="A146" s="18"/>
      <c r="B146" s="24"/>
      <c r="C146" s="19"/>
      <c r="D146" s="20"/>
      <c r="E146" s="21"/>
      <c r="F146" s="21"/>
      <c r="G146" s="23"/>
      <c r="H146" s="22"/>
      <c r="I146" s="23"/>
      <c r="J146" s="39"/>
      <c r="K146" s="21"/>
    </row>
    <row r="147" spans="1:11">
      <c r="A147" s="38"/>
      <c r="B147" s="41" t="s">
        <v>17</v>
      </c>
      <c r="C147" s="42"/>
      <c r="D147" s="36"/>
      <c r="E147" s="36"/>
      <c r="F147" s="36"/>
      <c r="G147" s="39"/>
      <c r="H147" s="39"/>
      <c r="I147" s="39"/>
      <c r="J147" s="39">
        <f>SUM(J10:J145)</f>
        <v>564973.01951057301</v>
      </c>
      <c r="K147" s="34"/>
    </row>
    <row r="148" spans="1:11">
      <c r="A148" s="53"/>
      <c r="B148" s="56"/>
      <c r="C148" s="57"/>
      <c r="D148" s="54"/>
      <c r="E148" s="54"/>
      <c r="F148" s="54"/>
      <c r="G148" s="55"/>
      <c r="H148" s="55"/>
      <c r="I148" s="55"/>
      <c r="J148" s="55"/>
      <c r="K148" s="52"/>
    </row>
    <row r="149" spans="1:11" s="1" customFormat="1">
      <c r="A149" s="45"/>
      <c r="B149" s="28" t="s">
        <v>27</v>
      </c>
      <c r="C149" s="186">
        <f>J147</f>
        <v>564973.01951057301</v>
      </c>
      <c r="D149" s="186"/>
      <c r="E149" s="37">
        <v>100</v>
      </c>
      <c r="F149" s="46"/>
      <c r="G149" s="47"/>
      <c r="H149" s="46"/>
      <c r="I149" s="48"/>
      <c r="J149" s="49"/>
      <c r="K149" s="50"/>
    </row>
    <row r="150" spans="1:11">
      <c r="A150" s="51"/>
      <c r="B150" s="28" t="s">
        <v>32</v>
      </c>
      <c r="C150" s="188">
        <v>500000</v>
      </c>
      <c r="D150" s="188"/>
      <c r="E150" s="37"/>
      <c r="F150" s="44"/>
      <c r="G150" s="43"/>
      <c r="H150" s="43"/>
      <c r="I150" s="43"/>
      <c r="J150" s="43"/>
      <c r="K150" s="44"/>
    </row>
    <row r="151" spans="1:11">
      <c r="A151" s="51"/>
      <c r="B151" s="28" t="s">
        <v>33</v>
      </c>
      <c r="C151" s="188">
        <f>C150-C153-C154</f>
        <v>475000</v>
      </c>
      <c r="D151" s="188"/>
      <c r="E151" s="37">
        <f>C151/C149*100</f>
        <v>84.074811291251535</v>
      </c>
      <c r="F151" s="44"/>
      <c r="G151" s="43"/>
      <c r="H151" s="43"/>
      <c r="I151" s="43"/>
      <c r="J151" s="43"/>
      <c r="K151" s="44"/>
    </row>
    <row r="152" spans="1:11">
      <c r="A152" s="51"/>
      <c r="B152" s="28" t="s">
        <v>34</v>
      </c>
      <c r="C152" s="186">
        <f>C149-C151</f>
        <v>89973.019510573009</v>
      </c>
      <c r="D152" s="186"/>
      <c r="E152" s="37">
        <f>100-E151</f>
        <v>15.925188708748465</v>
      </c>
      <c r="F152" s="44"/>
      <c r="G152" s="43"/>
      <c r="H152" s="43"/>
      <c r="I152" s="43"/>
      <c r="J152" s="43"/>
      <c r="K152" s="44"/>
    </row>
    <row r="153" spans="1:11">
      <c r="A153" s="51"/>
      <c r="B153" s="28" t="s">
        <v>35</v>
      </c>
      <c r="C153" s="186">
        <f>C150*0.03</f>
        <v>15000</v>
      </c>
      <c r="D153" s="186"/>
      <c r="E153" s="37">
        <v>3</v>
      </c>
      <c r="F153" s="44"/>
      <c r="G153" s="43"/>
      <c r="H153" s="43"/>
      <c r="I153" s="43"/>
      <c r="J153" s="43"/>
      <c r="K153" s="44"/>
    </row>
    <row r="154" spans="1:11">
      <c r="A154" s="51"/>
      <c r="B154" s="28" t="s">
        <v>36</v>
      </c>
      <c r="C154" s="186">
        <f>C150*0.02</f>
        <v>10000</v>
      </c>
      <c r="D154" s="186"/>
      <c r="E154" s="37">
        <v>2</v>
      </c>
      <c r="F154" s="44"/>
      <c r="G154" s="43"/>
      <c r="H154" s="43"/>
      <c r="I154" s="43"/>
      <c r="J154" s="43"/>
      <c r="K154" s="44"/>
    </row>
    <row r="155" spans="1:11" s="33" customFormat="1">
      <c r="A155" s="52"/>
      <c r="B155" s="52"/>
      <c r="C155" s="52"/>
      <c r="D155" s="52"/>
      <c r="E155" s="52"/>
      <c r="F155" s="52"/>
      <c r="G155" s="52"/>
      <c r="H155" s="52"/>
      <c r="I155" s="52"/>
      <c r="J155" s="52"/>
      <c r="K155" s="52"/>
    </row>
    <row r="156" spans="1:11" s="33" customFormat="1"/>
    <row r="157" spans="1:11" s="33" customFormat="1"/>
    <row r="158" spans="1:11" s="33" customFormat="1"/>
    <row r="159" spans="1:11" s="33" customFormat="1"/>
    <row r="160" spans="1:11" s="33" customFormat="1"/>
    <row r="161" s="33" customFormat="1"/>
    <row r="162" s="33" customFormat="1"/>
    <row r="163" s="33" customFormat="1"/>
    <row r="164" s="33" customFormat="1"/>
    <row r="165" s="33" customFormat="1"/>
    <row r="166" s="33" customFormat="1"/>
    <row r="167" s="33" customFormat="1"/>
    <row r="168" s="33" customFormat="1"/>
    <row r="169" s="33" customFormat="1"/>
    <row r="170" s="33" customFormat="1"/>
    <row r="171" s="33" customFormat="1"/>
    <row r="172" s="33" customFormat="1"/>
    <row r="173" s="33" customFormat="1"/>
    <row r="174" s="33" customFormat="1"/>
    <row r="175" s="33" customFormat="1"/>
    <row r="176" s="33" customFormat="1"/>
    <row r="177" s="33" customFormat="1"/>
    <row r="178" s="33" customFormat="1"/>
    <row r="179" s="33" customFormat="1"/>
    <row r="180" s="33" customFormat="1"/>
    <row r="181" s="33" customFormat="1"/>
    <row r="182" s="33" customFormat="1"/>
    <row r="183" s="33" customFormat="1"/>
    <row r="184" s="33" customFormat="1"/>
    <row r="185" s="33" customFormat="1"/>
    <row r="186" s="33" customFormat="1"/>
    <row r="187" s="33" customFormat="1"/>
    <row r="188" s="33" customFormat="1"/>
    <row r="189" s="33" customFormat="1"/>
    <row r="190" s="33" customFormat="1"/>
    <row r="191" s="33" customFormat="1"/>
    <row r="192" s="33" customFormat="1"/>
    <row r="193" s="33" customFormat="1"/>
    <row r="194" s="33" customFormat="1"/>
    <row r="195" s="33" customFormat="1"/>
    <row r="196" s="33" customFormat="1"/>
    <row r="197" s="33" customFormat="1"/>
    <row r="198" s="33" customFormat="1"/>
    <row r="199" s="33" customFormat="1"/>
    <row r="200" s="33" customFormat="1"/>
    <row r="201" s="33" customFormat="1"/>
    <row r="202" s="33" customFormat="1"/>
    <row r="203" s="33" customFormat="1"/>
    <row r="204" s="33" customFormat="1"/>
    <row r="205" s="33" customFormat="1"/>
    <row r="206" s="33" customFormat="1"/>
    <row r="207" s="33" customFormat="1"/>
    <row r="208" s="33" customFormat="1"/>
    <row r="209" s="33" customFormat="1"/>
    <row r="210" s="33" customFormat="1"/>
    <row r="211" s="33" customFormat="1"/>
  </sheetData>
  <mergeCells count="20">
    <mergeCell ref="N133:T133"/>
    <mergeCell ref="A1:K1"/>
    <mergeCell ref="A2:K2"/>
    <mergeCell ref="A3:K3"/>
    <mergeCell ref="A4:K4"/>
    <mergeCell ref="A5:K5"/>
    <mergeCell ref="A6:F6"/>
    <mergeCell ref="H6:K6"/>
    <mergeCell ref="A7:F7"/>
    <mergeCell ref="H7:K7"/>
    <mergeCell ref="N60:T60"/>
    <mergeCell ref="N73:T73"/>
    <mergeCell ref="N81:T81"/>
    <mergeCell ref="C154:D154"/>
    <mergeCell ref="N134:T134"/>
    <mergeCell ref="C149:D149"/>
    <mergeCell ref="C150:D150"/>
    <mergeCell ref="C151:D151"/>
    <mergeCell ref="C152:D152"/>
    <mergeCell ref="C153:D153"/>
  </mergeCells>
  <hyperlinks>
    <hyperlink ref="B103" r:id="rId1"/>
  </hyperlinks>
  <pageMargins left="0.7" right="0.7" top="0.75" bottom="0.75" header="0.3" footer="0.3"/>
  <pageSetup paperSize="9" scale="75" orientation="portrait" r:id="rId2"/>
  <headerFooter>
    <oddFooter>&amp;LPrepared By:&amp;CChecked By:&amp;RApproved By:</oddFooter>
  </headerFooter>
  <rowBreaks count="1" manualBreakCount="1">
    <brk id="54"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tabSelected="1" topLeftCell="A49" zoomScaleNormal="100" workbookViewId="0">
      <selection activeCell="M13" sqref="M13"/>
    </sheetView>
  </sheetViews>
  <sheetFormatPr defaultRowHeight="14.4"/>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c r="A1" s="207" t="s">
        <v>0</v>
      </c>
      <c r="B1" s="207"/>
      <c r="C1" s="207"/>
      <c r="D1" s="207"/>
      <c r="E1" s="207"/>
      <c r="F1" s="207"/>
      <c r="G1" s="207"/>
      <c r="H1" s="207"/>
      <c r="I1" s="207"/>
      <c r="J1" s="207"/>
      <c r="K1" s="207"/>
    </row>
    <row r="2" spans="1:11" ht="24.6">
      <c r="A2" s="208" t="s">
        <v>1</v>
      </c>
      <c r="B2" s="208"/>
      <c r="C2" s="208"/>
      <c r="D2" s="208"/>
      <c r="E2" s="208"/>
      <c r="F2" s="208"/>
      <c r="G2" s="208"/>
      <c r="H2" s="208"/>
      <c r="I2" s="208"/>
      <c r="J2" s="208"/>
      <c r="K2" s="208"/>
    </row>
    <row r="3" spans="1:11" s="1" customFormat="1">
      <c r="A3" s="191" t="s">
        <v>2</v>
      </c>
      <c r="B3" s="191"/>
      <c r="C3" s="191"/>
      <c r="D3" s="191"/>
      <c r="E3" s="191"/>
      <c r="F3" s="191"/>
      <c r="G3" s="191"/>
      <c r="H3" s="191"/>
      <c r="I3" s="191"/>
      <c r="J3" s="191"/>
      <c r="K3" s="191"/>
    </row>
    <row r="4" spans="1:11" s="1" customFormat="1">
      <c r="A4" s="191" t="s">
        <v>3</v>
      </c>
      <c r="B4" s="191"/>
      <c r="C4" s="191"/>
      <c r="D4" s="191"/>
      <c r="E4" s="191"/>
      <c r="F4" s="191"/>
      <c r="G4" s="191"/>
      <c r="H4" s="191"/>
      <c r="I4" s="191"/>
      <c r="J4" s="191"/>
      <c r="K4" s="191"/>
    </row>
    <row r="5" spans="1:11" ht="18">
      <c r="A5" s="209" t="s">
        <v>18</v>
      </c>
      <c r="B5" s="209"/>
      <c r="C5" s="209"/>
      <c r="D5" s="209"/>
      <c r="E5" s="209"/>
      <c r="F5" s="209"/>
      <c r="G5" s="209"/>
      <c r="H5" s="209"/>
      <c r="I5" s="209"/>
      <c r="J5" s="209"/>
      <c r="K5" s="209"/>
    </row>
    <row r="6" spans="1:11" ht="18">
      <c r="A6" s="8" t="s">
        <v>19</v>
      </c>
      <c r="B6" s="8"/>
      <c r="C6" s="205">
        <f>F71</f>
        <v>564973.01951057301</v>
      </c>
      <c r="D6" s="206"/>
      <c r="E6" s="9"/>
      <c r="F6" s="8"/>
      <c r="G6" s="8"/>
      <c r="H6" s="8" t="s">
        <v>20</v>
      </c>
      <c r="I6" s="8"/>
      <c r="J6" s="205">
        <f>I71</f>
        <v>567296.12317853374</v>
      </c>
      <c r="K6" s="206"/>
    </row>
    <row r="7" spans="1:11">
      <c r="A7" s="25" t="s">
        <v>29</v>
      </c>
      <c r="B7" s="10"/>
      <c r="C7" s="10"/>
      <c r="D7" s="10"/>
      <c r="F7" s="200"/>
      <c r="G7" s="200"/>
      <c r="I7" s="201" t="s">
        <v>37</v>
      </c>
      <c r="J7" s="201"/>
      <c r="K7" s="201"/>
    </row>
    <row r="8" spans="1:11" ht="15.6">
      <c r="A8" s="193" t="e">
        <f>#REF!</f>
        <v>#REF!</v>
      </c>
      <c r="B8" s="193"/>
      <c r="C8" s="193"/>
      <c r="D8" s="193"/>
      <c r="E8" s="193"/>
      <c r="F8" s="193"/>
      <c r="I8" s="202" t="s">
        <v>38</v>
      </c>
      <c r="J8" s="202"/>
      <c r="K8" s="202"/>
    </row>
    <row r="9" spans="1:11">
      <c r="A9" s="203" t="e">
        <f>#REF!</f>
        <v>#REF!</v>
      </c>
      <c r="B9" s="203"/>
      <c r="C9" s="203"/>
      <c r="D9" s="203"/>
      <c r="E9" s="203"/>
      <c r="F9" s="203"/>
      <c r="I9" s="202" t="s">
        <v>39</v>
      </c>
      <c r="J9" s="202"/>
      <c r="K9" s="202"/>
    </row>
    <row r="11" spans="1:11">
      <c r="A11" s="198" t="s">
        <v>21</v>
      </c>
      <c r="B11" s="198" t="s">
        <v>22</v>
      </c>
      <c r="C11" s="198" t="s">
        <v>12</v>
      </c>
      <c r="D11" s="204" t="s">
        <v>23</v>
      </c>
      <c r="E11" s="204"/>
      <c r="F11" s="204"/>
      <c r="G11" s="204" t="s">
        <v>24</v>
      </c>
      <c r="H11" s="204"/>
      <c r="I11" s="204"/>
      <c r="J11" s="198" t="s">
        <v>25</v>
      </c>
      <c r="K11" s="199" t="s">
        <v>15</v>
      </c>
    </row>
    <row r="12" spans="1:11">
      <c r="A12" s="198"/>
      <c r="B12" s="198"/>
      <c r="C12" s="198"/>
      <c r="D12" s="11" t="s">
        <v>26</v>
      </c>
      <c r="E12" s="11" t="s">
        <v>13</v>
      </c>
      <c r="F12" s="11" t="s">
        <v>14</v>
      </c>
      <c r="G12" s="11" t="s">
        <v>26</v>
      </c>
      <c r="H12" s="11" t="s">
        <v>13</v>
      </c>
      <c r="I12" s="11" t="s">
        <v>14</v>
      </c>
      <c r="J12" s="198"/>
      <c r="K12" s="199"/>
    </row>
    <row r="13" spans="1:11" s="1" customFormat="1" ht="27.6">
      <c r="A13" s="26">
        <f>backyard!A9</f>
        <v>1</v>
      </c>
      <c r="B13" s="59" t="str">
        <f>backyard!B9</f>
        <v>df6f]df hf]8]sf] uf/f] eTsfO{ To;af6 cfPsf] ;fdu|L !) dL=;Dd</v>
      </c>
      <c r="C13" s="12" t="str">
        <f>backyard!H11</f>
        <v>cum</v>
      </c>
      <c r="D13" s="12">
        <f>backyard!G11</f>
        <v>1.2799146601645841</v>
      </c>
      <c r="E13" s="12">
        <f>backyard!I11</f>
        <v>975.2</v>
      </c>
      <c r="F13" s="12">
        <f>D13*E13</f>
        <v>1248.1727765925025</v>
      </c>
      <c r="G13" s="12">
        <f>V!G15</f>
        <v>4.5641191709844557</v>
      </c>
      <c r="H13" s="12">
        <f>V!I15</f>
        <v>975.2</v>
      </c>
      <c r="I13" s="12">
        <f>G13*H13</f>
        <v>4450.9290155440412</v>
      </c>
      <c r="J13" s="27">
        <f>I13-F13</f>
        <v>3202.7562389515388</v>
      </c>
      <c r="K13" s="14"/>
    </row>
    <row r="14" spans="1:11" s="1" customFormat="1" ht="15.6">
      <c r="A14" s="26"/>
      <c r="B14" s="31"/>
      <c r="C14" s="12"/>
      <c r="D14" s="12"/>
      <c r="E14" s="12"/>
      <c r="F14" s="12"/>
      <c r="G14" s="12"/>
      <c r="H14" s="12"/>
      <c r="I14" s="12"/>
      <c r="J14" s="27"/>
      <c r="K14" s="14"/>
    </row>
    <row r="15" spans="1:11" s="1" customFormat="1" ht="27.6">
      <c r="A15" s="26">
        <f>backyard!A13</f>
        <v>2</v>
      </c>
      <c r="B15" s="59" t="str">
        <f>backyard!B13</f>
        <v>e'O{+tNnfdf lrDgL e§fsf] O{+6fsf] uf/f] l;d]G6 d;nf -!M^_ df</v>
      </c>
      <c r="C15" s="12" t="str">
        <f>backyard!H16</f>
        <v>cum</v>
      </c>
      <c r="D15" s="12">
        <f>backyard!G16</f>
        <v>3.3957537183785438</v>
      </c>
      <c r="E15" s="12">
        <f>backyard!I16</f>
        <v>14362.76</v>
      </c>
      <c r="F15" s="12">
        <f t="shared" ref="F15" si="0">D15*E15</f>
        <v>48772.395676178618</v>
      </c>
      <c r="G15" s="12">
        <f>V!G38</f>
        <v>4.3859022229503202</v>
      </c>
      <c r="H15" s="12">
        <f>V!I38</f>
        <v>14362.76</v>
      </c>
      <c r="I15" s="12">
        <f t="shared" ref="I15" si="1">G15*H15</f>
        <v>62993.661011701945</v>
      </c>
      <c r="J15" s="27">
        <f t="shared" ref="J15:J19" si="2">I15-F15</f>
        <v>14221.265335523327</v>
      </c>
      <c r="K15" s="14"/>
    </row>
    <row r="16" spans="1:11" s="1" customFormat="1" ht="15.6">
      <c r="A16" s="26"/>
      <c r="B16" s="31" t="str">
        <f>backyard!B17</f>
        <v>VAT calculation</v>
      </c>
      <c r="C16" s="12"/>
      <c r="D16" s="12"/>
      <c r="E16" s="12"/>
      <c r="F16" s="12">
        <f>backyard!J17</f>
        <v>4552.0968282338599</v>
      </c>
      <c r="G16" s="12"/>
      <c r="H16" s="12"/>
      <c r="I16" s="12">
        <f>V!J39</f>
        <v>5879.4168405031451</v>
      </c>
      <c r="J16" s="27">
        <f t="shared" si="2"/>
        <v>1327.3200122692851</v>
      </c>
      <c r="K16" s="14"/>
    </row>
    <row r="17" spans="1:11" s="1" customFormat="1" ht="15.6">
      <c r="A17" s="26"/>
      <c r="B17" s="31"/>
      <c r="C17" s="12"/>
      <c r="D17" s="12"/>
      <c r="E17" s="12"/>
      <c r="F17" s="12"/>
      <c r="G17" s="12"/>
      <c r="H17" s="12"/>
      <c r="I17" s="12"/>
      <c r="J17" s="27"/>
      <c r="K17" s="14"/>
    </row>
    <row r="18" spans="1:11" s="1" customFormat="1" ht="41.4">
      <c r="A18" s="26">
        <f>backyard!A19</f>
        <v>3</v>
      </c>
      <c r="B18" s="59" t="str">
        <f>backyard!B19</f>
        <v>dfn;fdfg pknAw u/L lh=cfO{=k|m]ddf ;fwf/0f d]6fnfOH8 kf]lnP6/ nfldg]6]8 jf]8{sf] l;lnË nufpg] sfd -ss{t kftfsf] 5fgfd'lg_</v>
      </c>
      <c r="C18" s="12" t="str">
        <f>backyard!H23</f>
        <v>sqm</v>
      </c>
      <c r="D18" s="12">
        <f>backyard!G23</f>
        <v>53.060549999999999</v>
      </c>
      <c r="E18" s="12">
        <f>backyard!I23</f>
        <v>817.76</v>
      </c>
      <c r="F18" s="12">
        <f t="shared" ref="F18" si="3">D18*E18</f>
        <v>43390.795367999999</v>
      </c>
      <c r="G18" s="12">
        <f>V!G45</f>
        <v>53.060549999999999</v>
      </c>
      <c r="H18" s="12">
        <f>V!I45</f>
        <v>817.76</v>
      </c>
      <c r="I18" s="12">
        <f t="shared" ref="I18" si="4">G18*H18</f>
        <v>43390.795367999999</v>
      </c>
      <c r="J18" s="27">
        <f t="shared" si="2"/>
        <v>0</v>
      </c>
      <c r="K18" s="14"/>
    </row>
    <row r="19" spans="1:11" s="1" customFormat="1" ht="15.6">
      <c r="A19" s="26"/>
      <c r="B19" s="31" t="str">
        <f>backyard!B24</f>
        <v>VAT calculation</v>
      </c>
      <c r="C19" s="12"/>
      <c r="D19" s="12"/>
      <c r="E19" s="12"/>
      <c r="F19" s="12">
        <f>backyard!J24</f>
        <v>5640.8033978399999</v>
      </c>
      <c r="G19" s="12"/>
      <c r="H19" s="12"/>
      <c r="I19" s="12">
        <f>V!J46</f>
        <v>5640.8033978399999</v>
      </c>
      <c r="J19" s="27">
        <f t="shared" si="2"/>
        <v>0</v>
      </c>
      <c r="K19" s="14"/>
    </row>
    <row r="20" spans="1:11" s="1" customFormat="1" ht="15.6">
      <c r="A20" s="26"/>
      <c r="B20" s="31"/>
      <c r="C20" s="12"/>
      <c r="D20" s="12"/>
      <c r="E20" s="12"/>
      <c r="F20" s="12"/>
      <c r="G20" s="12"/>
      <c r="H20" s="12"/>
      <c r="I20" s="12"/>
      <c r="J20" s="27"/>
      <c r="K20" s="14"/>
    </row>
    <row r="21" spans="1:11" s="1" customFormat="1" ht="27.6">
      <c r="A21" s="26">
        <f>backyard!A26</f>
        <v>4</v>
      </c>
      <c r="B21" s="59" t="str">
        <f>backyard!B26</f>
        <v xml:space="preserve">).#^ lblv ).$ dL.dL.afSnf] sf]?u]6]8 /+lug ss{6 kftfsf] 5fgf 5fpg] sfd </v>
      </c>
      <c r="C21" s="12" t="str">
        <f>backyard!H28</f>
        <v>sqm</v>
      </c>
      <c r="D21" s="12">
        <f>backyard!G28</f>
        <v>11.704640639199713</v>
      </c>
      <c r="E21" s="12">
        <f>backyard!I28</f>
        <v>1070.9000000000001</v>
      </c>
      <c r="F21" s="12">
        <f t="shared" ref="F21" si="5">D21*E21</f>
        <v>12534.499660518974</v>
      </c>
      <c r="G21" s="12">
        <f>V!G50</f>
        <v>7.8030937594664751</v>
      </c>
      <c r="H21" s="12">
        <f>V!I50</f>
        <v>1070.9000000000001</v>
      </c>
      <c r="I21" s="12">
        <f t="shared" ref="I21" si="6">G21*H21</f>
        <v>8356.3331070126496</v>
      </c>
      <c r="J21" s="27">
        <f t="shared" ref="J21:J22" si="7">I21-F21</f>
        <v>-4178.1665535063239</v>
      </c>
      <c r="K21" s="14"/>
    </row>
    <row r="22" spans="1:11" s="1" customFormat="1" ht="15.6">
      <c r="A22" s="26"/>
      <c r="B22" s="31" t="str">
        <f>backyard!B29</f>
        <v>VAT calculation</v>
      </c>
      <c r="C22" s="12"/>
      <c r="D22" s="12"/>
      <c r="E22" s="12"/>
      <c r="F22" s="12">
        <f>backyard!J29</f>
        <v>1306.6966002013382</v>
      </c>
      <c r="G22" s="12"/>
      <c r="H22" s="12"/>
      <c r="I22" s="12">
        <f>V!J51</f>
        <v>871.13106680089209</v>
      </c>
      <c r="J22" s="27">
        <f t="shared" si="7"/>
        <v>-435.56553340044616</v>
      </c>
      <c r="K22" s="14"/>
    </row>
    <row r="23" spans="1:11" s="1" customFormat="1" ht="15.6">
      <c r="A23" s="26"/>
      <c r="B23" s="31"/>
      <c r="C23" s="12"/>
      <c r="D23" s="12"/>
      <c r="E23" s="12"/>
      <c r="F23" s="12"/>
      <c r="G23" s="12"/>
      <c r="H23" s="12"/>
      <c r="I23" s="12"/>
      <c r="J23" s="27"/>
      <c r="K23" s="14"/>
    </row>
    <row r="24" spans="1:11" s="1" customFormat="1" ht="27.6">
      <c r="A24" s="26">
        <f>backyard!A31</f>
        <v>5</v>
      </c>
      <c r="B24" s="59" t="str">
        <f>backyard!B31</f>
        <v xml:space="preserve">)=%) dL=dL=  Kn]g zL6sf] !%) ld=ld= rf}8fO{, u6/ agfO{ jf;/ </v>
      </c>
      <c r="C24" s="12" t="str">
        <f>backyard!H33</f>
        <v>rm</v>
      </c>
      <c r="D24" s="12">
        <f>backyard!G33</f>
        <v>13.4</v>
      </c>
      <c r="E24" s="12">
        <f>backyard!I33</f>
        <v>1108.01</v>
      </c>
      <c r="F24" s="12">
        <f t="shared" ref="F24" si="8">D24*E24</f>
        <v>14847.334000000001</v>
      </c>
      <c r="G24" s="12">
        <f>V!G55</f>
        <v>21.18</v>
      </c>
      <c r="H24" s="12">
        <f>V!I55</f>
        <v>1108.01</v>
      </c>
      <c r="I24" s="12">
        <f t="shared" ref="I24" si="9">G24*H24</f>
        <v>23467.6518</v>
      </c>
      <c r="J24" s="27">
        <f t="shared" ref="J24:J25" si="10">I24-F24</f>
        <v>8620.3177999999989</v>
      </c>
      <c r="K24" s="14"/>
    </row>
    <row r="25" spans="1:11" s="1" customFormat="1" ht="15.6">
      <c r="A25" s="26"/>
      <c r="B25" s="31" t="str">
        <f>backyard!B34</f>
        <v>VAT calculation</v>
      </c>
      <c r="C25" s="12"/>
      <c r="D25" s="12"/>
      <c r="E25" s="12"/>
      <c r="F25" s="12">
        <f>backyard!J34</f>
        <v>1232.7106220000001</v>
      </c>
      <c r="G25" s="12"/>
      <c r="H25" s="12"/>
      <c r="I25" s="12">
        <f>V!J56</f>
        <v>1948.4187293999998</v>
      </c>
      <c r="J25" s="27">
        <f t="shared" si="10"/>
        <v>715.70810739999979</v>
      </c>
      <c r="K25" s="14"/>
    </row>
    <row r="26" spans="1:11" s="1" customFormat="1" ht="15.6">
      <c r="A26" s="26"/>
      <c r="B26" s="31"/>
      <c r="C26" s="12"/>
      <c r="D26" s="12"/>
      <c r="E26" s="12"/>
      <c r="F26" s="12"/>
      <c r="G26" s="12"/>
      <c r="H26" s="12"/>
      <c r="I26" s="12"/>
      <c r="J26" s="27"/>
      <c r="K26" s="14"/>
    </row>
    <row r="27" spans="1:11" s="1" customFormat="1" ht="27.6">
      <c r="A27" s="26">
        <f>backyard!A36</f>
        <v>6</v>
      </c>
      <c r="B27" s="59" t="str">
        <f>backyard!B36</f>
        <v>l;d]G6 jf jh|df hf]8]sf] uf/f] eTsfO{ To;af6 cfPsf] ;fdfu+|L !) dL= x6fpg] sfd .</v>
      </c>
      <c r="C27" s="12" t="str">
        <f>backyard!H38</f>
        <v>cum</v>
      </c>
      <c r="D27" s="12">
        <f>backyard!G38</f>
        <v>1.7555623285583659</v>
      </c>
      <c r="E27" s="12">
        <f>backyard!I38</f>
        <v>1950.4</v>
      </c>
      <c r="F27" s="12">
        <f t="shared" ref="F27" si="11">D27*E27</f>
        <v>3424.0487656202372</v>
      </c>
      <c r="G27" s="12">
        <f>V!G62</f>
        <v>4.1007156354769885</v>
      </c>
      <c r="H27" s="12">
        <f>V!I62</f>
        <v>1950.4</v>
      </c>
      <c r="I27" s="12">
        <f t="shared" ref="I27" si="12">G27*H27</f>
        <v>7998.0357754343186</v>
      </c>
      <c r="J27" s="27">
        <f t="shared" ref="J27:J28" si="13">I27-F27</f>
        <v>4573.9870098140818</v>
      </c>
      <c r="K27" s="14"/>
    </row>
    <row r="28" spans="1:11" s="1" customFormat="1" ht="15.6">
      <c r="A28" s="26"/>
      <c r="B28" s="31" t="str">
        <f>backyard!B39</f>
        <v>VAT calculation</v>
      </c>
      <c r="C28" s="12"/>
      <c r="D28" s="12"/>
      <c r="E28" s="12"/>
      <c r="F28" s="12">
        <f>backyard!J39</f>
        <v>445.12633953063084</v>
      </c>
      <c r="G28" s="12"/>
      <c r="H28" s="12"/>
      <c r="I28" s="12">
        <f>V!J63</f>
        <v>1039.7446508064616</v>
      </c>
      <c r="J28" s="27">
        <f t="shared" si="13"/>
        <v>594.61831127583071</v>
      </c>
      <c r="K28" s="14"/>
    </row>
    <row r="29" spans="1:11" s="1" customFormat="1" ht="15.6">
      <c r="A29" s="26"/>
      <c r="B29" s="31"/>
      <c r="C29" s="12"/>
      <c r="D29" s="12"/>
      <c r="E29" s="12"/>
      <c r="F29" s="12"/>
      <c r="G29" s="12"/>
      <c r="H29" s="12"/>
      <c r="I29" s="12"/>
      <c r="J29" s="27"/>
      <c r="K29" s="14"/>
    </row>
    <row r="30" spans="1:11" s="1" customFormat="1" ht="27.6">
      <c r="A30" s="26">
        <f>backyard!A41</f>
        <v>7</v>
      </c>
      <c r="B30" s="59" t="str">
        <f>backyard!B41</f>
        <v xml:space="preserve">g/d k|sf/sf] Sn] / l;N6L df6f]df ;j} lsl;dsf] vGg] sfd </v>
      </c>
      <c r="C30" s="12" t="str">
        <f>backyard!H43</f>
        <v>cum</v>
      </c>
      <c r="D30" s="12">
        <f>backyard!G43</f>
        <v>0.48765620237732393</v>
      </c>
      <c r="E30" s="12">
        <f>backyard!I43</f>
        <v>663.31</v>
      </c>
      <c r="F30" s="12">
        <f t="shared" ref="F30" si="14">D30*E30</f>
        <v>323.46723559890273</v>
      </c>
      <c r="G30" s="12">
        <f>V!G67</f>
        <v>0.7886315147820786</v>
      </c>
      <c r="H30" s="12">
        <f>V!I67</f>
        <v>663.31</v>
      </c>
      <c r="I30" s="12">
        <f t="shared" ref="I30" si="15">G30*H30</f>
        <v>523.10717007010055</v>
      </c>
      <c r="J30" s="27">
        <f t="shared" ref="J30" si="16">I30-F30</f>
        <v>199.63993447119782</v>
      </c>
      <c r="K30" s="14"/>
    </row>
    <row r="31" spans="1:11" s="1" customFormat="1" ht="15.6">
      <c r="A31" s="26"/>
      <c r="B31" s="31"/>
      <c r="C31" s="12"/>
      <c r="D31" s="12"/>
      <c r="E31" s="12"/>
      <c r="F31" s="12"/>
      <c r="G31" s="12"/>
      <c r="H31" s="12"/>
      <c r="I31" s="12"/>
      <c r="J31" s="27"/>
      <c r="K31" s="14"/>
    </row>
    <row r="32" spans="1:11" s="1" customFormat="1">
      <c r="A32" s="26">
        <f>backyard!A45</f>
        <v>8</v>
      </c>
      <c r="B32" s="59" t="str">
        <f>backyard!B45</f>
        <v>;'Vvf O{6f RofK6f] 5fKg] sfd</v>
      </c>
      <c r="C32" s="12" t="str">
        <f>backyard!H49</f>
        <v>sqm</v>
      </c>
      <c r="D32" s="12">
        <f>backyard!G49</f>
        <v>10.283686833282534</v>
      </c>
      <c r="E32" s="12">
        <f>backyard!I49</f>
        <v>1014.97</v>
      </c>
      <c r="F32" s="12">
        <f t="shared" ref="F32" si="17">D32*E32</f>
        <v>10437.633625176773</v>
      </c>
      <c r="G32" s="12">
        <f>V!G74</f>
        <v>17.255438890582141</v>
      </c>
      <c r="H32" s="12">
        <f>V!I74</f>
        <v>1014.97</v>
      </c>
      <c r="I32" s="12">
        <f t="shared" ref="I32" si="18">G32*H32</f>
        <v>17513.752810774156</v>
      </c>
      <c r="J32" s="27">
        <f t="shared" ref="J32:J33" si="19">I32-F32</f>
        <v>7076.119185597383</v>
      </c>
      <c r="K32" s="14"/>
    </row>
    <row r="33" spans="1:11" s="1" customFormat="1" ht="15.6">
      <c r="A33" s="26"/>
      <c r="B33" s="31" t="str">
        <f>backyard!B50</f>
        <v>VAT calculation</v>
      </c>
      <c r="C33" s="12"/>
      <c r="D33" s="12"/>
      <c r="E33" s="12"/>
      <c r="F33" s="12">
        <f>backyard!J50</f>
        <v>1152.0156203369095</v>
      </c>
      <c r="G33" s="12"/>
      <c r="H33" s="12"/>
      <c r="I33" s="12">
        <f>V!J75</f>
        <v>1933.0163841030176</v>
      </c>
      <c r="J33" s="27">
        <f t="shared" si="19"/>
        <v>781.00076376610809</v>
      </c>
      <c r="K33" s="14"/>
    </row>
    <row r="34" spans="1:11" s="1" customFormat="1" ht="15.6">
      <c r="A34" s="26"/>
      <c r="B34" s="31"/>
      <c r="C34" s="12"/>
      <c r="D34" s="12"/>
      <c r="E34" s="12"/>
      <c r="F34" s="12"/>
      <c r="G34" s="12"/>
      <c r="H34" s="12"/>
      <c r="I34" s="12"/>
      <c r="J34" s="27"/>
      <c r="K34" s="14"/>
    </row>
    <row r="35" spans="1:11" s="1" customFormat="1" ht="27.6">
      <c r="A35" s="26">
        <f>backyard!A52</f>
        <v>9</v>
      </c>
      <c r="B35" s="59" t="str">
        <f>backyard!B52</f>
        <v xml:space="preserve">hu leQf kvf{ndf l;d]G6 s+lqm6 ug]{ sfd -lk=;L=;L= !M@M$_ </v>
      </c>
      <c r="C35" s="12" t="str">
        <f>backyard!H56</f>
        <v>cum</v>
      </c>
      <c r="D35" s="12">
        <f>backyard!G56</f>
        <v>1.1500811833282536</v>
      </c>
      <c r="E35" s="12">
        <f>backyard!I56</f>
        <v>12983.1</v>
      </c>
      <c r="F35" s="12">
        <f t="shared" ref="F35" si="20">D35*E35</f>
        <v>14931.619011269049</v>
      </c>
      <c r="G35" s="12">
        <f>V!G84</f>
        <v>1.5357940582139591</v>
      </c>
      <c r="H35" s="12">
        <f>V!I84</f>
        <v>12983.1</v>
      </c>
      <c r="I35" s="12">
        <f t="shared" ref="I35" si="21">G35*H35</f>
        <v>19939.367837197653</v>
      </c>
      <c r="J35" s="27">
        <f t="shared" ref="J35:J36" si="22">I35-F35</f>
        <v>5007.7488259286038</v>
      </c>
      <c r="K35" s="14"/>
    </row>
    <row r="36" spans="1:11" s="1" customFormat="1" ht="15.6">
      <c r="A36" s="26"/>
      <c r="B36" s="31" t="str">
        <f>backyard!B57</f>
        <v>VAT calculation</v>
      </c>
      <c r="C36" s="12"/>
      <c r="D36" s="12"/>
      <c r="E36" s="12"/>
      <c r="F36" s="12">
        <f>backyard!J57</f>
        <v>1207.7627000212537</v>
      </c>
      <c r="G36" s="12"/>
      <c r="H36" s="12"/>
      <c r="I36" s="12">
        <f>V!J85</f>
        <v>1612.8207341478396</v>
      </c>
      <c r="J36" s="27">
        <f t="shared" si="22"/>
        <v>405.05803412658588</v>
      </c>
      <c r="K36" s="14"/>
    </row>
    <row r="37" spans="1:11" s="1" customFormat="1" ht="15.6">
      <c r="A37" s="26"/>
      <c r="B37" s="31"/>
      <c r="C37" s="12"/>
      <c r="D37" s="12"/>
      <c r="E37" s="12"/>
      <c r="F37" s="12"/>
      <c r="G37" s="12"/>
      <c r="H37" s="12"/>
      <c r="I37" s="12"/>
      <c r="J37" s="27"/>
      <c r="K37" s="14"/>
    </row>
    <row r="38" spans="1:11" s="1" customFormat="1" ht="25.2">
      <c r="A38" s="26">
        <f>backyard!A59</f>
        <v>10</v>
      </c>
      <c r="B38" s="59" t="s">
        <v>88</v>
      </c>
      <c r="C38" s="12" t="str">
        <f>backyard!H61</f>
        <v>cum</v>
      </c>
      <c r="D38" s="12">
        <f>backyard!G61</f>
        <v>1.7555623285583659</v>
      </c>
      <c r="E38" s="12">
        <f>backyard!I61</f>
        <v>8569.2999999999993</v>
      </c>
      <c r="F38" s="12">
        <f t="shared" ref="F38" si="23">D38*E38</f>
        <v>15043.940262115204</v>
      </c>
      <c r="G38" s="12">
        <f>V!G90</f>
        <v>1.6807630295641571</v>
      </c>
      <c r="H38" s="12">
        <f>V!I90</f>
        <v>8569.2999999999993</v>
      </c>
      <c r="I38" s="12">
        <f t="shared" ref="I38" si="24">G38*H38</f>
        <v>14402.96262924413</v>
      </c>
      <c r="J38" s="27">
        <f t="shared" ref="J38:J39" si="25">I38-F38</f>
        <v>-640.97763287107409</v>
      </c>
      <c r="K38" s="14"/>
    </row>
    <row r="39" spans="1:11" s="1" customFormat="1" ht="15.6">
      <c r="A39" s="26"/>
      <c r="B39" s="31" t="str">
        <f>backyard!B62</f>
        <v>VAT calculation</v>
      </c>
      <c r="C39" s="12"/>
      <c r="D39" s="12"/>
      <c r="E39" s="12"/>
      <c r="F39" s="12">
        <f>backyard!J62</f>
        <v>139.57871380676622</v>
      </c>
      <c r="G39" s="12"/>
      <c r="H39" s="12"/>
      <c r="I39" s="12">
        <f>V!J91</f>
        <v>133.63167918576653</v>
      </c>
      <c r="J39" s="27">
        <f t="shared" si="25"/>
        <v>-5.9470346209996876</v>
      </c>
      <c r="K39" s="14"/>
    </row>
    <row r="40" spans="1:11" s="1" customFormat="1" ht="15.6">
      <c r="A40" s="26"/>
      <c r="B40" s="31"/>
      <c r="C40" s="12"/>
      <c r="D40" s="12"/>
      <c r="E40" s="12"/>
      <c r="F40" s="12"/>
      <c r="G40" s="12"/>
      <c r="H40" s="12"/>
      <c r="I40" s="12"/>
      <c r="J40" s="27"/>
      <c r="K40" s="14"/>
    </row>
    <row r="41" spans="1:11" s="1" customFormat="1" ht="27.6">
      <c r="A41" s="26">
        <f>backyard!A64</f>
        <v>11</v>
      </c>
      <c r="B41" s="59" t="str">
        <f>backyard!B64</f>
        <v>cf/=;L=;L= nflu kmnfd] 808L sf6\g], df]8\g] #) dL6/ ;Dd</v>
      </c>
      <c r="C41" s="12" t="str">
        <f>backyard!H69</f>
        <v>MT</v>
      </c>
      <c r="D41" s="12">
        <f>backyard!G69</f>
        <v>2.3221315392401441E-2</v>
      </c>
      <c r="E41" s="12">
        <f>backyard!I69</f>
        <v>131940</v>
      </c>
      <c r="F41" s="12">
        <f t="shared" ref="F41" si="26">D41*E41</f>
        <v>3063.8203528734462</v>
      </c>
      <c r="G41" s="12">
        <f>V!G102</f>
        <v>2.9609876543209884E-2</v>
      </c>
      <c r="H41" s="12">
        <f>V!I102</f>
        <v>131940</v>
      </c>
      <c r="I41" s="12">
        <f t="shared" ref="I41" si="27">G41*H41</f>
        <v>3906.7271111111122</v>
      </c>
      <c r="J41" s="27">
        <f t="shared" ref="J41:J42" si="28">I41-F41</f>
        <v>842.90675823766605</v>
      </c>
      <c r="K41" s="14"/>
    </row>
    <row r="42" spans="1:11" s="1" customFormat="1" ht="15.6">
      <c r="A42" s="26"/>
      <c r="B42" s="31" t="str">
        <f>backyard!B70</f>
        <v>VAT calculation</v>
      </c>
      <c r="C42" s="12"/>
      <c r="D42" s="12"/>
      <c r="E42" s="12"/>
      <c r="F42" s="12">
        <f>backyard!J70</f>
        <v>320.5934803074943</v>
      </c>
      <c r="G42" s="12"/>
      <c r="H42" s="12"/>
      <c r="I42" s="12">
        <f>V!J103</f>
        <v>408.79395555555567</v>
      </c>
      <c r="J42" s="27">
        <f t="shared" si="28"/>
        <v>88.200475248061366</v>
      </c>
      <c r="K42" s="14"/>
    </row>
    <row r="43" spans="1:11" s="1" customFormat="1" ht="15.6">
      <c r="A43" s="26"/>
      <c r="B43" s="31"/>
      <c r="C43" s="12"/>
      <c r="D43" s="12"/>
      <c r="E43" s="12"/>
      <c r="F43" s="12"/>
      <c r="G43" s="12"/>
      <c r="H43" s="12"/>
      <c r="I43" s="12"/>
      <c r="J43" s="27"/>
      <c r="K43" s="14"/>
    </row>
    <row r="44" spans="1:11" s="1" customFormat="1">
      <c r="A44" s="26">
        <f>backyard!A72</f>
        <v>12</v>
      </c>
      <c r="B44" s="182" t="str">
        <f>backyard!B72</f>
        <v>kmnfd]sf] kfOk / KnfOaf]8{af6 kmdf{ agfpg] sfd</v>
      </c>
      <c r="C44" s="12" t="str">
        <f>backyard!H77</f>
        <v>sqm</v>
      </c>
      <c r="D44" s="12">
        <f>backyard!G77</f>
        <v>4.1176318195672055</v>
      </c>
      <c r="E44" s="12">
        <f>backyard!I77</f>
        <v>814.04270000000008</v>
      </c>
      <c r="F44" s="12">
        <f t="shared" ref="F44" si="29">D44*E44</f>
        <v>3351.928124006401</v>
      </c>
      <c r="G44" s="12">
        <f>V!G115</f>
        <v>3.7960000000000012</v>
      </c>
      <c r="H44" s="12">
        <f>V!I115</f>
        <v>814.04270000000008</v>
      </c>
      <c r="I44" s="12">
        <f t="shared" ref="I44" si="30">G44*H44</f>
        <v>3090.1060892000014</v>
      </c>
      <c r="J44" s="27">
        <f t="shared" ref="J44:J45" si="31">I44-F44</f>
        <v>-261.82203480639964</v>
      </c>
      <c r="K44" s="14"/>
    </row>
    <row r="45" spans="1:11" s="1" customFormat="1" ht="15.6">
      <c r="A45" s="26"/>
      <c r="B45" s="31" t="str">
        <f>backyard!B78</f>
        <v>VAT calculation</v>
      </c>
      <c r="C45" s="12"/>
      <c r="D45" s="12"/>
      <c r="E45" s="12"/>
      <c r="F45" s="12">
        <f>backyard!J78</f>
        <v>196.40013018666568</v>
      </c>
      <c r="G45" s="12"/>
      <c r="H45" s="12"/>
      <c r="I45" s="12">
        <f>V!J116</f>
        <v>181.05914439600005</v>
      </c>
      <c r="J45" s="27">
        <f t="shared" si="31"/>
        <v>-15.340985790665627</v>
      </c>
      <c r="K45" s="14"/>
    </row>
    <row r="46" spans="1:11" s="1" customFormat="1" ht="15.6">
      <c r="A46" s="26"/>
      <c r="B46" s="31"/>
      <c r="C46" s="12"/>
      <c r="D46" s="12"/>
      <c r="E46" s="12"/>
      <c r="F46" s="12"/>
      <c r="G46" s="12"/>
      <c r="H46" s="12"/>
      <c r="I46" s="12"/>
      <c r="J46" s="27"/>
      <c r="K46" s="14"/>
    </row>
    <row r="47" spans="1:11" s="1" customFormat="1" ht="27.6">
      <c r="A47" s="26">
        <f>backyard!A80</f>
        <v>13</v>
      </c>
      <c r="B47" s="182" t="str">
        <f>backyard!B80</f>
        <v>d]lzgsf] k|of]u u/L ;'k/ :6«Sr/df l;d]G6 s+lqm6 ug]{ sfd -!M!=%M#_</v>
      </c>
      <c r="C47" s="12" t="str">
        <f>backyard!H84</f>
        <v>cum</v>
      </c>
      <c r="D47" s="12">
        <f>backyard!G84</f>
        <v>0.95315300213349574</v>
      </c>
      <c r="E47" s="12">
        <f>backyard!I84</f>
        <v>13568.9</v>
      </c>
      <c r="F47" s="12">
        <f t="shared" ref="F47" si="32">D47*E47</f>
        <v>12933.23777064919</v>
      </c>
      <c r="G47" s="12">
        <f>V!G124</f>
        <v>0.93358000000000008</v>
      </c>
      <c r="H47" s="12">
        <f>V!I124</f>
        <v>13568.9</v>
      </c>
      <c r="I47" s="12">
        <f t="shared" ref="I47" si="33">G47*H47</f>
        <v>12667.653662000001</v>
      </c>
      <c r="J47" s="27">
        <f t="shared" ref="J47:J51" si="34">I47-F47</f>
        <v>-265.58410864918915</v>
      </c>
      <c r="K47" s="14"/>
    </row>
    <row r="48" spans="1:11" s="1" customFormat="1" ht="15.6">
      <c r="A48" s="26"/>
      <c r="B48" s="31" t="str">
        <f>backyard!B85</f>
        <v>VAT calculation</v>
      </c>
      <c r="C48" s="12"/>
      <c r="D48" s="12"/>
      <c r="E48" s="12"/>
      <c r="F48" s="12">
        <f>backyard!J85</f>
        <v>1180.1425769795794</v>
      </c>
      <c r="G48" s="12"/>
      <c r="H48" s="12"/>
      <c r="I48" s="12">
        <f>V!J125</f>
        <v>1155.9083426800003</v>
      </c>
      <c r="J48" s="27">
        <f t="shared" si="34"/>
        <v>-24.234234299579157</v>
      </c>
      <c r="K48" s="14"/>
    </row>
    <row r="49" spans="1:11" s="1" customFormat="1" ht="15.6">
      <c r="A49" s="26"/>
      <c r="B49" s="31"/>
      <c r="C49" s="12"/>
      <c r="D49" s="12"/>
      <c r="E49" s="12"/>
      <c r="F49" s="12"/>
      <c r="G49" s="12"/>
      <c r="H49" s="12"/>
      <c r="I49" s="12"/>
      <c r="J49" s="27"/>
      <c r="K49" s="14"/>
    </row>
    <row r="50" spans="1:11" s="1" customFormat="1" ht="27.6">
      <c r="A50" s="26">
        <f>backyard!A87</f>
        <v>14</v>
      </c>
      <c r="B50" s="182" t="str">
        <f>backyard!B87</f>
        <v>ljleGg ;fO{hsf] kmnfd] PËn km]lj|s]zg u/L k|fOd/ k]G6 ;lxt ug]{</v>
      </c>
      <c r="C50" s="12" t="str">
        <f>backyard!H100</f>
        <v>Kg</v>
      </c>
      <c r="D50" s="12">
        <f>backyard!G100</f>
        <v>894.95478482170074</v>
      </c>
      <c r="E50" s="12">
        <f>backyard!I100</f>
        <v>181.17</v>
      </c>
      <c r="F50" s="12">
        <f t="shared" ref="F50" si="35">D50*E50</f>
        <v>162138.9583661475</v>
      </c>
      <c r="G50" s="12">
        <f>V!G142</f>
        <v>669.14704669308139</v>
      </c>
      <c r="H50" s="12">
        <f>V!I142</f>
        <v>181.17</v>
      </c>
      <c r="I50" s="12">
        <f t="shared" ref="I50" si="36">G50*H50</f>
        <v>121229.37044938555</v>
      </c>
      <c r="J50" s="27">
        <f t="shared" si="34"/>
        <v>-40909.587916761957</v>
      </c>
      <c r="K50" s="14"/>
    </row>
    <row r="51" spans="1:11" s="1" customFormat="1" ht="15.6">
      <c r="A51" s="26"/>
      <c r="B51" s="31" t="str">
        <f>backyard!B101</f>
        <v>VAT calculation</v>
      </c>
      <c r="C51" s="12"/>
      <c r="D51" s="12"/>
      <c r="E51" s="12"/>
      <c r="F51" s="12">
        <f>backyard!J101</f>
        <v>11495.708386664917</v>
      </c>
      <c r="G51" s="12"/>
      <c r="H51" s="12"/>
      <c r="I51" s="12">
        <f>V!J143</f>
        <v>8595.2044137226821</v>
      </c>
      <c r="J51" s="27">
        <f t="shared" si="34"/>
        <v>-2900.5039729422351</v>
      </c>
      <c r="K51" s="14"/>
    </row>
    <row r="52" spans="1:11" s="1" customFormat="1" ht="15.6">
      <c r="A52" s="26"/>
      <c r="B52" s="31"/>
      <c r="C52" s="12"/>
      <c r="D52" s="12"/>
      <c r="E52" s="12"/>
      <c r="F52" s="12"/>
      <c r="G52" s="12"/>
      <c r="H52" s="12"/>
      <c r="I52" s="12"/>
      <c r="J52" s="27"/>
      <c r="K52" s="14"/>
    </row>
    <row r="53" spans="1:11" s="1" customFormat="1">
      <c r="A53" s="26">
        <f>backyard!A103</f>
        <v>15</v>
      </c>
      <c r="B53" s="59" t="str">
        <f>backyard!B103</f>
        <v>!@=% dL=dL= l;d]G6 afn'jf -!M$_ Knfi6/</v>
      </c>
      <c r="C53" s="12" t="str">
        <f>backyard!H115</f>
        <v>sqm</v>
      </c>
      <c r="D53" s="12">
        <f>backyard!G115</f>
        <v>89.446507581510673</v>
      </c>
      <c r="E53" s="12">
        <f>backyard!I115</f>
        <v>405.86</v>
      </c>
      <c r="F53" s="12">
        <f t="shared" ref="F53" si="37">D53*E53</f>
        <v>36302.759567031921</v>
      </c>
      <c r="G53" s="12">
        <f>V!G176</f>
        <v>131.86478564462053</v>
      </c>
      <c r="H53" s="12">
        <f>V!I176</f>
        <v>405.86</v>
      </c>
      <c r="I53" s="12">
        <f t="shared" ref="I53" si="38">G53*H53</f>
        <v>53518.641901725685</v>
      </c>
      <c r="J53" s="27">
        <f t="shared" ref="J53:J54" si="39">I53-F53</f>
        <v>17215.882334693764</v>
      </c>
      <c r="K53" s="14"/>
    </row>
    <row r="54" spans="1:11" s="1" customFormat="1" ht="15.6">
      <c r="A54" s="26"/>
      <c r="B54" s="31" t="str">
        <f>backyard!B116</f>
        <v>-VAT 13% for materials</v>
      </c>
      <c r="C54" s="12"/>
      <c r="D54" s="12"/>
      <c r="E54" s="12"/>
      <c r="F54" s="12">
        <f>backyard!J116</f>
        <v>1298.410870843664</v>
      </c>
      <c r="G54" s="12"/>
      <c r="H54" s="12"/>
      <c r="I54" s="12">
        <f>V!J177</f>
        <v>1914.1571403044502</v>
      </c>
      <c r="J54" s="27">
        <f t="shared" si="39"/>
        <v>615.74626946078615</v>
      </c>
      <c r="K54" s="14"/>
    </row>
    <row r="55" spans="1:11" s="1" customFormat="1" ht="15.6">
      <c r="A55" s="26"/>
      <c r="B55" s="31"/>
      <c r="C55" s="12"/>
      <c r="D55" s="12"/>
      <c r="E55" s="12"/>
      <c r="F55" s="12"/>
      <c r="G55" s="12"/>
      <c r="H55" s="12"/>
      <c r="I55" s="12"/>
      <c r="J55" s="27"/>
      <c r="K55" s="14"/>
    </row>
    <row r="56" spans="1:11" s="1" customFormat="1" ht="27.6">
      <c r="A56" s="26">
        <f>backyard!A118</f>
        <v>16</v>
      </c>
      <c r="B56" s="59" t="str">
        <f>backyard!B118</f>
        <v xml:space="preserve"> Ps sf]6 k|fO{d/ ;lxt b'O{ sf]6 j]b/sf]6 k]G6 ug]{ sfd</v>
      </c>
      <c r="C56" s="12" t="str">
        <f>backyard!H120</f>
        <v>sqm</v>
      </c>
      <c r="D56" s="12">
        <f>backyard!G120</f>
        <v>87.94000758151067</v>
      </c>
      <c r="E56" s="12">
        <f>backyard!I120</f>
        <v>251.77</v>
      </c>
      <c r="F56" s="12">
        <f t="shared" ref="F56" si="40">D56*E56</f>
        <v>22140.655708796941</v>
      </c>
      <c r="G56" s="12">
        <f>V!G182</f>
        <v>119.99089963425783</v>
      </c>
      <c r="H56" s="12">
        <f>V!I182</f>
        <v>251.77</v>
      </c>
      <c r="I56" s="12">
        <f t="shared" ref="I56" si="41">G56*H56</f>
        <v>30210.108800917096</v>
      </c>
      <c r="J56" s="27">
        <f t="shared" ref="J56:J67" si="42">I56-F56</f>
        <v>8069.4530921201549</v>
      </c>
      <c r="K56" s="14"/>
    </row>
    <row r="57" spans="1:11" s="1" customFormat="1" ht="15.6">
      <c r="A57" s="26"/>
      <c r="B57" s="31" t="str">
        <f>backyard!B121</f>
        <v>VAT calculation</v>
      </c>
      <c r="C57" s="12"/>
      <c r="D57" s="12"/>
      <c r="E57" s="12"/>
      <c r="F57" s="12">
        <f>backyard!J121</f>
        <v>1456.0051175255562</v>
      </c>
      <c r="G57" s="12"/>
      <c r="H57" s="12"/>
      <c r="I57" s="12">
        <f>V!J183</f>
        <v>1986.6653270644799</v>
      </c>
      <c r="J57" s="27">
        <f t="shared" si="42"/>
        <v>530.66020953892371</v>
      </c>
      <c r="K57" s="14"/>
    </row>
    <row r="58" spans="1:11" s="1" customFormat="1" ht="15.6">
      <c r="A58" s="26"/>
      <c r="B58" s="31"/>
      <c r="C58" s="12"/>
      <c r="D58" s="12"/>
      <c r="E58" s="12"/>
      <c r="F58" s="12"/>
      <c r="G58" s="12"/>
      <c r="H58" s="12"/>
      <c r="I58" s="12"/>
      <c r="J58" s="27"/>
      <c r="K58" s="14"/>
    </row>
    <row r="59" spans="1:11" s="1" customFormat="1" ht="52.2">
      <c r="A59" s="26">
        <f>backyard!A123</f>
        <v>17</v>
      </c>
      <c r="B59" s="140" t="s">
        <v>150</v>
      </c>
      <c r="C59" s="12" t="str">
        <f>backyard!H126</f>
        <v>sqm</v>
      </c>
      <c r="D59" s="12">
        <f>backyard!G126</f>
        <v>39.183602560195055</v>
      </c>
      <c r="E59" s="12">
        <f>backyard!I126</f>
        <v>2271.5500000000002</v>
      </c>
      <c r="F59" s="12">
        <f t="shared" ref="F59" si="43">D59*E59</f>
        <v>89007.512395611091</v>
      </c>
      <c r="G59" s="12">
        <f>V!G189</f>
        <v>39.183602159767453</v>
      </c>
      <c r="H59" s="12">
        <f>V!I189</f>
        <v>2271.5500000000002</v>
      </c>
      <c r="I59" s="12">
        <f t="shared" ref="I59" si="44">G59*H59</f>
        <v>89007.511486019765</v>
      </c>
      <c r="J59" s="27">
        <f t="shared" si="42"/>
        <v>-9.0959132649004459E-4</v>
      </c>
      <c r="K59" s="14"/>
    </row>
    <row r="60" spans="1:11" s="1" customFormat="1" ht="15.6">
      <c r="A60" s="26"/>
      <c r="B60" s="31"/>
      <c r="C60" s="12"/>
      <c r="D60" s="12"/>
      <c r="E60" s="12"/>
      <c r="F60" s="12">
        <f>backyard!J127</f>
        <v>10298.782995306306</v>
      </c>
      <c r="G60" s="12"/>
      <c r="H60" s="12"/>
      <c r="I60" s="12">
        <f>V!J190</f>
        <v>10298.782890060318</v>
      </c>
      <c r="J60" s="27">
        <f t="shared" si="42"/>
        <v>-1.0524598837946542E-4</v>
      </c>
      <c r="K60" s="14"/>
    </row>
    <row r="61" spans="1:11" s="1" customFormat="1" ht="15.6">
      <c r="A61" s="26"/>
      <c r="B61" s="31"/>
      <c r="C61" s="12"/>
      <c r="D61" s="12"/>
      <c r="E61" s="12"/>
      <c r="F61" s="12"/>
      <c r="G61" s="12"/>
      <c r="H61" s="12"/>
      <c r="I61" s="12"/>
      <c r="J61" s="27"/>
      <c r="K61" s="14"/>
    </row>
    <row r="62" spans="1:11" s="1" customFormat="1">
      <c r="A62" s="26">
        <f>backyard!A129</f>
        <v>18</v>
      </c>
      <c r="B62" s="59" t="str">
        <f>backyard!B129</f>
        <v>sfk]{6 b'jf]</v>
      </c>
      <c r="C62" s="12" t="str">
        <f>backyard!H135</f>
        <v>m2</v>
      </c>
      <c r="D62" s="12">
        <f>backyard!G135</f>
        <v>61.252509605935302</v>
      </c>
      <c r="E62" s="12">
        <f>backyard!I135</f>
        <v>376.73649999999998</v>
      </c>
      <c r="F62" s="12">
        <f t="shared" ref="F62" si="45">D62*E62</f>
        <v>23076.056085156444</v>
      </c>
      <c r="G62" s="12">
        <f>V!G198</f>
        <v>14.925000000000001</v>
      </c>
      <c r="H62" s="12">
        <f>V!I198</f>
        <v>376.73649999999998</v>
      </c>
      <c r="I62" s="12">
        <f t="shared" ref="I62" si="46">G62*H62</f>
        <v>5622.7922625000001</v>
      </c>
      <c r="J62" s="27">
        <f t="shared" si="42"/>
        <v>-17453.263822656445</v>
      </c>
      <c r="K62" s="14"/>
    </row>
    <row r="63" spans="1:11" s="1" customFormat="1" ht="15.6">
      <c r="A63" s="26"/>
      <c r="B63" s="31" t="str">
        <f>backyard!B136</f>
        <v>VAT calculation</v>
      </c>
      <c r="C63" s="12"/>
      <c r="D63" s="12"/>
      <c r="E63" s="12"/>
      <c r="F63" s="12">
        <f>backyard!J136</f>
        <v>2999.8872910703381</v>
      </c>
      <c r="G63" s="12"/>
      <c r="H63" s="12"/>
      <c r="I63" s="12">
        <f>V!J199</f>
        <v>730.96299412500002</v>
      </c>
      <c r="J63" s="27">
        <f t="shared" si="42"/>
        <v>-2268.924296945338</v>
      </c>
      <c r="K63" s="14"/>
    </row>
    <row r="64" spans="1:11" s="1" customFormat="1" ht="15.6">
      <c r="A64" s="26"/>
      <c r="B64" s="31"/>
      <c r="C64" s="12"/>
      <c r="D64" s="12"/>
      <c r="E64" s="12"/>
      <c r="F64" s="12"/>
      <c r="G64" s="12"/>
      <c r="H64" s="12"/>
      <c r="I64" s="12"/>
      <c r="J64" s="27"/>
      <c r="K64" s="14"/>
    </row>
    <row r="65" spans="1:11" s="1" customFormat="1" ht="41.4">
      <c r="A65" s="26">
        <f>backyard!A138</f>
        <v>19</v>
      </c>
      <c r="B65" s="59" t="str">
        <f>backyard!B138</f>
        <v>;km]{;nfO{ 8«]l;Ë ug]{ sfo{ vfN6f] k'g]{, p7]sf] df6f] sf6\g], ;tx ldnfpg] cflb sfo{ ;d]t -;le{;/f]8 cflb_</v>
      </c>
      <c r="C65" s="12" t="str">
        <f>backyard!H141</f>
        <v>m2</v>
      </c>
      <c r="D65" s="12">
        <f>backyard!G141</f>
        <v>63.202509605935305</v>
      </c>
      <c r="E65" s="12">
        <f>backyard!I141</f>
        <v>9.1999999999999993</v>
      </c>
      <c r="F65" s="12">
        <f t="shared" ref="F65" si="47">D65*E65</f>
        <v>581.46308837460481</v>
      </c>
      <c r="G65" s="12">
        <f>V!G204</f>
        <v>19.141000000000002</v>
      </c>
      <c r="H65" s="12">
        <f>V!I204</f>
        <v>9.1999999999999993</v>
      </c>
      <c r="I65" s="12">
        <f t="shared" ref="I65" si="48">G65*H65</f>
        <v>176.09720000000002</v>
      </c>
      <c r="J65" s="27">
        <f t="shared" si="42"/>
        <v>-405.36588837460476</v>
      </c>
      <c r="K65" s="14"/>
    </row>
    <row r="66" spans="1:11" s="1" customFormat="1" ht="15.6">
      <c r="A66" s="26"/>
      <c r="B66" s="31"/>
      <c r="C66" s="12"/>
      <c r="D66" s="12"/>
      <c r="E66" s="12"/>
      <c r="F66" s="12"/>
      <c r="G66" s="12"/>
      <c r="H66" s="12"/>
      <c r="I66" s="12"/>
      <c r="J66" s="27"/>
      <c r="K66" s="14"/>
    </row>
    <row r="67" spans="1:11" s="1" customFormat="1" ht="15.6">
      <c r="A67" s="26">
        <f>backyard!A143</f>
        <v>20</v>
      </c>
      <c r="B67" s="31" t="str">
        <f>backyard!B143</f>
        <v>Provisional sum for unforeseen works</v>
      </c>
      <c r="C67" s="12" t="str">
        <f>backyard!H143</f>
        <v>PS</v>
      </c>
      <c r="D67" s="12">
        <f>backyard!G143</f>
        <v>1</v>
      </c>
      <c r="E67" s="12">
        <f>backyard!I143</f>
        <v>2000</v>
      </c>
      <c r="F67" s="12">
        <f t="shared" ref="F67" si="49">D67*E67</f>
        <v>2000</v>
      </c>
      <c r="G67" s="12">
        <f>V!G206</f>
        <v>0</v>
      </c>
      <c r="H67" s="12">
        <f>V!I206</f>
        <v>2000</v>
      </c>
      <c r="I67" s="12">
        <f t="shared" ref="I67" si="50">G67*H67</f>
        <v>0</v>
      </c>
      <c r="J67" s="27">
        <f t="shared" si="42"/>
        <v>-2000</v>
      </c>
      <c r="K67" s="14"/>
    </row>
    <row r="68" spans="1:11" s="1" customFormat="1">
      <c r="A68" s="28"/>
      <c r="B68" s="28"/>
      <c r="C68" s="12"/>
      <c r="D68" s="12"/>
      <c r="E68" s="12"/>
      <c r="F68" s="12"/>
      <c r="G68" s="12"/>
      <c r="H68" s="12"/>
      <c r="I68" s="12"/>
      <c r="J68" s="27"/>
      <c r="K68" s="14"/>
    </row>
    <row r="69" spans="1:11" s="1" customFormat="1">
      <c r="A69" s="26">
        <f>backyard!A145</f>
        <v>21</v>
      </c>
      <c r="B69" s="30" t="str">
        <f>backyard!B145</f>
        <v>Information board (सुचना पाटि)</v>
      </c>
      <c r="C69" s="12" t="str">
        <f>backyard!H145</f>
        <v>no.</v>
      </c>
      <c r="D69" s="12">
        <f>backyard!G145</f>
        <v>1</v>
      </c>
      <c r="E69" s="12">
        <f>backyard!I145</f>
        <v>500</v>
      </c>
      <c r="F69" s="12">
        <f>D69*E69</f>
        <v>500</v>
      </c>
      <c r="G69" s="12">
        <f>V!G208</f>
        <v>1</v>
      </c>
      <c r="H69" s="12">
        <f>V!I208</f>
        <v>500</v>
      </c>
      <c r="I69" s="12">
        <f>G69*H69</f>
        <v>500</v>
      </c>
      <c r="J69" s="27">
        <f>I69-F69</f>
        <v>0</v>
      </c>
      <c r="K69" s="14"/>
    </row>
    <row r="70" spans="1:11" s="1" customFormat="1">
      <c r="A70" s="28"/>
      <c r="B70" s="28"/>
      <c r="C70" s="12"/>
      <c r="D70" s="12"/>
      <c r="E70" s="12"/>
      <c r="F70" s="12"/>
      <c r="G70" s="12"/>
      <c r="H70" s="12"/>
      <c r="I70" s="12"/>
      <c r="J70" s="27"/>
      <c r="K70" s="14"/>
    </row>
    <row r="71" spans="1:11">
      <c r="A71" s="5"/>
      <c r="B71" s="6" t="s">
        <v>16</v>
      </c>
      <c r="C71" s="6"/>
      <c r="D71" s="7"/>
      <c r="E71" s="7"/>
      <c r="F71" s="7">
        <f>SUM(F13:F69)</f>
        <v>564973.01951057301</v>
      </c>
      <c r="G71" s="7"/>
      <c r="H71" s="7"/>
      <c r="I71" s="7">
        <f>SUM(I13:I69)</f>
        <v>567296.12317853374</v>
      </c>
      <c r="J71" s="13">
        <f>I71-F71</f>
        <v>2323.103667960735</v>
      </c>
      <c r="K71"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13" workbookViewId="0">
      <selection activeCell="F27" sqref="F27"/>
    </sheetView>
  </sheetViews>
  <sheetFormatPr defaultColWidth="8.88671875" defaultRowHeight="13.2"/>
  <cols>
    <col min="1" max="1" width="8.88671875" style="63"/>
    <col min="2" max="2" width="11.44140625" style="63" customWidth="1"/>
    <col min="3" max="3" width="12.88671875" style="63" customWidth="1"/>
    <col min="4" max="5" width="8.88671875" style="63"/>
    <col min="6" max="6" width="10.44140625" style="63" bestFit="1" customWidth="1"/>
    <col min="7" max="7" width="11.109375" style="63" customWidth="1"/>
    <col min="8" max="8" width="13.88671875" style="63" customWidth="1"/>
    <col min="9" max="9" width="8.88671875" style="63"/>
    <col min="10" max="10" width="12" style="63" customWidth="1"/>
    <col min="11" max="16384" width="8.88671875" style="63"/>
  </cols>
  <sheetData>
    <row r="1" spans="1:10" ht="21">
      <c r="A1" s="61" t="e">
        <f>+#REF!+1</f>
        <v>#REF!</v>
      </c>
      <c r="B1" s="62"/>
      <c r="C1" s="62"/>
      <c r="D1" s="62"/>
      <c r="E1" s="62"/>
      <c r="F1" s="62"/>
      <c r="G1" s="62"/>
      <c r="H1" s="62"/>
    </row>
    <row r="2" spans="1:10" ht="20.25" customHeight="1">
      <c r="A2" s="64"/>
      <c r="B2" s="65" t="s">
        <v>49</v>
      </c>
      <c r="C2" s="65"/>
      <c r="D2" s="65"/>
      <c r="E2" s="65"/>
      <c r="F2" s="65"/>
      <c r="G2" s="65"/>
      <c r="H2" s="65"/>
    </row>
    <row r="3" spans="1:10" ht="17.399999999999999">
      <c r="A3" s="66" t="s">
        <v>50</v>
      </c>
      <c r="B3" s="219" t="s">
        <v>51</v>
      </c>
      <c r="C3" s="219"/>
      <c r="D3" s="219"/>
      <c r="E3" s="219"/>
      <c r="F3" s="219"/>
      <c r="G3" s="219"/>
      <c r="H3" s="219"/>
    </row>
    <row r="4" spans="1:10" ht="15">
      <c r="A4" s="67"/>
      <c r="B4" s="220" t="s">
        <v>86</v>
      </c>
      <c r="C4" s="220"/>
      <c r="D4" s="220"/>
      <c r="E4" s="220"/>
      <c r="F4" s="220"/>
      <c r="G4" s="220"/>
      <c r="H4" s="220"/>
    </row>
    <row r="5" spans="1:10" ht="32.4">
      <c r="A5" s="67"/>
      <c r="B5" s="68" t="s">
        <v>52</v>
      </c>
      <c r="C5" s="68" t="s">
        <v>53</v>
      </c>
      <c r="D5" s="68" t="s">
        <v>54</v>
      </c>
      <c r="E5" s="68" t="s">
        <v>55</v>
      </c>
      <c r="F5" s="68" t="s">
        <v>56</v>
      </c>
      <c r="G5" s="68" t="s">
        <v>57</v>
      </c>
      <c r="H5" s="68" t="s">
        <v>58</v>
      </c>
    </row>
    <row r="6" spans="1:10" ht="18">
      <c r="A6" s="67"/>
      <c r="B6" s="221" t="s">
        <v>59</v>
      </c>
      <c r="C6" s="68" t="s">
        <v>60</v>
      </c>
      <c r="D6" s="69">
        <v>1</v>
      </c>
      <c r="E6" s="70" t="s">
        <v>61</v>
      </c>
      <c r="F6" s="71">
        <v>1225</v>
      </c>
      <c r="G6" s="72">
        <f t="shared" ref="G6:G13" si="0">FLOOR(D6*F6,0.01)</f>
        <v>1225</v>
      </c>
      <c r="H6" s="73"/>
    </row>
    <row r="7" spans="1:10" ht="18">
      <c r="A7" s="67"/>
      <c r="B7" s="222"/>
      <c r="C7" s="70" t="s">
        <v>62</v>
      </c>
      <c r="D7" s="69">
        <v>2</v>
      </c>
      <c r="E7" s="70" t="s">
        <v>61</v>
      </c>
      <c r="F7" s="72">
        <v>920</v>
      </c>
      <c r="G7" s="72">
        <f t="shared" si="0"/>
        <v>1840</v>
      </c>
      <c r="H7" s="73">
        <f>SUM(G6+G7)</f>
        <v>3065</v>
      </c>
    </row>
    <row r="8" spans="1:10" ht="43.8">
      <c r="A8" s="67"/>
      <c r="B8" s="221" t="s">
        <v>63</v>
      </c>
      <c r="C8" s="74" t="s">
        <v>64</v>
      </c>
      <c r="D8" s="69">
        <v>0</v>
      </c>
      <c r="E8" s="70" t="s">
        <v>65</v>
      </c>
      <c r="F8" s="72">
        <v>58</v>
      </c>
      <c r="G8" s="72">
        <f t="shared" si="0"/>
        <v>0</v>
      </c>
      <c r="H8" s="73"/>
    </row>
    <row r="9" spans="1:10" ht="18">
      <c r="A9" s="67"/>
      <c r="B9" s="221"/>
      <c r="C9" s="70" t="s">
        <v>66</v>
      </c>
      <c r="D9" s="75">
        <v>0.1028</v>
      </c>
      <c r="E9" s="70" t="s">
        <v>67</v>
      </c>
      <c r="F9" s="72">
        <v>12131</v>
      </c>
      <c r="G9" s="72">
        <f t="shared" si="0"/>
        <v>1247.06</v>
      </c>
      <c r="H9" s="76"/>
    </row>
    <row r="10" spans="1:10" ht="18">
      <c r="A10" s="67"/>
      <c r="B10" s="221"/>
      <c r="C10" s="70" t="s">
        <v>68</v>
      </c>
      <c r="D10" s="75">
        <v>0.17150000000000001</v>
      </c>
      <c r="E10" s="70" t="s">
        <v>69</v>
      </c>
      <c r="F10" s="72">
        <v>3177</v>
      </c>
      <c r="G10" s="72">
        <f t="shared" si="0"/>
        <v>544.85</v>
      </c>
      <c r="H10" s="76"/>
      <c r="J10" s="77">
        <f>'[1]update Rate'!N46</f>
        <v>99000</v>
      </c>
    </row>
    <row r="11" spans="1:10" ht="18">
      <c r="A11" s="67"/>
      <c r="B11" s="221"/>
      <c r="C11" s="70" t="s">
        <v>70</v>
      </c>
      <c r="D11" s="75">
        <v>0.15160000000000001</v>
      </c>
      <c r="E11" s="70" t="s">
        <v>69</v>
      </c>
      <c r="F11" s="72">
        <f>35*35.28</f>
        <v>1234.8</v>
      </c>
      <c r="G11" s="72">
        <f t="shared" si="0"/>
        <v>187.19</v>
      </c>
      <c r="H11" s="76"/>
    </row>
    <row r="12" spans="1:10" ht="18">
      <c r="A12" s="67"/>
      <c r="B12" s="221"/>
      <c r="C12" s="70" t="s">
        <v>71</v>
      </c>
      <c r="D12" s="75">
        <v>35</v>
      </c>
      <c r="E12" s="70" t="s">
        <v>72</v>
      </c>
      <c r="F12" s="78">
        <f>100</f>
        <v>100</v>
      </c>
      <c r="G12" s="72">
        <f t="shared" si="0"/>
        <v>3500</v>
      </c>
      <c r="H12" s="76"/>
      <c r="J12" s="63">
        <f>35*0.62</f>
        <v>21.7</v>
      </c>
    </row>
    <row r="13" spans="1:10" ht="18">
      <c r="A13" s="67"/>
      <c r="B13" s="221"/>
      <c r="C13" s="70" t="s">
        <v>73</v>
      </c>
      <c r="D13" s="69">
        <v>90</v>
      </c>
      <c r="E13" s="70" t="s">
        <v>74</v>
      </c>
      <c r="F13" s="72">
        <f>'[1]Update Descrip'!F665</f>
        <v>0.28000000000000003</v>
      </c>
      <c r="G13" s="72">
        <f t="shared" si="0"/>
        <v>25.2</v>
      </c>
      <c r="H13" s="73">
        <f>SUM(G8:G13)</f>
        <v>5504.3</v>
      </c>
    </row>
    <row r="14" spans="1:10" ht="18">
      <c r="A14" s="67"/>
      <c r="B14" s="67"/>
      <c r="C14" s="67"/>
      <c r="D14" s="67"/>
      <c r="E14" s="67"/>
      <c r="F14" s="79" t="s">
        <v>75</v>
      </c>
      <c r="G14" s="80"/>
      <c r="H14" s="81">
        <f>SUM(H7:H13)</f>
        <v>8569.2999999999993</v>
      </c>
    </row>
    <row r="15" spans="1:10" ht="18">
      <c r="B15" s="82" t="s">
        <v>76</v>
      </c>
      <c r="E15" s="67"/>
      <c r="F15" s="79" t="s">
        <v>77</v>
      </c>
      <c r="G15" s="80"/>
      <c r="H15" s="72">
        <f>FLOOR(H14*0.15,0.01)</f>
        <v>1285.3900000000001</v>
      </c>
    </row>
    <row r="16" spans="1:10" ht="18">
      <c r="A16" s="83" t="s">
        <v>78</v>
      </c>
      <c r="B16" s="72">
        <f>+H16</f>
        <v>9854.6899999999987</v>
      </c>
      <c r="C16" s="67" t="s">
        <v>79</v>
      </c>
      <c r="D16" s="67"/>
      <c r="E16" s="67"/>
      <c r="F16" s="79" t="s">
        <v>80</v>
      </c>
      <c r="G16" s="80"/>
      <c r="H16" s="72">
        <f>SUM(H14:H15)</f>
        <v>9854.6899999999987</v>
      </c>
    </row>
    <row r="17" spans="1:8" ht="18">
      <c r="A17" s="83"/>
      <c r="B17" s="84"/>
      <c r="C17" s="67"/>
      <c r="D17" s="67"/>
      <c r="E17" s="67"/>
      <c r="F17" s="79" t="s">
        <v>81</v>
      </c>
      <c r="G17" s="80"/>
      <c r="H17" s="72">
        <f>H16/9</f>
        <v>1094.9655555555555</v>
      </c>
    </row>
    <row r="18" spans="1:8" ht="18">
      <c r="A18" s="83"/>
      <c r="B18" s="84"/>
      <c r="C18" s="67"/>
      <c r="D18" s="67"/>
      <c r="E18" s="67"/>
      <c r="F18" s="79" t="s">
        <v>82</v>
      </c>
      <c r="G18" s="80"/>
      <c r="H18" s="72">
        <f>H17/1.15</f>
        <v>952.14396135265702</v>
      </c>
    </row>
    <row r="19" spans="1:8" ht="18">
      <c r="A19" s="83"/>
      <c r="B19" s="85" t="s">
        <v>83</v>
      </c>
      <c r="C19" s="85"/>
      <c r="D19" s="85"/>
      <c r="E19" s="67"/>
      <c r="F19" s="79"/>
      <c r="G19" s="80"/>
      <c r="H19" s="84"/>
    </row>
    <row r="22" spans="1:8" s="93" customFormat="1" ht="21">
      <c r="A22" s="92">
        <f>+A9+1</f>
        <v>1</v>
      </c>
      <c r="B22" s="211"/>
      <c r="C22" s="211"/>
      <c r="D22" s="211"/>
      <c r="E22" s="211"/>
      <c r="F22" s="211"/>
      <c r="G22" s="211"/>
      <c r="H22" s="211"/>
    </row>
    <row r="23" spans="1:8" s="93" customFormat="1" ht="19.8">
      <c r="A23" s="94" t="s">
        <v>102</v>
      </c>
      <c r="B23" s="211" t="s">
        <v>116</v>
      </c>
      <c r="C23" s="211"/>
      <c r="D23" s="211"/>
      <c r="E23" s="211"/>
      <c r="F23" s="211"/>
      <c r="G23" s="211"/>
      <c r="H23" s="211"/>
    </row>
    <row r="24" spans="1:8" s="93" customFormat="1" ht="15">
      <c r="B24" s="212" t="s">
        <v>103</v>
      </c>
      <c r="C24" s="212"/>
      <c r="D24" s="212"/>
      <c r="E24" s="212"/>
      <c r="F24" s="212"/>
      <c r="G24" s="212"/>
      <c r="H24" s="212"/>
    </row>
    <row r="25" spans="1:8" s="93" customFormat="1" ht="30" customHeight="1">
      <c r="B25" s="95" t="s">
        <v>52</v>
      </c>
      <c r="C25" s="95" t="s">
        <v>53</v>
      </c>
      <c r="D25" s="95" t="s">
        <v>54</v>
      </c>
      <c r="E25" s="95" t="s">
        <v>55</v>
      </c>
      <c r="F25" s="95" t="s">
        <v>56</v>
      </c>
      <c r="G25" s="95" t="s">
        <v>57</v>
      </c>
      <c r="H25" s="95" t="s">
        <v>58</v>
      </c>
    </row>
    <row r="26" spans="1:8" s="93" customFormat="1" ht="24.75" customHeight="1">
      <c r="B26" s="213" t="s">
        <v>59</v>
      </c>
      <c r="C26" s="96" t="s">
        <v>60</v>
      </c>
      <c r="D26" s="97">
        <v>17.2</v>
      </c>
      <c r="E26" s="98" t="s">
        <v>61</v>
      </c>
      <c r="F26" s="99">
        <v>1225</v>
      </c>
      <c r="G26" s="100">
        <f t="shared" ref="G26:G31" si="1">FLOOR(D26*F26,0.01)</f>
        <v>21070</v>
      </c>
      <c r="H26" s="101"/>
    </row>
    <row r="27" spans="1:8" s="93" customFormat="1" ht="18">
      <c r="B27" s="214"/>
      <c r="C27" s="102" t="s">
        <v>62</v>
      </c>
      <c r="D27" s="103">
        <v>25.7</v>
      </c>
      <c r="E27" s="104" t="s">
        <v>61</v>
      </c>
      <c r="F27" s="105">
        <v>920</v>
      </c>
      <c r="G27" s="105">
        <f t="shared" si="1"/>
        <v>23644</v>
      </c>
      <c r="H27" s="106">
        <f>SUM(G26+G27)</f>
        <v>44714</v>
      </c>
    </row>
    <row r="28" spans="1:8" s="93" customFormat="1" ht="18">
      <c r="B28" s="215" t="s">
        <v>63</v>
      </c>
      <c r="C28" s="98" t="s">
        <v>104</v>
      </c>
      <c r="D28" s="107">
        <v>16.5</v>
      </c>
      <c r="E28" s="98" t="s">
        <v>105</v>
      </c>
      <c r="F28" s="100">
        <v>1215.8800000000001</v>
      </c>
      <c r="G28" s="100">
        <f>FLOOR(D28*F28,0.01)</f>
        <v>20062.02</v>
      </c>
      <c r="H28" s="101"/>
    </row>
    <row r="29" spans="1:8" s="93" customFormat="1" ht="18">
      <c r="B29" s="216"/>
      <c r="C29" s="102" t="s">
        <v>106</v>
      </c>
      <c r="D29" s="108">
        <v>0.23200000000000001</v>
      </c>
      <c r="E29" s="102" t="s">
        <v>69</v>
      </c>
      <c r="F29" s="105">
        <f>Jwood</f>
        <v>57449.37</v>
      </c>
      <c r="G29" s="105">
        <f t="shared" si="1"/>
        <v>13328.25</v>
      </c>
      <c r="H29" s="106"/>
    </row>
    <row r="30" spans="1:8" s="93" customFormat="1" ht="27.6">
      <c r="B30" s="216"/>
      <c r="C30" s="109" t="s">
        <v>117</v>
      </c>
      <c r="D30" s="108">
        <v>0</v>
      </c>
      <c r="E30" s="102" t="s">
        <v>107</v>
      </c>
      <c r="F30" s="105">
        <f>'[7]update Rate'!$N$215</f>
        <v>2304</v>
      </c>
      <c r="G30" s="105">
        <f t="shared" si="1"/>
        <v>0</v>
      </c>
      <c r="H30" s="106"/>
    </row>
    <row r="31" spans="1:8" s="93" customFormat="1" ht="18">
      <c r="B31" s="217"/>
      <c r="C31" s="104" t="s">
        <v>108</v>
      </c>
      <c r="D31" s="110">
        <v>25</v>
      </c>
      <c r="E31" s="104" t="s">
        <v>109</v>
      </c>
      <c r="F31" s="111">
        <f>'[7]update Rate'!$N$59</f>
        <v>132</v>
      </c>
      <c r="G31" s="111">
        <f t="shared" si="1"/>
        <v>3300</v>
      </c>
      <c r="H31" s="112">
        <f>SUM(G28:G31)</f>
        <v>36690.270000000004</v>
      </c>
    </row>
    <row r="32" spans="1:8" s="93" customFormat="1" ht="18">
      <c r="F32" s="113" t="s">
        <v>75</v>
      </c>
      <c r="G32" s="113"/>
      <c r="H32" s="111">
        <f>SUM(H26:H31)</f>
        <v>81404.27</v>
      </c>
    </row>
    <row r="33" spans="1:8" s="93" customFormat="1" ht="18">
      <c r="B33" s="93" t="s">
        <v>110</v>
      </c>
      <c r="F33" s="113" t="s">
        <v>77</v>
      </c>
      <c r="G33" s="113"/>
      <c r="H33" s="114">
        <f>FLOOR(H32*0.15,0.01)</f>
        <v>12210.64</v>
      </c>
    </row>
    <row r="34" spans="1:8" s="93" customFormat="1" ht="20.100000000000001" customHeight="1">
      <c r="A34" s="115"/>
      <c r="B34" s="116">
        <f>+H34</f>
        <v>93614.91</v>
      </c>
      <c r="C34" s="115" t="s">
        <v>78</v>
      </c>
      <c r="D34" s="114">
        <f>INT(B34/B35*100)/100</f>
        <v>936.14</v>
      </c>
      <c r="E34" s="93" t="s">
        <v>79</v>
      </c>
      <c r="F34" s="113" t="s">
        <v>80</v>
      </c>
      <c r="G34" s="113"/>
      <c r="H34" s="114">
        <f>SUM(H32:H33)</f>
        <v>93614.91</v>
      </c>
    </row>
    <row r="35" spans="1:8" s="93" customFormat="1" ht="20.100000000000001" customHeight="1">
      <c r="B35" s="117">
        <v>100</v>
      </c>
    </row>
    <row r="36" spans="1:8" s="93" customFormat="1" ht="12" customHeight="1">
      <c r="A36" s="218" t="s">
        <v>118</v>
      </c>
      <c r="B36" s="218"/>
      <c r="C36" s="218"/>
      <c r="D36" s="218"/>
      <c r="E36" s="218"/>
      <c r="F36" s="218"/>
      <c r="G36" s="218"/>
      <c r="H36" s="218"/>
    </row>
    <row r="37" spans="1:8" s="93" customFormat="1" ht="12" customHeight="1">
      <c r="B37" s="118" t="s">
        <v>111</v>
      </c>
    </row>
    <row r="38" spans="1:8" s="93" customFormat="1" ht="12" customHeight="1">
      <c r="A38" s="210" t="s">
        <v>112</v>
      </c>
      <c r="B38" s="210"/>
      <c r="C38" s="210"/>
      <c r="D38" s="210"/>
      <c r="E38" s="210"/>
      <c r="F38" s="210"/>
      <c r="G38" s="210"/>
      <c r="H38" s="210"/>
    </row>
    <row r="39" spans="1:8" s="93" customFormat="1" ht="12" customHeight="1">
      <c r="B39" s="118" t="s">
        <v>113</v>
      </c>
    </row>
    <row r="40" spans="1:8" s="93" customFormat="1" ht="12" customHeight="1">
      <c r="A40" s="210" t="s">
        <v>114</v>
      </c>
      <c r="B40" s="210"/>
      <c r="C40" s="210"/>
      <c r="D40" s="210"/>
      <c r="E40" s="210"/>
      <c r="F40" s="210"/>
      <c r="G40" s="210"/>
      <c r="H40" s="210"/>
    </row>
    <row r="41" spans="1:8" s="93" customFormat="1" ht="12" customHeight="1">
      <c r="B41" s="118" t="s">
        <v>115</v>
      </c>
    </row>
    <row r="42" spans="1:8" s="93" customFormat="1" ht="12" customHeight="1">
      <c r="B42" s="118"/>
    </row>
  </sheetData>
  <mergeCells count="12">
    <mergeCell ref="B3:H3"/>
    <mergeCell ref="B4:H4"/>
    <mergeCell ref="B6:B7"/>
    <mergeCell ref="B8:B13"/>
    <mergeCell ref="B22:H22"/>
    <mergeCell ref="A38:H38"/>
    <mergeCell ref="A40:H40"/>
    <mergeCell ref="B23:H23"/>
    <mergeCell ref="B24:H24"/>
    <mergeCell ref="B26:B27"/>
    <mergeCell ref="B28:B31"/>
    <mergeCell ref="A36:H3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74"/>
  <sheetViews>
    <sheetView topLeftCell="A187" zoomScaleNormal="100" workbookViewId="0">
      <selection activeCell="G199" sqref="G199"/>
    </sheetView>
  </sheetViews>
  <sheetFormatPr defaultRowHeight="14.4"/>
  <cols>
    <col min="1" max="1" width="4.6640625" customWidth="1"/>
    <col min="2" max="2" width="31.33203125" customWidth="1"/>
    <col min="3" max="3" width="5.5546875" bestFit="1" customWidth="1"/>
    <col min="4" max="4" width="7.5546875" customWidth="1"/>
    <col min="5" max="5" width="8.5546875" customWidth="1"/>
    <col min="6" max="6" width="8.33203125" customWidth="1"/>
    <col min="7" max="7" width="9.109375" customWidth="1"/>
    <col min="8" max="8" width="5" bestFit="1" customWidth="1"/>
    <col min="9" max="9" width="10.6640625" bestFit="1" customWidth="1"/>
    <col min="10" max="10" width="10.109375" customWidth="1"/>
  </cols>
  <sheetData>
    <row r="1" spans="1:14" s="1" customFormat="1">
      <c r="A1" s="189" t="s">
        <v>0</v>
      </c>
      <c r="B1" s="189"/>
      <c r="C1" s="189"/>
      <c r="D1" s="189"/>
      <c r="E1" s="189"/>
      <c r="F1" s="189"/>
      <c r="G1" s="189"/>
      <c r="H1" s="189"/>
      <c r="I1" s="189"/>
      <c r="J1" s="189"/>
      <c r="K1" s="189"/>
    </row>
    <row r="2" spans="1:14" s="1" customFormat="1" ht="22.8">
      <c r="A2" s="190" t="s">
        <v>1</v>
      </c>
      <c r="B2" s="190"/>
      <c r="C2" s="190"/>
      <c r="D2" s="190"/>
      <c r="E2" s="190"/>
      <c r="F2" s="190"/>
      <c r="G2" s="190"/>
      <c r="H2" s="190"/>
      <c r="I2" s="190"/>
      <c r="J2" s="190"/>
      <c r="K2" s="190"/>
    </row>
    <row r="3" spans="1:14" s="1" customFormat="1">
      <c r="A3" s="191" t="s">
        <v>2</v>
      </c>
      <c r="B3" s="191"/>
      <c r="C3" s="191"/>
      <c r="D3" s="191"/>
      <c r="E3" s="191"/>
      <c r="F3" s="191"/>
      <c r="G3" s="191"/>
      <c r="H3" s="191"/>
      <c r="I3" s="191"/>
      <c r="J3" s="191"/>
      <c r="K3" s="191"/>
    </row>
    <row r="4" spans="1:14" s="1" customFormat="1">
      <c r="A4" s="191" t="s">
        <v>3</v>
      </c>
      <c r="B4" s="191"/>
      <c r="C4" s="191"/>
      <c r="D4" s="191"/>
      <c r="E4" s="191"/>
      <c r="F4" s="191"/>
      <c r="G4" s="191"/>
      <c r="H4" s="191"/>
      <c r="I4" s="191"/>
      <c r="J4" s="191"/>
      <c r="K4" s="191"/>
    </row>
    <row r="5" spans="1:14" ht="17.399999999999999">
      <c r="A5" s="192" t="s">
        <v>165</v>
      </c>
      <c r="B5" s="192"/>
      <c r="C5" s="192"/>
      <c r="D5" s="192"/>
      <c r="E5" s="192"/>
      <c r="F5" s="192"/>
      <c r="G5" s="192"/>
      <c r="H5" s="192"/>
      <c r="I5" s="192"/>
      <c r="J5" s="192"/>
      <c r="K5" s="192"/>
    </row>
    <row r="6" spans="1:14" ht="15.6">
      <c r="A6" s="193" t="s">
        <v>44</v>
      </c>
      <c r="B6" s="193"/>
      <c r="C6" s="193"/>
      <c r="D6" s="193"/>
      <c r="E6" s="193"/>
      <c r="F6" s="193"/>
      <c r="G6" s="2"/>
      <c r="H6" s="194" t="s">
        <v>42</v>
      </c>
      <c r="I6" s="194"/>
      <c r="J6" s="194"/>
      <c r="K6" s="194"/>
    </row>
    <row r="7" spans="1:14" ht="15.6">
      <c r="A7" s="195" t="s">
        <v>28</v>
      </c>
      <c r="B7" s="195"/>
      <c r="C7" s="195"/>
      <c r="D7" s="195"/>
      <c r="E7" s="195"/>
      <c r="F7" s="195"/>
      <c r="G7" s="3"/>
      <c r="H7" s="196" t="s">
        <v>158</v>
      </c>
      <c r="I7" s="196"/>
      <c r="J7" s="196"/>
      <c r="K7" s="196"/>
    </row>
    <row r="8" spans="1:14" ht="15" customHeight="1">
      <c r="A8" s="4" t="s">
        <v>5</v>
      </c>
      <c r="B8" s="15" t="s">
        <v>6</v>
      </c>
      <c r="C8" s="4" t="s">
        <v>7</v>
      </c>
      <c r="D8" s="16" t="s">
        <v>8</v>
      </c>
      <c r="E8" s="16" t="s">
        <v>9</v>
      </c>
      <c r="F8" s="16" t="s">
        <v>10</v>
      </c>
      <c r="G8" s="16" t="s">
        <v>11</v>
      </c>
      <c r="H8" s="4" t="s">
        <v>12</v>
      </c>
      <c r="I8" s="16" t="s">
        <v>13</v>
      </c>
      <c r="J8" s="16" t="s">
        <v>14</v>
      </c>
      <c r="K8" s="17" t="s">
        <v>15</v>
      </c>
    </row>
    <row r="9" spans="1:14" ht="27.6">
      <c r="A9" s="18">
        <v>1</v>
      </c>
      <c r="B9" s="59" t="s">
        <v>147</v>
      </c>
      <c r="C9" s="4"/>
      <c r="D9" s="16"/>
      <c r="E9" s="16"/>
      <c r="F9" s="16"/>
      <c r="G9" s="16"/>
      <c r="H9" s="4"/>
      <c r="I9" s="16"/>
      <c r="J9" s="16"/>
      <c r="K9" s="17"/>
    </row>
    <row r="10" spans="1:14" ht="15" customHeight="1">
      <c r="A10" s="18"/>
      <c r="B10" s="35" t="s">
        <v>148</v>
      </c>
      <c r="C10" s="34">
        <v>1</v>
      </c>
      <c r="D10" s="36">
        <f>3.1+3.1+2.3+2.3+5.6+1.6</f>
        <v>18</v>
      </c>
      <c r="E10" s="36">
        <v>0.23</v>
      </c>
      <c r="F10" s="36">
        <f>2.333/3.281</f>
        <v>0.7110637000914356</v>
      </c>
      <c r="G10" s="37">
        <f t="shared" ref="G10:G14" si="0">PRODUCT(C10:F10)</f>
        <v>2.9438037183785437</v>
      </c>
      <c r="H10" s="38"/>
      <c r="I10" s="38"/>
      <c r="J10" s="38"/>
      <c r="K10" s="185"/>
      <c r="N10">
        <f>5.84+1.76</f>
        <v>7.6</v>
      </c>
    </row>
    <row r="11" spans="1:14" ht="15" customHeight="1">
      <c r="A11" s="18"/>
      <c r="B11" s="35" t="s">
        <v>159</v>
      </c>
      <c r="C11" s="34">
        <v>1</v>
      </c>
      <c r="D11" s="36">
        <v>2.8</v>
      </c>
      <c r="E11" s="36">
        <v>0.35</v>
      </c>
      <c r="F11" s="36">
        <f>((1.17/3.281)+(1.5/3.281))/2</f>
        <v>0.40688814385857969</v>
      </c>
      <c r="G11" s="37">
        <f t="shared" si="0"/>
        <v>0.39875038098140803</v>
      </c>
      <c r="H11" s="38"/>
      <c r="I11" s="38"/>
      <c r="J11" s="38"/>
      <c r="K11" s="185"/>
    </row>
    <row r="12" spans="1:14" ht="15" customHeight="1">
      <c r="A12" s="18"/>
      <c r="B12" s="35" t="s">
        <v>160</v>
      </c>
      <c r="C12" s="34">
        <v>1</v>
      </c>
      <c r="D12" s="36">
        <v>2.8</v>
      </c>
      <c r="E12" s="36">
        <v>0.35</v>
      </c>
      <c r="F12" s="36">
        <f>((1.17/3.281)+(1.917/3.281))/2</f>
        <v>0.47043584273087469</v>
      </c>
      <c r="G12" s="37">
        <f t="shared" si="0"/>
        <v>0.46102712587625716</v>
      </c>
      <c r="H12" s="38"/>
      <c r="I12" s="38"/>
      <c r="J12" s="38"/>
      <c r="K12" s="185"/>
    </row>
    <row r="13" spans="1:14" ht="15" customHeight="1">
      <c r="A13" s="18"/>
      <c r="B13" s="35" t="s">
        <v>161</v>
      </c>
      <c r="C13" s="34">
        <v>2</v>
      </c>
      <c r="D13" s="36">
        <v>1.5</v>
      </c>
      <c r="E13" s="36">
        <v>0.35</v>
      </c>
      <c r="F13" s="36">
        <f>((1.25/3.281)+(0.833/3.281))/2</f>
        <v>0.31743370923498931</v>
      </c>
      <c r="G13" s="37">
        <f t="shared" si="0"/>
        <v>0.3333053946967387</v>
      </c>
      <c r="H13" s="38"/>
      <c r="I13" s="38"/>
      <c r="J13" s="38"/>
      <c r="K13" s="185"/>
    </row>
    <row r="14" spans="1:14" ht="15" customHeight="1">
      <c r="A14" s="18"/>
      <c r="B14" s="35" t="s">
        <v>162</v>
      </c>
      <c r="C14" s="34">
        <v>2</v>
      </c>
      <c r="D14" s="36">
        <v>1.5</v>
      </c>
      <c r="E14" s="36">
        <v>0.35</v>
      </c>
      <c r="F14" s="36">
        <f>((1.25/3.281)+(1.42/3.281))/2</f>
        <v>0.40688814385857969</v>
      </c>
      <c r="G14" s="37">
        <f t="shared" si="0"/>
        <v>0.42723255105150859</v>
      </c>
      <c r="H14" s="38"/>
      <c r="I14" s="38"/>
      <c r="J14" s="38"/>
      <c r="K14" s="185"/>
    </row>
    <row r="15" spans="1:14" ht="15" customHeight="1">
      <c r="A15" s="18"/>
      <c r="B15" s="35" t="s">
        <v>41</v>
      </c>
      <c r="C15" s="34"/>
      <c r="D15" s="36"/>
      <c r="E15" s="36"/>
      <c r="F15" s="36"/>
      <c r="G15" s="32">
        <f>SUM(G10:G14)</f>
        <v>4.5641191709844557</v>
      </c>
      <c r="H15" s="38" t="s">
        <v>85</v>
      </c>
      <c r="I15" s="38">
        <v>975.2</v>
      </c>
      <c r="J15" s="40">
        <f>G15*I15</f>
        <v>4450.9290155440412</v>
      </c>
      <c r="K15" s="21"/>
    </row>
    <row r="16" spans="1:14" ht="15" customHeight="1">
      <c r="A16" s="18"/>
      <c r="B16" s="35"/>
      <c r="C16" s="34"/>
      <c r="D16" s="36"/>
      <c r="E16" s="36"/>
      <c r="F16" s="36"/>
      <c r="G16" s="37"/>
      <c r="H16" s="38"/>
      <c r="I16" s="38"/>
      <c r="J16" s="40"/>
      <c r="K16" s="21"/>
    </row>
    <row r="17" spans="1:14" ht="27.6">
      <c r="A17" s="18">
        <v>2</v>
      </c>
      <c r="B17" s="59" t="s">
        <v>149</v>
      </c>
      <c r="C17" s="34"/>
      <c r="D17" s="36"/>
      <c r="E17" s="36"/>
      <c r="F17" s="36"/>
      <c r="G17" s="37"/>
      <c r="H17" s="38"/>
      <c r="I17" s="38"/>
      <c r="J17" s="40"/>
      <c r="K17" s="21"/>
    </row>
    <row r="18" spans="1:14" ht="15" customHeight="1">
      <c r="A18" s="18"/>
      <c r="B18" s="35" t="s">
        <v>48</v>
      </c>
      <c r="C18" s="34">
        <v>1</v>
      </c>
      <c r="D18" s="36">
        <f>7.667/3.281</f>
        <v>2.3367875647668392</v>
      </c>
      <c r="E18" s="36">
        <v>0.23</v>
      </c>
      <c r="F18" s="36">
        <f>1.04-0.05</f>
        <v>0.99</v>
      </c>
      <c r="G18" s="37">
        <f>PRODUCT(C18:F18)</f>
        <v>0.53208652849740923</v>
      </c>
      <c r="H18" s="38"/>
      <c r="I18" s="38"/>
      <c r="J18" s="38"/>
      <c r="K18" s="185"/>
      <c r="N18">
        <f>5.84+1.76</f>
        <v>7.6</v>
      </c>
    </row>
    <row r="19" spans="1:14" ht="15" customHeight="1">
      <c r="A19" s="18"/>
      <c r="B19" s="35"/>
      <c r="C19" s="34">
        <v>1</v>
      </c>
      <c r="D19" s="36">
        <f>(10.5-0.75)/3.281</f>
        <v>2.9716549832368178</v>
      </c>
      <c r="E19" s="36">
        <v>0.23</v>
      </c>
      <c r="F19" s="36">
        <f>((0.85+0.59)/2)-0.05</f>
        <v>0.66999999999999993</v>
      </c>
      <c r="G19" s="37">
        <f t="shared" ref="G19:G30" si="1">PRODUCT(C19:F19)</f>
        <v>0.45793203291679357</v>
      </c>
      <c r="H19" s="38"/>
      <c r="I19" s="38"/>
      <c r="J19" s="38"/>
      <c r="K19" s="185"/>
    </row>
    <row r="20" spans="1:14" ht="15" customHeight="1">
      <c r="A20" s="18"/>
      <c r="B20" s="35"/>
      <c r="C20" s="34">
        <v>1</v>
      </c>
      <c r="D20" s="36">
        <f>1.4-0.3-0.23</f>
        <v>0.86999999999999988</v>
      </c>
      <c r="E20" s="36">
        <v>0.23</v>
      </c>
      <c r="F20" s="36">
        <f>0.18-0.05</f>
        <v>0.13</v>
      </c>
      <c r="G20" s="37">
        <f t="shared" si="1"/>
        <v>2.6012999999999998E-2</v>
      </c>
      <c r="H20" s="38"/>
      <c r="I20" s="38"/>
      <c r="J20" s="38"/>
      <c r="K20" s="185"/>
    </row>
    <row r="21" spans="1:14" ht="15" customHeight="1">
      <c r="A21" s="18"/>
      <c r="B21" s="35"/>
      <c r="C21" s="34">
        <v>1</v>
      </c>
      <c r="D21" s="36">
        <f>13.833/3.281</f>
        <v>4.2160926546784516</v>
      </c>
      <c r="E21" s="36">
        <v>0.23</v>
      </c>
      <c r="F21" s="36">
        <f>(0.5+0.85)/2-0.05</f>
        <v>0.625</v>
      </c>
      <c r="G21" s="37">
        <f t="shared" si="1"/>
        <v>0.60606331911002742</v>
      </c>
      <c r="H21" s="38"/>
      <c r="I21" s="38"/>
      <c r="J21" s="38"/>
      <c r="K21" s="185"/>
    </row>
    <row r="22" spans="1:14" ht="15" customHeight="1">
      <c r="A22" s="18"/>
      <c r="B22" s="35"/>
      <c r="C22" s="34">
        <v>1</v>
      </c>
      <c r="D22" s="36">
        <f>9.42/3.281</f>
        <v>2.8710758914964947</v>
      </c>
      <c r="E22" s="36">
        <v>0.23</v>
      </c>
      <c r="F22" s="36">
        <f>(((0.5-0.08)+0.39)/2)-0.05</f>
        <v>0.35500000000000004</v>
      </c>
      <c r="G22" s="37">
        <f t="shared" si="1"/>
        <v>0.23442334654068883</v>
      </c>
      <c r="H22" s="38"/>
      <c r="I22" s="38"/>
      <c r="J22" s="38"/>
      <c r="K22" s="185"/>
    </row>
    <row r="23" spans="1:14" ht="15" customHeight="1">
      <c r="A23" s="18"/>
      <c r="B23" s="35"/>
      <c r="C23" s="34">
        <v>1</v>
      </c>
      <c r="D23" s="36">
        <f>1.35-0.31</f>
        <v>1.04</v>
      </c>
      <c r="E23" s="36">
        <v>0.23</v>
      </c>
      <c r="F23" s="36">
        <f>((0.08+0.1)/2)-0.05</f>
        <v>3.9999999999999994E-2</v>
      </c>
      <c r="G23" s="37">
        <f t="shared" si="1"/>
        <v>9.5680000000000001E-3</v>
      </c>
      <c r="H23" s="38"/>
      <c r="I23" s="38"/>
      <c r="J23" s="38"/>
      <c r="K23" s="185"/>
    </row>
    <row r="24" spans="1:14" ht="15" customHeight="1">
      <c r="A24" s="18"/>
      <c r="B24" s="35"/>
      <c r="C24" s="34">
        <v>1</v>
      </c>
      <c r="D24" s="36">
        <f>9.42/3.281</f>
        <v>2.8710758914964947</v>
      </c>
      <c r="E24" s="36">
        <v>0.23</v>
      </c>
      <c r="F24" s="36">
        <f>((0.4+0.39)/2)-0.05</f>
        <v>0.34500000000000003</v>
      </c>
      <c r="G24" s="37">
        <f t="shared" si="1"/>
        <v>0.22781987199024686</v>
      </c>
      <c r="H24" s="38"/>
      <c r="I24" s="38"/>
      <c r="J24" s="38"/>
      <c r="K24" s="185"/>
    </row>
    <row r="25" spans="1:14" ht="15" customHeight="1">
      <c r="A25" s="18"/>
      <c r="B25" s="35"/>
      <c r="C25" s="34">
        <v>1</v>
      </c>
      <c r="D25" s="36">
        <f>1.39-0.3</f>
        <v>1.0899999999999999</v>
      </c>
      <c r="E25" s="36">
        <v>0.23</v>
      </c>
      <c r="F25" s="36">
        <f>((0.12+0.1)/2)-0.05</f>
        <v>0.06</v>
      </c>
      <c r="G25" s="37">
        <f t="shared" si="1"/>
        <v>1.5041999999999998E-2</v>
      </c>
      <c r="H25" s="38"/>
      <c r="I25" s="38"/>
      <c r="J25" s="38"/>
      <c r="K25" s="185"/>
    </row>
    <row r="26" spans="1:14" ht="15" customHeight="1">
      <c r="A26" s="18"/>
      <c r="B26" s="35"/>
      <c r="C26" s="34">
        <v>1</v>
      </c>
      <c r="D26" s="36">
        <f>7.333/3.281</f>
        <v>2.234989332520573</v>
      </c>
      <c r="E26" s="36">
        <v>0.23</v>
      </c>
      <c r="F26" s="36">
        <f>((1.02+1.08)/2)-0.05</f>
        <v>1</v>
      </c>
      <c r="G26" s="37">
        <f t="shared" si="1"/>
        <v>0.51404754647973183</v>
      </c>
      <c r="H26" s="38"/>
      <c r="I26" s="38"/>
      <c r="J26" s="38"/>
      <c r="K26" s="185"/>
    </row>
    <row r="27" spans="1:14" ht="15" customHeight="1">
      <c r="A27" s="18"/>
      <c r="B27" s="35"/>
      <c r="C27" s="34">
        <v>1</v>
      </c>
      <c r="D27" s="36">
        <f>4.27-0.3</f>
        <v>3.9699999999999998</v>
      </c>
      <c r="E27" s="36">
        <v>0.23</v>
      </c>
      <c r="F27" s="36">
        <f>((0.5+0.85)/2)-0.05</f>
        <v>0.625</v>
      </c>
      <c r="G27" s="37">
        <f t="shared" si="1"/>
        <v>0.57068750000000001</v>
      </c>
      <c r="H27" s="38"/>
      <c r="I27" s="38"/>
      <c r="J27" s="38"/>
      <c r="K27" s="185"/>
    </row>
    <row r="28" spans="1:14" ht="15" customHeight="1">
      <c r="A28" s="18"/>
      <c r="B28" s="35"/>
      <c r="C28" s="34">
        <v>1</v>
      </c>
      <c r="D28" s="36">
        <f>9.5/3.281</f>
        <v>2.895458701615361</v>
      </c>
      <c r="E28" s="36">
        <v>0.23</v>
      </c>
      <c r="F28" s="36">
        <f>((0.32+0.38)/2)-0.05</f>
        <v>0.3</v>
      </c>
      <c r="G28" s="37">
        <f t="shared" si="1"/>
        <v>0.1997866504114599</v>
      </c>
      <c r="H28" s="38"/>
      <c r="I28" s="38"/>
      <c r="J28" s="38"/>
      <c r="K28" s="185"/>
    </row>
    <row r="29" spans="1:14" ht="15" customHeight="1">
      <c r="A29" s="18"/>
      <c r="B29" s="35"/>
      <c r="C29" s="34">
        <v>1</v>
      </c>
      <c r="D29" s="36">
        <f>5.333/3.281</f>
        <v>1.6254190795489181</v>
      </c>
      <c r="E29" s="36">
        <v>0.23</v>
      </c>
      <c r="F29" s="36">
        <f>((0.12+0.1)/2)-0.05</f>
        <v>0.06</v>
      </c>
      <c r="G29" s="37">
        <f t="shared" si="1"/>
        <v>2.2430783297775068E-2</v>
      </c>
      <c r="H29" s="38"/>
      <c r="I29" s="38"/>
      <c r="J29" s="38"/>
      <c r="K29" s="185"/>
    </row>
    <row r="30" spans="1:14" ht="15" customHeight="1">
      <c r="A30" s="18"/>
      <c r="B30" s="35"/>
      <c r="C30" s="34">
        <v>1</v>
      </c>
      <c r="D30" s="36">
        <f>25.17/3.281</f>
        <v>7.6714416336482785</v>
      </c>
      <c r="E30" s="36">
        <v>0.23</v>
      </c>
      <c r="F30" s="36">
        <f>(0.23)</f>
        <v>0.23</v>
      </c>
      <c r="G30" s="37">
        <f t="shared" si="1"/>
        <v>0.40581926241999394</v>
      </c>
      <c r="H30" s="38"/>
      <c r="I30" s="38"/>
      <c r="J30" s="38"/>
      <c r="K30" s="185"/>
    </row>
    <row r="31" spans="1:14" ht="15" customHeight="1">
      <c r="A31" s="18"/>
      <c r="B31" s="35"/>
      <c r="C31" s="34">
        <v>1</v>
      </c>
      <c r="D31" s="36">
        <f>25.17/3.281</f>
        <v>7.6714416336482785</v>
      </c>
      <c r="E31" s="36">
        <v>0.1</v>
      </c>
      <c r="F31" s="36">
        <f>(0.5-0.23)-0.05</f>
        <v>0.22000000000000003</v>
      </c>
      <c r="G31" s="37">
        <f t="shared" ref="G31" si="2">PRODUCT(C31:F31)</f>
        <v>0.16877171594026216</v>
      </c>
      <c r="H31" s="38"/>
      <c r="I31" s="38"/>
      <c r="J31" s="38"/>
      <c r="K31" s="185"/>
    </row>
    <row r="32" spans="1:14" ht="15" customHeight="1">
      <c r="A32" s="18"/>
      <c r="B32" s="35" t="s">
        <v>151</v>
      </c>
      <c r="C32" s="34">
        <v>1</v>
      </c>
      <c r="D32" s="36">
        <f>23.333/3.281</f>
        <v>7.1115513562938117</v>
      </c>
      <c r="E32" s="36">
        <v>0.23</v>
      </c>
      <c r="F32" s="36">
        <f>0.2-0.05</f>
        <v>0.15000000000000002</v>
      </c>
      <c r="G32" s="37">
        <f>PRODUCT(C32:F32)</f>
        <v>0.24534852179213654</v>
      </c>
      <c r="H32" s="38"/>
      <c r="I32" s="38"/>
      <c r="J32" s="38"/>
      <c r="K32" s="185"/>
    </row>
    <row r="33" spans="1:14" ht="15" customHeight="1">
      <c r="A33" s="18"/>
      <c r="B33" s="35"/>
      <c r="C33" s="34">
        <v>1</v>
      </c>
      <c r="D33" s="36">
        <f>0.5+0.75</f>
        <v>1.25</v>
      </c>
      <c r="E33" s="36">
        <v>0.23</v>
      </c>
      <c r="F33" s="36">
        <f>0.3-0.05</f>
        <v>0.25</v>
      </c>
      <c r="G33" s="37">
        <f t="shared" ref="G33:G37" si="3">PRODUCT(C33:F33)</f>
        <v>7.1875000000000008E-2</v>
      </c>
      <c r="H33" s="38"/>
      <c r="I33" s="38"/>
      <c r="J33" s="38"/>
      <c r="K33" s="185"/>
    </row>
    <row r="34" spans="1:14" ht="15" customHeight="1">
      <c r="A34" s="18"/>
      <c r="B34" s="35"/>
      <c r="C34" s="34">
        <v>1</v>
      </c>
      <c r="D34" s="36">
        <f>0.333/3.281</f>
        <v>0.10149344711978056</v>
      </c>
      <c r="E34" s="36">
        <v>0.23</v>
      </c>
      <c r="F34" s="36">
        <f>0.6-0.05</f>
        <v>0.54999999999999993</v>
      </c>
      <c r="G34" s="37">
        <f t="shared" si="3"/>
        <v>1.283892106065224E-2</v>
      </c>
      <c r="H34" s="38"/>
      <c r="I34" s="38"/>
      <c r="J34" s="38"/>
      <c r="K34" s="185"/>
    </row>
    <row r="35" spans="1:14" ht="15" customHeight="1">
      <c r="A35" s="18"/>
      <c r="B35" s="35"/>
      <c r="C35" s="34">
        <v>1</v>
      </c>
      <c r="D35" s="36">
        <f>0.333/3.281</f>
        <v>0.10149344711978056</v>
      </c>
      <c r="E35" s="36">
        <v>0.23</v>
      </c>
      <c r="F35" s="36">
        <f>0.4-0.05</f>
        <v>0.35000000000000003</v>
      </c>
      <c r="G35" s="37">
        <f t="shared" si="3"/>
        <v>8.1702224931423355E-3</v>
      </c>
      <c r="H35" s="38"/>
      <c r="I35" s="38"/>
      <c r="J35" s="38"/>
      <c r="K35" s="185"/>
    </row>
    <row r="36" spans="1:14" ht="15" customHeight="1">
      <c r="A36" s="18"/>
      <c r="B36" s="35"/>
      <c r="C36" s="34">
        <v>1</v>
      </c>
      <c r="D36" s="36">
        <v>0.32</v>
      </c>
      <c r="E36" s="36">
        <v>0.23</v>
      </c>
      <c r="F36" s="36">
        <v>0.23</v>
      </c>
      <c r="G36" s="37">
        <f t="shared" si="3"/>
        <v>1.6928000000000002E-2</v>
      </c>
      <c r="H36" s="38"/>
      <c r="I36" s="38"/>
      <c r="J36" s="38"/>
      <c r="K36" s="185"/>
    </row>
    <row r="37" spans="1:14" ht="15" customHeight="1">
      <c r="A37" s="18"/>
      <c r="B37" s="35"/>
      <c r="C37" s="34">
        <v>1</v>
      </c>
      <c r="D37" s="36">
        <v>0.5</v>
      </c>
      <c r="E37" s="36">
        <v>0.23</v>
      </c>
      <c r="F37" s="36">
        <v>0.35</v>
      </c>
      <c r="G37" s="37">
        <f t="shared" si="3"/>
        <v>4.0250000000000001E-2</v>
      </c>
      <c r="H37" s="38"/>
      <c r="I37" s="38"/>
      <c r="J37" s="38"/>
      <c r="K37" s="185"/>
    </row>
    <row r="38" spans="1:14" ht="15" customHeight="1">
      <c r="A38" s="18"/>
      <c r="B38" s="35" t="s">
        <v>41</v>
      </c>
      <c r="C38" s="34"/>
      <c r="D38" s="36"/>
      <c r="E38" s="36"/>
      <c r="F38" s="36"/>
      <c r="G38" s="32">
        <f>SUM(G18:G37)</f>
        <v>4.3859022229503202</v>
      </c>
      <c r="H38" s="38" t="s">
        <v>85</v>
      </c>
      <c r="I38" s="38">
        <v>14362.76</v>
      </c>
      <c r="J38" s="40">
        <f>G38*I38</f>
        <v>62993.661011701945</v>
      </c>
      <c r="K38" s="21"/>
    </row>
    <row r="39" spans="1:14" ht="15" customHeight="1">
      <c r="A39" s="18"/>
      <c r="B39" s="35" t="s">
        <v>40</v>
      </c>
      <c r="C39" s="34"/>
      <c r="D39" s="36"/>
      <c r="E39" s="36"/>
      <c r="F39" s="36"/>
      <c r="G39" s="37"/>
      <c r="H39" s="38"/>
      <c r="I39" s="38"/>
      <c r="J39" s="40">
        <f>0.13*G38*10311.74</f>
        <v>5879.4168405031451</v>
      </c>
      <c r="K39" s="21"/>
    </row>
    <row r="40" spans="1:14" ht="15" customHeight="1">
      <c r="A40" s="18"/>
      <c r="B40" s="35"/>
      <c r="C40" s="34"/>
      <c r="D40" s="36"/>
      <c r="E40" s="36"/>
      <c r="F40" s="36"/>
      <c r="G40" s="37"/>
      <c r="H40" s="38"/>
      <c r="I40" s="38"/>
      <c r="J40" s="40"/>
      <c r="K40" s="21"/>
    </row>
    <row r="41" spans="1:14" s="1" customFormat="1" ht="55.2">
      <c r="A41" s="145">
        <v>3</v>
      </c>
      <c r="B41" s="59" t="s">
        <v>45</v>
      </c>
      <c r="C41" s="59"/>
      <c r="D41" s="37"/>
      <c r="E41" s="37"/>
      <c r="F41" s="37"/>
      <c r="G41" s="37"/>
      <c r="H41" s="37"/>
      <c r="I41" s="37"/>
      <c r="J41" s="40"/>
      <c r="K41" s="28"/>
    </row>
    <row r="42" spans="1:14" ht="15" customHeight="1">
      <c r="A42" s="18"/>
      <c r="B42" s="35" t="s">
        <v>46</v>
      </c>
      <c r="C42" s="34">
        <v>1</v>
      </c>
      <c r="D42" s="36">
        <f>((5.84+1.76)+(4.23+3.4))/2</f>
        <v>7.6150000000000002</v>
      </c>
      <c r="E42" s="36">
        <f>(3.48+3.5)/2</f>
        <v>3.49</v>
      </c>
      <c r="F42" s="36"/>
      <c r="G42" s="37">
        <f t="shared" ref="G42:G44" si="4">PRODUCT(C42:F42)</f>
        <v>26.576350000000001</v>
      </c>
      <c r="H42" s="38"/>
      <c r="I42" s="38"/>
      <c r="J42" s="38"/>
      <c r="K42" s="185"/>
      <c r="N42">
        <f>5.84+1.76</f>
        <v>7.6</v>
      </c>
    </row>
    <row r="43" spans="1:14" ht="15" customHeight="1">
      <c r="A43" s="18"/>
      <c r="B43" s="35"/>
      <c r="C43" s="34">
        <v>1</v>
      </c>
      <c r="D43" s="36">
        <f>((3.87+1.86)+(3.57+2.18))/2</f>
        <v>5.74</v>
      </c>
      <c r="E43" s="36">
        <f>1.15+0.59+0.59</f>
        <v>2.3299999999999996</v>
      </c>
      <c r="F43" s="36"/>
      <c r="G43" s="37">
        <f t="shared" si="4"/>
        <v>13.374199999999998</v>
      </c>
      <c r="H43" s="38"/>
      <c r="I43" s="38"/>
      <c r="J43" s="38"/>
      <c r="K43" s="185"/>
      <c r="N43">
        <f>3.87+1.86</f>
        <v>5.73</v>
      </c>
    </row>
    <row r="44" spans="1:14" ht="15" customHeight="1">
      <c r="A44" s="18"/>
      <c r="B44" s="35"/>
      <c r="C44" s="34">
        <v>1</v>
      </c>
      <c r="D44" s="36">
        <f>5.7</f>
        <v>5.7</v>
      </c>
      <c r="E44" s="36">
        <f>2.3</f>
        <v>2.2999999999999998</v>
      </c>
      <c r="F44" s="36"/>
      <c r="G44" s="37">
        <f t="shared" si="4"/>
        <v>13.11</v>
      </c>
      <c r="H44" s="38"/>
      <c r="I44" s="38"/>
      <c r="J44" s="38"/>
      <c r="K44" s="185"/>
    </row>
    <row r="45" spans="1:14" ht="15" customHeight="1">
      <c r="A45" s="18"/>
      <c r="B45" s="35" t="s">
        <v>41</v>
      </c>
      <c r="C45" s="34"/>
      <c r="D45" s="36"/>
      <c r="E45" s="36"/>
      <c r="F45" s="36"/>
      <c r="G45" s="32">
        <f>SUM(G42:G44)</f>
        <v>53.060549999999999</v>
      </c>
      <c r="H45" s="38" t="s">
        <v>43</v>
      </c>
      <c r="I45" s="38">
        <v>817.76</v>
      </c>
      <c r="J45" s="40">
        <f>G45*I45</f>
        <v>43390.795367999999</v>
      </c>
      <c r="K45" s="21"/>
    </row>
    <row r="46" spans="1:14" ht="15" customHeight="1">
      <c r="A46" s="18"/>
      <c r="B46" s="35" t="s">
        <v>40</v>
      </c>
      <c r="C46" s="34"/>
      <c r="D46" s="36"/>
      <c r="E46" s="36"/>
      <c r="F46" s="36"/>
      <c r="G46" s="37"/>
      <c r="H46" s="38"/>
      <c r="I46" s="38"/>
      <c r="J46" s="40">
        <f>0.13*J45</f>
        <v>5640.8033978399999</v>
      </c>
      <c r="K46" s="21"/>
    </row>
    <row r="47" spans="1:14" ht="15" customHeight="1">
      <c r="A47" s="18"/>
      <c r="B47" s="35"/>
      <c r="C47" s="34"/>
      <c r="D47" s="36"/>
      <c r="E47" s="36"/>
      <c r="F47" s="36"/>
      <c r="G47" s="37"/>
      <c r="H47" s="38"/>
      <c r="I47" s="38"/>
      <c r="J47" s="40"/>
      <c r="K47" s="21"/>
    </row>
    <row r="48" spans="1:14" ht="27.6">
      <c r="A48" s="18">
        <v>4</v>
      </c>
      <c r="B48" s="59" t="s">
        <v>47</v>
      </c>
      <c r="C48" s="34"/>
      <c r="D48" s="36"/>
      <c r="E48" s="36"/>
      <c r="F48" s="36"/>
      <c r="G48" s="37"/>
      <c r="H48" s="38"/>
      <c r="I48" s="38"/>
      <c r="J48" s="40"/>
      <c r="K48" s="21"/>
    </row>
    <row r="49" spans="1:14" ht="15" customHeight="1">
      <c r="A49" s="18"/>
      <c r="B49" s="35" t="s">
        <v>48</v>
      </c>
      <c r="C49" s="34">
        <v>2</v>
      </c>
      <c r="D49" s="36">
        <f>12/3.281</f>
        <v>3.6574215178299299</v>
      </c>
      <c r="E49" s="36">
        <f>3.5/3.281</f>
        <v>1.0667479427003961</v>
      </c>
      <c r="F49" s="36"/>
      <c r="G49" s="37">
        <f>PRODUCT(C49:F49)</f>
        <v>7.8030937594664751</v>
      </c>
      <c r="H49" s="38"/>
      <c r="I49" s="38"/>
      <c r="J49" s="38"/>
      <c r="K49" s="185"/>
      <c r="N49">
        <f>5.84+1.76</f>
        <v>7.6</v>
      </c>
    </row>
    <row r="50" spans="1:14" ht="15" customHeight="1">
      <c r="A50" s="18"/>
      <c r="B50" s="35" t="s">
        <v>41</v>
      </c>
      <c r="C50" s="34"/>
      <c r="D50" s="36"/>
      <c r="E50" s="36"/>
      <c r="F50" s="36"/>
      <c r="G50" s="32">
        <f>SUM(G49:G49)</f>
        <v>7.8030937594664751</v>
      </c>
      <c r="H50" s="38" t="s">
        <v>43</v>
      </c>
      <c r="I50" s="38">
        <v>1070.9000000000001</v>
      </c>
      <c r="J50" s="40">
        <f>G50*I50</f>
        <v>8356.3331070126496</v>
      </c>
      <c r="K50" s="21"/>
    </row>
    <row r="51" spans="1:14" ht="15" customHeight="1">
      <c r="A51" s="18"/>
      <c r="B51" s="35" t="s">
        <v>40</v>
      </c>
      <c r="C51" s="34"/>
      <c r="D51" s="36"/>
      <c r="E51" s="36"/>
      <c r="F51" s="36"/>
      <c r="G51" s="37"/>
      <c r="H51" s="38"/>
      <c r="I51" s="38"/>
      <c r="J51" s="40">
        <f>0.13*G50*8587.63/10</f>
        <v>871.13106680089209</v>
      </c>
      <c r="K51" s="21"/>
    </row>
    <row r="52" spans="1:14" ht="15" customHeight="1">
      <c r="A52" s="18"/>
      <c r="B52" s="35"/>
      <c r="C52" s="34"/>
      <c r="D52" s="36"/>
      <c r="E52" s="36"/>
      <c r="F52" s="36"/>
      <c r="G52" s="37"/>
      <c r="H52" s="38"/>
      <c r="I52" s="38"/>
      <c r="J52" s="40"/>
      <c r="K52" s="21"/>
    </row>
    <row r="53" spans="1:14" ht="27.6">
      <c r="A53" s="144">
        <v>5</v>
      </c>
      <c r="B53" s="59" t="s">
        <v>154</v>
      </c>
      <c r="C53" s="34"/>
      <c r="D53" s="36"/>
      <c r="E53" s="36"/>
      <c r="F53" s="36"/>
      <c r="G53" s="37"/>
      <c r="H53" s="38"/>
      <c r="I53" s="38"/>
      <c r="J53" s="40"/>
      <c r="K53" s="21"/>
    </row>
    <row r="54" spans="1:14" ht="15" customHeight="1">
      <c r="A54" s="18"/>
      <c r="B54" s="35" t="s">
        <v>48</v>
      </c>
      <c r="C54" s="34">
        <v>1</v>
      </c>
      <c r="D54" s="36">
        <f>2.67+2.68+2.3+3.35+2.8+3.05+2.5+1.83</f>
        <v>21.18</v>
      </c>
      <c r="E54" s="36"/>
      <c r="F54" s="36"/>
      <c r="G54" s="37">
        <f>PRODUCT(C54:F54)</f>
        <v>21.18</v>
      </c>
      <c r="H54" s="38"/>
      <c r="I54" s="38"/>
      <c r="J54" s="38"/>
      <c r="K54" s="185"/>
      <c r="N54">
        <f>5.84+1.76</f>
        <v>7.6</v>
      </c>
    </row>
    <row r="55" spans="1:14" ht="15" customHeight="1">
      <c r="A55" s="18"/>
      <c r="B55" s="35" t="s">
        <v>41</v>
      </c>
      <c r="C55" s="34"/>
      <c r="D55" s="36"/>
      <c r="E55" s="36"/>
      <c r="F55" s="36"/>
      <c r="G55" s="32">
        <f>SUM(G54:G54)</f>
        <v>21.18</v>
      </c>
      <c r="H55" s="38" t="s">
        <v>155</v>
      </c>
      <c r="I55" s="38">
        <v>1108.01</v>
      </c>
      <c r="J55" s="40">
        <f>G55*I55</f>
        <v>23467.6518</v>
      </c>
      <c r="K55" s="21"/>
    </row>
    <row r="56" spans="1:14" ht="15" customHeight="1">
      <c r="A56" s="18"/>
      <c r="B56" s="35" t="s">
        <v>40</v>
      </c>
      <c r="C56" s="34"/>
      <c r="D56" s="36"/>
      <c r="E56" s="36"/>
      <c r="F56" s="36"/>
      <c r="G56" s="37"/>
      <c r="H56" s="38"/>
      <c r="I56" s="38"/>
      <c r="J56" s="40">
        <f>0.13*G55*7076.41/10</f>
        <v>1948.4187293999998</v>
      </c>
      <c r="K56" s="21"/>
    </row>
    <row r="57" spans="1:14" ht="15" customHeight="1">
      <c r="A57" s="18"/>
      <c r="B57" s="35"/>
      <c r="C57" s="34"/>
      <c r="D57" s="36"/>
      <c r="E57" s="36"/>
      <c r="F57" s="36"/>
      <c r="G57" s="37"/>
      <c r="H57" s="38"/>
      <c r="I57" s="38"/>
      <c r="J57" s="40"/>
      <c r="K57" s="21"/>
    </row>
    <row r="58" spans="1:14" ht="41.4">
      <c r="A58" s="18">
        <v>6</v>
      </c>
      <c r="B58" s="59" t="s">
        <v>87</v>
      </c>
      <c r="C58" s="34"/>
      <c r="D58" s="36"/>
      <c r="E58" s="36"/>
      <c r="F58" s="36"/>
      <c r="G58" s="37"/>
      <c r="H58" s="38"/>
      <c r="I58" s="38"/>
      <c r="J58" s="40"/>
      <c r="K58" s="21"/>
    </row>
    <row r="59" spans="1:14" ht="15" customHeight="1">
      <c r="A59" s="18"/>
      <c r="B59" s="35" t="s">
        <v>84</v>
      </c>
      <c r="C59" s="34">
        <v>2</v>
      </c>
      <c r="D59" s="36">
        <f>D66</f>
        <v>10.515086863761049</v>
      </c>
      <c r="E59" s="36">
        <v>0.15</v>
      </c>
      <c r="F59" s="36">
        <v>0.6</v>
      </c>
      <c r="G59" s="37">
        <f>PRODUCT(C59:F59)</f>
        <v>1.8927156354769885</v>
      </c>
      <c r="H59" s="38"/>
      <c r="I59" s="38"/>
      <c r="J59" s="38"/>
      <c r="K59" s="185"/>
      <c r="N59">
        <f>5.84+1.76</f>
        <v>7.6</v>
      </c>
    </row>
    <row r="60" spans="1:14" ht="15" customHeight="1">
      <c r="A60" s="18"/>
      <c r="B60" s="35" t="str">
        <f>B73</f>
        <v>-at backyard</v>
      </c>
      <c r="C60" s="42">
        <v>1</v>
      </c>
      <c r="D60" s="36">
        <f>12</f>
        <v>12</v>
      </c>
      <c r="E60" s="36">
        <v>0.23</v>
      </c>
      <c r="F60" s="36">
        <v>0.3</v>
      </c>
      <c r="G60" s="37">
        <f>PRODUCT(C60:F60)</f>
        <v>0.82800000000000007</v>
      </c>
      <c r="H60" s="38"/>
      <c r="I60" s="38"/>
      <c r="J60" s="38"/>
      <c r="K60" s="185"/>
    </row>
    <row r="61" spans="1:14" ht="15" customHeight="1">
      <c r="A61" s="18"/>
      <c r="B61" s="35"/>
      <c r="C61" s="42">
        <v>1</v>
      </c>
      <c r="D61" s="36">
        <f>D60</f>
        <v>12</v>
      </c>
      <c r="E61" s="36">
        <v>0.23</v>
      </c>
      <c r="F61" s="36">
        <v>0.5</v>
      </c>
      <c r="G61" s="37">
        <f>PRODUCT(C61:F61)</f>
        <v>1.3800000000000001</v>
      </c>
      <c r="H61" s="38"/>
      <c r="I61" s="38"/>
      <c r="J61" s="38"/>
      <c r="K61" s="185"/>
    </row>
    <row r="62" spans="1:14" ht="15" customHeight="1">
      <c r="A62" s="18"/>
      <c r="B62" s="35" t="s">
        <v>41</v>
      </c>
      <c r="C62" s="34"/>
      <c r="D62" s="36"/>
      <c r="E62" s="36"/>
      <c r="F62" s="36"/>
      <c r="G62" s="32">
        <f>SUM(G59:G61)</f>
        <v>4.1007156354769885</v>
      </c>
      <c r="H62" s="38" t="s">
        <v>85</v>
      </c>
      <c r="I62" s="38">
        <v>1950.4</v>
      </c>
      <c r="J62" s="40">
        <f>G62*I62</f>
        <v>7998.0357754343186</v>
      </c>
      <c r="K62" s="21"/>
    </row>
    <row r="63" spans="1:14" ht="15" customHeight="1">
      <c r="A63" s="18"/>
      <c r="B63" s="35" t="s">
        <v>40</v>
      </c>
      <c r="C63" s="34"/>
      <c r="D63" s="36"/>
      <c r="E63" s="36"/>
      <c r="F63" s="36"/>
      <c r="G63" s="37"/>
      <c r="H63" s="38"/>
      <c r="I63" s="38"/>
      <c r="J63" s="40">
        <f>0.13*J62</f>
        <v>1039.7446508064616</v>
      </c>
      <c r="K63" s="21"/>
    </row>
    <row r="64" spans="1:14" ht="15" customHeight="1">
      <c r="A64" s="18"/>
      <c r="B64" s="35"/>
      <c r="C64" s="34"/>
      <c r="D64" s="36"/>
      <c r="E64" s="36"/>
      <c r="F64" s="36"/>
      <c r="G64" s="37"/>
      <c r="H64" s="38"/>
      <c r="I64" s="38"/>
      <c r="J64" s="40"/>
      <c r="K64" s="21"/>
    </row>
    <row r="65" spans="1:19" ht="30.6">
      <c r="A65" s="144">
        <v>7</v>
      </c>
      <c r="B65" s="86" t="s">
        <v>89</v>
      </c>
      <c r="C65" s="19"/>
      <c r="D65" s="20"/>
      <c r="E65" s="21"/>
      <c r="F65" s="21"/>
      <c r="G65" s="23"/>
      <c r="H65" s="22"/>
      <c r="I65" s="23"/>
      <c r="J65" s="39"/>
      <c r="K65" s="21"/>
      <c r="M65" s="87"/>
      <c r="N65" s="1"/>
      <c r="O65" s="1"/>
      <c r="P65" s="1"/>
      <c r="Q65" s="1"/>
      <c r="R65" s="87"/>
      <c r="S65" s="87"/>
    </row>
    <row r="66" spans="1:19" ht="15" customHeight="1">
      <c r="A66" s="18"/>
      <c r="B66" s="35" t="s">
        <v>90</v>
      </c>
      <c r="C66" s="19">
        <v>1</v>
      </c>
      <c r="D66" s="20">
        <f>((21+15.5)-2)/3.281</f>
        <v>10.515086863761049</v>
      </c>
      <c r="E66" s="21">
        <v>0.6</v>
      </c>
      <c r="F66" s="21">
        <v>0.125</v>
      </c>
      <c r="G66" s="37">
        <f>PRODUCT(C66:F66)</f>
        <v>0.7886315147820786</v>
      </c>
      <c r="H66" s="22"/>
      <c r="I66" s="23"/>
      <c r="J66" s="39"/>
      <c r="K66" s="21"/>
    </row>
    <row r="67" spans="1:19" ht="15" customHeight="1">
      <c r="A67" s="18"/>
      <c r="B67" s="35" t="s">
        <v>41</v>
      </c>
      <c r="C67" s="19"/>
      <c r="D67" s="20"/>
      <c r="E67" s="21"/>
      <c r="F67" s="21"/>
      <c r="G67" s="23">
        <f>SUM(G66:G66)</f>
        <v>0.7886315147820786</v>
      </c>
      <c r="H67" s="22" t="s">
        <v>85</v>
      </c>
      <c r="I67" s="23">
        <v>663.31</v>
      </c>
      <c r="J67" s="39">
        <f>G67*I67</f>
        <v>523.10717007010055</v>
      </c>
      <c r="K67" s="21"/>
    </row>
    <row r="68" spans="1:19" ht="15" customHeight="1">
      <c r="A68" s="18"/>
      <c r="B68" s="35"/>
      <c r="C68" s="19"/>
      <c r="D68" s="20"/>
      <c r="E68" s="21"/>
      <c r="F68" s="21"/>
      <c r="G68" s="23"/>
      <c r="H68" s="22"/>
      <c r="I68" s="23"/>
      <c r="J68" s="39"/>
      <c r="K68" s="21"/>
    </row>
    <row r="69" spans="1:19" ht="15">
      <c r="A69" s="18">
        <v>8</v>
      </c>
      <c r="B69" s="88" t="s">
        <v>91</v>
      </c>
      <c r="C69" s="19"/>
      <c r="D69" s="20"/>
      <c r="E69" s="21"/>
      <c r="F69" s="21"/>
      <c r="G69" s="23"/>
      <c r="H69" s="22"/>
      <c r="I69" s="23"/>
      <c r="J69" s="39"/>
      <c r="K69" s="21"/>
    </row>
    <row r="70" spans="1:19" ht="15" customHeight="1">
      <c r="A70" s="18"/>
      <c r="B70" s="35" t="str">
        <f>B66</f>
        <v>-at drain wall base</v>
      </c>
      <c r="C70" s="19">
        <f>C66</f>
        <v>1</v>
      </c>
      <c r="D70" s="20">
        <f>D66</f>
        <v>10.515086863761049</v>
      </c>
      <c r="E70" s="21">
        <v>0.67</v>
      </c>
      <c r="F70" s="21"/>
      <c r="G70" s="37">
        <f>PRODUCT(C70:F70)</f>
        <v>7.0451081987199027</v>
      </c>
      <c r="H70" s="22"/>
      <c r="I70" s="23"/>
      <c r="J70" s="39"/>
      <c r="K70" s="21"/>
    </row>
    <row r="71" spans="1:19" s="156" customFormat="1" ht="15" customHeight="1">
      <c r="A71" s="18"/>
      <c r="B71" s="152" t="s">
        <v>152</v>
      </c>
      <c r="C71" s="19">
        <v>1</v>
      </c>
      <c r="D71" s="20">
        <f>23/3.281</f>
        <v>7.0100579091740318</v>
      </c>
      <c r="E71" s="21">
        <f>0.3+0.23</f>
        <v>0.53</v>
      </c>
      <c r="F71" s="21"/>
      <c r="G71" s="154">
        <f>PRODUCT(C71:F71)</f>
        <v>3.7153306918622371</v>
      </c>
      <c r="H71" s="22"/>
      <c r="I71" s="23"/>
      <c r="J71" s="155"/>
      <c r="K71" s="21"/>
    </row>
    <row r="72" spans="1:19" s="156" customFormat="1" ht="15" customHeight="1">
      <c r="A72" s="18"/>
      <c r="B72" s="152" t="str">
        <f>B123</f>
        <v>-at entrance</v>
      </c>
      <c r="C72" s="19">
        <f>C123</f>
        <v>1</v>
      </c>
      <c r="D72" s="153">
        <v>2.2000000000000002</v>
      </c>
      <c r="E72" s="153">
        <v>0.9</v>
      </c>
      <c r="F72" s="152"/>
      <c r="G72" s="154">
        <f>PRODUCT(C72:F72)</f>
        <v>1.9800000000000002</v>
      </c>
      <c r="H72" s="22"/>
      <c r="I72" s="23"/>
      <c r="J72" s="155"/>
      <c r="K72" s="21"/>
    </row>
    <row r="73" spans="1:19" s="156" customFormat="1" ht="15" customHeight="1">
      <c r="A73" s="18"/>
      <c r="B73" s="152" t="s">
        <v>172</v>
      </c>
      <c r="C73" s="19">
        <v>1</v>
      </c>
      <c r="D73" s="153">
        <v>12.9</v>
      </c>
      <c r="E73" s="153">
        <v>0.35</v>
      </c>
      <c r="F73" s="152"/>
      <c r="G73" s="154">
        <f>PRODUCT(C73:F73)</f>
        <v>4.5149999999999997</v>
      </c>
      <c r="H73" s="22"/>
      <c r="I73" s="23"/>
      <c r="J73" s="155"/>
      <c r="K73" s="21"/>
    </row>
    <row r="74" spans="1:19" ht="15" customHeight="1">
      <c r="A74" s="18"/>
      <c r="B74" s="35" t="s">
        <v>41</v>
      </c>
      <c r="C74" s="19"/>
      <c r="D74" s="20"/>
      <c r="E74" s="21"/>
      <c r="F74" s="21"/>
      <c r="G74" s="23">
        <f>SUM(G70:G73)</f>
        <v>17.255438890582141</v>
      </c>
      <c r="H74" s="22" t="s">
        <v>43</v>
      </c>
      <c r="I74" s="23">
        <v>1014.97</v>
      </c>
      <c r="J74" s="39">
        <f>G74*I74</f>
        <v>17513.752810774156</v>
      </c>
      <c r="K74" s="21"/>
    </row>
    <row r="75" spans="1:19" ht="15" customHeight="1">
      <c r="A75" s="18"/>
      <c r="B75" s="35" t="s">
        <v>40</v>
      </c>
      <c r="C75" s="19"/>
      <c r="D75" s="20"/>
      <c r="E75" s="21"/>
      <c r="F75" s="21"/>
      <c r="G75" s="23"/>
      <c r="H75" s="22"/>
      <c r="I75" s="23"/>
      <c r="J75" s="39">
        <f>0.13*G74*8617.2/10</f>
        <v>1933.0163841030176</v>
      </c>
      <c r="K75" s="21"/>
    </row>
    <row r="76" spans="1:19" ht="15" customHeight="1">
      <c r="A76" s="18"/>
      <c r="B76" s="35"/>
      <c r="C76" s="19"/>
      <c r="D76" s="20"/>
      <c r="E76" s="21"/>
      <c r="F76" s="21"/>
      <c r="G76" s="23"/>
      <c r="H76" s="22"/>
      <c r="I76" s="23"/>
      <c r="J76" s="39"/>
      <c r="K76" s="21"/>
    </row>
    <row r="77" spans="1:19" ht="30">
      <c r="A77" s="18">
        <v>9</v>
      </c>
      <c r="B77" s="88" t="s">
        <v>92</v>
      </c>
      <c r="C77" s="19"/>
      <c r="D77" s="20"/>
      <c r="E77" s="21"/>
      <c r="F77" s="21"/>
      <c r="G77" s="23"/>
      <c r="H77" s="22"/>
      <c r="I77" s="23"/>
      <c r="J77" s="39"/>
      <c r="K77" s="21"/>
    </row>
    <row r="78" spans="1:19" ht="15" customHeight="1">
      <c r="A78" s="18"/>
      <c r="B78" s="35" t="str">
        <f>B70</f>
        <v>-at drain wall base</v>
      </c>
      <c r="C78" s="19">
        <f>C70</f>
        <v>1</v>
      </c>
      <c r="D78" s="20">
        <f>D66</f>
        <v>10.515086863761049</v>
      </c>
      <c r="E78" s="21">
        <f>E70</f>
        <v>0.67</v>
      </c>
      <c r="F78" s="21">
        <v>7.4999999999999997E-2</v>
      </c>
      <c r="G78" s="37">
        <f t="shared" ref="G78:G83" si="5">PRODUCT(C78:F78)</f>
        <v>0.5283831149039927</v>
      </c>
      <c r="H78" s="22"/>
      <c r="I78" s="23"/>
      <c r="J78" s="39"/>
      <c r="K78" s="21"/>
    </row>
    <row r="79" spans="1:19" ht="15" customHeight="1">
      <c r="A79" s="18"/>
      <c r="B79" s="35" t="str">
        <f>B71</f>
        <v>-at one side drain</v>
      </c>
      <c r="C79" s="19">
        <f>C71</f>
        <v>1</v>
      </c>
      <c r="D79" s="20">
        <f>D71</f>
        <v>7.0100579091740318</v>
      </c>
      <c r="E79" s="21">
        <f>E71+0.3</f>
        <v>0.83000000000000007</v>
      </c>
      <c r="F79" s="21">
        <v>7.4999999999999997E-2</v>
      </c>
      <c r="G79" s="37">
        <f t="shared" si="5"/>
        <v>0.43637610484608347</v>
      </c>
      <c r="H79" s="22"/>
      <c r="I79" s="23"/>
      <c r="J79" s="39"/>
      <c r="K79" s="21"/>
    </row>
    <row r="80" spans="1:19" ht="15" customHeight="1">
      <c r="A80" s="18"/>
      <c r="B80" s="35" t="str">
        <f>B18</f>
        <v>-at roof</v>
      </c>
      <c r="C80" s="19">
        <f>C18</f>
        <v>1</v>
      </c>
      <c r="D80" s="20">
        <f>(4.27-0.3)+(9.5+7.333+9.42+9.42+13.833+(10.5-0.75)+7.583)/3.281</f>
        <v>24.341533069186223</v>
      </c>
      <c r="E80" s="21">
        <f>E18</f>
        <v>0.23</v>
      </c>
      <c r="F80" s="21">
        <v>0.05</v>
      </c>
      <c r="G80" s="37">
        <f t="shared" si="5"/>
        <v>0.27992763029564161</v>
      </c>
      <c r="H80" s="22"/>
      <c r="I80" s="23"/>
      <c r="J80" s="39"/>
      <c r="K80" s="21"/>
    </row>
    <row r="81" spans="1:20" ht="15" customHeight="1">
      <c r="A81" s="18"/>
      <c r="B81" s="35"/>
      <c r="C81" s="19">
        <f>C19</f>
        <v>1</v>
      </c>
      <c r="D81" s="20">
        <f>25.17/3.281</f>
        <v>7.6714416336482785</v>
      </c>
      <c r="E81" s="21">
        <v>0.1</v>
      </c>
      <c r="F81" s="21">
        <v>0.05</v>
      </c>
      <c r="G81" s="37">
        <f t="shared" si="5"/>
        <v>3.8357208168241397E-2</v>
      </c>
      <c r="H81" s="22"/>
      <c r="I81" s="23"/>
      <c r="J81" s="39"/>
      <c r="K81" s="21"/>
    </row>
    <row r="82" spans="1:20" ht="15" customHeight="1">
      <c r="A82" s="18"/>
      <c r="B82" s="35" t="s">
        <v>171</v>
      </c>
      <c r="C82" s="19">
        <v>4</v>
      </c>
      <c r="D82" s="20">
        <v>0.9</v>
      </c>
      <c r="E82" s="21">
        <v>0.15</v>
      </c>
      <c r="F82" s="21">
        <v>0.05</v>
      </c>
      <c r="G82" s="37">
        <f t="shared" si="5"/>
        <v>2.7000000000000003E-2</v>
      </c>
      <c r="H82" s="22"/>
      <c r="I82" s="23"/>
      <c r="J82" s="39"/>
      <c r="K82" s="21"/>
    </row>
    <row r="83" spans="1:20" ht="15" customHeight="1">
      <c r="A83" s="18"/>
      <c r="B83" s="35" t="str">
        <f>B73</f>
        <v>-at backyard</v>
      </c>
      <c r="C83" s="19">
        <f>C73</f>
        <v>1</v>
      </c>
      <c r="D83" s="20">
        <f>D73</f>
        <v>12.9</v>
      </c>
      <c r="E83" s="21">
        <f>E73</f>
        <v>0.35</v>
      </c>
      <c r="F83" s="21">
        <v>0.05</v>
      </c>
      <c r="G83" s="37">
        <f t="shared" si="5"/>
        <v>0.22575000000000001</v>
      </c>
      <c r="H83" s="22"/>
      <c r="I83" s="23"/>
      <c r="J83" s="39"/>
      <c r="K83" s="21"/>
    </row>
    <row r="84" spans="1:20" ht="15" customHeight="1">
      <c r="A84" s="18"/>
      <c r="B84" s="35" t="s">
        <v>41</v>
      </c>
      <c r="C84" s="19"/>
      <c r="D84" s="20"/>
      <c r="E84" s="21"/>
      <c r="F84" s="21"/>
      <c r="G84" s="23">
        <f>SUM(G78:G83)</f>
        <v>1.5357940582139591</v>
      </c>
      <c r="H84" s="22" t="s">
        <v>85</v>
      </c>
      <c r="I84" s="23">
        <v>12983.1</v>
      </c>
      <c r="J84" s="39">
        <f>G84*I84</f>
        <v>19939.367837197653</v>
      </c>
      <c r="K84" s="21"/>
    </row>
    <row r="85" spans="1:20" ht="15" customHeight="1">
      <c r="A85" s="18"/>
      <c r="B85" s="35" t="s">
        <v>40</v>
      </c>
      <c r="C85" s="19"/>
      <c r="D85" s="20"/>
      <c r="E85" s="21"/>
      <c r="F85" s="21"/>
      <c r="G85" s="23"/>
      <c r="H85" s="22"/>
      <c r="I85" s="23"/>
      <c r="J85" s="39">
        <f>0.13*G84*8078.11</f>
        <v>1612.8207341478396</v>
      </c>
      <c r="K85" s="21"/>
    </row>
    <row r="86" spans="1:20" ht="15">
      <c r="A86" s="18"/>
      <c r="B86" s="88"/>
      <c r="C86" s="19"/>
      <c r="D86" s="20"/>
      <c r="E86" s="21"/>
      <c r="F86" s="21"/>
      <c r="G86" s="23"/>
      <c r="H86" s="22"/>
      <c r="I86" s="23"/>
      <c r="J86" s="39"/>
      <c r="K86" s="21"/>
    </row>
    <row r="87" spans="1:20" ht="39">
      <c r="A87" s="18">
        <v>10</v>
      </c>
      <c r="B87" s="59" t="s">
        <v>88</v>
      </c>
      <c r="C87" s="34"/>
      <c r="D87" s="36"/>
      <c r="E87" s="36"/>
      <c r="F87" s="36"/>
      <c r="G87" s="37"/>
      <c r="H87" s="38"/>
      <c r="I87" s="38"/>
      <c r="J87" s="40"/>
      <c r="K87" s="21"/>
      <c r="N87" s="65" t="s">
        <v>49</v>
      </c>
      <c r="O87" s="65"/>
      <c r="P87" s="65"/>
      <c r="Q87" s="65"/>
      <c r="R87" s="65"/>
      <c r="S87" s="65"/>
      <c r="T87" s="65"/>
    </row>
    <row r="88" spans="1:20" ht="15" customHeight="1">
      <c r="A88" s="18"/>
      <c r="B88" s="35" t="s">
        <v>84</v>
      </c>
      <c r="C88" s="34">
        <v>2</v>
      </c>
      <c r="D88" s="36">
        <f>((21+15.5)-2)/3.281</f>
        <v>10.515086863761049</v>
      </c>
      <c r="E88" s="36">
        <v>0.15</v>
      </c>
      <c r="F88" s="36">
        <v>0.5</v>
      </c>
      <c r="G88" s="37">
        <f>PRODUCT(C88:F88)</f>
        <v>1.5772630295641572</v>
      </c>
      <c r="H88" s="38"/>
      <c r="I88" s="38"/>
      <c r="J88" s="38"/>
      <c r="K88" s="185"/>
      <c r="N88" s="197" t="s">
        <v>87</v>
      </c>
      <c r="O88" s="197"/>
      <c r="P88" s="197"/>
      <c r="Q88" s="197"/>
      <c r="R88" s="197"/>
      <c r="S88" s="197"/>
      <c r="T88" s="197"/>
    </row>
    <row r="89" spans="1:20" ht="15" customHeight="1">
      <c r="A89" s="18"/>
      <c r="B89" s="35"/>
      <c r="C89" s="34">
        <v>2</v>
      </c>
      <c r="D89" s="36">
        <v>1.1499999999999999</v>
      </c>
      <c r="E89" s="36">
        <v>0.15</v>
      </c>
      <c r="F89" s="36">
        <v>0.3</v>
      </c>
      <c r="G89" s="37">
        <f>PRODUCT(C89:F89)</f>
        <v>0.10349999999999999</v>
      </c>
      <c r="H89" s="38"/>
      <c r="I89" s="38"/>
      <c r="J89" s="38"/>
      <c r="K89" s="185"/>
      <c r="N89" s="143"/>
      <c r="O89" s="143"/>
      <c r="P89" s="143"/>
      <c r="Q89" s="143"/>
      <c r="R89" s="143"/>
      <c r="S89" s="143"/>
      <c r="T89" s="143"/>
    </row>
    <row r="90" spans="1:20" ht="15" customHeight="1">
      <c r="A90" s="18"/>
      <c r="B90" s="35" t="s">
        <v>41</v>
      </c>
      <c r="C90" s="34"/>
      <c r="D90" s="36"/>
      <c r="E90" s="36"/>
      <c r="F90" s="36"/>
      <c r="G90" s="32">
        <f>SUM(G88:G89)</f>
        <v>1.6807630295641571</v>
      </c>
      <c r="H90" s="38" t="s">
        <v>85</v>
      </c>
      <c r="I90" s="38">
        <v>8569.2999999999993</v>
      </c>
      <c r="J90" s="40">
        <f>G90*I90</f>
        <v>14402.96262924413</v>
      </c>
      <c r="K90" s="21"/>
    </row>
    <row r="91" spans="1:20" ht="15" customHeight="1">
      <c r="A91" s="18"/>
      <c r="B91" s="35" t="s">
        <v>40</v>
      </c>
      <c r="C91" s="34"/>
      <c r="D91" s="36"/>
      <c r="E91" s="36"/>
      <c r="F91" s="36"/>
      <c r="G91" s="37"/>
      <c r="H91" s="38"/>
      <c r="I91" s="38"/>
      <c r="J91" s="40">
        <f>0.13*G90*5504.3/9</f>
        <v>133.63167918576653</v>
      </c>
      <c r="K91" s="21"/>
    </row>
    <row r="92" spans="1:20" ht="15" customHeight="1">
      <c r="A92" s="18"/>
      <c r="B92" s="35"/>
      <c r="C92" s="34"/>
      <c r="D92" s="36"/>
      <c r="E92" s="36"/>
      <c r="F92" s="36"/>
      <c r="G92" s="37"/>
      <c r="H92" s="38"/>
      <c r="I92" s="38"/>
      <c r="J92" s="40"/>
      <c r="K92" s="21"/>
      <c r="N92">
        <f>9.75/0.75</f>
        <v>13</v>
      </c>
    </row>
    <row r="93" spans="1:20" ht="30">
      <c r="A93" s="18">
        <v>11</v>
      </c>
      <c r="B93" s="88" t="s">
        <v>93</v>
      </c>
      <c r="C93" s="19" t="s">
        <v>7</v>
      </c>
      <c r="D93" s="89" t="s">
        <v>94</v>
      </c>
      <c r="E93" s="90" t="s">
        <v>95</v>
      </c>
      <c r="F93" s="90" t="s">
        <v>96</v>
      </c>
      <c r="G93" s="90" t="s">
        <v>97</v>
      </c>
      <c r="H93" s="22"/>
      <c r="I93" s="23"/>
      <c r="J93" s="39"/>
      <c r="K93" s="21"/>
    </row>
    <row r="94" spans="1:20" ht="15" customHeight="1">
      <c r="A94" s="18"/>
      <c r="B94" s="35" t="s">
        <v>99</v>
      </c>
      <c r="C94" s="19">
        <f>8*(TRUNC((D95-0.1)/0.15,0)+1)</f>
        <v>40</v>
      </c>
      <c r="D94" s="20">
        <f>0.66-0.1</f>
        <v>0.56000000000000005</v>
      </c>
      <c r="E94" s="21">
        <f>8*8/162</f>
        <v>0.39506172839506171</v>
      </c>
      <c r="F94" s="21">
        <f>PRODUCT(C94:E94)</f>
        <v>8.8493827160493836</v>
      </c>
      <c r="G94" s="91">
        <f>F94/1000</f>
        <v>8.8493827160493841E-3</v>
      </c>
      <c r="H94" s="22"/>
      <c r="I94" s="23"/>
      <c r="J94" s="39"/>
      <c r="K94" s="21"/>
    </row>
    <row r="95" spans="1:20" ht="15" customHeight="1">
      <c r="A95" s="18"/>
      <c r="B95" s="35"/>
      <c r="C95" s="19">
        <f>8*(TRUNC((D94-0.1)/0.15,0)+1)</f>
        <v>32</v>
      </c>
      <c r="D95" s="20">
        <f>0.92-0.1</f>
        <v>0.82000000000000006</v>
      </c>
      <c r="E95" s="21">
        <f>8*8/162</f>
        <v>0.39506172839506171</v>
      </c>
      <c r="F95" s="21">
        <f>PRODUCT(C95:E95)</f>
        <v>10.36641975308642</v>
      </c>
      <c r="G95" s="91">
        <f>F95/1000</f>
        <v>1.036641975308642E-2</v>
      </c>
      <c r="H95" s="22"/>
      <c r="I95" s="23"/>
      <c r="J95" s="39"/>
      <c r="K95" s="21"/>
    </row>
    <row r="96" spans="1:20" ht="15" customHeight="1">
      <c r="A96" s="18"/>
      <c r="B96" s="35"/>
      <c r="C96" s="19">
        <f>(TRUNC((D97-0.1)/0.15,0)+1)</f>
        <v>3</v>
      </c>
      <c r="D96" s="20">
        <f t="shared" ref="D96" si="6">0.66-0.1</f>
        <v>0.56000000000000005</v>
      </c>
      <c r="E96" s="21">
        <f t="shared" ref="E96:E99" si="7">8*8/162</f>
        <v>0.39506172839506171</v>
      </c>
      <c r="F96" s="21">
        <f t="shared" ref="F96:F99" si="8">PRODUCT(C96:E96)</f>
        <v>0.66370370370370368</v>
      </c>
      <c r="G96" s="91">
        <f t="shared" ref="G96:G99" si="9">F96/1000</f>
        <v>6.6370370370370368E-4</v>
      </c>
      <c r="H96" s="22"/>
      <c r="I96" s="23"/>
      <c r="J96" s="39"/>
      <c r="K96" s="21"/>
    </row>
    <row r="97" spans="1:22" ht="15" customHeight="1">
      <c r="A97" s="18"/>
      <c r="B97" s="35"/>
      <c r="C97" s="19">
        <f>(TRUNC((D96-0.1)/0.15,0)+1)</f>
        <v>4</v>
      </c>
      <c r="D97" s="20">
        <f>0.57-0.1</f>
        <v>0.47</v>
      </c>
      <c r="E97" s="21">
        <f t="shared" si="7"/>
        <v>0.39506172839506171</v>
      </c>
      <c r="F97" s="21">
        <f t="shared" si="8"/>
        <v>0.74271604938271596</v>
      </c>
      <c r="G97" s="91">
        <f t="shared" si="9"/>
        <v>7.4271604938271594E-4</v>
      </c>
      <c r="H97" s="22"/>
      <c r="I97" s="23"/>
      <c r="J97" s="39"/>
      <c r="K97" s="21"/>
    </row>
    <row r="98" spans="1:22" ht="15" customHeight="1">
      <c r="A98" s="18"/>
      <c r="B98" s="35"/>
      <c r="C98" s="19">
        <f>(TRUNC((D99-0.1)/0.15,0)+1)</f>
        <v>5</v>
      </c>
      <c r="D98" s="20">
        <f>1.65-0.1</f>
        <v>1.5499999999999998</v>
      </c>
      <c r="E98" s="21">
        <f t="shared" si="7"/>
        <v>0.39506172839506171</v>
      </c>
      <c r="F98" s="21">
        <f t="shared" si="8"/>
        <v>3.0617283950617278</v>
      </c>
      <c r="G98" s="91">
        <f t="shared" si="9"/>
        <v>3.0617283950617278E-3</v>
      </c>
      <c r="H98" s="22"/>
      <c r="I98" s="23"/>
      <c r="J98" s="39"/>
      <c r="K98" s="21"/>
    </row>
    <row r="99" spans="1:22" ht="15" customHeight="1">
      <c r="A99" s="18"/>
      <c r="B99" s="35"/>
      <c r="C99" s="19">
        <f>(TRUNC((D98-0.1)/0.15,0)+1)</f>
        <v>10</v>
      </c>
      <c r="D99" s="20">
        <f>0.84-0.1</f>
        <v>0.74</v>
      </c>
      <c r="E99" s="21">
        <f t="shared" si="7"/>
        <v>0.39506172839506171</v>
      </c>
      <c r="F99" s="21">
        <f t="shared" si="8"/>
        <v>2.9234567901234567</v>
      </c>
      <c r="G99" s="91">
        <f t="shared" si="9"/>
        <v>2.9234567901234567E-3</v>
      </c>
      <c r="H99" s="22"/>
      <c r="I99" s="23"/>
      <c r="J99" s="39"/>
      <c r="K99" s="21"/>
    </row>
    <row r="100" spans="1:22" ht="15" customHeight="1">
      <c r="A100" s="18"/>
      <c r="B100" s="35"/>
      <c r="C100" s="19">
        <f>TRUNC((D101-0.1)/0.15,0)+1</f>
        <v>5</v>
      </c>
      <c r="D100" s="20">
        <f>0.92-0.1</f>
        <v>0.82000000000000006</v>
      </c>
      <c r="E100" s="21">
        <f>8*8/162</f>
        <v>0.39506172839506171</v>
      </c>
      <c r="F100" s="21">
        <f>PRODUCT(C100:E100)</f>
        <v>1.6197530864197531</v>
      </c>
      <c r="G100" s="91">
        <f>F100/1000</f>
        <v>1.6197530864197531E-3</v>
      </c>
      <c r="H100" s="22"/>
      <c r="I100" s="23"/>
      <c r="J100" s="39"/>
      <c r="K100" s="21"/>
    </row>
    <row r="101" spans="1:22" ht="15" customHeight="1">
      <c r="A101" s="18"/>
      <c r="B101" s="35"/>
      <c r="C101" s="19">
        <f>(TRUNC((D100-0.1)/0.15,0)+1)</f>
        <v>5</v>
      </c>
      <c r="D101" s="20">
        <f>0.8-0.1</f>
        <v>0.70000000000000007</v>
      </c>
      <c r="E101" s="21">
        <f>8*8/162</f>
        <v>0.39506172839506171</v>
      </c>
      <c r="F101" s="21">
        <f>PRODUCT(C101:E101)</f>
        <v>1.3827160493827162</v>
      </c>
      <c r="G101" s="91">
        <f>F101/1000</f>
        <v>1.3827160493827162E-3</v>
      </c>
      <c r="H101" s="22"/>
      <c r="I101" s="23"/>
      <c r="J101" s="39"/>
      <c r="K101" s="21"/>
    </row>
    <row r="102" spans="1:22" ht="15" customHeight="1">
      <c r="A102" s="18"/>
      <c r="B102" s="35" t="s">
        <v>41</v>
      </c>
      <c r="C102" s="19"/>
      <c r="D102" s="20"/>
      <c r="E102" s="21"/>
      <c r="F102" s="21"/>
      <c r="G102" s="23">
        <f>SUM(G94:G101)</f>
        <v>2.9609876543209884E-2</v>
      </c>
      <c r="H102" s="22" t="s">
        <v>98</v>
      </c>
      <c r="I102" s="23">
        <v>131940</v>
      </c>
      <c r="J102" s="39">
        <f>G102*I102</f>
        <v>3906.7271111111122</v>
      </c>
      <c r="K102" s="21"/>
    </row>
    <row r="103" spans="1:22" ht="15" customHeight="1">
      <c r="A103" s="18"/>
      <c r="B103" s="35" t="s">
        <v>40</v>
      </c>
      <c r="C103" s="19"/>
      <c r="D103" s="20"/>
      <c r="E103" s="21"/>
      <c r="F103" s="21"/>
      <c r="G103" s="23"/>
      <c r="H103" s="22"/>
      <c r="I103" s="23"/>
      <c r="J103" s="39">
        <f>0.13*G102*106200</f>
        <v>408.79395555555567</v>
      </c>
      <c r="K103" s="21"/>
    </row>
    <row r="104" spans="1:22" ht="15" customHeight="1">
      <c r="A104" s="18"/>
      <c r="B104" s="35"/>
      <c r="C104" s="19"/>
      <c r="D104" s="20"/>
      <c r="E104" s="21"/>
      <c r="F104" s="21"/>
      <c r="G104" s="23"/>
      <c r="H104" s="22"/>
      <c r="I104" s="23"/>
      <c r="J104" s="39"/>
      <c r="K104" s="21"/>
    </row>
    <row r="105" spans="1:22" ht="30">
      <c r="A105" s="144">
        <v>12</v>
      </c>
      <c r="B105" s="157" t="s">
        <v>100</v>
      </c>
      <c r="C105" s="147"/>
      <c r="D105" s="148"/>
      <c r="E105" s="149"/>
      <c r="F105" s="149"/>
      <c r="G105" s="158"/>
      <c r="H105" s="159"/>
      <c r="I105" s="158"/>
      <c r="J105" s="160"/>
      <c r="K105" s="21"/>
    </row>
    <row r="106" spans="1:22" ht="15" customHeight="1">
      <c r="A106" s="144"/>
      <c r="B106" s="146" t="s">
        <v>101</v>
      </c>
      <c r="C106" s="161">
        <f>2*8</f>
        <v>16</v>
      </c>
      <c r="D106" s="162">
        <v>0.66</v>
      </c>
      <c r="E106" s="162"/>
      <c r="F106" s="162">
        <v>0.1</v>
      </c>
      <c r="G106" s="150">
        <f>PRODUCT(C106:F106)</f>
        <v>1.056</v>
      </c>
      <c r="H106" s="163"/>
      <c r="I106" s="163"/>
      <c r="J106" s="163"/>
      <c r="K106" s="185"/>
    </row>
    <row r="107" spans="1:22" ht="15" customHeight="1">
      <c r="A107" s="144"/>
      <c r="B107" s="146"/>
      <c r="C107" s="161">
        <f>2*8</f>
        <v>16</v>
      </c>
      <c r="D107" s="162">
        <v>0.92</v>
      </c>
      <c r="E107" s="162"/>
      <c r="F107" s="162">
        <v>0.1</v>
      </c>
      <c r="G107" s="150">
        <f t="shared" ref="G107:G114" si="10">PRODUCT(C107:F107)</f>
        <v>1.4720000000000002</v>
      </c>
      <c r="H107" s="163"/>
      <c r="I107" s="163"/>
      <c r="J107" s="163"/>
      <c r="K107" s="185"/>
    </row>
    <row r="108" spans="1:22" ht="15" customHeight="1">
      <c r="A108" s="144"/>
      <c r="B108" s="146"/>
      <c r="C108" s="161">
        <f>2*1</f>
        <v>2</v>
      </c>
      <c r="D108" s="162">
        <v>0.66</v>
      </c>
      <c r="E108" s="162"/>
      <c r="F108" s="162">
        <v>0.1</v>
      </c>
      <c r="G108" s="150">
        <f t="shared" si="10"/>
        <v>0.13200000000000001</v>
      </c>
      <c r="H108" s="163"/>
      <c r="I108" s="163"/>
      <c r="J108" s="163"/>
      <c r="K108" s="185"/>
    </row>
    <row r="109" spans="1:22" ht="15" customHeight="1">
      <c r="A109" s="144"/>
      <c r="B109" s="146"/>
      <c r="C109" s="161">
        <f>2*1</f>
        <v>2</v>
      </c>
      <c r="D109" s="162">
        <v>0.56999999999999995</v>
      </c>
      <c r="E109" s="162"/>
      <c r="F109" s="162">
        <v>0.1</v>
      </c>
      <c r="G109" s="150">
        <f t="shared" si="10"/>
        <v>0.11399999999999999</v>
      </c>
      <c r="H109" s="163"/>
      <c r="I109" s="163"/>
      <c r="J109" s="163"/>
      <c r="K109" s="185"/>
    </row>
    <row r="110" spans="1:22" ht="15" customHeight="1">
      <c r="A110" s="144"/>
      <c r="B110" s="146"/>
      <c r="C110" s="161">
        <f t="shared" ref="C110:C113" si="11">2*1</f>
        <v>2</v>
      </c>
      <c r="D110" s="162">
        <v>1.65</v>
      </c>
      <c r="E110" s="162"/>
      <c r="F110" s="162">
        <v>0.1</v>
      </c>
      <c r="G110" s="150">
        <f t="shared" si="10"/>
        <v>0.33</v>
      </c>
      <c r="H110" s="163"/>
      <c r="I110" s="163"/>
      <c r="J110" s="163"/>
      <c r="K110" s="185"/>
    </row>
    <row r="111" spans="1:22" ht="15" customHeight="1">
      <c r="A111" s="144"/>
      <c r="B111" s="146"/>
      <c r="C111" s="161">
        <f t="shared" si="11"/>
        <v>2</v>
      </c>
      <c r="D111" s="162">
        <v>0.84</v>
      </c>
      <c r="E111" s="162"/>
      <c r="F111" s="162">
        <v>0.1</v>
      </c>
      <c r="G111" s="150">
        <f t="shared" si="10"/>
        <v>0.16800000000000001</v>
      </c>
      <c r="H111" s="163"/>
      <c r="I111" s="163"/>
      <c r="J111" s="163"/>
      <c r="K111" s="185"/>
    </row>
    <row r="112" spans="1:22" ht="15" customHeight="1">
      <c r="A112" s="144"/>
      <c r="B112" s="146"/>
      <c r="C112" s="161">
        <f t="shared" si="11"/>
        <v>2</v>
      </c>
      <c r="D112" s="162">
        <v>0.92</v>
      </c>
      <c r="E112" s="162"/>
      <c r="F112" s="162">
        <v>0.1</v>
      </c>
      <c r="G112" s="150">
        <f t="shared" si="10"/>
        <v>0.18400000000000002</v>
      </c>
      <c r="H112" s="163"/>
      <c r="I112" s="163"/>
      <c r="J112" s="163"/>
      <c r="K112" s="185"/>
      <c r="M112" s="127"/>
      <c r="N112" s="1"/>
      <c r="O112" s="1"/>
      <c r="P112" s="1"/>
      <c r="Q112" s="1"/>
      <c r="R112" s="1"/>
      <c r="S112" s="1"/>
      <c r="T112" s="1"/>
      <c r="U112" s="1"/>
      <c r="V112" s="1"/>
    </row>
    <row r="113" spans="1:22" ht="15" customHeight="1">
      <c r="A113" s="144"/>
      <c r="B113" s="146"/>
      <c r="C113" s="161">
        <f t="shared" si="11"/>
        <v>2</v>
      </c>
      <c r="D113" s="162">
        <v>0.8</v>
      </c>
      <c r="E113" s="162"/>
      <c r="F113" s="162">
        <v>0.1</v>
      </c>
      <c r="G113" s="150">
        <f t="shared" si="10"/>
        <v>0.16000000000000003</v>
      </c>
      <c r="H113" s="163"/>
      <c r="I113" s="163"/>
      <c r="J113" s="163"/>
      <c r="K113" s="185"/>
      <c r="M113" s="127"/>
      <c r="N113" s="1"/>
      <c r="O113" s="1"/>
      <c r="P113" s="1"/>
      <c r="Q113" s="1"/>
      <c r="R113" s="1"/>
      <c r="S113" s="1"/>
      <c r="T113" s="1"/>
      <c r="U113" s="1"/>
      <c r="V113" s="1"/>
    </row>
    <row r="114" spans="1:22" ht="15" customHeight="1">
      <c r="A114" s="144"/>
      <c r="B114" s="146" t="s">
        <v>156</v>
      </c>
      <c r="C114" s="161">
        <v>2</v>
      </c>
      <c r="D114" s="162">
        <v>0.9</v>
      </c>
      <c r="E114" s="162"/>
      <c r="F114" s="162">
        <v>0.1</v>
      </c>
      <c r="G114" s="150">
        <f t="shared" si="10"/>
        <v>0.18000000000000002</v>
      </c>
      <c r="H114" s="163"/>
      <c r="I114" s="163"/>
      <c r="J114" s="163"/>
      <c r="K114" s="185"/>
      <c r="M114" s="127"/>
      <c r="N114" s="1"/>
      <c r="O114" s="1"/>
      <c r="P114" s="1"/>
      <c r="Q114" s="1"/>
      <c r="R114" s="1"/>
      <c r="S114" s="1"/>
      <c r="T114" s="1"/>
      <c r="U114" s="1"/>
      <c r="V114" s="1"/>
    </row>
    <row r="115" spans="1:22" ht="15" customHeight="1">
      <c r="A115" s="144"/>
      <c r="B115" s="146" t="s">
        <v>41</v>
      </c>
      <c r="C115" s="161"/>
      <c r="D115" s="162"/>
      <c r="E115" s="162"/>
      <c r="F115" s="162"/>
      <c r="G115" s="164">
        <f>SUM(G106:G114)</f>
        <v>3.7960000000000012</v>
      </c>
      <c r="H115" s="163" t="s">
        <v>43</v>
      </c>
      <c r="I115" s="158">
        <f>81404.27/100</f>
        <v>814.04270000000008</v>
      </c>
      <c r="J115" s="165">
        <f>G115*I115</f>
        <v>3090.1060892000014</v>
      </c>
      <c r="K115" s="21"/>
      <c r="M115" s="127"/>
      <c r="N115" s="1"/>
      <c r="O115" s="1"/>
      <c r="P115" s="1"/>
      <c r="Q115" s="1"/>
      <c r="R115" s="1"/>
      <c r="S115" s="1"/>
      <c r="T115" s="1"/>
      <c r="U115" s="1"/>
      <c r="V115" s="1"/>
    </row>
    <row r="116" spans="1:22" ht="15" customHeight="1">
      <c r="A116" s="144"/>
      <c r="B116" s="146" t="s">
        <v>40</v>
      </c>
      <c r="C116" s="161"/>
      <c r="D116" s="162"/>
      <c r="E116" s="162"/>
      <c r="F116" s="162"/>
      <c r="G116" s="150"/>
      <c r="H116" s="163"/>
      <c r="I116" s="163"/>
      <c r="J116" s="165">
        <f>0.13*G115*36690.27/100</f>
        <v>181.05914439600005</v>
      </c>
      <c r="K116" s="21"/>
      <c r="M116" s="127"/>
      <c r="N116" s="1"/>
      <c r="O116" s="1"/>
      <c r="P116" s="1"/>
      <c r="Q116" s="1"/>
      <c r="R116" s="1"/>
      <c r="S116" s="1"/>
      <c r="T116" s="1"/>
      <c r="U116" s="1"/>
      <c r="V116" s="1"/>
    </row>
    <row r="117" spans="1:22" ht="15" customHeight="1">
      <c r="A117" s="18"/>
      <c r="B117" s="35"/>
      <c r="C117" s="34"/>
      <c r="D117" s="36"/>
      <c r="E117" s="36"/>
      <c r="F117" s="36"/>
      <c r="G117" s="37"/>
      <c r="H117" s="38"/>
      <c r="I117" s="38"/>
      <c r="J117" s="40"/>
      <c r="K117" s="21"/>
      <c r="M117" s="127"/>
      <c r="N117" s="1"/>
      <c r="O117" s="1"/>
      <c r="P117" s="1"/>
      <c r="Q117" s="1"/>
      <c r="R117" s="1"/>
      <c r="S117" s="1"/>
      <c r="T117" s="1"/>
      <c r="U117" s="1"/>
      <c r="V117" s="1"/>
    </row>
    <row r="118" spans="1:22" ht="30">
      <c r="A118" s="18">
        <v>13</v>
      </c>
      <c r="B118" s="88" t="s">
        <v>119</v>
      </c>
      <c r="C118" s="34"/>
      <c r="D118" s="36"/>
      <c r="E118" s="36"/>
      <c r="F118" s="36"/>
      <c r="G118" s="37"/>
      <c r="H118" s="38"/>
      <c r="I118" s="38"/>
      <c r="J118" s="40"/>
      <c r="K118" s="21"/>
      <c r="M118" s="127"/>
      <c r="N118" s="1"/>
      <c r="O118" s="1"/>
      <c r="P118" s="1"/>
      <c r="Q118" s="1"/>
      <c r="R118" s="1"/>
      <c r="S118" s="1"/>
      <c r="T118" s="1"/>
      <c r="U118" s="1"/>
      <c r="V118" s="1"/>
    </row>
    <row r="119" spans="1:22" ht="15" customHeight="1">
      <c r="A119" s="18"/>
      <c r="B119" s="35" t="s">
        <v>120</v>
      </c>
      <c r="C119" s="34">
        <v>8</v>
      </c>
      <c r="D119" s="36">
        <f>D106</f>
        <v>0.66</v>
      </c>
      <c r="E119" s="36">
        <v>0.92</v>
      </c>
      <c r="F119" s="36">
        <v>0.1</v>
      </c>
      <c r="G119" s="37">
        <f>PRODUCT(C119:F119)</f>
        <v>0.48576000000000008</v>
      </c>
      <c r="H119" s="38"/>
      <c r="I119" s="38"/>
      <c r="J119" s="38"/>
      <c r="K119" s="185"/>
      <c r="M119" s="127"/>
      <c r="N119" s="1"/>
      <c r="O119" s="1"/>
      <c r="P119" s="1"/>
      <c r="Q119" s="1"/>
      <c r="R119" s="1"/>
      <c r="S119" s="1"/>
      <c r="T119" s="1"/>
      <c r="U119" s="1"/>
      <c r="V119" s="1"/>
    </row>
    <row r="120" spans="1:22" ht="15" customHeight="1">
      <c r="A120" s="18"/>
      <c r="B120" s="35"/>
      <c r="C120" s="34">
        <v>1</v>
      </c>
      <c r="D120" s="36">
        <f t="shared" ref="D120" si="12">D108</f>
        <v>0.66</v>
      </c>
      <c r="E120" s="36">
        <v>0.56999999999999995</v>
      </c>
      <c r="F120" s="36">
        <v>0.1</v>
      </c>
      <c r="G120" s="37">
        <f t="shared" ref="G120:G122" si="13">PRODUCT(C120:F120)</f>
        <v>3.7620000000000001E-2</v>
      </c>
      <c r="H120" s="38"/>
      <c r="I120" s="38"/>
      <c r="J120" s="38"/>
      <c r="K120" s="185"/>
      <c r="M120" s="127">
        <f>E119*8+E120+D121+D122</f>
        <v>10.5</v>
      </c>
      <c r="N120" s="1"/>
      <c r="O120" s="1"/>
      <c r="P120" s="1"/>
      <c r="Q120" s="1"/>
      <c r="R120" s="1"/>
      <c r="S120" s="1"/>
      <c r="T120" s="1"/>
      <c r="U120" s="1"/>
      <c r="V120" s="1"/>
    </row>
    <row r="121" spans="1:22" ht="15" customHeight="1">
      <c r="A121" s="18"/>
      <c r="B121" s="35"/>
      <c r="C121" s="34">
        <v>1</v>
      </c>
      <c r="D121" s="36">
        <f t="shared" ref="D121" si="14">D110</f>
        <v>1.65</v>
      </c>
      <c r="E121" s="36">
        <v>0.84</v>
      </c>
      <c r="F121" s="36">
        <v>0.1</v>
      </c>
      <c r="G121" s="37">
        <f t="shared" si="13"/>
        <v>0.1386</v>
      </c>
      <c r="H121" s="38"/>
      <c r="I121" s="38"/>
      <c r="J121" s="38"/>
      <c r="K121" s="185"/>
      <c r="M121" s="127"/>
      <c r="N121" s="1"/>
      <c r="O121" s="1"/>
      <c r="P121" s="1"/>
      <c r="Q121" s="1"/>
      <c r="R121" s="1"/>
      <c r="S121" s="1"/>
      <c r="T121" s="1"/>
      <c r="U121" s="1"/>
      <c r="V121" s="1"/>
    </row>
    <row r="122" spans="1:22" ht="15" customHeight="1">
      <c r="A122" s="18"/>
      <c r="B122" s="35"/>
      <c r="C122" s="34">
        <v>1</v>
      </c>
      <c r="D122" s="36">
        <f t="shared" ref="D122" si="15">D112</f>
        <v>0.92</v>
      </c>
      <c r="E122" s="36">
        <v>0.8</v>
      </c>
      <c r="F122" s="36">
        <v>0.1</v>
      </c>
      <c r="G122" s="37">
        <f t="shared" si="13"/>
        <v>7.3600000000000013E-2</v>
      </c>
      <c r="H122" s="38"/>
      <c r="I122" s="38"/>
      <c r="J122" s="38"/>
      <c r="K122" s="185"/>
      <c r="M122" s="127"/>
      <c r="N122" s="1"/>
      <c r="O122" s="1"/>
      <c r="P122" s="1"/>
      <c r="Q122" s="1"/>
      <c r="R122" s="1"/>
      <c r="S122" s="1"/>
      <c r="T122" s="1"/>
      <c r="U122" s="1"/>
      <c r="V122" s="1"/>
    </row>
    <row r="123" spans="1:22" ht="15" customHeight="1">
      <c r="A123" s="18"/>
      <c r="B123" s="35" t="s">
        <v>156</v>
      </c>
      <c r="C123" s="34">
        <v>1</v>
      </c>
      <c r="D123" s="36">
        <f>D72</f>
        <v>2.2000000000000002</v>
      </c>
      <c r="E123" s="36">
        <f>E72</f>
        <v>0.9</v>
      </c>
      <c r="F123" s="36">
        <v>0.1</v>
      </c>
      <c r="G123" s="37">
        <f t="shared" ref="G123" si="16">PRODUCT(C123:F123)</f>
        <v>0.19800000000000004</v>
      </c>
      <c r="H123" s="38"/>
      <c r="I123" s="38"/>
      <c r="J123" s="38"/>
      <c r="K123" s="185"/>
    </row>
    <row r="124" spans="1:22" ht="15" customHeight="1">
      <c r="A124" s="18"/>
      <c r="B124" s="35" t="s">
        <v>41</v>
      </c>
      <c r="C124" s="34"/>
      <c r="D124" s="36"/>
      <c r="E124" s="36"/>
      <c r="F124" s="36"/>
      <c r="G124" s="32">
        <f>SUM(G119:G123)</f>
        <v>0.93358000000000008</v>
      </c>
      <c r="H124" s="38" t="s">
        <v>85</v>
      </c>
      <c r="I124" s="23">
        <v>13568.9</v>
      </c>
      <c r="J124" s="40">
        <f>G124*I124</f>
        <v>12667.653662000001</v>
      </c>
      <c r="K124" s="21"/>
    </row>
    <row r="125" spans="1:22" ht="15" customHeight="1">
      <c r="A125" s="18"/>
      <c r="B125" s="35" t="s">
        <v>40</v>
      </c>
      <c r="C125" s="34"/>
      <c r="D125" s="36"/>
      <c r="E125" s="36"/>
      <c r="F125" s="36"/>
      <c r="G125" s="37"/>
      <c r="H125" s="38"/>
      <c r="I125" s="38"/>
      <c r="J125" s="40">
        <f>0.13*G124*9524.2</f>
        <v>1155.9083426800003</v>
      </c>
      <c r="K125" s="21"/>
    </row>
    <row r="126" spans="1:22" ht="15" customHeight="1">
      <c r="A126" s="18"/>
      <c r="B126" s="35"/>
      <c r="C126" s="34"/>
      <c r="D126" s="36"/>
      <c r="E126" s="36"/>
      <c r="F126" s="36"/>
      <c r="G126" s="37"/>
      <c r="H126" s="38"/>
      <c r="I126" s="38"/>
      <c r="J126" s="40"/>
      <c r="K126" s="21"/>
      <c r="M126" s="1"/>
      <c r="N126" s="1"/>
      <c r="O126" s="1"/>
      <c r="P126" s="1"/>
      <c r="Q126" s="1"/>
      <c r="R126" s="1"/>
      <c r="S126" s="1"/>
      <c r="T126" s="1"/>
      <c r="U126" s="1"/>
      <c r="V126" s="1"/>
    </row>
    <row r="127" spans="1:22" ht="30.6">
      <c r="A127" s="18">
        <v>14</v>
      </c>
      <c r="B127" s="119" t="s">
        <v>121</v>
      </c>
      <c r="C127" s="19" t="s">
        <v>7</v>
      </c>
      <c r="D127" s="89" t="s">
        <v>94</v>
      </c>
      <c r="E127" s="90" t="s">
        <v>95</v>
      </c>
      <c r="F127" s="90" t="s">
        <v>96</v>
      </c>
      <c r="G127" s="90" t="s">
        <v>124</v>
      </c>
      <c r="H127" s="22"/>
      <c r="I127" s="23"/>
      <c r="J127" s="39"/>
      <c r="K127" s="21"/>
      <c r="M127" s="1"/>
      <c r="N127" s="1"/>
      <c r="O127" s="1"/>
      <c r="P127" s="1"/>
      <c r="Q127" s="1"/>
      <c r="R127" s="1"/>
      <c r="S127" s="1"/>
      <c r="T127" s="1"/>
      <c r="U127" s="1"/>
      <c r="V127" s="1"/>
    </row>
    <row r="128" spans="1:22">
      <c r="A128" s="120"/>
      <c r="B128" s="124" t="s">
        <v>134</v>
      </c>
      <c r="C128" s="122">
        <f>2*300</f>
        <v>600</v>
      </c>
      <c r="D128" s="12">
        <f>0.135</f>
        <v>0.13500000000000001</v>
      </c>
      <c r="E128" s="12">
        <v>0.73799999999999999</v>
      </c>
      <c r="F128" s="21">
        <f>PRODUCT(C128:E128)</f>
        <v>59.777999999999999</v>
      </c>
      <c r="G128" s="91">
        <f>F128</f>
        <v>59.777999999999999</v>
      </c>
      <c r="H128" s="120"/>
      <c r="I128" s="123"/>
      <c r="J128" s="123"/>
      <c r="K128" s="121"/>
      <c r="M128" s="1">
        <f>308*2</f>
        <v>616</v>
      </c>
      <c r="N128" s="1"/>
      <c r="O128" s="1"/>
      <c r="P128" s="1"/>
      <c r="Q128" s="1"/>
      <c r="R128" s="1"/>
      <c r="S128" s="1"/>
      <c r="T128" s="1"/>
      <c r="U128" s="1"/>
      <c r="V128" s="1"/>
    </row>
    <row r="129" spans="1:22" s="1" customFormat="1" ht="27.6">
      <c r="A129" s="120"/>
      <c r="B129" s="125" t="s">
        <v>125</v>
      </c>
      <c r="C129" s="122">
        <v>4</v>
      </c>
      <c r="D129" s="12">
        <v>2.64</v>
      </c>
      <c r="E129" s="12">
        <v>2.72</v>
      </c>
      <c r="F129" s="12">
        <f t="shared" ref="F129:F140" si="17">PRODUCT(C129:E129)</f>
        <v>28.723200000000002</v>
      </c>
      <c r="G129" s="126">
        <f t="shared" ref="G129:G140" si="18">F129</f>
        <v>28.723200000000002</v>
      </c>
      <c r="H129" s="123"/>
      <c r="I129" s="123"/>
      <c r="J129" s="123"/>
      <c r="K129" s="121"/>
    </row>
    <row r="130" spans="1:22" s="1" customFormat="1">
      <c r="A130" s="120"/>
      <c r="B130" s="125"/>
      <c r="C130" s="122">
        <v>4</v>
      </c>
      <c r="D130" s="12">
        <v>0.45</v>
      </c>
      <c r="E130" s="12">
        <v>2.72</v>
      </c>
      <c r="F130" s="12">
        <f t="shared" ref="F130:F131" si="19">PRODUCT(C130:E130)</f>
        <v>4.8960000000000008</v>
      </c>
      <c r="G130" s="126">
        <f t="shared" ref="G130:G131" si="20">F130</f>
        <v>4.8960000000000008</v>
      </c>
      <c r="H130" s="123"/>
      <c r="I130" s="123"/>
      <c r="J130" s="123"/>
      <c r="K130" s="121"/>
    </row>
    <row r="131" spans="1:22" s="1" customFormat="1">
      <c r="A131" s="120"/>
      <c r="B131" s="125"/>
      <c r="C131" s="122">
        <v>2</v>
      </c>
      <c r="D131" s="12">
        <v>2.2999999999999998</v>
      </c>
      <c r="E131" s="12">
        <v>2.72</v>
      </c>
      <c r="F131" s="12">
        <f t="shared" si="19"/>
        <v>12.512</v>
      </c>
      <c r="G131" s="126">
        <f t="shared" si="20"/>
        <v>12.512</v>
      </c>
      <c r="H131" s="123"/>
      <c r="I131" s="123"/>
      <c r="J131" s="123"/>
      <c r="K131" s="121"/>
    </row>
    <row r="132" spans="1:22" s="1" customFormat="1">
      <c r="A132" s="120"/>
      <c r="B132" s="184" t="s">
        <v>157</v>
      </c>
      <c r="C132" s="122">
        <v>4</v>
      </c>
      <c r="D132" s="12">
        <v>1.75</v>
      </c>
      <c r="E132" s="12">
        <v>2.72</v>
      </c>
      <c r="F132" s="12">
        <f t="shared" si="17"/>
        <v>19.040000000000003</v>
      </c>
      <c r="G132" s="126">
        <f t="shared" si="18"/>
        <v>19.040000000000003</v>
      </c>
      <c r="H132" s="123"/>
      <c r="I132" s="123"/>
      <c r="J132" s="123"/>
      <c r="K132" s="121"/>
    </row>
    <row r="133" spans="1:22" s="1" customFormat="1">
      <c r="A133" s="120"/>
      <c r="B133" s="183"/>
      <c r="C133" s="122">
        <v>4</v>
      </c>
      <c r="D133" s="12">
        <v>1.39</v>
      </c>
      <c r="E133" s="12">
        <v>2.72</v>
      </c>
      <c r="F133" s="12">
        <f t="shared" ref="F133" si="21">PRODUCT(C133:E133)</f>
        <v>15.123200000000001</v>
      </c>
      <c r="G133" s="126">
        <f t="shared" ref="G133" si="22">F133</f>
        <v>15.123200000000001</v>
      </c>
      <c r="H133" s="123"/>
      <c r="I133" s="123"/>
      <c r="J133" s="123"/>
      <c r="K133" s="121"/>
    </row>
    <row r="134" spans="1:22" s="1" customFormat="1" ht="41.4">
      <c r="A134" s="120"/>
      <c r="B134" s="125" t="s">
        <v>126</v>
      </c>
      <c r="C134" s="122">
        <v>1</v>
      </c>
      <c r="D134" s="12">
        <f>43.75/3.281</f>
        <v>13.334349283754952</v>
      </c>
      <c r="E134" s="12">
        <v>3.87</v>
      </c>
      <c r="F134" s="12">
        <f t="shared" si="17"/>
        <v>51.603931728131663</v>
      </c>
      <c r="G134" s="126">
        <f t="shared" si="18"/>
        <v>51.603931728131663</v>
      </c>
      <c r="H134" s="123"/>
      <c r="I134" s="123"/>
      <c r="J134" s="123"/>
      <c r="K134" s="121"/>
    </row>
    <row r="135" spans="1:22" s="1" customFormat="1">
      <c r="A135" s="120"/>
      <c r="B135" s="125"/>
      <c r="C135" s="122">
        <v>1</v>
      </c>
      <c r="D135" s="12">
        <f>43.75/3.281-3.4</f>
        <v>9.9343492837549512</v>
      </c>
      <c r="E135" s="12">
        <v>3.87</v>
      </c>
      <c r="F135" s="12">
        <f t="shared" ref="F135:F136" si="23">PRODUCT(C135:E135)</f>
        <v>38.445931728131661</v>
      </c>
      <c r="G135" s="126">
        <f t="shared" ref="G135:G136" si="24">F135</f>
        <v>38.445931728131661</v>
      </c>
      <c r="H135" s="123"/>
      <c r="I135" s="123"/>
      <c r="J135" s="123"/>
      <c r="K135" s="121"/>
    </row>
    <row r="136" spans="1:22" s="1" customFormat="1">
      <c r="A136" s="120"/>
      <c r="B136" s="125"/>
      <c r="C136" s="122">
        <v>1</v>
      </c>
      <c r="D136" s="12">
        <f>(D134+D135)/2</f>
        <v>11.63434928375495</v>
      </c>
      <c r="E136" s="12">
        <v>3.87</v>
      </c>
      <c r="F136" s="12">
        <f t="shared" si="23"/>
        <v>45.024931728131662</v>
      </c>
      <c r="G136" s="126">
        <f t="shared" si="24"/>
        <v>45.024931728131662</v>
      </c>
      <c r="H136" s="123"/>
      <c r="I136" s="123"/>
      <c r="J136" s="123"/>
      <c r="K136" s="121"/>
    </row>
    <row r="137" spans="1:22" s="1" customFormat="1">
      <c r="A137" s="120"/>
      <c r="B137" s="125"/>
      <c r="C137" s="122">
        <f>4</f>
        <v>4</v>
      </c>
      <c r="D137" s="12">
        <f>25.17/3.281</f>
        <v>7.6714416336482785</v>
      </c>
      <c r="E137" s="12">
        <v>3.87</v>
      </c>
      <c r="F137" s="12">
        <f t="shared" ref="F137" si="25">PRODUCT(C137:E137)</f>
        <v>118.75391648887535</v>
      </c>
      <c r="G137" s="126">
        <f t="shared" ref="G137" si="26">F137</f>
        <v>118.75391648887535</v>
      </c>
      <c r="H137" s="123"/>
      <c r="I137" s="123"/>
      <c r="J137" s="123"/>
      <c r="K137" s="121"/>
    </row>
    <row r="138" spans="1:22" s="1" customFormat="1" ht="27.6">
      <c r="A138" s="120"/>
      <c r="B138" s="125" t="s">
        <v>170</v>
      </c>
      <c r="C138" s="122">
        <f>1*2</f>
        <v>2</v>
      </c>
      <c r="D138" s="12">
        <f>3.3+0.65+4.5+4.5+1.45+4.5+1.07+4.5+2.2+4.07+0.64+1.32</f>
        <v>32.699999999999996</v>
      </c>
      <c r="E138" s="12">
        <v>1.2</v>
      </c>
      <c r="F138" s="12">
        <f t="shared" si="17"/>
        <v>78.47999999999999</v>
      </c>
      <c r="G138" s="126">
        <f t="shared" si="18"/>
        <v>78.47999999999999</v>
      </c>
      <c r="H138" s="123"/>
      <c r="I138" s="123"/>
      <c r="J138" s="123"/>
      <c r="K138" s="121"/>
    </row>
    <row r="139" spans="1:22" s="1" customFormat="1">
      <c r="A139" s="120"/>
      <c r="B139" s="125" t="s">
        <v>133</v>
      </c>
      <c r="C139" s="122">
        <f>34</f>
        <v>34</v>
      </c>
      <c r="D139" s="12">
        <v>0.75</v>
      </c>
      <c r="E139" s="12">
        <v>1.2</v>
      </c>
      <c r="F139" s="12">
        <f t="shared" si="17"/>
        <v>30.599999999999998</v>
      </c>
      <c r="G139" s="126">
        <f t="shared" si="18"/>
        <v>30.599999999999998</v>
      </c>
      <c r="H139" s="123"/>
      <c r="I139" s="123"/>
      <c r="J139" s="123"/>
      <c r="K139" s="121"/>
    </row>
    <row r="140" spans="1:22" s="1" customFormat="1">
      <c r="A140" s="120"/>
      <c r="B140" s="125" t="s">
        <v>167</v>
      </c>
      <c r="C140" s="122">
        <v>274</v>
      </c>
      <c r="D140" s="12">
        <f>2.5/3.281</f>
        <v>0.76196281621456874</v>
      </c>
      <c r="E140" s="12">
        <v>0.70599999999999996</v>
      </c>
      <c r="F140" s="12">
        <f t="shared" si="17"/>
        <v>147.39713501981103</v>
      </c>
      <c r="G140" s="126">
        <f t="shared" si="18"/>
        <v>147.39713501981103</v>
      </c>
      <c r="H140" s="123"/>
      <c r="I140" s="123"/>
      <c r="J140" s="123"/>
      <c r="K140" s="121"/>
      <c r="M140" s="1">
        <f>backyard!G99*backyard!I100-V!G140*V!I142</f>
        <v>48483.543675708614</v>
      </c>
    </row>
    <row r="141" spans="1:22" s="1" customFormat="1" ht="27.6">
      <c r="A141" s="120"/>
      <c r="B141" s="125" t="s">
        <v>168</v>
      </c>
      <c r="C141" s="122">
        <f>1</f>
        <v>1</v>
      </c>
      <c r="D141" s="12">
        <f>0.4+0.48+0.95+0.95+0.35+0.43+0.45+0.43+0.43+0.45+0.45+0.4+0.36+0.38+0.38+0.4+0.4</f>
        <v>8.0900000000000016</v>
      </c>
      <c r="E141" s="12">
        <v>2.3199999999999998</v>
      </c>
      <c r="F141" s="12">
        <f>PRODUCT(C141:E141)</f>
        <v>18.768800000000002</v>
      </c>
      <c r="G141" s="126">
        <f>F141</f>
        <v>18.768800000000002</v>
      </c>
      <c r="H141" s="123"/>
      <c r="I141" s="123"/>
      <c r="J141" s="123"/>
      <c r="K141" s="121"/>
    </row>
    <row r="142" spans="1:22" ht="15" customHeight="1">
      <c r="A142" s="18"/>
      <c r="B142" s="35" t="s">
        <v>41</v>
      </c>
      <c r="C142" s="19"/>
      <c r="D142" s="20"/>
      <c r="E142" s="21"/>
      <c r="F142" s="21"/>
      <c r="G142" s="23">
        <f>SUM(G128:G141)</f>
        <v>669.14704669308139</v>
      </c>
      <c r="H142" s="22" t="s">
        <v>122</v>
      </c>
      <c r="I142" s="23">
        <v>181.17</v>
      </c>
      <c r="J142" s="39">
        <f>G142*I142</f>
        <v>121229.37044938555</v>
      </c>
      <c r="K142" s="21"/>
      <c r="M142" s="1"/>
      <c r="N142" s="1"/>
      <c r="O142" s="1"/>
      <c r="P142" s="1"/>
      <c r="Q142" s="1"/>
      <c r="R142" s="1"/>
      <c r="S142" s="1"/>
      <c r="T142" s="1"/>
      <c r="U142" s="1"/>
      <c r="V142" s="1"/>
    </row>
    <row r="143" spans="1:22" ht="15" customHeight="1">
      <c r="A143" s="18"/>
      <c r="B143" s="35" t="s">
        <v>40</v>
      </c>
      <c r="C143" s="19"/>
      <c r="D143" s="20"/>
      <c r="E143" s="21"/>
      <c r="F143" s="21"/>
      <c r="G143" s="23"/>
      <c r="H143" s="22"/>
      <c r="I143" s="23"/>
      <c r="J143" s="39">
        <f>0.13*G142*1871.42/18.94</f>
        <v>8595.2044137226821</v>
      </c>
      <c r="K143" s="21"/>
    </row>
    <row r="144" spans="1:22" ht="15" customHeight="1">
      <c r="A144" s="18"/>
      <c r="B144" s="35"/>
      <c r="C144" s="19"/>
      <c r="D144" s="20"/>
      <c r="E144" s="21"/>
      <c r="F144" s="21"/>
      <c r="G144" s="23"/>
      <c r="H144" s="22"/>
      <c r="I144" s="23"/>
      <c r="J144" s="39"/>
      <c r="K144" s="21"/>
    </row>
    <row r="145" spans="1:22" s="1" customFormat="1" ht="30">
      <c r="A145" s="18">
        <v>15</v>
      </c>
      <c r="B145" s="128" t="s">
        <v>127</v>
      </c>
      <c r="C145" s="19"/>
      <c r="D145" s="20"/>
      <c r="E145" s="21"/>
      <c r="F145" s="21"/>
      <c r="G145" s="123"/>
      <c r="H145" s="22"/>
      <c r="I145" s="23"/>
      <c r="J145" s="123"/>
      <c r="K145" s="21"/>
      <c r="M145"/>
      <c r="N145"/>
      <c r="O145"/>
      <c r="P145"/>
      <c r="Q145"/>
      <c r="R145"/>
      <c r="S145"/>
      <c r="T145"/>
      <c r="U145"/>
      <c r="V145"/>
    </row>
    <row r="146" spans="1:22" ht="15" customHeight="1">
      <c r="A146" s="18"/>
      <c r="B146" s="35" t="s">
        <v>48</v>
      </c>
      <c r="C146" s="34">
        <v>2</v>
      </c>
      <c r="D146" s="36">
        <f>7.667/3.281</f>
        <v>2.3367875647668392</v>
      </c>
      <c r="E146" s="36"/>
      <c r="F146" s="36">
        <f>1.04</f>
        <v>1.04</v>
      </c>
      <c r="G146" s="37">
        <f>PRODUCT(C146:F146)</f>
        <v>4.8605181347150257</v>
      </c>
      <c r="H146" s="38"/>
      <c r="I146" s="38"/>
      <c r="J146" s="38"/>
      <c r="K146" s="185"/>
      <c r="N146">
        <f>5.84+1.76</f>
        <v>7.6</v>
      </c>
    </row>
    <row r="147" spans="1:22" ht="15" customHeight="1">
      <c r="A147" s="18"/>
      <c r="B147" s="35"/>
      <c r="C147" s="34">
        <v>2</v>
      </c>
      <c r="D147" s="36">
        <f>(10.5-0.75)/3.281</f>
        <v>2.9716549832368178</v>
      </c>
      <c r="E147" s="36"/>
      <c r="F147" s="36">
        <f>((0.85+0.59)/2)</f>
        <v>0.72</v>
      </c>
      <c r="G147" s="37">
        <f t="shared" ref="G147:G158" si="27">PRODUCT(C147:F147)</f>
        <v>4.279183175861017</v>
      </c>
      <c r="H147" s="38"/>
      <c r="I147" s="38"/>
      <c r="J147" s="38"/>
      <c r="K147" s="185"/>
    </row>
    <row r="148" spans="1:22" ht="15" customHeight="1">
      <c r="A148" s="18"/>
      <c r="B148" s="35"/>
      <c r="C148" s="34">
        <v>2</v>
      </c>
      <c r="D148" s="36">
        <f>1.4-0.3-0.23</f>
        <v>0.86999999999999988</v>
      </c>
      <c r="E148" s="36"/>
      <c r="F148" s="36">
        <f>0.18</f>
        <v>0.18</v>
      </c>
      <c r="G148" s="37">
        <f t="shared" si="27"/>
        <v>0.31319999999999992</v>
      </c>
      <c r="H148" s="38"/>
      <c r="I148" s="38"/>
      <c r="J148" s="38"/>
      <c r="K148" s="185"/>
    </row>
    <row r="149" spans="1:22" ht="15" customHeight="1">
      <c r="A149" s="18"/>
      <c r="B149" s="35"/>
      <c r="C149" s="34">
        <v>2</v>
      </c>
      <c r="D149" s="36">
        <f>13.833/3.281</f>
        <v>4.2160926546784516</v>
      </c>
      <c r="E149" s="36"/>
      <c r="F149" s="36">
        <f>(0.5+0.85)/2</f>
        <v>0.67500000000000004</v>
      </c>
      <c r="G149" s="37">
        <f t="shared" si="27"/>
        <v>5.6917250838159097</v>
      </c>
      <c r="H149" s="38"/>
      <c r="I149" s="38"/>
      <c r="J149" s="38"/>
      <c r="K149" s="185"/>
    </row>
    <row r="150" spans="1:22" ht="15" customHeight="1">
      <c r="A150" s="18"/>
      <c r="B150" s="35"/>
      <c r="C150" s="34">
        <v>2</v>
      </c>
      <c r="D150" s="36">
        <f>9.42/3.281</f>
        <v>2.8710758914964947</v>
      </c>
      <c r="E150" s="36"/>
      <c r="F150" s="36">
        <f>(((0.5-0.08)+0.39)/2)</f>
        <v>0.40500000000000003</v>
      </c>
      <c r="G150" s="37">
        <f t="shared" si="27"/>
        <v>2.325571472112161</v>
      </c>
      <c r="H150" s="38"/>
      <c r="I150" s="38"/>
      <c r="J150" s="38"/>
      <c r="K150" s="185"/>
    </row>
    <row r="151" spans="1:22" ht="15" customHeight="1">
      <c r="A151" s="18"/>
      <c r="B151" s="35"/>
      <c r="C151" s="34">
        <v>2</v>
      </c>
      <c r="D151" s="36">
        <f>1.35-0.31</f>
        <v>1.04</v>
      </c>
      <c r="E151" s="36"/>
      <c r="F151" s="36">
        <f>((0.08+0.1)/2)</f>
        <v>0.09</v>
      </c>
      <c r="G151" s="37">
        <f t="shared" si="27"/>
        <v>0.18720000000000001</v>
      </c>
      <c r="H151" s="38"/>
      <c r="I151" s="38"/>
      <c r="J151" s="38"/>
      <c r="K151" s="185"/>
    </row>
    <row r="152" spans="1:22" ht="15" customHeight="1">
      <c r="A152" s="18"/>
      <c r="B152" s="35"/>
      <c r="C152" s="34">
        <v>2</v>
      </c>
      <c r="D152" s="36">
        <f>9.42/3.281</f>
        <v>2.8710758914964947</v>
      </c>
      <c r="E152" s="36"/>
      <c r="F152" s="36">
        <f>((0.4+0.39)/2)</f>
        <v>0.39500000000000002</v>
      </c>
      <c r="G152" s="37">
        <f t="shared" si="27"/>
        <v>2.2681499542822308</v>
      </c>
      <c r="H152" s="38"/>
      <c r="I152" s="38"/>
      <c r="J152" s="38"/>
      <c r="K152" s="185"/>
    </row>
    <row r="153" spans="1:22" ht="15" customHeight="1">
      <c r="A153" s="18"/>
      <c r="B153" s="35"/>
      <c r="C153" s="34">
        <v>2</v>
      </c>
      <c r="D153" s="36">
        <f>1.39-0.3</f>
        <v>1.0899999999999999</v>
      </c>
      <c r="E153" s="36"/>
      <c r="F153" s="36">
        <f>((0.12+0.1)/2)</f>
        <v>0.11</v>
      </c>
      <c r="G153" s="37">
        <f t="shared" si="27"/>
        <v>0.23979999999999996</v>
      </c>
      <c r="H153" s="38"/>
      <c r="I153" s="38"/>
      <c r="J153" s="38"/>
      <c r="K153" s="185"/>
    </row>
    <row r="154" spans="1:22" ht="15" customHeight="1">
      <c r="A154" s="18"/>
      <c r="B154" s="35"/>
      <c r="C154" s="34">
        <v>2</v>
      </c>
      <c r="D154" s="36">
        <f>7.333/3.281</f>
        <v>2.234989332520573</v>
      </c>
      <c r="E154" s="36"/>
      <c r="F154" s="36">
        <f>((1.02+1.08)/2)</f>
        <v>1.05</v>
      </c>
      <c r="G154" s="37">
        <f t="shared" si="27"/>
        <v>4.6934775982932031</v>
      </c>
      <c r="H154" s="38"/>
      <c r="I154" s="38"/>
      <c r="J154" s="38"/>
      <c r="K154" s="185"/>
    </row>
    <row r="155" spans="1:22" ht="15" customHeight="1">
      <c r="A155" s="18"/>
      <c r="B155" s="35"/>
      <c r="C155" s="34">
        <v>2</v>
      </c>
      <c r="D155" s="36">
        <f>4.27-0.3</f>
        <v>3.9699999999999998</v>
      </c>
      <c r="E155" s="36"/>
      <c r="F155" s="36">
        <f>((0.5+0.85)/2)</f>
        <v>0.67500000000000004</v>
      </c>
      <c r="G155" s="37">
        <f t="shared" si="27"/>
        <v>5.3594999999999997</v>
      </c>
      <c r="H155" s="38"/>
      <c r="I155" s="38"/>
      <c r="J155" s="38"/>
      <c r="K155" s="185"/>
    </row>
    <row r="156" spans="1:22" ht="15" customHeight="1">
      <c r="A156" s="18"/>
      <c r="B156" s="35"/>
      <c r="C156" s="34">
        <v>2</v>
      </c>
      <c r="D156" s="36">
        <f>9.5/3.281</f>
        <v>2.895458701615361</v>
      </c>
      <c r="E156" s="36"/>
      <c r="F156" s="36">
        <f>((0.32+0.38)/2)</f>
        <v>0.35</v>
      </c>
      <c r="G156" s="37">
        <f t="shared" si="27"/>
        <v>2.0268210911307527</v>
      </c>
      <c r="H156" s="38"/>
      <c r="I156" s="38"/>
      <c r="J156" s="38"/>
      <c r="K156" s="185"/>
    </row>
    <row r="157" spans="1:22" ht="15" customHeight="1">
      <c r="A157" s="18"/>
      <c r="B157" s="35"/>
      <c r="C157" s="34">
        <v>2</v>
      </c>
      <c r="D157" s="36">
        <f>5.333/3.281</f>
        <v>1.6254190795489181</v>
      </c>
      <c r="E157" s="36"/>
      <c r="F157" s="36">
        <f>((0.12+0.1)/2)</f>
        <v>0.11</v>
      </c>
      <c r="G157" s="37">
        <f t="shared" si="27"/>
        <v>0.35759219750076199</v>
      </c>
      <c r="H157" s="38"/>
      <c r="I157" s="38"/>
      <c r="J157" s="38"/>
      <c r="K157" s="185"/>
    </row>
    <row r="158" spans="1:22" ht="15" customHeight="1">
      <c r="A158" s="18"/>
      <c r="B158" s="35"/>
      <c r="C158" s="34">
        <v>2</v>
      </c>
      <c r="D158" s="36">
        <f>25.17/3.281</f>
        <v>7.6714416336482785</v>
      </c>
      <c r="E158" s="36"/>
      <c r="F158" s="36">
        <v>0.5</v>
      </c>
      <c r="G158" s="37">
        <f t="shared" si="27"/>
        <v>7.6714416336482785</v>
      </c>
      <c r="H158" s="38"/>
      <c r="I158" s="38"/>
      <c r="J158" s="38"/>
      <c r="K158" s="185"/>
    </row>
    <row r="159" spans="1:22" ht="15" customHeight="1">
      <c r="A159" s="18"/>
      <c r="B159" s="125" t="s">
        <v>152</v>
      </c>
      <c r="C159" s="34">
        <v>2</v>
      </c>
      <c r="D159" s="36">
        <f>23.333/3.281</f>
        <v>7.1115513562938117</v>
      </c>
      <c r="E159" s="36"/>
      <c r="F159" s="36">
        <f>0.2</f>
        <v>0.2</v>
      </c>
      <c r="G159" s="37">
        <f>PRODUCT(C159:F159)</f>
        <v>2.8446205425175251</v>
      </c>
      <c r="H159" s="38"/>
      <c r="I159" s="38"/>
      <c r="J159" s="38"/>
      <c r="K159" s="185"/>
    </row>
    <row r="160" spans="1:22" ht="15" customHeight="1">
      <c r="A160" s="18"/>
      <c r="B160" s="35" t="s">
        <v>164</v>
      </c>
      <c r="C160" s="34">
        <v>2</v>
      </c>
      <c r="D160" s="36">
        <f>2.1</f>
        <v>2.1</v>
      </c>
      <c r="E160" s="36"/>
      <c r="F160" s="36">
        <v>1.1000000000000001</v>
      </c>
      <c r="G160" s="37">
        <f t="shared" ref="G160:G175" si="28">PRODUCT(C160:F160)</f>
        <v>4.620000000000001</v>
      </c>
      <c r="H160" s="38"/>
      <c r="I160" s="38"/>
      <c r="J160" s="38"/>
      <c r="K160" s="185"/>
    </row>
    <row r="161" spans="1:11" ht="15" customHeight="1">
      <c r="A161" s="18"/>
      <c r="B161" s="35"/>
      <c r="C161" s="34">
        <v>1</v>
      </c>
      <c r="D161" s="36">
        <f>14/3.281</f>
        <v>4.2669917708015843</v>
      </c>
      <c r="E161" s="36"/>
      <c r="F161" s="36">
        <f>(1.85+1.55)/2</f>
        <v>1.7000000000000002</v>
      </c>
      <c r="G161" s="37">
        <f t="shared" si="28"/>
        <v>7.2538860103626943</v>
      </c>
      <c r="H161" s="38"/>
      <c r="I161" s="38"/>
      <c r="J161" s="38"/>
      <c r="K161" s="185"/>
    </row>
    <row r="162" spans="1:11" ht="15" customHeight="1">
      <c r="A162" s="18"/>
      <c r="B162" s="35"/>
      <c r="C162" s="34">
        <v>1</v>
      </c>
      <c r="D162" s="36">
        <f>(22.5/3.281)</f>
        <v>6.8576653459311183</v>
      </c>
      <c r="E162" s="36"/>
      <c r="F162" s="36">
        <f>(1.55+1.05)/2</f>
        <v>1.3</v>
      </c>
      <c r="G162" s="37">
        <f t="shared" si="28"/>
        <v>8.9149649497104537</v>
      </c>
      <c r="H162" s="38"/>
      <c r="I162" s="38"/>
      <c r="J162" s="38"/>
      <c r="K162" s="185"/>
    </row>
    <row r="163" spans="1:11" ht="15" customHeight="1">
      <c r="A163" s="18"/>
      <c r="B163" s="35"/>
      <c r="C163" s="34">
        <v>1</v>
      </c>
      <c r="D163" s="36">
        <f>(19/3.281)</f>
        <v>5.790917403230722</v>
      </c>
      <c r="E163" s="36"/>
      <c r="F163" s="36">
        <f>(1.36+0.95)/2</f>
        <v>1.155</v>
      </c>
      <c r="G163" s="37">
        <f t="shared" si="28"/>
        <v>6.6885096007314839</v>
      </c>
      <c r="H163" s="38"/>
      <c r="I163" s="38"/>
      <c r="J163" s="38"/>
      <c r="K163" s="185"/>
    </row>
    <row r="164" spans="1:11" ht="15" customHeight="1">
      <c r="A164" s="18"/>
      <c r="B164" s="35"/>
      <c r="C164" s="34">
        <v>1</v>
      </c>
      <c r="D164" s="36">
        <f>34.5/3.281</f>
        <v>10.515086863761049</v>
      </c>
      <c r="E164" s="36"/>
      <c r="F164" s="36">
        <f>(0.5+0.95)/2</f>
        <v>0.72499999999999998</v>
      </c>
      <c r="G164" s="37">
        <f t="shared" si="28"/>
        <v>7.6234379762267599</v>
      </c>
      <c r="H164" s="38"/>
      <c r="I164" s="38"/>
      <c r="J164" s="38"/>
      <c r="K164" s="185"/>
    </row>
    <row r="165" spans="1:11" ht="15" customHeight="1">
      <c r="A165" s="18"/>
      <c r="B165" s="35"/>
      <c r="C165" s="34">
        <v>1</v>
      </c>
      <c r="D165" s="36">
        <f>34.75/3.281</f>
        <v>10.591283145382505</v>
      </c>
      <c r="E165" s="36"/>
      <c r="F165" s="36">
        <v>1.3</v>
      </c>
      <c r="G165" s="37">
        <f t="shared" si="28"/>
        <v>13.768668088997257</v>
      </c>
      <c r="H165" s="38"/>
      <c r="I165" s="38"/>
      <c r="J165" s="38"/>
      <c r="K165" s="185"/>
    </row>
    <row r="166" spans="1:11" ht="15" customHeight="1">
      <c r="A166" s="18"/>
      <c r="B166" s="35"/>
      <c r="C166" s="34">
        <v>1</v>
      </c>
      <c r="D166" s="36">
        <f>3.12-0.3</f>
        <v>2.8200000000000003</v>
      </c>
      <c r="E166" s="36"/>
      <c r="F166" s="36">
        <v>1.9</v>
      </c>
      <c r="G166" s="37">
        <f t="shared" si="28"/>
        <v>5.3580000000000005</v>
      </c>
      <c r="H166" s="38"/>
      <c r="I166" s="38"/>
      <c r="J166" s="38"/>
      <c r="K166" s="185"/>
    </row>
    <row r="167" spans="1:11" ht="15" customHeight="1">
      <c r="A167" s="18"/>
      <c r="B167" s="35"/>
      <c r="C167" s="34">
        <v>1</v>
      </c>
      <c r="D167" s="36">
        <f>22.583/3.281</f>
        <v>6.882962511429441</v>
      </c>
      <c r="E167" s="36"/>
      <c r="F167" s="36">
        <f>0.23+0.34</f>
        <v>0.57000000000000006</v>
      </c>
      <c r="G167" s="37">
        <f t="shared" si="28"/>
        <v>3.9232886315147817</v>
      </c>
      <c r="H167" s="38"/>
      <c r="I167" s="38"/>
      <c r="J167" s="38"/>
      <c r="K167" s="185"/>
    </row>
    <row r="168" spans="1:11" ht="15" customHeight="1">
      <c r="A168" s="18"/>
      <c r="B168" s="35"/>
      <c r="C168" s="34">
        <v>1</v>
      </c>
      <c r="D168" s="36">
        <f>13/3.281</f>
        <v>3.9622066443157573</v>
      </c>
      <c r="E168" s="36"/>
      <c r="F168" s="36">
        <f>0.23+0.34</f>
        <v>0.57000000000000006</v>
      </c>
      <c r="G168" s="37">
        <f t="shared" si="28"/>
        <v>2.258457787259982</v>
      </c>
      <c r="H168" s="38"/>
      <c r="I168" s="38"/>
      <c r="J168" s="38"/>
      <c r="K168" s="185"/>
    </row>
    <row r="169" spans="1:11" ht="15" customHeight="1">
      <c r="A169" s="18"/>
      <c r="B169" s="35"/>
      <c r="C169" s="34">
        <v>1</v>
      </c>
      <c r="D169" s="36">
        <f>22.583/3.281</f>
        <v>6.882962511429441</v>
      </c>
      <c r="E169" s="36"/>
      <c r="F169" s="36">
        <v>0.3</v>
      </c>
      <c r="G169" s="37">
        <f t="shared" si="28"/>
        <v>2.064888753428832</v>
      </c>
      <c r="H169" s="38"/>
      <c r="I169" s="38"/>
      <c r="J169" s="38"/>
      <c r="K169" s="185"/>
    </row>
    <row r="170" spans="1:11" ht="15" customHeight="1">
      <c r="A170" s="18"/>
      <c r="B170" s="35"/>
      <c r="C170" s="34">
        <v>1</v>
      </c>
      <c r="D170" s="36">
        <v>2.1</v>
      </c>
      <c r="E170" s="36"/>
      <c r="F170" s="36">
        <v>0.57999999999999996</v>
      </c>
      <c r="G170" s="37">
        <f t="shared" si="28"/>
        <v>1.218</v>
      </c>
      <c r="H170" s="38"/>
      <c r="I170" s="38"/>
      <c r="J170" s="38"/>
      <c r="K170" s="185"/>
    </row>
    <row r="171" spans="1:11" ht="15" customHeight="1">
      <c r="A171" s="18"/>
      <c r="B171" s="35"/>
      <c r="C171" s="34">
        <v>1</v>
      </c>
      <c r="D171" s="36">
        <v>1.5</v>
      </c>
      <c r="E171" s="36"/>
      <c r="F171" s="36">
        <v>0.39</v>
      </c>
      <c r="G171" s="37">
        <f t="shared" si="28"/>
        <v>0.58499999999999996</v>
      </c>
      <c r="H171" s="38"/>
      <c r="I171" s="38"/>
      <c r="J171" s="38"/>
      <c r="K171" s="185"/>
    </row>
    <row r="172" spans="1:11" ht="15" customHeight="1">
      <c r="A172" s="18"/>
      <c r="B172" s="35"/>
      <c r="C172" s="34">
        <f>9*2</f>
        <v>18</v>
      </c>
      <c r="D172" s="36">
        <v>0.125</v>
      </c>
      <c r="E172" s="36"/>
      <c r="F172" s="36">
        <v>0.94</v>
      </c>
      <c r="G172" s="37">
        <f t="shared" si="28"/>
        <v>2.1149999999999998</v>
      </c>
      <c r="H172" s="38"/>
      <c r="I172" s="38"/>
      <c r="J172" s="38"/>
      <c r="K172" s="185"/>
    </row>
    <row r="173" spans="1:11" ht="15" customHeight="1">
      <c r="A173" s="18"/>
      <c r="B173" s="35"/>
      <c r="C173" s="34">
        <v>2</v>
      </c>
      <c r="D173" s="36">
        <f>18.25/3.281</f>
        <v>5.5623285583663513</v>
      </c>
      <c r="E173" s="36"/>
      <c r="F173" s="36">
        <f>(1.35+1.52)/2</f>
        <v>1.4350000000000001</v>
      </c>
      <c r="G173" s="37">
        <f t="shared" si="28"/>
        <v>15.963882962511429</v>
      </c>
      <c r="H173" s="38"/>
      <c r="I173" s="38"/>
      <c r="J173" s="38"/>
      <c r="K173" s="185"/>
    </row>
    <row r="174" spans="1:11" ht="15" customHeight="1">
      <c r="A174" s="18"/>
      <c r="B174" s="35"/>
      <c r="C174" s="34">
        <v>1</v>
      </c>
      <c r="D174" s="36">
        <f>12</f>
        <v>12</v>
      </c>
      <c r="E174" s="36"/>
      <c r="F174" s="36">
        <v>0.6</v>
      </c>
      <c r="G174" s="37">
        <f t="shared" si="28"/>
        <v>7.1999999999999993</v>
      </c>
      <c r="H174" s="38"/>
      <c r="I174" s="38"/>
      <c r="J174" s="38"/>
      <c r="K174" s="185"/>
    </row>
    <row r="175" spans="1:11" ht="15" customHeight="1">
      <c r="A175" s="18"/>
      <c r="B175" s="35" t="s">
        <v>174</v>
      </c>
      <c r="C175" s="34">
        <v>-1</v>
      </c>
      <c r="D175" s="36">
        <v>0.9</v>
      </c>
      <c r="E175" s="36"/>
      <c r="F175" s="36">
        <v>0.9</v>
      </c>
      <c r="G175" s="37">
        <f t="shared" si="28"/>
        <v>-0.81</v>
      </c>
      <c r="H175" s="38"/>
      <c r="I175" s="38"/>
      <c r="J175" s="38"/>
      <c r="K175" s="185"/>
    </row>
    <row r="176" spans="1:11" ht="15" customHeight="1">
      <c r="A176" s="18"/>
      <c r="B176" s="35" t="s">
        <v>129</v>
      </c>
      <c r="C176" s="34"/>
      <c r="D176" s="36"/>
      <c r="E176" s="36"/>
      <c r="F176" s="36"/>
      <c r="G176" s="37">
        <f>SUM(G146:G175)</f>
        <v>131.86478564462053</v>
      </c>
      <c r="H176" s="38" t="s">
        <v>43</v>
      </c>
      <c r="I176" s="38">
        <v>405.86</v>
      </c>
      <c r="J176" s="38">
        <f>G176*I176</f>
        <v>53518.641901725685</v>
      </c>
      <c r="K176" s="185"/>
    </row>
    <row r="177" spans="1:22" s="1" customFormat="1" ht="17.399999999999999">
      <c r="A177" s="18"/>
      <c r="B177" s="125" t="s">
        <v>130</v>
      </c>
      <c r="C177" s="19"/>
      <c r="D177" s="20"/>
      <c r="E177" s="21"/>
      <c r="F177" s="21"/>
      <c r="G177" s="123"/>
      <c r="H177" s="22"/>
      <c r="I177" s="23"/>
      <c r="J177" s="123">
        <f>0.13*G176*11166.2/100</f>
        <v>1914.1571403044502</v>
      </c>
      <c r="K177" s="21"/>
      <c r="N177" s="187" t="s">
        <v>143</v>
      </c>
      <c r="O177" s="187"/>
      <c r="P177" s="187"/>
      <c r="Q177" s="187"/>
      <c r="R177" s="187"/>
      <c r="S177" s="187"/>
      <c r="T177" s="187"/>
      <c r="U177"/>
      <c r="V177"/>
    </row>
    <row r="178" spans="1:22" s="1" customFormat="1" ht="17.399999999999999">
      <c r="A178" s="18"/>
      <c r="B178" s="125"/>
      <c r="C178" s="19"/>
      <c r="D178" s="20"/>
      <c r="E178" s="21"/>
      <c r="F178" s="21"/>
      <c r="G178" s="123"/>
      <c r="H178" s="22"/>
      <c r="I178" s="23"/>
      <c r="J178" s="123"/>
      <c r="K178" s="21"/>
      <c r="N178" s="187" t="s">
        <v>144</v>
      </c>
      <c r="O178" s="187"/>
      <c r="P178" s="187"/>
      <c r="Q178" s="187"/>
      <c r="R178" s="187"/>
      <c r="S178" s="187"/>
      <c r="T178" s="187"/>
      <c r="U178"/>
      <c r="V178"/>
    </row>
    <row r="179" spans="1:22" ht="30.6">
      <c r="A179" s="18">
        <v>16</v>
      </c>
      <c r="B179" s="119" t="s">
        <v>131</v>
      </c>
      <c r="C179" s="19"/>
      <c r="D179" s="20"/>
      <c r="E179" s="21"/>
      <c r="F179" s="21"/>
      <c r="G179" s="23"/>
      <c r="H179" s="22"/>
      <c r="I179" s="23"/>
      <c r="J179" s="39"/>
      <c r="K179" s="21"/>
    </row>
    <row r="180" spans="1:22" ht="15" customHeight="1">
      <c r="A180" s="18"/>
      <c r="B180" s="35" t="s">
        <v>153</v>
      </c>
      <c r="C180" s="19">
        <v>1</v>
      </c>
      <c r="D180" s="20"/>
      <c r="E180" s="21"/>
      <c r="F180" s="21"/>
      <c r="G180" s="37">
        <f>G176-G160</f>
        <v>127.24478564462052</v>
      </c>
      <c r="H180" s="22"/>
      <c r="I180" s="23"/>
      <c r="J180" s="39"/>
      <c r="K180" s="21"/>
    </row>
    <row r="181" spans="1:22" ht="15" customHeight="1">
      <c r="A181" s="18"/>
      <c r="B181" s="35"/>
      <c r="C181" s="19">
        <v>-1</v>
      </c>
      <c r="D181" s="20">
        <f>3+8+3+(4*10/3.281)</f>
        <v>26.191405059433102</v>
      </c>
      <c r="E181" s="21"/>
      <c r="F181" s="21">
        <v>0.45</v>
      </c>
      <c r="G181" s="37">
        <f>G177-G161</f>
        <v>-7.2538860103626943</v>
      </c>
      <c r="H181" s="22"/>
      <c r="I181" s="23"/>
      <c r="J181" s="39"/>
      <c r="K181" s="21"/>
    </row>
    <row r="182" spans="1:22" ht="15" customHeight="1">
      <c r="A182" s="18"/>
      <c r="B182" s="35" t="s">
        <v>41</v>
      </c>
      <c r="C182" s="19"/>
      <c r="D182" s="20"/>
      <c r="E182" s="21"/>
      <c r="F182" s="21"/>
      <c r="G182" s="23">
        <f>SUM(G180:G181)</f>
        <v>119.99089963425783</v>
      </c>
      <c r="H182" s="22" t="s">
        <v>43</v>
      </c>
      <c r="I182" s="23">
        <v>251.77</v>
      </c>
      <c r="J182" s="39">
        <f>G182*I182</f>
        <v>30210.108800917096</v>
      </c>
      <c r="K182" s="21"/>
    </row>
    <row r="183" spans="1:22" ht="15" customHeight="1">
      <c r="A183" s="18"/>
      <c r="B183" s="35" t="s">
        <v>40</v>
      </c>
      <c r="C183" s="19"/>
      <c r="D183" s="20"/>
      <c r="E183" s="21"/>
      <c r="F183" s="21"/>
      <c r="G183" s="23"/>
      <c r="H183" s="22"/>
      <c r="I183" s="23"/>
      <c r="J183" s="39">
        <f>0.13*G182*12736/100</f>
        <v>1986.6653270644799</v>
      </c>
      <c r="K183" s="21"/>
    </row>
    <row r="184" spans="1:22" ht="15" customHeight="1">
      <c r="A184" s="18"/>
      <c r="B184" s="35"/>
      <c r="C184" s="19"/>
      <c r="D184" s="20"/>
      <c r="E184" s="21"/>
      <c r="F184" s="21"/>
      <c r="G184" s="23"/>
      <c r="H184" s="22"/>
      <c r="I184" s="23"/>
      <c r="J184" s="39"/>
      <c r="K184" s="21"/>
    </row>
    <row r="185" spans="1:22" s="1" customFormat="1" ht="46.2">
      <c r="A185" s="18">
        <v>17</v>
      </c>
      <c r="B185" s="140" t="s">
        <v>150</v>
      </c>
      <c r="C185" s="140"/>
      <c r="D185" s="20"/>
      <c r="E185" s="121"/>
      <c r="F185" s="121"/>
      <c r="G185" s="123"/>
      <c r="H185" s="22"/>
      <c r="I185" s="23"/>
      <c r="J185" s="123"/>
      <c r="K185" s="21"/>
      <c r="M185"/>
      <c r="N185"/>
      <c r="O185"/>
      <c r="P185"/>
      <c r="Q185"/>
      <c r="R185"/>
      <c r="S185"/>
      <c r="T185"/>
      <c r="U185"/>
      <c r="V185"/>
    </row>
    <row r="186" spans="1:22" ht="15" customHeight="1">
      <c r="A186" s="18"/>
      <c r="B186" s="35" t="s">
        <v>136</v>
      </c>
      <c r="C186" s="19">
        <v>1</v>
      </c>
      <c r="D186" s="20">
        <f>25.17/3.281</f>
        <v>7.6714416336482785</v>
      </c>
      <c r="E186" s="21">
        <v>2.8</v>
      </c>
      <c r="F186" s="21"/>
      <c r="G186" s="126">
        <f t="shared" ref="G186:G187" si="29">PRODUCT(C186:F186)</f>
        <v>21.480036574215177</v>
      </c>
      <c r="H186" s="22"/>
      <c r="I186" s="23"/>
      <c r="J186" s="39"/>
      <c r="K186" s="21"/>
    </row>
    <row r="187" spans="1:22" ht="15" customHeight="1">
      <c r="A187" s="18"/>
      <c r="B187" s="35" t="s">
        <v>169</v>
      </c>
      <c r="C187" s="19">
        <v>1</v>
      </c>
      <c r="D187" s="20">
        <f>32.42/3.281</f>
        <v>9.8811338006705274</v>
      </c>
      <c r="E187" s="21">
        <v>1.53</v>
      </c>
      <c r="F187" s="21"/>
      <c r="G187" s="126">
        <f t="shared" si="29"/>
        <v>15.118134715025906</v>
      </c>
      <c r="H187" s="22"/>
      <c r="I187" s="23"/>
      <c r="J187" s="39"/>
      <c r="K187" s="21"/>
    </row>
    <row r="188" spans="1:22" ht="15" customHeight="1">
      <c r="A188" s="18"/>
      <c r="B188" s="35"/>
      <c r="C188" s="19">
        <v>1</v>
      </c>
      <c r="D188" s="20">
        <v>3.4</v>
      </c>
      <c r="E188" s="21">
        <v>3.9</v>
      </c>
      <c r="F188" s="21">
        <v>1.5328189999999999</v>
      </c>
      <c r="G188" s="37">
        <f>C188*SQRT(M188*(M188-D188)*(M188-E188)*(M188-F188))</f>
        <v>2.5854308705263742</v>
      </c>
      <c r="H188" s="22"/>
      <c r="I188" s="23"/>
      <c r="J188" s="39"/>
      <c r="K188" s="21"/>
      <c r="M188">
        <f>(D188+E188+F188)/2</f>
        <v>4.4164095000000003</v>
      </c>
    </row>
    <row r="189" spans="1:22" ht="15" customHeight="1">
      <c r="A189" s="18"/>
      <c r="B189" s="35" t="s">
        <v>41</v>
      </c>
      <c r="C189" s="19"/>
      <c r="D189" s="20"/>
      <c r="E189" s="21"/>
      <c r="F189" s="21"/>
      <c r="G189" s="23">
        <f>SUM(G186:G188)</f>
        <v>39.183602159767453</v>
      </c>
      <c r="H189" s="22" t="s">
        <v>43</v>
      </c>
      <c r="I189" s="23">
        <v>2271.5500000000002</v>
      </c>
      <c r="J189" s="39">
        <f>G189*I189</f>
        <v>89007.511486019765</v>
      </c>
      <c r="K189" s="21"/>
    </row>
    <row r="190" spans="1:22" ht="15" customHeight="1">
      <c r="A190" s="18"/>
      <c r="B190" s="35" t="s">
        <v>40</v>
      </c>
      <c r="C190" s="19"/>
      <c r="D190" s="20"/>
      <c r="E190" s="21"/>
      <c r="F190" s="21"/>
      <c r="G190" s="23"/>
      <c r="H190" s="22"/>
      <c r="I190" s="23"/>
      <c r="J190" s="39">
        <f>0.13*G189*(20218/10)</f>
        <v>10298.782890060318</v>
      </c>
      <c r="K190" s="21"/>
    </row>
    <row r="191" spans="1:22" ht="15" customHeight="1">
      <c r="A191" s="18"/>
      <c r="B191" s="35"/>
      <c r="C191" s="19"/>
      <c r="D191" s="20"/>
      <c r="E191" s="21"/>
      <c r="F191" s="21"/>
      <c r="G191" s="23"/>
      <c r="H191" s="22"/>
      <c r="I191" s="23"/>
      <c r="J191" s="39"/>
      <c r="K191" s="21"/>
    </row>
    <row r="192" spans="1:22" s="173" customFormat="1" ht="17.399999999999999">
      <c r="A192" s="166">
        <v>18</v>
      </c>
      <c r="B192" s="167" t="s">
        <v>139</v>
      </c>
      <c r="C192" s="168"/>
      <c r="D192" s="169"/>
      <c r="E192" s="170"/>
      <c r="F192" s="169" t="s">
        <v>163</v>
      </c>
      <c r="G192" s="169"/>
      <c r="H192" s="169"/>
      <c r="I192" s="169"/>
      <c r="J192" s="171"/>
      <c r="K192" s="172"/>
      <c r="M192" s="174"/>
      <c r="N192" s="174"/>
      <c r="O192" s="174"/>
      <c r="P192" s="174"/>
      <c r="Q192" s="174"/>
      <c r="R192" s="174"/>
      <c r="S192" s="174"/>
      <c r="T192" s="174"/>
      <c r="U192" s="174"/>
      <c r="V192" s="174"/>
    </row>
    <row r="193" spans="1:22" s="174" customFormat="1" ht="15" customHeight="1">
      <c r="A193" s="144"/>
      <c r="B193" s="146" t="s">
        <v>140</v>
      </c>
      <c r="C193" s="161">
        <v>1</v>
      </c>
      <c r="D193" s="162">
        <f>(1.1+1.2)/2</f>
        <v>1.1499999999999999</v>
      </c>
      <c r="E193" s="175">
        <v>2.5</v>
      </c>
      <c r="F193" s="176"/>
      <c r="G193" s="177">
        <f>PRODUCT(C193:F193)</f>
        <v>2.875</v>
      </c>
      <c r="H193" s="163"/>
      <c r="I193" s="163"/>
      <c r="J193" s="163"/>
      <c r="K193" s="149"/>
    </row>
    <row r="194" spans="1:22" s="174" customFormat="1" ht="15" customHeight="1">
      <c r="A194" s="144"/>
      <c r="B194" s="146"/>
      <c r="C194" s="161">
        <v>1</v>
      </c>
      <c r="D194" s="162">
        <v>1.7</v>
      </c>
      <c r="E194" s="175">
        <v>2.4</v>
      </c>
      <c r="F194" s="176"/>
      <c r="G194" s="177">
        <f>PRODUCT(C194:F194)</f>
        <v>4.08</v>
      </c>
      <c r="H194" s="163"/>
      <c r="I194" s="163"/>
      <c r="J194" s="163"/>
      <c r="K194" s="149"/>
    </row>
    <row r="195" spans="1:22" s="174" customFormat="1" ht="15" customHeight="1">
      <c r="A195" s="144"/>
      <c r="B195" s="146"/>
      <c r="C195" s="161">
        <v>1</v>
      </c>
      <c r="D195" s="162">
        <f>(1.2+1.5)/2</f>
        <v>1.35</v>
      </c>
      <c r="E195" s="162">
        <v>1.4</v>
      </c>
      <c r="F195" s="162"/>
      <c r="G195" s="177">
        <f t="shared" ref="G195:G197" si="30">PRODUCT(C195:F195)</f>
        <v>1.89</v>
      </c>
      <c r="H195" s="163"/>
      <c r="I195" s="163"/>
      <c r="J195" s="163"/>
      <c r="K195" s="149"/>
      <c r="M195" s="178"/>
      <c r="N195" s="178"/>
      <c r="O195" s="178"/>
      <c r="P195" s="178"/>
      <c r="Q195" s="178"/>
      <c r="R195" s="178"/>
      <c r="S195" s="178"/>
      <c r="T195" s="178"/>
      <c r="U195" s="178"/>
      <c r="V195" s="178"/>
    </row>
    <row r="196" spans="1:22" s="174" customFormat="1" ht="15" customHeight="1">
      <c r="A196" s="144"/>
      <c r="B196" s="146"/>
      <c r="C196" s="161">
        <v>1</v>
      </c>
      <c r="D196" s="162">
        <f>(1.6+1.55)/2</f>
        <v>1.5750000000000002</v>
      </c>
      <c r="E196" s="162">
        <v>3.2</v>
      </c>
      <c r="F196" s="162"/>
      <c r="G196" s="177">
        <f t="shared" si="30"/>
        <v>5.0400000000000009</v>
      </c>
      <c r="H196" s="163"/>
      <c r="I196" s="163"/>
      <c r="J196" s="163"/>
      <c r="K196" s="149"/>
    </row>
    <row r="197" spans="1:22" s="174" customFormat="1" ht="15" customHeight="1">
      <c r="A197" s="144"/>
      <c r="B197" s="146"/>
      <c r="C197" s="161">
        <v>1</v>
      </c>
      <c r="D197" s="162">
        <v>1.6</v>
      </c>
      <c r="E197" s="162">
        <v>0.65</v>
      </c>
      <c r="F197" s="162"/>
      <c r="G197" s="177">
        <f t="shared" si="30"/>
        <v>1.04</v>
      </c>
      <c r="H197" s="163"/>
      <c r="I197" s="163"/>
      <c r="J197" s="163"/>
      <c r="K197" s="149"/>
    </row>
    <row r="198" spans="1:22" s="174" customFormat="1" ht="15" customHeight="1">
      <c r="A198" s="163"/>
      <c r="B198" s="146" t="s">
        <v>41</v>
      </c>
      <c r="C198" s="168"/>
      <c r="D198" s="169"/>
      <c r="E198" s="169"/>
      <c r="F198" s="169"/>
      <c r="G198" s="179">
        <f>SUM(G193:G197)</f>
        <v>14.925000000000001</v>
      </c>
      <c r="H198" s="179" t="s">
        <v>141</v>
      </c>
      <c r="I198" s="179">
        <f>35*10.7639</f>
        <v>376.73649999999998</v>
      </c>
      <c r="J198" s="171">
        <f>G198*I198</f>
        <v>5622.7922625000001</v>
      </c>
      <c r="K198" s="161"/>
    </row>
    <row r="199" spans="1:22" s="174" customFormat="1" ht="15" customHeight="1">
      <c r="A199" s="163"/>
      <c r="B199" s="146" t="s">
        <v>40</v>
      </c>
      <c r="C199" s="168"/>
      <c r="D199" s="169"/>
      <c r="E199" s="169"/>
      <c r="F199" s="169"/>
      <c r="G199" s="169"/>
      <c r="H199" s="169"/>
      <c r="I199" s="169"/>
      <c r="J199" s="165">
        <f>0.13*J198</f>
        <v>730.96299412500002</v>
      </c>
      <c r="K199" s="161"/>
    </row>
    <row r="200" spans="1:22" s="174" customFormat="1" ht="15" customHeight="1">
      <c r="A200" s="163"/>
      <c r="B200" s="146"/>
      <c r="C200" s="168"/>
      <c r="D200" s="169"/>
      <c r="E200" s="169"/>
      <c r="F200" s="169"/>
      <c r="G200" s="169"/>
      <c r="H200" s="169"/>
      <c r="I200" s="169"/>
      <c r="J200" s="165"/>
      <c r="K200" s="161"/>
    </row>
    <row r="201" spans="1:22" s="174" customFormat="1" ht="41.4">
      <c r="A201" s="144">
        <v>19</v>
      </c>
      <c r="B201" s="180" t="s">
        <v>145</v>
      </c>
      <c r="C201" s="161"/>
      <c r="D201" s="162"/>
      <c r="E201" s="162"/>
      <c r="F201" s="162"/>
      <c r="G201" s="150"/>
      <c r="H201" s="163"/>
      <c r="I201" s="163"/>
      <c r="J201" s="165"/>
      <c r="K201" s="149"/>
      <c r="M201" s="181"/>
      <c r="N201" s="181"/>
      <c r="O201" s="181"/>
      <c r="P201" s="181"/>
      <c r="Q201" s="181"/>
      <c r="R201" s="181"/>
      <c r="S201" s="181"/>
      <c r="T201" s="181"/>
      <c r="U201" s="181"/>
      <c r="V201" s="181"/>
    </row>
    <row r="202" spans="1:22" s="174" customFormat="1" ht="15" customHeight="1">
      <c r="A202" s="163"/>
      <c r="B202" s="146" t="s">
        <v>173</v>
      </c>
      <c r="C202" s="147">
        <v>1</v>
      </c>
      <c r="D202" s="169">
        <f>6.55</f>
        <v>6.55</v>
      </c>
      <c r="E202" s="169">
        <v>2.62</v>
      </c>
      <c r="F202" s="169"/>
      <c r="G202" s="177">
        <f t="shared" ref="G202:G203" si="31">PRODUCT(C202:F202)</f>
        <v>17.161000000000001</v>
      </c>
      <c r="H202" s="169"/>
      <c r="I202" s="169"/>
      <c r="J202" s="165"/>
      <c r="K202" s="161"/>
      <c r="M202" s="181"/>
      <c r="N202" s="181"/>
      <c r="O202" s="181"/>
      <c r="P202" s="181"/>
      <c r="Q202" s="181"/>
      <c r="R202" s="181"/>
      <c r="S202" s="181"/>
      <c r="T202" s="181"/>
      <c r="U202" s="181"/>
      <c r="V202" s="181"/>
    </row>
    <row r="203" spans="1:22" s="174" customFormat="1" ht="15" customHeight="1">
      <c r="A203" s="163"/>
      <c r="B203" s="146" t="str">
        <f>B123</f>
        <v>-at entrance</v>
      </c>
      <c r="C203" s="147">
        <v>1</v>
      </c>
      <c r="D203" s="151">
        <f>D123</f>
        <v>2.2000000000000002</v>
      </c>
      <c r="E203" s="151">
        <f>E123</f>
        <v>0.9</v>
      </c>
      <c r="F203" s="151"/>
      <c r="G203" s="177">
        <f t="shared" si="31"/>
        <v>1.9800000000000002</v>
      </c>
      <c r="H203" s="169"/>
      <c r="I203" s="169"/>
      <c r="J203" s="165"/>
      <c r="K203" s="161"/>
      <c r="M203" s="181"/>
      <c r="N203" s="181"/>
      <c r="O203" s="181"/>
      <c r="P203" s="181"/>
      <c r="Q203" s="181"/>
      <c r="R203" s="181"/>
      <c r="S203" s="181"/>
      <c r="T203" s="181"/>
      <c r="U203" s="181"/>
      <c r="V203" s="181"/>
    </row>
    <row r="204" spans="1:22" s="174" customFormat="1" ht="15" customHeight="1">
      <c r="A204" s="163"/>
      <c r="B204" s="146" t="s">
        <v>41</v>
      </c>
      <c r="C204" s="168"/>
      <c r="D204" s="169"/>
      <c r="E204" s="169"/>
      <c r="F204" s="169"/>
      <c r="G204" s="179">
        <f>SUM(G202:G203)</f>
        <v>19.141000000000002</v>
      </c>
      <c r="H204" s="179" t="s">
        <v>141</v>
      </c>
      <c r="I204" s="179">
        <v>9.1999999999999993</v>
      </c>
      <c r="J204" s="171">
        <f>G204*I204</f>
        <v>176.09720000000002</v>
      </c>
      <c r="K204" s="161"/>
      <c r="M204" s="181"/>
      <c r="N204" s="181"/>
      <c r="O204" s="181"/>
      <c r="P204" s="181"/>
      <c r="Q204" s="181"/>
      <c r="R204" s="181"/>
      <c r="S204" s="181"/>
      <c r="T204" s="181"/>
      <c r="U204" s="181"/>
      <c r="V204" s="181"/>
    </row>
    <row r="205" spans="1:22" s="174" customFormat="1" ht="15" customHeight="1">
      <c r="A205" s="144"/>
      <c r="B205" s="146"/>
      <c r="C205" s="147"/>
      <c r="D205" s="148"/>
      <c r="E205" s="149"/>
      <c r="F205" s="149"/>
      <c r="G205" s="158"/>
      <c r="H205" s="159"/>
      <c r="I205" s="158"/>
      <c r="J205" s="160"/>
      <c r="K205" s="149"/>
      <c r="M205" s="181"/>
      <c r="N205" s="181"/>
      <c r="O205" s="181"/>
      <c r="P205" s="181"/>
      <c r="Q205" s="181"/>
      <c r="R205" s="181"/>
      <c r="S205" s="181"/>
      <c r="T205" s="181"/>
      <c r="U205" s="181"/>
      <c r="V205" s="181"/>
    </row>
    <row r="206" spans="1:22" ht="28.2">
      <c r="A206" s="18">
        <v>20</v>
      </c>
      <c r="B206" s="142" t="s">
        <v>137</v>
      </c>
      <c r="C206" s="19">
        <v>0</v>
      </c>
      <c r="D206" s="20"/>
      <c r="E206" s="21"/>
      <c r="F206" s="21"/>
      <c r="G206" s="126">
        <f t="shared" ref="G206" si="32">PRODUCT(C206:F206)</f>
        <v>0</v>
      </c>
      <c r="H206" s="22" t="s">
        <v>138</v>
      </c>
      <c r="I206" s="23">
        <v>2000</v>
      </c>
      <c r="J206" s="32">
        <f>G206*I206</f>
        <v>0</v>
      </c>
      <c r="K206" s="21"/>
      <c r="M206" s="33"/>
      <c r="N206" s="33"/>
      <c r="O206" s="33"/>
      <c r="P206" s="33"/>
      <c r="Q206" s="33"/>
      <c r="R206" s="33"/>
      <c r="S206" s="33"/>
      <c r="T206" s="33"/>
      <c r="U206" s="33"/>
      <c r="V206" s="33"/>
    </row>
    <row r="207" spans="1:22" ht="15" customHeight="1">
      <c r="A207" s="18"/>
      <c r="B207" s="35"/>
      <c r="C207" s="19"/>
      <c r="D207" s="20"/>
      <c r="E207" s="21"/>
      <c r="F207" s="21"/>
      <c r="G207" s="23"/>
      <c r="H207" s="22"/>
      <c r="I207" s="23"/>
      <c r="J207" s="39"/>
      <c r="K207" s="21"/>
      <c r="M207" s="33"/>
      <c r="N207" s="33"/>
      <c r="O207" s="33"/>
      <c r="P207" s="33"/>
      <c r="Q207" s="33"/>
      <c r="R207" s="33"/>
      <c r="S207" s="33"/>
      <c r="T207" s="33"/>
      <c r="U207" s="33"/>
      <c r="V207" s="33"/>
    </row>
    <row r="208" spans="1:22" ht="15" customHeight="1">
      <c r="A208" s="18">
        <v>21</v>
      </c>
      <c r="B208" s="29" t="s">
        <v>30</v>
      </c>
      <c r="C208" s="19">
        <v>1</v>
      </c>
      <c r="D208" s="20"/>
      <c r="E208" s="21"/>
      <c r="F208" s="21"/>
      <c r="G208" s="32">
        <f t="shared" ref="G208" si="33">PRODUCT(C208:F208)</f>
        <v>1</v>
      </c>
      <c r="H208" s="22" t="s">
        <v>31</v>
      </c>
      <c r="I208" s="23">
        <v>500</v>
      </c>
      <c r="J208" s="32">
        <f>G208*I208</f>
        <v>500</v>
      </c>
      <c r="K208" s="21"/>
      <c r="M208" s="33"/>
      <c r="N208" s="33"/>
      <c r="O208" s="33"/>
      <c r="P208" s="33"/>
      <c r="Q208" s="33"/>
      <c r="R208" s="33"/>
      <c r="S208" s="33"/>
      <c r="T208" s="33"/>
      <c r="U208" s="33"/>
      <c r="V208" s="33"/>
    </row>
    <row r="209" spans="1:22" ht="15" customHeight="1">
      <c r="A209" s="18"/>
      <c r="B209" s="24"/>
      <c r="C209" s="19"/>
      <c r="D209" s="20"/>
      <c r="E209" s="21"/>
      <c r="F209" s="21"/>
      <c r="G209" s="23"/>
      <c r="H209" s="22"/>
      <c r="I209" s="23"/>
      <c r="J209" s="39"/>
      <c r="K209" s="21"/>
      <c r="M209" s="33"/>
      <c r="N209" s="33"/>
      <c r="O209" s="33"/>
      <c r="P209" s="33"/>
      <c r="Q209" s="33"/>
      <c r="R209" s="33"/>
      <c r="S209" s="33"/>
      <c r="T209" s="33"/>
      <c r="U209" s="33"/>
      <c r="V209" s="33"/>
    </row>
    <row r="210" spans="1:22">
      <c r="A210" s="38"/>
      <c r="B210" s="41" t="s">
        <v>17</v>
      </c>
      <c r="C210" s="42"/>
      <c r="D210" s="36"/>
      <c r="E210" s="36"/>
      <c r="F210" s="36"/>
      <c r="G210" s="39"/>
      <c r="H210" s="39"/>
      <c r="I210" s="39"/>
      <c r="J210" s="39">
        <f>SUM(J10:J208)</f>
        <v>567296.12317853374</v>
      </c>
      <c r="K210" s="34"/>
      <c r="M210" s="33"/>
      <c r="N210" s="33"/>
      <c r="O210" s="33"/>
      <c r="P210" s="33"/>
      <c r="Q210" s="33"/>
      <c r="R210" s="33"/>
      <c r="S210" s="33"/>
      <c r="T210" s="33"/>
      <c r="U210" s="33"/>
      <c r="V210" s="33"/>
    </row>
    <row r="211" spans="1:22">
      <c r="A211" s="53"/>
      <c r="B211" s="56"/>
      <c r="C211" s="57"/>
      <c r="D211" s="54"/>
      <c r="E211" s="54"/>
      <c r="F211" s="54"/>
      <c r="G211" s="55"/>
      <c r="H211" s="55"/>
      <c r="I211" s="55"/>
      <c r="J211" s="55"/>
      <c r="K211" s="52"/>
      <c r="M211" s="33"/>
      <c r="N211" s="33"/>
      <c r="O211" s="33"/>
      <c r="P211" s="33"/>
      <c r="Q211" s="33"/>
      <c r="R211" s="33"/>
      <c r="S211" s="33"/>
      <c r="T211" s="33"/>
      <c r="U211" s="33"/>
      <c r="V211" s="33"/>
    </row>
    <row r="212" spans="1:22" s="1" customFormat="1">
      <c r="A212" s="45"/>
      <c r="B212" s="28" t="s">
        <v>166</v>
      </c>
      <c r="C212" s="186">
        <f>J210</f>
        <v>567296.12317853374</v>
      </c>
      <c r="D212" s="186"/>
      <c r="E212" s="37">
        <v>100</v>
      </c>
      <c r="F212" s="46"/>
      <c r="G212" s="47"/>
      <c r="H212" s="46"/>
      <c r="I212" s="48"/>
      <c r="J212" s="49"/>
      <c r="K212" s="50"/>
      <c r="M212" s="33"/>
      <c r="N212" s="33"/>
      <c r="O212" s="33"/>
      <c r="P212" s="33"/>
      <c r="Q212" s="33"/>
      <c r="R212" s="33"/>
      <c r="S212" s="33"/>
      <c r="T212" s="33"/>
      <c r="U212" s="33"/>
      <c r="V212" s="33"/>
    </row>
    <row r="213" spans="1:22">
      <c r="A213" s="51"/>
      <c r="B213" s="28" t="s">
        <v>32</v>
      </c>
      <c r="C213" s="188">
        <v>500000</v>
      </c>
      <c r="D213" s="188"/>
      <c r="E213" s="37"/>
      <c r="F213" s="44"/>
      <c r="G213" s="43"/>
      <c r="H213" s="43"/>
      <c r="I213" s="43"/>
      <c r="J213" s="43"/>
      <c r="K213" s="44"/>
      <c r="M213" s="33"/>
      <c r="N213" s="33"/>
      <c r="O213" s="33"/>
      <c r="P213" s="33"/>
      <c r="Q213" s="33"/>
      <c r="R213" s="33"/>
      <c r="S213" s="33"/>
      <c r="T213" s="33"/>
      <c r="U213" s="33"/>
      <c r="V213" s="33"/>
    </row>
    <row r="214" spans="1:22">
      <c r="A214" s="51"/>
      <c r="B214" s="28" t="s">
        <v>33</v>
      </c>
      <c r="C214" s="188">
        <f>C213-C216-C217</f>
        <v>475000</v>
      </c>
      <c r="D214" s="188"/>
      <c r="E214" s="37">
        <f>C214/C212*100</f>
        <v>83.730521079290497</v>
      </c>
      <c r="F214" s="44"/>
      <c r="G214" s="43"/>
      <c r="H214" s="43"/>
      <c r="I214" s="43"/>
      <c r="J214" s="43"/>
      <c r="K214" s="44"/>
      <c r="M214" s="33"/>
      <c r="N214" s="33"/>
      <c r="O214" s="33"/>
      <c r="P214" s="33"/>
      <c r="Q214" s="33"/>
      <c r="R214" s="33"/>
      <c r="S214" s="33"/>
      <c r="T214" s="33"/>
      <c r="U214" s="33"/>
      <c r="V214" s="33"/>
    </row>
    <row r="215" spans="1:22">
      <c r="A215" s="51"/>
      <c r="B215" s="28" t="s">
        <v>34</v>
      </c>
      <c r="C215" s="186">
        <f>C212-C214</f>
        <v>92296.123178533744</v>
      </c>
      <c r="D215" s="186"/>
      <c r="E215" s="37">
        <f>100-E214</f>
        <v>16.269478920709503</v>
      </c>
      <c r="F215" s="44"/>
      <c r="G215" s="43"/>
      <c r="H215" s="43"/>
      <c r="I215" s="43"/>
      <c r="J215" s="43"/>
      <c r="K215" s="44"/>
      <c r="M215" s="33"/>
      <c r="N215" s="33"/>
      <c r="O215" s="33"/>
      <c r="P215" s="33"/>
      <c r="Q215" s="33"/>
      <c r="R215" s="33"/>
      <c r="S215" s="33"/>
      <c r="T215" s="33"/>
      <c r="U215" s="33"/>
      <c r="V215" s="33"/>
    </row>
    <row r="216" spans="1:22">
      <c r="A216" s="51"/>
      <c r="B216" s="28" t="s">
        <v>35</v>
      </c>
      <c r="C216" s="186">
        <f>C213*0.03</f>
        <v>15000</v>
      </c>
      <c r="D216" s="186"/>
      <c r="E216" s="37">
        <v>3</v>
      </c>
      <c r="F216" s="44"/>
      <c r="G216" s="43"/>
      <c r="H216" s="43"/>
      <c r="I216" s="43"/>
      <c r="J216" s="43"/>
      <c r="K216" s="44"/>
      <c r="M216" s="33"/>
      <c r="N216" s="33"/>
      <c r="O216" s="33"/>
      <c r="P216" s="33"/>
      <c r="Q216" s="33"/>
      <c r="R216" s="33"/>
      <c r="S216" s="33"/>
      <c r="T216" s="33"/>
      <c r="U216" s="33"/>
      <c r="V216" s="33"/>
    </row>
    <row r="217" spans="1:22">
      <c r="A217" s="51"/>
      <c r="B217" s="28" t="s">
        <v>36</v>
      </c>
      <c r="C217" s="186">
        <f>C213*0.02</f>
        <v>10000</v>
      </c>
      <c r="D217" s="186"/>
      <c r="E217" s="37">
        <v>2</v>
      </c>
      <c r="F217" s="44"/>
      <c r="G217" s="43"/>
      <c r="H217" s="43"/>
      <c r="I217" s="43"/>
      <c r="J217" s="43"/>
      <c r="K217" s="44"/>
      <c r="M217" s="33"/>
      <c r="N217" s="33"/>
      <c r="O217" s="33"/>
      <c r="P217" s="33"/>
      <c r="Q217" s="33"/>
      <c r="R217" s="33"/>
      <c r="S217" s="33"/>
      <c r="T217" s="33"/>
      <c r="U217" s="33"/>
      <c r="V217" s="33"/>
    </row>
    <row r="218" spans="1:22" s="33" customFormat="1">
      <c r="A218" s="52"/>
      <c r="B218" s="52"/>
      <c r="C218" s="52"/>
      <c r="D218" s="52"/>
      <c r="E218" s="52"/>
      <c r="F218" s="52"/>
      <c r="G218" s="52"/>
      <c r="H218" s="52"/>
      <c r="I218" s="52"/>
      <c r="J218" s="52"/>
      <c r="K218" s="52"/>
    </row>
    <row r="219" spans="1:22" s="33" customFormat="1"/>
    <row r="220" spans="1:22" s="33" customFormat="1"/>
    <row r="221" spans="1:22" s="33" customFormat="1"/>
    <row r="222" spans="1:22" s="33" customFormat="1"/>
    <row r="223" spans="1:22" s="33" customFormat="1"/>
    <row r="224" spans="1:22" s="33" customFormat="1"/>
    <row r="225" s="33" customFormat="1"/>
    <row r="226" s="33" customFormat="1"/>
    <row r="227" s="33" customFormat="1"/>
    <row r="228" s="33" customFormat="1"/>
    <row r="229" s="33" customFormat="1"/>
    <row r="230" s="33" customFormat="1"/>
    <row r="231" s="33" customFormat="1"/>
    <row r="232" s="33" customFormat="1"/>
    <row r="233" s="33" customFormat="1"/>
    <row r="234" s="33" customFormat="1"/>
    <row r="235" s="33" customFormat="1"/>
    <row r="236" s="33" customFormat="1"/>
    <row r="237" s="33" customFormat="1"/>
    <row r="238" s="33" customFormat="1"/>
    <row r="239" s="33" customFormat="1"/>
    <row r="240" s="33" customFormat="1"/>
    <row r="241" s="33" customFormat="1"/>
    <row r="242" s="33" customFormat="1"/>
    <row r="243" s="33" customFormat="1"/>
    <row r="244" s="33" customFormat="1"/>
    <row r="245" s="33" customFormat="1"/>
    <row r="246" s="33" customFormat="1"/>
    <row r="247" s="33" customFormat="1"/>
    <row r="248" s="33" customFormat="1"/>
    <row r="249" s="33" customFormat="1"/>
    <row r="250" s="33" customFormat="1"/>
    <row r="251" s="33" customFormat="1"/>
    <row r="252" s="33" customFormat="1"/>
    <row r="253" s="33" customFormat="1"/>
    <row r="254" s="33" customFormat="1"/>
    <row r="255" s="33" customFormat="1"/>
    <row r="256" s="33" customFormat="1"/>
    <row r="257" spans="13:22" s="33" customFormat="1"/>
    <row r="258" spans="13:22" s="33" customFormat="1">
      <c r="M258"/>
      <c r="N258"/>
      <c r="O258"/>
      <c r="P258"/>
      <c r="Q258"/>
      <c r="R258"/>
      <c r="S258"/>
      <c r="T258"/>
      <c r="U258"/>
      <c r="V258"/>
    </row>
    <row r="259" spans="13:22" s="33" customFormat="1">
      <c r="M259"/>
      <c r="N259"/>
      <c r="O259"/>
      <c r="P259"/>
      <c r="Q259"/>
      <c r="R259"/>
      <c r="S259"/>
      <c r="T259"/>
      <c r="U259"/>
      <c r="V259"/>
    </row>
    <row r="260" spans="13:22" s="33" customFormat="1">
      <c r="M260"/>
      <c r="N260"/>
      <c r="O260"/>
      <c r="P260"/>
      <c r="Q260"/>
      <c r="R260"/>
      <c r="S260"/>
      <c r="T260"/>
      <c r="U260"/>
      <c r="V260"/>
    </row>
    <row r="261" spans="13:22" s="33" customFormat="1">
      <c r="M261"/>
      <c r="N261"/>
      <c r="O261"/>
      <c r="P261"/>
      <c r="Q261"/>
      <c r="R261"/>
      <c r="S261"/>
      <c r="T261"/>
      <c r="U261"/>
      <c r="V261"/>
    </row>
    <row r="262" spans="13:22" s="33" customFormat="1">
      <c r="M262"/>
      <c r="N262"/>
      <c r="O262"/>
      <c r="P262"/>
      <c r="Q262"/>
      <c r="R262"/>
      <c r="S262"/>
      <c r="T262"/>
      <c r="U262"/>
      <c r="V262"/>
    </row>
    <row r="263" spans="13:22" s="33" customFormat="1">
      <c r="M263"/>
      <c r="N263"/>
      <c r="O263"/>
      <c r="P263"/>
      <c r="Q263"/>
      <c r="R263"/>
      <c r="S263"/>
      <c r="T263"/>
      <c r="U263"/>
      <c r="V263"/>
    </row>
    <row r="264" spans="13:22" s="33" customFormat="1">
      <c r="M264"/>
      <c r="N264"/>
      <c r="O264"/>
      <c r="P264"/>
      <c r="Q264"/>
      <c r="R264"/>
      <c r="S264"/>
      <c r="T264"/>
      <c r="U264"/>
      <c r="V264"/>
    </row>
    <row r="265" spans="13:22" s="33" customFormat="1">
      <c r="M265"/>
      <c r="N265"/>
      <c r="O265"/>
      <c r="P265"/>
      <c r="Q265"/>
      <c r="R265"/>
      <c r="S265"/>
      <c r="T265"/>
      <c r="U265"/>
      <c r="V265"/>
    </row>
    <row r="266" spans="13:22" s="33" customFormat="1">
      <c r="M266"/>
      <c r="N266"/>
      <c r="O266"/>
      <c r="P266"/>
      <c r="Q266"/>
      <c r="R266"/>
      <c r="S266"/>
      <c r="T266"/>
      <c r="U266"/>
      <c r="V266"/>
    </row>
    <row r="267" spans="13:22" s="33" customFormat="1">
      <c r="M267"/>
      <c r="N267"/>
      <c r="O267"/>
      <c r="P267"/>
      <c r="Q267"/>
      <c r="R267"/>
      <c r="S267"/>
      <c r="T267"/>
      <c r="U267"/>
      <c r="V267"/>
    </row>
    <row r="268" spans="13:22" s="33" customFormat="1">
      <c r="M268"/>
      <c r="N268"/>
      <c r="O268"/>
      <c r="P268"/>
      <c r="Q268"/>
      <c r="R268"/>
      <c r="S268"/>
      <c r="T268"/>
      <c r="U268"/>
      <c r="V268"/>
    </row>
    <row r="269" spans="13:22" s="33" customFormat="1">
      <c r="M269"/>
      <c r="N269"/>
      <c r="O269"/>
      <c r="P269"/>
      <c r="Q269"/>
      <c r="R269"/>
      <c r="S269"/>
      <c r="T269"/>
      <c r="U269"/>
      <c r="V269"/>
    </row>
    <row r="270" spans="13:22" s="33" customFormat="1">
      <c r="M270"/>
      <c r="N270"/>
      <c r="O270"/>
      <c r="P270"/>
      <c r="Q270"/>
      <c r="R270"/>
      <c r="S270"/>
      <c r="T270"/>
      <c r="U270"/>
      <c r="V270"/>
    </row>
    <row r="271" spans="13:22" s="33" customFormat="1">
      <c r="M271"/>
      <c r="N271"/>
      <c r="O271"/>
      <c r="P271"/>
      <c r="Q271"/>
      <c r="R271"/>
      <c r="S271"/>
      <c r="T271"/>
      <c r="U271"/>
      <c r="V271"/>
    </row>
    <row r="272" spans="13:22" s="33" customFormat="1">
      <c r="M272"/>
      <c r="N272"/>
      <c r="O272"/>
      <c r="P272"/>
      <c r="Q272"/>
      <c r="R272"/>
      <c r="S272"/>
      <c r="T272"/>
      <c r="U272"/>
      <c r="V272"/>
    </row>
    <row r="273" spans="13:22" s="33" customFormat="1">
      <c r="M273"/>
      <c r="N273"/>
      <c r="O273"/>
      <c r="P273"/>
      <c r="Q273"/>
      <c r="R273"/>
      <c r="S273"/>
      <c r="T273"/>
      <c r="U273"/>
      <c r="V273"/>
    </row>
    <row r="274" spans="13:22" s="33" customFormat="1">
      <c r="M274"/>
      <c r="N274"/>
      <c r="O274"/>
      <c r="P274"/>
      <c r="Q274"/>
      <c r="R274"/>
      <c r="S274"/>
      <c r="T274"/>
      <c r="U274"/>
      <c r="V274"/>
    </row>
  </sheetData>
  <mergeCells count="18">
    <mergeCell ref="A7:F7"/>
    <mergeCell ref="H7:K7"/>
    <mergeCell ref="N88:T88"/>
    <mergeCell ref="N177:T177"/>
    <mergeCell ref="A1:K1"/>
    <mergeCell ref="A2:K2"/>
    <mergeCell ref="A3:K3"/>
    <mergeCell ref="A4:K4"/>
    <mergeCell ref="A5:K5"/>
    <mergeCell ref="A6:F6"/>
    <mergeCell ref="H6:K6"/>
    <mergeCell ref="C217:D217"/>
    <mergeCell ref="N178:T178"/>
    <mergeCell ref="C212:D212"/>
    <mergeCell ref="C213:D213"/>
    <mergeCell ref="C214:D214"/>
    <mergeCell ref="C215:D215"/>
    <mergeCell ref="C216:D216"/>
  </mergeCells>
  <hyperlinks>
    <hyperlink ref="B145" r:id="rId1"/>
  </hyperlinks>
  <pageMargins left="0.7" right="0.7" top="0.75" bottom="0.75" header="0.3" footer="0.3"/>
  <pageSetup paperSize="9" scale="75" orientation="portrait" r:id="rId2"/>
  <headerFooter>
    <oddFooter>&amp;LPrepared By:&amp;CChecked By:&amp;RApproved By:</oddFooter>
  </headerFooter>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backyard</vt:lpstr>
      <vt:lpstr>WCR</vt:lpstr>
      <vt:lpstr>rate analysis</vt:lpstr>
      <vt:lpstr>V</vt:lpstr>
      <vt:lpstr>backyard!Print_Area</vt:lpstr>
      <vt:lpstr>V!Print_Area</vt:lpstr>
      <vt:lpstr>backyard!Print_Titles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2025-03-09T05:02:53Z</cp:lastPrinted>
  <dcterms:created xsi:type="dcterms:W3CDTF">2015-06-05T18:17:20Z</dcterms:created>
  <dcterms:modified xsi:type="dcterms:W3CDTF">2025-03-20T01:24:53Z</dcterms:modified>
</cp:coreProperties>
</file>