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Estimate" sheetId="1" r:id="rId1"/>
    <sheet name="WCR" sheetId="7" r:id="rId2"/>
    <sheet name="V" sheetId="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WCR!$A$1:$K$26</definedName>
    <definedName name="_xlnm.Print_Titles" localSheetId="0">Estimate!$1:$8</definedName>
    <definedName name="_xlnm.Print_Titles" localSheetId="2">V!$1:$8</definedName>
    <definedName name="_xlnm.Print_Titles" localSheetId="1">WCR!$1:$12</definedName>
  </definedNames>
  <calcPr calcId="152511"/>
</workbook>
</file>

<file path=xl/calcChain.xml><?xml version="1.0" encoding="utf-8"?>
<calcChain xmlns="http://schemas.openxmlformats.org/spreadsheetml/2006/main">
  <c r="C52" i="8" l="1"/>
  <c r="C40" i="8"/>
  <c r="C39" i="8"/>
  <c r="G52" i="1"/>
  <c r="D52" i="1"/>
  <c r="E51" i="1"/>
  <c r="D51" i="1"/>
  <c r="G51" i="1" s="1"/>
  <c r="C51" i="1"/>
  <c r="E50" i="1"/>
  <c r="G50" i="1" s="1"/>
  <c r="D50" i="1"/>
  <c r="C50" i="1"/>
  <c r="D49" i="1"/>
  <c r="G49" i="1" s="1"/>
  <c r="C49" i="1"/>
  <c r="D48" i="1"/>
  <c r="C48" i="1"/>
  <c r="G48" i="1" s="1"/>
  <c r="D47" i="1"/>
  <c r="C47" i="1"/>
  <c r="G47" i="1" s="1"/>
  <c r="G46" i="1"/>
  <c r="F46" i="1"/>
  <c r="C46" i="1"/>
  <c r="E41" i="1"/>
  <c r="D41" i="1"/>
  <c r="C41" i="1"/>
  <c r="F41" i="1" s="1"/>
  <c r="G41" i="1" s="1"/>
  <c r="E40" i="1"/>
  <c r="F40" i="1" s="1"/>
  <c r="G40" i="1" s="1"/>
  <c r="D40" i="1"/>
  <c r="C40" i="1"/>
  <c r="F39" i="1"/>
  <c r="G39" i="1" s="1"/>
  <c r="E39" i="1"/>
  <c r="D39" i="1"/>
  <c r="C39" i="1"/>
  <c r="E38" i="1"/>
  <c r="D38" i="1"/>
  <c r="C38" i="1"/>
  <c r="F38" i="1" s="1"/>
  <c r="G38" i="1" s="1"/>
  <c r="E37" i="1"/>
  <c r="D37" i="1"/>
  <c r="C37" i="1"/>
  <c r="F37" i="1" s="1"/>
  <c r="G37" i="1" s="1"/>
  <c r="E36" i="1"/>
  <c r="D36" i="1"/>
  <c r="F36" i="1" s="1"/>
  <c r="G36" i="1" s="1"/>
  <c r="C36" i="1"/>
  <c r="F35" i="1"/>
  <c r="G35" i="1" s="1"/>
  <c r="E35" i="1"/>
  <c r="C35" i="1"/>
  <c r="F34" i="1"/>
  <c r="G34" i="1" s="1"/>
  <c r="E34" i="1"/>
  <c r="D34" i="1"/>
  <c r="C34" i="1"/>
  <c r="G33" i="1"/>
  <c r="F33" i="1"/>
  <c r="E33" i="1"/>
  <c r="D33" i="1"/>
  <c r="G32" i="1"/>
  <c r="F32" i="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F25" i="1"/>
  <c r="G25" i="1" s="1"/>
  <c r="E25" i="1"/>
  <c r="D25" i="1"/>
  <c r="C25" i="1"/>
  <c r="E24" i="1"/>
  <c r="D24" i="1"/>
  <c r="C24" i="1"/>
  <c r="F24" i="1" s="1"/>
  <c r="G24" i="1" s="1"/>
  <c r="E23" i="1"/>
  <c r="D23" i="1"/>
  <c r="C23" i="1"/>
  <c r="F23" i="1" s="1"/>
  <c r="G23" i="1" s="1"/>
  <c r="E22" i="1"/>
  <c r="D22" i="1"/>
  <c r="C22" i="1"/>
  <c r="F22" i="1" s="1"/>
  <c r="G22" i="1" s="1"/>
  <c r="F21" i="1"/>
  <c r="G21" i="1" s="1"/>
  <c r="E21" i="1"/>
  <c r="D21" i="1"/>
  <c r="C21" i="1"/>
  <c r="E16" i="1"/>
  <c r="D16" i="1"/>
  <c r="G16" i="1" s="1"/>
  <c r="G15" i="1"/>
  <c r="D15" i="1"/>
  <c r="E14" i="1"/>
  <c r="D14" i="1"/>
  <c r="G14" i="1" s="1"/>
  <c r="G13" i="1"/>
  <c r="E13" i="1"/>
  <c r="D13" i="1"/>
  <c r="G12" i="1"/>
  <c r="E12" i="1"/>
  <c r="D12" i="1"/>
  <c r="E11" i="1"/>
  <c r="D11" i="1"/>
  <c r="G11" i="1" s="1"/>
  <c r="F10" i="1"/>
  <c r="D10" i="1"/>
  <c r="G10" i="1" s="1"/>
  <c r="C35" i="8" l="1"/>
  <c r="C32" i="8"/>
  <c r="C31" i="8"/>
  <c r="C30" i="8"/>
  <c r="C16" i="8"/>
  <c r="C15" i="8"/>
  <c r="H24" i="7"/>
  <c r="G24" i="7"/>
  <c r="H22" i="7"/>
  <c r="G22" i="7"/>
  <c r="E22" i="7"/>
  <c r="D22" i="7"/>
  <c r="C22" i="7"/>
  <c r="H19" i="7"/>
  <c r="E19" i="7"/>
  <c r="C19" i="7"/>
  <c r="C13" i="7"/>
  <c r="C16" i="7"/>
  <c r="E16" i="7"/>
  <c r="E13" i="7"/>
  <c r="H16" i="7"/>
  <c r="H13" i="7"/>
  <c r="B24" i="7"/>
  <c r="A24" i="7"/>
  <c r="B22" i="7"/>
  <c r="A22" i="7"/>
  <c r="B20" i="7"/>
  <c r="B19" i="7"/>
  <c r="A19" i="7"/>
  <c r="A16" i="7"/>
  <c r="B16" i="7"/>
  <c r="B14" i="7"/>
  <c r="B13" i="7"/>
  <c r="A13" i="7"/>
  <c r="C67" i="8"/>
  <c r="C64" i="8" s="1"/>
  <c r="C66" i="8"/>
  <c r="G58" i="8"/>
  <c r="J58" i="8" s="1"/>
  <c r="J56" i="8"/>
  <c r="G52" i="8"/>
  <c r="D52" i="8"/>
  <c r="E51" i="8"/>
  <c r="C51" i="8"/>
  <c r="B51" i="8"/>
  <c r="C50" i="8"/>
  <c r="B50" i="8"/>
  <c r="C49" i="8"/>
  <c r="B49" i="8"/>
  <c r="C48" i="8"/>
  <c r="C47" i="8"/>
  <c r="B47" i="8"/>
  <c r="C46" i="8"/>
  <c r="B46" i="8"/>
  <c r="F41" i="8"/>
  <c r="G41" i="8" s="1"/>
  <c r="E41" i="8"/>
  <c r="D41" i="8"/>
  <c r="C41" i="8"/>
  <c r="E40" i="8"/>
  <c r="D40" i="8"/>
  <c r="F40" i="8"/>
  <c r="G40" i="8" s="1"/>
  <c r="E39" i="8"/>
  <c r="D39" i="8"/>
  <c r="F39" i="8"/>
  <c r="G39" i="8" s="1"/>
  <c r="E38" i="8"/>
  <c r="F38" i="8" s="1"/>
  <c r="G38" i="8" s="1"/>
  <c r="D38" i="8"/>
  <c r="C38" i="8"/>
  <c r="F37" i="8"/>
  <c r="G37" i="8" s="1"/>
  <c r="E37" i="8"/>
  <c r="D37" i="8"/>
  <c r="C37" i="8"/>
  <c r="E36" i="8"/>
  <c r="D36" i="8"/>
  <c r="C36" i="8"/>
  <c r="F36" i="8" s="1"/>
  <c r="G36" i="8" s="1"/>
  <c r="E35" i="8"/>
  <c r="F35" i="8"/>
  <c r="G35" i="8" s="1"/>
  <c r="E34" i="8"/>
  <c r="D34" i="8"/>
  <c r="C34" i="8"/>
  <c r="F34" i="8" s="1"/>
  <c r="G34" i="8" s="1"/>
  <c r="E33" i="8"/>
  <c r="F33" i="8" s="1"/>
  <c r="G33" i="8" s="1"/>
  <c r="D33" i="8"/>
  <c r="E32" i="8"/>
  <c r="F32" i="8" s="1"/>
  <c r="G32" i="8" s="1"/>
  <c r="D32" i="8"/>
  <c r="E31" i="8"/>
  <c r="F31" i="8" s="1"/>
  <c r="G31" i="8" s="1"/>
  <c r="D31" i="8"/>
  <c r="F30" i="8"/>
  <c r="G30" i="8" s="1"/>
  <c r="E30" i="8"/>
  <c r="D30" i="8"/>
  <c r="E29" i="8"/>
  <c r="D29" i="8"/>
  <c r="F29" i="8" s="1"/>
  <c r="G29" i="8" s="1"/>
  <c r="E28" i="8"/>
  <c r="D28" i="8"/>
  <c r="F28" i="8" s="1"/>
  <c r="G28" i="8" s="1"/>
  <c r="E27" i="8"/>
  <c r="D27" i="8"/>
  <c r="F27" i="8" s="1"/>
  <c r="G27" i="8" s="1"/>
  <c r="E26" i="8"/>
  <c r="D26" i="8"/>
  <c r="C26" i="8"/>
  <c r="F26" i="8" s="1"/>
  <c r="G26" i="8" s="1"/>
  <c r="E25" i="8"/>
  <c r="D25" i="8"/>
  <c r="C25" i="8"/>
  <c r="F25" i="8" s="1"/>
  <c r="G25" i="8" s="1"/>
  <c r="E24" i="8"/>
  <c r="C24" i="8"/>
  <c r="E23" i="8"/>
  <c r="C23" i="8"/>
  <c r="E22" i="8"/>
  <c r="D22" i="8"/>
  <c r="C22" i="8"/>
  <c r="F22" i="8" s="1"/>
  <c r="G22" i="8" s="1"/>
  <c r="E21" i="8"/>
  <c r="D21" i="8"/>
  <c r="E16" i="8"/>
  <c r="D16" i="8"/>
  <c r="G16" i="8" s="1"/>
  <c r="G15" i="8"/>
  <c r="D15" i="8"/>
  <c r="D51" i="8" s="1"/>
  <c r="G51" i="8" s="1"/>
  <c r="E14" i="8"/>
  <c r="E50" i="8" s="1"/>
  <c r="D14" i="8"/>
  <c r="D50" i="8" s="1"/>
  <c r="E13" i="8"/>
  <c r="D13" i="8"/>
  <c r="G13" i="8" s="1"/>
  <c r="G12" i="8"/>
  <c r="E12" i="8"/>
  <c r="D12" i="8"/>
  <c r="D48" i="8" s="1"/>
  <c r="E11" i="8"/>
  <c r="G11" i="8" s="1"/>
  <c r="D11" i="8"/>
  <c r="D47" i="8" s="1"/>
  <c r="G47" i="8" s="1"/>
  <c r="F10" i="8"/>
  <c r="F46" i="8" s="1"/>
  <c r="G46" i="8" s="1"/>
  <c r="D10" i="8"/>
  <c r="G10" i="8" s="1"/>
  <c r="G48" i="8" l="1"/>
  <c r="G50" i="8"/>
  <c r="G14" i="8"/>
  <c r="G17" i="8" s="1"/>
  <c r="G13" i="7" s="1"/>
  <c r="D23" i="8"/>
  <c r="F23" i="8" s="1"/>
  <c r="G23" i="8" s="1"/>
  <c r="D49" i="8"/>
  <c r="G49" i="8" s="1"/>
  <c r="G53" i="8" s="1"/>
  <c r="G19" i="7" s="1"/>
  <c r="C21" i="8"/>
  <c r="F21" i="8" s="1"/>
  <c r="G21" i="8" s="1"/>
  <c r="D24" i="8"/>
  <c r="F24" i="8" s="1"/>
  <c r="G24" i="8" s="1"/>
  <c r="J53" i="8" l="1"/>
  <c r="J54" i="8"/>
  <c r="I20" i="7" s="1"/>
  <c r="J18" i="8"/>
  <c r="I14" i="7" s="1"/>
  <c r="J17" i="8"/>
  <c r="G42" i="8"/>
  <c r="G16" i="7" s="1"/>
  <c r="J43" i="8" l="1"/>
  <c r="I17" i="7" s="1"/>
  <c r="J42" i="8"/>
  <c r="J60" i="8" s="1"/>
  <c r="C62" i="8" s="1"/>
  <c r="C65" i="8" l="1"/>
  <c r="E64" i="8"/>
  <c r="E65" i="8" s="1"/>
  <c r="B47" i="1"/>
  <c r="B49" i="1"/>
  <c r="B50" i="1"/>
  <c r="B51" i="1"/>
  <c r="B46" i="1"/>
  <c r="G17" i="1"/>
  <c r="D13" i="7" s="1"/>
  <c r="E24" i="7" l="1"/>
  <c r="C24" i="7"/>
  <c r="B17" i="7"/>
  <c r="A9" i="7"/>
  <c r="A8" i="7"/>
  <c r="I24" i="7" l="1"/>
  <c r="I22" i="7"/>
  <c r="C67" i="1"/>
  <c r="C66" i="1"/>
  <c r="G58" i="1"/>
  <c r="J56" i="1" l="1"/>
  <c r="F22" i="7"/>
  <c r="J22" i="7" s="1"/>
  <c r="J58" i="1"/>
  <c r="D24" i="7"/>
  <c r="F24" i="7" s="1"/>
  <c r="J24" i="7" s="1"/>
  <c r="C64" i="1"/>
  <c r="G42" i="1" l="1"/>
  <c r="D16" i="7" s="1"/>
  <c r="I19" i="7"/>
  <c r="I16" i="7" l="1"/>
  <c r="I13" i="7"/>
  <c r="I26" i="7" l="1"/>
  <c r="J6" i="7" s="1"/>
  <c r="G53" i="1" l="1"/>
  <c r="D19" i="7" s="1"/>
  <c r="J42" i="1" l="1"/>
  <c r="J43" i="1"/>
  <c r="J54" i="1"/>
  <c r="J53" i="1"/>
  <c r="F19" i="7"/>
  <c r="J19" i="7" s="1"/>
  <c r="J18" i="1"/>
  <c r="F14" i="7" s="1"/>
  <c r="J17" i="1"/>
  <c r="F13" i="7"/>
  <c r="J13" i="7" s="1"/>
  <c r="F16" i="7"/>
  <c r="J16" i="7" s="1"/>
  <c r="J14" i="7" l="1"/>
  <c r="F20" i="7"/>
  <c r="J20" i="7" s="1"/>
  <c r="F17" i="7"/>
  <c r="J17" i="7" s="1"/>
  <c r="J60" i="1"/>
  <c r="C62" i="1" s="1"/>
  <c r="C65" i="1" s="1"/>
  <c r="F26" i="7" l="1"/>
  <c r="E64" i="1"/>
  <c r="E65" i="1" s="1"/>
  <c r="C6" i="7"/>
  <c r="J26" i="7"/>
</calcChain>
</file>

<file path=xl/sharedStrings.xml><?xml version="1.0" encoding="utf-8"?>
<sst xmlns="http://schemas.openxmlformats.org/spreadsheetml/2006/main" count="155" uniqueCount="70">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</sst>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4" fontId="0" fillId="0" borderId="2" xfId="0" quotePrefix="1" applyNumberFormat="1" applyBorder="1" applyAlignment="1">
      <alignment horizontal="right"/>
    </xf>
    <xf numFmtId="165" fontId="10" fillId="0" borderId="2"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view="pageBreakPreview" topLeftCell="A46" zoomScale="90" zoomScaleNormal="100" zoomScaleSheetLayoutView="90" workbookViewId="0">
      <selection activeCell="G62" sqref="G62"/>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68" t="s">
        <v>0</v>
      </c>
      <c r="B1" s="68"/>
      <c r="C1" s="68"/>
      <c r="D1" s="68"/>
      <c r="E1" s="68"/>
      <c r="F1" s="68"/>
      <c r="G1" s="68"/>
      <c r="H1" s="68"/>
      <c r="I1" s="68"/>
      <c r="J1" s="68"/>
      <c r="K1" s="68"/>
    </row>
    <row r="2" spans="1:11" ht="22.5" x14ac:dyDescent="0.25">
      <c r="A2" s="69" t="s">
        <v>1</v>
      </c>
      <c r="B2" s="69"/>
      <c r="C2" s="69"/>
      <c r="D2" s="69"/>
      <c r="E2" s="69"/>
      <c r="F2" s="69"/>
      <c r="G2" s="69"/>
      <c r="H2" s="69"/>
      <c r="I2" s="69"/>
      <c r="J2" s="69"/>
      <c r="K2" s="69"/>
    </row>
    <row r="3" spans="1:11" x14ac:dyDescent="0.25">
      <c r="A3" s="70" t="s">
        <v>2</v>
      </c>
      <c r="B3" s="70"/>
      <c r="C3" s="70"/>
      <c r="D3" s="70"/>
      <c r="E3" s="70"/>
      <c r="F3" s="70"/>
      <c r="G3" s="70"/>
      <c r="H3" s="70"/>
      <c r="I3" s="70"/>
      <c r="J3" s="70"/>
      <c r="K3" s="70"/>
    </row>
    <row r="4" spans="1:11" x14ac:dyDescent="0.25">
      <c r="A4" s="70" t="s">
        <v>3</v>
      </c>
      <c r="B4" s="70"/>
      <c r="C4" s="70"/>
      <c r="D4" s="70"/>
      <c r="E4" s="70"/>
      <c r="F4" s="70"/>
      <c r="G4" s="70"/>
      <c r="H4" s="70"/>
      <c r="I4" s="70"/>
      <c r="J4" s="70"/>
      <c r="K4" s="70"/>
    </row>
    <row r="5" spans="1:11" ht="18.75" x14ac:dyDescent="0.3">
      <c r="A5" s="71" t="s">
        <v>4</v>
      </c>
      <c r="B5" s="71"/>
      <c r="C5" s="71"/>
      <c r="D5" s="71"/>
      <c r="E5" s="71"/>
      <c r="F5" s="71"/>
      <c r="G5" s="71"/>
      <c r="H5" s="71"/>
      <c r="I5" s="71"/>
      <c r="J5" s="71"/>
      <c r="K5" s="71"/>
    </row>
    <row r="6" spans="1:11" ht="15.75" x14ac:dyDescent="0.25">
      <c r="A6" s="66" t="s">
        <v>52</v>
      </c>
      <c r="B6" s="66"/>
      <c r="C6" s="66"/>
      <c r="D6" s="66"/>
      <c r="E6" s="66"/>
      <c r="F6" s="66"/>
      <c r="G6" s="1"/>
      <c r="H6" s="67" t="s">
        <v>5</v>
      </c>
      <c r="I6" s="67"/>
      <c r="J6" s="67"/>
      <c r="K6" s="67"/>
    </row>
    <row r="7" spans="1:11" ht="15.75" x14ac:dyDescent="0.25">
      <c r="A7" s="73" t="s">
        <v>6</v>
      </c>
      <c r="B7" s="73"/>
      <c r="C7" s="73"/>
      <c r="D7" s="73"/>
      <c r="E7" s="73"/>
      <c r="F7" s="73"/>
      <c r="G7" s="2"/>
      <c r="H7" s="74" t="s">
        <v>7</v>
      </c>
      <c r="I7" s="74"/>
      <c r="J7" s="74"/>
      <c r="K7" s="74"/>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54</v>
      </c>
      <c r="C9" s="29"/>
      <c r="D9" s="29"/>
      <c r="E9" s="29"/>
      <c r="F9" s="29"/>
      <c r="G9" s="29"/>
      <c r="H9" s="29"/>
      <c r="I9" s="29"/>
      <c r="J9" s="29"/>
      <c r="K9" s="29"/>
    </row>
    <row r="10" spans="1:11" x14ac:dyDescent="0.25">
      <c r="A10" s="59"/>
      <c r="B10" s="10" t="s">
        <v>57</v>
      </c>
      <c r="C10" s="43">
        <v>6</v>
      </c>
      <c r="D10" s="19">
        <f>0.3*4</f>
        <v>1.2</v>
      </c>
      <c r="E10" s="19"/>
      <c r="F10" s="19">
        <f>(9.333-1.17)/3.281</f>
        <v>2.48796098750381</v>
      </c>
      <c r="G10" s="20">
        <f>PRODUCT(C10:F10)</f>
        <v>17.91331911002743</v>
      </c>
      <c r="H10" s="29"/>
      <c r="I10" s="29"/>
      <c r="J10" s="29"/>
      <c r="K10" s="29"/>
    </row>
    <row r="11" spans="1:11" ht="15" customHeight="1" x14ac:dyDescent="0.25">
      <c r="A11" s="9"/>
      <c r="B11" s="10" t="s">
        <v>58</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60</v>
      </c>
      <c r="C13" s="43">
        <v>10</v>
      </c>
      <c r="D13" s="19">
        <f>2.5/3.281</f>
        <v>0.76196281621456874</v>
      </c>
      <c r="E13" s="19">
        <f>0.23*2</f>
        <v>0.46</v>
      </c>
      <c r="F13" s="19"/>
      <c r="G13" s="20">
        <f>PRODUCT(C13:F13)</f>
        <v>3.5050289545870164</v>
      </c>
      <c r="H13" s="21"/>
      <c r="I13" s="21"/>
      <c r="J13" s="21"/>
      <c r="K13" s="13"/>
    </row>
    <row r="14" spans="1:11" ht="15" customHeight="1" x14ac:dyDescent="0.25">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61</v>
      </c>
      <c r="C15" s="43">
        <v>-1</v>
      </c>
      <c r="D15" s="19">
        <f>1.8</f>
        <v>1.8</v>
      </c>
      <c r="E15" s="19">
        <v>1.8</v>
      </c>
      <c r="F15" s="19"/>
      <c r="G15" s="20">
        <f t="shared" si="0"/>
        <v>-3.24</v>
      </c>
      <c r="H15" s="21"/>
      <c r="I15" s="21"/>
      <c r="J15" s="21"/>
      <c r="K15" s="13"/>
    </row>
    <row r="16" spans="1:11" x14ac:dyDescent="0.25">
      <c r="A16" s="59"/>
      <c r="B16" s="45" t="s">
        <v>69</v>
      </c>
      <c r="C16" s="64">
        <v>2</v>
      </c>
      <c r="D16" s="63">
        <f>12.25/3.281</f>
        <v>3.7336177994513866</v>
      </c>
      <c r="E16" s="19">
        <f>0.23*2</f>
        <v>0.46</v>
      </c>
      <c r="F16" s="63"/>
      <c r="G16" s="30">
        <f t="shared" si="0"/>
        <v>3.434928375495276</v>
      </c>
      <c r="H16" s="29"/>
      <c r="I16" s="29"/>
      <c r="J16" s="29"/>
      <c r="K16" s="29"/>
    </row>
    <row r="17" spans="1:11" ht="15" customHeight="1" x14ac:dyDescent="0.25">
      <c r="A17" s="9"/>
      <c r="B17" s="10" t="s">
        <v>19</v>
      </c>
      <c r="C17" s="11"/>
      <c r="D17" s="12"/>
      <c r="E17" s="13"/>
      <c r="F17" s="13"/>
      <c r="G17" s="14">
        <f>SUM(G10:G16)</f>
        <v>88.774680461917129</v>
      </c>
      <c r="H17" s="15" t="s">
        <v>59</v>
      </c>
      <c r="I17" s="14">
        <v>915.42</v>
      </c>
      <c r="J17" s="16">
        <f>G17*I17</f>
        <v>81266.117988448168</v>
      </c>
      <c r="K17" s="13"/>
    </row>
    <row r="18" spans="1:11" ht="15" customHeight="1" x14ac:dyDescent="0.25">
      <c r="A18" s="9"/>
      <c r="B18" s="10" t="s">
        <v>21</v>
      </c>
      <c r="C18" s="11"/>
      <c r="D18" s="12"/>
      <c r="E18" s="13"/>
      <c r="F18" s="13"/>
      <c r="G18" s="14"/>
      <c r="H18" s="15"/>
      <c r="I18" s="14"/>
      <c r="J18" s="16">
        <f>0.13*G17*46827.87/100</f>
        <v>5404.2679547508551</v>
      </c>
      <c r="K18" s="13"/>
    </row>
    <row r="19" spans="1:11" x14ac:dyDescent="0.25">
      <c r="A19" s="59"/>
      <c r="B19" s="29"/>
      <c r="C19" s="29"/>
      <c r="D19" s="29"/>
      <c r="E19" s="29"/>
      <c r="F19" s="29"/>
      <c r="G19" s="29"/>
      <c r="H19" s="29"/>
      <c r="I19" s="29"/>
      <c r="J19" s="29"/>
      <c r="K19" s="29"/>
    </row>
    <row r="20" spans="1:11" s="17" customFormat="1" ht="45" x14ac:dyDescent="0.25">
      <c r="A20" s="25">
        <v>2</v>
      </c>
      <c r="B20" s="62" t="s">
        <v>55</v>
      </c>
      <c r="C20" s="26" t="s">
        <v>10</v>
      </c>
      <c r="D20" s="27" t="s">
        <v>22</v>
      </c>
      <c r="E20" s="27" t="s">
        <v>23</v>
      </c>
      <c r="F20" s="27" t="s">
        <v>24</v>
      </c>
      <c r="G20" s="20"/>
      <c r="H20" s="20"/>
      <c r="I20" s="20"/>
      <c r="J20" s="24"/>
      <c r="K20" s="28"/>
    </row>
    <row r="21" spans="1:11" ht="15" customHeight="1" x14ac:dyDescent="0.25">
      <c r="A21" s="25"/>
      <c r="B21" s="10" t="s">
        <v>62</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58</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63</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64</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65</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25">
      <c r="A31" s="9"/>
      <c r="B31" s="10" t="s">
        <v>63</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25">
      <c r="A32" s="9"/>
      <c r="B32" s="10" t="s">
        <v>64</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25">
      <c r="A33" s="9"/>
      <c r="B33" s="10" t="s">
        <v>66</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61</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25">
      <c r="A36" s="9"/>
      <c r="B36" s="10" t="s">
        <v>67</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68</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25">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1.037623498707485</v>
      </c>
      <c r="H42" s="15" t="s">
        <v>25</v>
      </c>
      <c r="I42" s="14">
        <v>131940</v>
      </c>
      <c r="J42" s="16">
        <f>G42*I42</f>
        <v>136904.04441946559</v>
      </c>
      <c r="K42" s="13"/>
    </row>
    <row r="43" spans="1:11" ht="15" customHeight="1" x14ac:dyDescent="0.25">
      <c r="A43" s="9"/>
      <c r="B43" s="10" t="s">
        <v>21</v>
      </c>
      <c r="C43" s="11"/>
      <c r="D43" s="12"/>
      <c r="E43" s="13"/>
      <c r="F43" s="13"/>
      <c r="G43" s="14"/>
      <c r="H43" s="15"/>
      <c r="I43" s="14"/>
      <c r="J43" s="16">
        <f>0.13*G42*106200</f>
        <v>14325.430023155539</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1" t="s">
        <v>53</v>
      </c>
      <c r="C45" s="44"/>
      <c r="D45" s="44"/>
      <c r="E45" s="44"/>
      <c r="F45" s="44"/>
      <c r="G45" s="44"/>
      <c r="H45" s="44"/>
      <c r="I45" s="44"/>
      <c r="J45" s="44"/>
      <c r="K45" s="44"/>
    </row>
    <row r="46" spans="1:11" x14ac:dyDescent="0.25">
      <c r="A46" s="59"/>
      <c r="B46" s="45" t="str">
        <f>B10</f>
        <v>-Column</v>
      </c>
      <c r="C46" s="64">
        <f>C10</f>
        <v>6</v>
      </c>
      <c r="D46" s="63">
        <v>0.3</v>
      </c>
      <c r="E46" s="63">
        <v>0.3</v>
      </c>
      <c r="F46" s="63">
        <f>F10</f>
        <v>2.48796098750381</v>
      </c>
      <c r="G46" s="30">
        <f>PRODUCT(C46:F46)</f>
        <v>1.3434989332520573</v>
      </c>
      <c r="H46" s="29"/>
      <c r="I46" s="29"/>
      <c r="J46" s="29"/>
      <c r="K46" s="29"/>
    </row>
    <row r="47" spans="1:11" x14ac:dyDescent="0.25">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25">
      <c r="A48" s="59"/>
      <c r="B48" s="45"/>
      <c r="C48" s="64">
        <f>C12</f>
        <v>3</v>
      </c>
      <c r="D48" s="63">
        <f>D12</f>
        <v>3.5812252362084727</v>
      </c>
      <c r="E48" s="63">
        <v>0.23</v>
      </c>
      <c r="F48" s="63">
        <v>0.23</v>
      </c>
      <c r="G48" s="30">
        <f t="shared" si="12"/>
        <v>0.56834044498628455</v>
      </c>
      <c r="H48" s="29"/>
      <c r="I48" s="29"/>
      <c r="J48" s="29"/>
      <c r="K48" s="29"/>
    </row>
    <row r="49" spans="1:11" x14ac:dyDescent="0.25">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25">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25">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25">
      <c r="A52" s="59"/>
      <c r="B52" s="45" t="s">
        <v>69</v>
      </c>
      <c r="C52" s="64">
        <v>2</v>
      </c>
      <c r="D52" s="63">
        <f>12.25/3.281</f>
        <v>3.7336177994513866</v>
      </c>
      <c r="E52" s="63">
        <v>0.23</v>
      </c>
      <c r="F52" s="63">
        <v>0.23</v>
      </c>
      <c r="G52" s="30">
        <f t="shared" ref="G52" si="13">PRODUCT(C52:F52)</f>
        <v>0.39501676318195678</v>
      </c>
      <c r="H52" s="29"/>
      <c r="I52" s="29"/>
      <c r="J52" s="29"/>
      <c r="K52" s="29"/>
    </row>
    <row r="53" spans="1:11" ht="15" customHeight="1" x14ac:dyDescent="0.25">
      <c r="A53" s="9"/>
      <c r="B53" s="10" t="s">
        <v>19</v>
      </c>
      <c r="C53" s="11"/>
      <c r="D53" s="12"/>
      <c r="E53" s="13"/>
      <c r="F53" s="13"/>
      <c r="G53" s="14">
        <f>SUM(G46:G52)</f>
        <v>10.0150520647497</v>
      </c>
      <c r="H53" s="15" t="s">
        <v>20</v>
      </c>
      <c r="I53" s="14">
        <v>13568.9</v>
      </c>
      <c r="J53" s="16">
        <f>G53*I53</f>
        <v>135893.23996138221</v>
      </c>
      <c r="K53" s="13"/>
    </row>
    <row r="54" spans="1:11" ht="15" customHeight="1" x14ac:dyDescent="0.25">
      <c r="A54" s="9"/>
      <c r="B54" s="10" t="s">
        <v>21</v>
      </c>
      <c r="C54" s="11"/>
      <c r="D54" s="12"/>
      <c r="E54" s="13"/>
      <c r="F54" s="13"/>
      <c r="G54" s="14"/>
      <c r="H54" s="15"/>
      <c r="I54" s="14"/>
      <c r="J54" s="16">
        <f>0.13*G53*9524.2</f>
        <v>12400.096653761584</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4">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391693.19700096396</v>
      </c>
      <c r="K60" s="18"/>
    </row>
    <row r="62" spans="1:11" s="17" customFormat="1" x14ac:dyDescent="0.25">
      <c r="A62" s="33"/>
      <c r="B62" s="28" t="s">
        <v>30</v>
      </c>
      <c r="C62" s="72">
        <f>J60</f>
        <v>391693.19700096396</v>
      </c>
      <c r="D62" s="72"/>
      <c r="E62" s="20">
        <v>100</v>
      </c>
      <c r="F62" s="34"/>
      <c r="G62" s="35"/>
      <c r="H62" s="34"/>
      <c r="I62" s="36"/>
      <c r="J62" s="37"/>
      <c r="K62" s="38"/>
    </row>
    <row r="63" spans="1:11" x14ac:dyDescent="0.25">
      <c r="A63" s="39"/>
      <c r="B63" s="28" t="s">
        <v>31</v>
      </c>
      <c r="C63" s="75">
        <v>250000</v>
      </c>
      <c r="D63" s="75"/>
      <c r="E63" s="20"/>
      <c r="F63" s="40"/>
      <c r="G63" s="41"/>
      <c r="H63" s="41"/>
      <c r="I63" s="41"/>
      <c r="J63" s="41"/>
      <c r="K63" s="40"/>
    </row>
    <row r="64" spans="1:11" x14ac:dyDescent="0.25">
      <c r="A64" s="39"/>
      <c r="B64" s="28" t="s">
        <v>32</v>
      </c>
      <c r="C64" s="75">
        <f>C63-C66-C67</f>
        <v>237500</v>
      </c>
      <c r="D64" s="75"/>
      <c r="E64" s="20">
        <f>C64/C62*100</f>
        <v>60.63419069272615</v>
      </c>
      <c r="F64" s="40"/>
      <c r="G64" s="41"/>
      <c r="H64" s="41"/>
      <c r="I64" s="41"/>
      <c r="J64" s="41"/>
      <c r="K64" s="40"/>
    </row>
    <row r="65" spans="1:11" x14ac:dyDescent="0.25">
      <c r="A65" s="39"/>
      <c r="B65" s="28" t="s">
        <v>33</v>
      </c>
      <c r="C65" s="72">
        <f>C62-C64</f>
        <v>154193.19700096396</v>
      </c>
      <c r="D65" s="72"/>
      <c r="E65" s="20">
        <f>100-E64</f>
        <v>39.36580930727385</v>
      </c>
      <c r="F65" s="40"/>
      <c r="G65" s="41"/>
      <c r="H65" s="41"/>
      <c r="I65" s="41"/>
      <c r="J65" s="41"/>
      <c r="K65" s="40"/>
    </row>
    <row r="66" spans="1:11" x14ac:dyDescent="0.25">
      <c r="A66" s="39"/>
      <c r="B66" s="28" t="s">
        <v>34</v>
      </c>
      <c r="C66" s="72">
        <f>C63*0.03</f>
        <v>7500</v>
      </c>
      <c r="D66" s="72"/>
      <c r="E66" s="20">
        <v>3</v>
      </c>
      <c r="F66" s="40"/>
      <c r="G66" s="41"/>
      <c r="H66" s="41"/>
      <c r="I66" s="41"/>
      <c r="J66" s="41"/>
      <c r="K66" s="40"/>
    </row>
    <row r="67" spans="1:11" x14ac:dyDescent="0.25">
      <c r="A67" s="39"/>
      <c r="B67" s="28" t="s">
        <v>51</v>
      </c>
      <c r="C67" s="72">
        <f>C63*0.02</f>
        <v>5000</v>
      </c>
      <c r="D67" s="72"/>
      <c r="E67" s="20">
        <v>2</v>
      </c>
      <c r="F67" s="40"/>
      <c r="G67" s="41"/>
      <c r="H67" s="41"/>
      <c r="I67" s="41"/>
      <c r="J67" s="41"/>
      <c r="K67" s="40"/>
    </row>
  </sheetData>
  <mergeCells count="15">
    <mergeCell ref="C66:D66"/>
    <mergeCell ref="C67:D67"/>
    <mergeCell ref="A7:F7"/>
    <mergeCell ref="H7:K7"/>
    <mergeCell ref="C62:D62"/>
    <mergeCell ref="C63:D63"/>
    <mergeCell ref="C64:D64"/>
    <mergeCell ref="C65:D65"/>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8" zoomScaleNormal="100" workbookViewId="0">
      <selection activeCell="H25" sqref="H25"/>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85" t="s">
        <v>0</v>
      </c>
      <c r="B1" s="85"/>
      <c r="C1" s="85"/>
      <c r="D1" s="85"/>
      <c r="E1" s="85"/>
      <c r="F1" s="85"/>
      <c r="G1" s="85"/>
      <c r="H1" s="85"/>
      <c r="I1" s="85"/>
      <c r="J1" s="85"/>
      <c r="K1" s="85"/>
    </row>
    <row r="2" spans="1:11" ht="25.5" x14ac:dyDescent="0.35">
      <c r="A2" s="86" t="s">
        <v>1</v>
      </c>
      <c r="B2" s="86"/>
      <c r="C2" s="86"/>
      <c r="D2" s="86"/>
      <c r="E2" s="86"/>
      <c r="F2" s="86"/>
      <c r="G2" s="86"/>
      <c r="H2" s="86"/>
      <c r="I2" s="86"/>
      <c r="J2" s="86"/>
      <c r="K2" s="86"/>
    </row>
    <row r="3" spans="1:11" s="17" customFormat="1" x14ac:dyDescent="0.25">
      <c r="A3" s="70" t="s">
        <v>2</v>
      </c>
      <c r="B3" s="70"/>
      <c r="C3" s="70"/>
      <c r="D3" s="70"/>
      <c r="E3" s="70"/>
      <c r="F3" s="70"/>
      <c r="G3" s="70"/>
      <c r="H3" s="70"/>
      <c r="I3" s="70"/>
      <c r="J3" s="70"/>
      <c r="K3" s="70"/>
    </row>
    <row r="4" spans="1:11" s="17" customFormat="1" x14ac:dyDescent="0.25">
      <c r="A4" s="70" t="s">
        <v>3</v>
      </c>
      <c r="B4" s="70"/>
      <c r="C4" s="70"/>
      <c r="D4" s="70"/>
      <c r="E4" s="70"/>
      <c r="F4" s="70"/>
      <c r="G4" s="70"/>
      <c r="H4" s="70"/>
      <c r="I4" s="70"/>
      <c r="J4" s="70"/>
      <c r="K4" s="70"/>
    </row>
    <row r="5" spans="1:11" ht="18.75" x14ac:dyDescent="0.3">
      <c r="A5" s="87" t="s">
        <v>36</v>
      </c>
      <c r="B5" s="87"/>
      <c r="C5" s="87"/>
      <c r="D5" s="87"/>
      <c r="E5" s="87"/>
      <c r="F5" s="87"/>
      <c r="G5" s="87"/>
      <c r="H5" s="87"/>
      <c r="I5" s="87"/>
      <c r="J5" s="87"/>
      <c r="K5" s="87"/>
    </row>
    <row r="6" spans="1:11" ht="18.75" x14ac:dyDescent="0.3">
      <c r="A6" s="46" t="s">
        <v>37</v>
      </c>
      <c r="B6" s="46"/>
      <c r="C6" s="83">
        <f>F26</f>
        <v>391693.19700096396</v>
      </c>
      <c r="D6" s="84"/>
      <c r="E6" s="47"/>
      <c r="F6" s="46"/>
      <c r="G6" s="46"/>
      <c r="H6" s="46" t="s">
        <v>38</v>
      </c>
      <c r="I6" s="46"/>
      <c r="J6" s="83">
        <f>I26</f>
        <v>366519.30316745536</v>
      </c>
      <c r="K6" s="84"/>
    </row>
    <row r="7" spans="1:11" x14ac:dyDescent="0.25">
      <c r="A7" s="48" t="s">
        <v>39</v>
      </c>
      <c r="B7" s="48"/>
      <c r="C7" s="48"/>
      <c r="D7" s="48"/>
      <c r="F7" s="79"/>
      <c r="G7" s="79"/>
      <c r="I7" s="80" t="s">
        <v>40</v>
      </c>
      <c r="J7" s="80"/>
      <c r="K7" s="80"/>
    </row>
    <row r="8" spans="1:11" ht="15.75" x14ac:dyDescent="0.25">
      <c r="A8" s="66" t="str">
        <f>Estimate!A6</f>
        <v>Project:- कालीमस्ट मन्दिर निर्माण</v>
      </c>
      <c r="B8" s="66"/>
      <c r="C8" s="66"/>
      <c r="D8" s="66"/>
      <c r="E8" s="66"/>
      <c r="F8" s="66"/>
      <c r="I8" s="81" t="s">
        <v>49</v>
      </c>
      <c r="J8" s="81"/>
      <c r="K8" s="81"/>
    </row>
    <row r="9" spans="1:11" x14ac:dyDescent="0.25">
      <c r="A9" s="82" t="str">
        <f>Estimate!A7</f>
        <v>Location:- Shankharapur Municipality 9</v>
      </c>
      <c r="B9" s="82"/>
      <c r="C9" s="82"/>
      <c r="D9" s="82"/>
      <c r="E9" s="82"/>
      <c r="F9" s="82"/>
      <c r="I9" s="81" t="s">
        <v>50</v>
      </c>
      <c r="J9" s="81"/>
      <c r="K9" s="81"/>
    </row>
    <row r="11" spans="1:11" x14ac:dyDescent="0.25">
      <c r="A11" s="77" t="s">
        <v>41</v>
      </c>
      <c r="B11" s="77" t="s">
        <v>42</v>
      </c>
      <c r="C11" s="77" t="s">
        <v>15</v>
      </c>
      <c r="D11" s="78" t="s">
        <v>43</v>
      </c>
      <c r="E11" s="78"/>
      <c r="F11" s="78"/>
      <c r="G11" s="78" t="s">
        <v>44</v>
      </c>
      <c r="H11" s="78"/>
      <c r="I11" s="78"/>
      <c r="J11" s="77" t="s">
        <v>45</v>
      </c>
      <c r="K11" s="76" t="s">
        <v>46</v>
      </c>
    </row>
    <row r="12" spans="1:11" x14ac:dyDescent="0.25">
      <c r="A12" s="77"/>
      <c r="B12" s="77"/>
      <c r="C12" s="77"/>
      <c r="D12" s="49" t="s">
        <v>47</v>
      </c>
      <c r="E12" s="49" t="s">
        <v>16</v>
      </c>
      <c r="F12" s="49" t="s">
        <v>17</v>
      </c>
      <c r="G12" s="49" t="s">
        <v>47</v>
      </c>
      <c r="H12" s="49" t="s">
        <v>16</v>
      </c>
      <c r="I12" s="49" t="s">
        <v>17</v>
      </c>
      <c r="J12" s="77"/>
      <c r="K12" s="76"/>
    </row>
    <row r="13" spans="1:11" s="17" customFormat="1" ht="30" x14ac:dyDescent="0.2">
      <c r="A13" s="60">
        <f>Estimate!A9</f>
        <v>1</v>
      </c>
      <c r="B13" s="61" t="str">
        <f>Estimate!B9</f>
        <v>kmnfd]sf] kfOk / KnfOaf]8{af6 kmdf{ agfpg] sfd</v>
      </c>
      <c r="C13" s="50" t="str">
        <f>Estimate!H17</f>
        <v>m2</v>
      </c>
      <c r="D13" s="50">
        <f>Estimate!G17</f>
        <v>88.774680461917129</v>
      </c>
      <c r="E13" s="50">
        <f>Estimate!I17</f>
        <v>915.42</v>
      </c>
      <c r="F13" s="50">
        <f>D13*E13</f>
        <v>81266.117988448168</v>
      </c>
      <c r="G13" s="50">
        <f>V!G17</f>
        <v>88.579752086421848</v>
      </c>
      <c r="H13" s="50">
        <f>V!I17</f>
        <v>915.42</v>
      </c>
      <c r="I13" s="50">
        <f>G13*H13</f>
        <v>81087.676654952287</v>
      </c>
      <c r="J13" s="51">
        <f>I13-F13</f>
        <v>-178.44133349588083</v>
      </c>
      <c r="K13" s="52"/>
    </row>
    <row r="14" spans="1:11" s="17" customFormat="1" ht="15.75" x14ac:dyDescent="0.25">
      <c r="A14" s="60"/>
      <c r="B14" s="58" t="str">
        <f>Estimate!B18</f>
        <v>VAT calculation</v>
      </c>
      <c r="C14" s="50"/>
      <c r="D14" s="50"/>
      <c r="E14" s="50"/>
      <c r="F14" s="50">
        <f>Estimate!J18</f>
        <v>5404.2679547508551</v>
      </c>
      <c r="G14" s="50"/>
      <c r="H14" s="50"/>
      <c r="I14" s="50">
        <f>V!J18</f>
        <v>5392.401449935749</v>
      </c>
      <c r="J14" s="51">
        <f>I14-F14</f>
        <v>-11.866504815106055</v>
      </c>
      <c r="K14" s="52"/>
    </row>
    <row r="15" spans="1:11" s="17" customFormat="1" x14ac:dyDescent="0.25">
      <c r="A15" s="25"/>
      <c r="B15" s="28"/>
      <c r="C15" s="50"/>
      <c r="D15" s="50"/>
      <c r="E15" s="50"/>
      <c r="F15" s="50"/>
      <c r="G15" s="50"/>
      <c r="H15" s="50"/>
      <c r="I15" s="50"/>
      <c r="J15" s="51"/>
      <c r="K15" s="52"/>
    </row>
    <row r="16" spans="1:11" s="17" customFormat="1" ht="30" x14ac:dyDescent="0.2">
      <c r="A16" s="60">
        <f>Estimate!A20</f>
        <v>2</v>
      </c>
      <c r="B16" s="61" t="str">
        <f>Estimate!B20</f>
        <v>cf/=;L=;L= nflu kmnfd] 808L sf6\g], df]8\g] #) dL6/ ;Dd</v>
      </c>
      <c r="C16" s="50" t="str">
        <f>Estimate!H42</f>
        <v>MT</v>
      </c>
      <c r="D16" s="50">
        <f>Estimate!G42</f>
        <v>1.037623498707485</v>
      </c>
      <c r="E16" s="50">
        <f>Estimate!I42</f>
        <v>131940</v>
      </c>
      <c r="F16" s="50">
        <f>D16*E16</f>
        <v>136904.04441946559</v>
      </c>
      <c r="G16" s="50">
        <f>V!G42</f>
        <v>0.86519057950564604</v>
      </c>
      <c r="H16" s="50">
        <f>V!I42</f>
        <v>131940</v>
      </c>
      <c r="I16" s="50">
        <f>G16*H16</f>
        <v>114153.24505997494</v>
      </c>
      <c r="J16" s="51">
        <f>I16-F16</f>
        <v>-22750.799359490644</v>
      </c>
      <c r="K16" s="52"/>
    </row>
    <row r="17" spans="1:11" s="17" customFormat="1" ht="15.75" x14ac:dyDescent="0.25">
      <c r="A17" s="60"/>
      <c r="B17" s="58" t="str">
        <f>Estimate!B18</f>
        <v>VAT calculation</v>
      </c>
      <c r="C17" s="50"/>
      <c r="D17" s="50"/>
      <c r="E17" s="50"/>
      <c r="F17" s="50">
        <f>Estimate!J43</f>
        <v>14325.430023155539</v>
      </c>
      <c r="G17" s="50"/>
      <c r="H17" s="50"/>
      <c r="I17" s="50">
        <f>V!J43</f>
        <v>11944.821140654951</v>
      </c>
      <c r="J17" s="51">
        <f>I17-F17</f>
        <v>-2380.6088825005882</v>
      </c>
      <c r="K17" s="52"/>
    </row>
    <row r="18" spans="1:11" s="17" customFormat="1" x14ac:dyDescent="0.25">
      <c r="A18" s="25"/>
      <c r="B18" s="28"/>
      <c r="C18" s="50"/>
      <c r="D18" s="50"/>
      <c r="E18" s="50"/>
      <c r="F18" s="50"/>
      <c r="G18" s="50"/>
      <c r="H18" s="50"/>
      <c r="I18" s="50"/>
      <c r="J18" s="51"/>
      <c r="K18" s="52"/>
    </row>
    <row r="19" spans="1:11" s="17" customFormat="1" ht="30" x14ac:dyDescent="0.2">
      <c r="A19" s="60">
        <f>Estimate!A45</f>
        <v>3</v>
      </c>
      <c r="B19" s="61" t="str">
        <f>Estimate!B45</f>
        <v>d]lzgsf] k|of]u u/L ;'k/ :6«Sr/df l;d]G6 s+lqm6 ug]{ sfd -!M!=%M#_</v>
      </c>
      <c r="C19" s="50" t="str">
        <f>Estimate!H53</f>
        <v>m3</v>
      </c>
      <c r="D19" s="50">
        <f>Estimate!G53</f>
        <v>10.0150520647497</v>
      </c>
      <c r="E19" s="50">
        <f>Estimate!I53</f>
        <v>13568.9</v>
      </c>
      <c r="F19" s="50">
        <f>D19*E19</f>
        <v>135893.23996138221</v>
      </c>
      <c r="G19" s="50">
        <f>V!G53</f>
        <v>10.025035301567742</v>
      </c>
      <c r="H19" s="50">
        <f>V!I53</f>
        <v>13568.9</v>
      </c>
      <c r="I19" s="50">
        <f>G19*H19</f>
        <v>136028.70150344254</v>
      </c>
      <c r="J19" s="51">
        <f>I19-F19</f>
        <v>135.4615420603368</v>
      </c>
      <c r="K19" s="52"/>
    </row>
    <row r="20" spans="1:11" s="17" customFormat="1" ht="15.75" x14ac:dyDescent="0.25">
      <c r="A20" s="60"/>
      <c r="B20" s="58" t="str">
        <f>Estimate!B54</f>
        <v>VAT calculation</v>
      </c>
      <c r="C20" s="50"/>
      <c r="D20" s="50"/>
      <c r="E20" s="50"/>
      <c r="F20" s="50">
        <f>Estimate!J54</f>
        <v>12400.096653761584</v>
      </c>
      <c r="G20" s="50"/>
      <c r="H20" s="50"/>
      <c r="I20" s="50">
        <f>V!J54</f>
        <v>12412.457358494896</v>
      </c>
      <c r="J20" s="51">
        <f>I20-F20</f>
        <v>12.36070473331165</v>
      </c>
      <c r="K20" s="52"/>
    </row>
    <row r="21" spans="1:11" s="17" customFormat="1" x14ac:dyDescent="0.25">
      <c r="A21" s="25"/>
      <c r="B21" s="28"/>
      <c r="C21" s="50"/>
      <c r="D21" s="50"/>
      <c r="E21" s="50"/>
      <c r="F21" s="50"/>
      <c r="G21" s="50"/>
      <c r="H21" s="50"/>
      <c r="I21" s="50"/>
      <c r="J21" s="51"/>
      <c r="K21" s="52"/>
    </row>
    <row r="22" spans="1:11" s="17" customFormat="1" ht="15.75" x14ac:dyDescent="0.25">
      <c r="A22" s="60">
        <f>Estimate!A56</f>
        <v>4</v>
      </c>
      <c r="B22" s="53" t="str">
        <f>Estimate!B56</f>
        <v>Provisional sum for lab test</v>
      </c>
      <c r="C22" s="50" t="str">
        <f>Estimate!H56</f>
        <v>PS</v>
      </c>
      <c r="D22" s="50">
        <f>Estimate!G56</f>
        <v>1</v>
      </c>
      <c r="E22" s="50">
        <f>Estimate!I56</f>
        <v>5000</v>
      </c>
      <c r="F22" s="50">
        <f>D22*E22</f>
        <v>5000</v>
      </c>
      <c r="G22" s="50">
        <f>V!G56</f>
        <v>1</v>
      </c>
      <c r="H22" s="50">
        <f>V!I56</f>
        <v>5000</v>
      </c>
      <c r="I22" s="50">
        <f>G22*H22</f>
        <v>5000</v>
      </c>
      <c r="J22" s="51">
        <f>I22-F22</f>
        <v>0</v>
      </c>
      <c r="K22" s="52"/>
    </row>
    <row r="23" spans="1:11" s="17" customFormat="1" x14ac:dyDescent="0.25">
      <c r="A23" s="25"/>
      <c r="B23" s="28"/>
      <c r="C23" s="50"/>
      <c r="D23" s="50"/>
      <c r="E23" s="50"/>
      <c r="F23" s="50"/>
      <c r="G23" s="50"/>
      <c r="H23" s="50"/>
      <c r="I23" s="50"/>
      <c r="J23" s="51"/>
      <c r="K23" s="52"/>
    </row>
    <row r="24" spans="1:11" s="17" customFormat="1" x14ac:dyDescent="0.25">
      <c r="A24" s="60">
        <f>Estimate!A58</f>
        <v>5</v>
      </c>
      <c r="B24" s="54" t="str">
        <f>Estimate!B58</f>
        <v>Information board (सुचना पाटि)</v>
      </c>
      <c r="C24" s="50" t="str">
        <f>Estimate!H58</f>
        <v>no.</v>
      </c>
      <c r="D24" s="50">
        <f>Estimate!G58</f>
        <v>1</v>
      </c>
      <c r="E24" s="50">
        <f>Estimate!I58</f>
        <v>500</v>
      </c>
      <c r="F24" s="50">
        <f>D24*E24</f>
        <v>500</v>
      </c>
      <c r="G24" s="50">
        <f>V!G58</f>
        <v>1</v>
      </c>
      <c r="H24" s="50">
        <f>V!I58</f>
        <v>500</v>
      </c>
      <c r="I24" s="50">
        <f>G24*H24</f>
        <v>500</v>
      </c>
      <c r="J24" s="51">
        <f>I24-F24</f>
        <v>0</v>
      </c>
      <c r="K24" s="52"/>
    </row>
    <row r="25" spans="1:11" s="17" customFormat="1" x14ac:dyDescent="0.25">
      <c r="A25" s="28"/>
      <c r="B25" s="28"/>
      <c r="C25" s="50"/>
      <c r="D25" s="50"/>
      <c r="E25" s="50"/>
      <c r="F25" s="50"/>
      <c r="G25" s="50"/>
      <c r="H25" s="50"/>
      <c r="I25" s="50"/>
      <c r="J25" s="51"/>
      <c r="K25" s="52"/>
    </row>
    <row r="26" spans="1:11" x14ac:dyDescent="0.25">
      <c r="A26" s="29"/>
      <c r="B26" s="55" t="s">
        <v>48</v>
      </c>
      <c r="C26" s="55"/>
      <c r="D26" s="56"/>
      <c r="E26" s="56"/>
      <c r="F26" s="56">
        <f>SUM(F13:F24)</f>
        <v>391693.19700096396</v>
      </c>
      <c r="G26" s="56"/>
      <c r="H26" s="56"/>
      <c r="I26" s="56">
        <f>SUM(I13:I24)</f>
        <v>366519.30316745536</v>
      </c>
      <c r="J26" s="57">
        <f>I26-F26</f>
        <v>-25173.893833508599</v>
      </c>
      <c r="K26" s="29"/>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topLeftCell="A19" zoomScaleNormal="100" zoomScaleSheetLayoutView="90" workbookViewId="0">
      <selection activeCell="I27" sqref="I27"/>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68" t="s">
        <v>0</v>
      </c>
      <c r="B1" s="68"/>
      <c r="C1" s="68"/>
      <c r="D1" s="68"/>
      <c r="E1" s="68"/>
      <c r="F1" s="68"/>
      <c r="G1" s="68"/>
      <c r="H1" s="68"/>
      <c r="I1" s="68"/>
      <c r="J1" s="68"/>
      <c r="K1" s="68"/>
    </row>
    <row r="2" spans="1:11" ht="22.5" x14ac:dyDescent="0.25">
      <c r="A2" s="69" t="s">
        <v>1</v>
      </c>
      <c r="B2" s="69"/>
      <c r="C2" s="69"/>
      <c r="D2" s="69"/>
      <c r="E2" s="69"/>
      <c r="F2" s="69"/>
      <c r="G2" s="69"/>
      <c r="H2" s="69"/>
      <c r="I2" s="69"/>
      <c r="J2" s="69"/>
      <c r="K2" s="69"/>
    </row>
    <row r="3" spans="1:11" x14ac:dyDescent="0.25">
      <c r="A3" s="70" t="s">
        <v>2</v>
      </c>
      <c r="B3" s="70"/>
      <c r="C3" s="70"/>
      <c r="D3" s="70"/>
      <c r="E3" s="70"/>
      <c r="F3" s="70"/>
      <c r="G3" s="70"/>
      <c r="H3" s="70"/>
      <c r="I3" s="70"/>
      <c r="J3" s="70"/>
      <c r="K3" s="70"/>
    </row>
    <row r="4" spans="1:11" x14ac:dyDescent="0.25">
      <c r="A4" s="70" t="s">
        <v>3</v>
      </c>
      <c r="B4" s="70"/>
      <c r="C4" s="70"/>
      <c r="D4" s="70"/>
      <c r="E4" s="70"/>
      <c r="F4" s="70"/>
      <c r="G4" s="70"/>
      <c r="H4" s="70"/>
      <c r="I4" s="70"/>
      <c r="J4" s="70"/>
      <c r="K4" s="70"/>
    </row>
    <row r="5" spans="1:11" ht="18.75" x14ac:dyDescent="0.3">
      <c r="A5" s="71" t="s">
        <v>4</v>
      </c>
      <c r="B5" s="71"/>
      <c r="C5" s="71"/>
      <c r="D5" s="71"/>
      <c r="E5" s="71"/>
      <c r="F5" s="71"/>
      <c r="G5" s="71"/>
      <c r="H5" s="71"/>
      <c r="I5" s="71"/>
      <c r="J5" s="71"/>
      <c r="K5" s="71"/>
    </row>
    <row r="6" spans="1:11" ht="15.75" x14ac:dyDescent="0.25">
      <c r="A6" s="66" t="s">
        <v>52</v>
      </c>
      <c r="B6" s="66"/>
      <c r="C6" s="66"/>
      <c r="D6" s="66"/>
      <c r="E6" s="66"/>
      <c r="F6" s="66"/>
      <c r="G6" s="1"/>
      <c r="H6" s="67" t="s">
        <v>5</v>
      </c>
      <c r="I6" s="67"/>
      <c r="J6" s="67"/>
      <c r="K6" s="67"/>
    </row>
    <row r="7" spans="1:11" ht="15.75" x14ac:dyDescent="0.25">
      <c r="A7" s="73" t="s">
        <v>6</v>
      </c>
      <c r="B7" s="73"/>
      <c r="C7" s="73"/>
      <c r="D7" s="73"/>
      <c r="E7" s="73"/>
      <c r="F7" s="73"/>
      <c r="G7" s="2"/>
      <c r="H7" s="74" t="s">
        <v>7</v>
      </c>
      <c r="I7" s="74"/>
      <c r="J7" s="74"/>
      <c r="K7" s="74"/>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54</v>
      </c>
      <c r="C9" s="29"/>
      <c r="D9" s="29"/>
      <c r="E9" s="29"/>
      <c r="F9" s="29"/>
      <c r="G9" s="29"/>
      <c r="H9" s="29"/>
      <c r="I9" s="29"/>
      <c r="J9" s="29"/>
      <c r="K9" s="29"/>
    </row>
    <row r="10" spans="1:11" x14ac:dyDescent="0.25">
      <c r="A10" s="59"/>
      <c r="B10" s="10" t="s">
        <v>57</v>
      </c>
      <c r="C10" s="43">
        <v>6</v>
      </c>
      <c r="D10" s="19">
        <f>0.3*4</f>
        <v>1.2</v>
      </c>
      <c r="E10" s="19"/>
      <c r="F10" s="19">
        <f>(9.333-1.17)/3.281</f>
        <v>2.48796098750381</v>
      </c>
      <c r="G10" s="20">
        <f>PRODUCT(C10:F10)</f>
        <v>17.91331911002743</v>
      </c>
      <c r="H10" s="29"/>
      <c r="I10" s="29"/>
      <c r="J10" s="29"/>
      <c r="K10" s="29"/>
    </row>
    <row r="11" spans="1:11" ht="15" customHeight="1" x14ac:dyDescent="0.25">
      <c r="A11" s="9"/>
      <c r="B11" s="10" t="s">
        <v>58</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60</v>
      </c>
      <c r="C13" s="43">
        <v>10</v>
      </c>
      <c r="D13" s="19">
        <f>2.5/3.281</f>
        <v>0.76196281621456874</v>
      </c>
      <c r="E13" s="19">
        <f>0.23*2</f>
        <v>0.46</v>
      </c>
      <c r="F13" s="19"/>
      <c r="G13" s="20">
        <f>PRODUCT(C13:F13)</f>
        <v>3.5050289545870164</v>
      </c>
      <c r="H13" s="21"/>
      <c r="I13" s="21"/>
      <c r="J13" s="21"/>
      <c r="K13" s="13"/>
    </row>
    <row r="14" spans="1:11" ht="15" customHeight="1" x14ac:dyDescent="0.25">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61</v>
      </c>
      <c r="C15" s="43">
        <f>0*-1</f>
        <v>0</v>
      </c>
      <c r="D15" s="19">
        <f>1.8</f>
        <v>1.8</v>
      </c>
      <c r="E15" s="19">
        <v>1.8</v>
      </c>
      <c r="F15" s="19"/>
      <c r="G15" s="20">
        <f t="shared" si="0"/>
        <v>0</v>
      </c>
      <c r="H15" s="21"/>
      <c r="I15" s="21"/>
      <c r="J15" s="21"/>
      <c r="K15" s="13"/>
    </row>
    <row r="16" spans="1:11" x14ac:dyDescent="0.25">
      <c r="A16" s="59"/>
      <c r="B16" s="45" t="s">
        <v>69</v>
      </c>
      <c r="C16" s="64">
        <f>0*2</f>
        <v>0</v>
      </c>
      <c r="D16" s="63">
        <f>12.25/3.281</f>
        <v>3.7336177994513866</v>
      </c>
      <c r="E16" s="19">
        <f>0.23*2</f>
        <v>0.46</v>
      </c>
      <c r="F16" s="63"/>
      <c r="G16" s="30">
        <f t="shared" si="0"/>
        <v>0</v>
      </c>
      <c r="H16" s="29"/>
      <c r="I16" s="29"/>
      <c r="J16" s="29"/>
      <c r="K16" s="29"/>
    </row>
    <row r="17" spans="1:11" ht="15" customHeight="1" x14ac:dyDescent="0.25">
      <c r="A17" s="9"/>
      <c r="B17" s="10" t="s">
        <v>19</v>
      </c>
      <c r="C17" s="11"/>
      <c r="D17" s="12"/>
      <c r="E17" s="13"/>
      <c r="F17" s="13"/>
      <c r="G17" s="14">
        <f>SUM(G10:G16)</f>
        <v>88.579752086421848</v>
      </c>
      <c r="H17" s="15" t="s">
        <v>59</v>
      </c>
      <c r="I17" s="14">
        <v>915.42</v>
      </c>
      <c r="J17" s="16">
        <f>G17*I17</f>
        <v>81087.676654952287</v>
      </c>
      <c r="K17" s="13"/>
    </row>
    <row r="18" spans="1:11" ht="15" customHeight="1" x14ac:dyDescent="0.25">
      <c r="A18" s="9"/>
      <c r="B18" s="10" t="s">
        <v>21</v>
      </c>
      <c r="C18" s="11"/>
      <c r="D18" s="12"/>
      <c r="E18" s="13"/>
      <c r="F18" s="13"/>
      <c r="G18" s="14"/>
      <c r="H18" s="15"/>
      <c r="I18" s="14"/>
      <c r="J18" s="16">
        <f>0.13*G17*46827.87/100</f>
        <v>5392.401449935749</v>
      </c>
      <c r="K18" s="13"/>
    </row>
    <row r="19" spans="1:11" x14ac:dyDescent="0.25">
      <c r="A19" s="59"/>
      <c r="B19" s="29"/>
      <c r="C19" s="29"/>
      <c r="D19" s="29"/>
      <c r="E19" s="29"/>
      <c r="F19" s="29"/>
      <c r="G19" s="29"/>
      <c r="H19" s="29"/>
      <c r="I19" s="29"/>
      <c r="J19" s="29"/>
      <c r="K19" s="29"/>
    </row>
    <row r="20" spans="1:11" s="17" customFormat="1" ht="45" x14ac:dyDescent="0.25">
      <c r="A20" s="25">
        <v>2</v>
      </c>
      <c r="B20" s="62" t="s">
        <v>55</v>
      </c>
      <c r="C20" s="26" t="s">
        <v>10</v>
      </c>
      <c r="D20" s="27" t="s">
        <v>22</v>
      </c>
      <c r="E20" s="27" t="s">
        <v>23</v>
      </c>
      <c r="F20" s="27" t="s">
        <v>24</v>
      </c>
      <c r="G20" s="20"/>
      <c r="H20" s="20"/>
      <c r="I20" s="20"/>
      <c r="J20" s="24"/>
      <c r="K20" s="28"/>
    </row>
    <row r="21" spans="1:11" ht="15" customHeight="1" x14ac:dyDescent="0.25">
      <c r="A21" s="25"/>
      <c r="B21" s="10" t="s">
        <v>62</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58</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63</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64</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65</v>
      </c>
      <c r="C30" s="22">
        <f>0*2*5</f>
        <v>0</v>
      </c>
      <c r="D30" s="30">
        <f>(13.75-0.333+2*(7/12/3.281))</f>
        <v>13.772582647566798</v>
      </c>
      <c r="E30" s="13">
        <f>12*12/162</f>
        <v>0.88888888888888884</v>
      </c>
      <c r="F30" s="20">
        <f>PRODUCT(C30:E30)</f>
        <v>0</v>
      </c>
      <c r="G30" s="20">
        <f>F30/1000</f>
        <v>0</v>
      </c>
      <c r="H30" s="29"/>
      <c r="I30" s="29"/>
      <c r="J30" s="29"/>
      <c r="K30" s="29"/>
    </row>
    <row r="31" spans="1:11" ht="15" customHeight="1" x14ac:dyDescent="0.25">
      <c r="A31" s="9"/>
      <c r="B31" s="10" t="s">
        <v>63</v>
      </c>
      <c r="C31" s="11">
        <f>0*(29)*2</f>
        <v>0</v>
      </c>
      <c r="D31" s="12">
        <f>(0.3*2+(0.583/3.281)*2+0.075*2)</f>
        <v>1.1053794574824747</v>
      </c>
      <c r="E31" s="13">
        <f t="shared" ref="E31" si="6">8*8/162</f>
        <v>0.39506172839506171</v>
      </c>
      <c r="F31" s="20">
        <f>PRODUCT(C31:E31)</f>
        <v>0</v>
      </c>
      <c r="G31" s="20">
        <f>F31/1000</f>
        <v>0</v>
      </c>
      <c r="H31" s="15"/>
      <c r="I31" s="14"/>
      <c r="J31" s="16"/>
      <c r="K31" s="13"/>
    </row>
    <row r="32" spans="1:11" ht="15" customHeight="1" x14ac:dyDescent="0.25">
      <c r="A32" s="9"/>
      <c r="B32" s="10" t="s">
        <v>64</v>
      </c>
      <c r="C32" s="11">
        <f>0*4</f>
        <v>0</v>
      </c>
      <c r="D32" s="12">
        <f>0.3*(13.75-0.75)/3.281</f>
        <v>1.1886619932947271</v>
      </c>
      <c r="E32" s="13">
        <f>12*12/162</f>
        <v>0.88888888888888884</v>
      </c>
      <c r="F32" s="20">
        <f t="shared" ref="F32" si="7">PRODUCT(C32:E32)</f>
        <v>0</v>
      </c>
      <c r="G32" s="65">
        <f t="shared" ref="G32" si="8">F32/1000</f>
        <v>0</v>
      </c>
      <c r="H32" s="15"/>
      <c r="I32" s="14"/>
      <c r="J32" s="16"/>
      <c r="K32" s="13"/>
    </row>
    <row r="33" spans="1:11" ht="15" customHeight="1" x14ac:dyDescent="0.25">
      <c r="A33" s="9"/>
      <c r="B33" s="10" t="s">
        <v>66</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61</v>
      </c>
      <c r="C35" s="11">
        <f>0*2*(6*2+1)</f>
        <v>0</v>
      </c>
      <c r="D35" s="12">
        <v>1.8</v>
      </c>
      <c r="E35" s="13">
        <f>8*8/162</f>
        <v>0.39506172839506171</v>
      </c>
      <c r="F35" s="20">
        <f>PRODUCT(C35:E35)</f>
        <v>0</v>
      </c>
      <c r="G35" s="20">
        <f>F35/1000</f>
        <v>0</v>
      </c>
      <c r="H35" s="15"/>
      <c r="I35" s="14"/>
      <c r="J35" s="16"/>
      <c r="K35" s="13"/>
    </row>
    <row r="36" spans="1:11" ht="15" customHeight="1" x14ac:dyDescent="0.25">
      <c r="A36" s="9"/>
      <c r="B36" s="10" t="s">
        <v>67</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68</v>
      </c>
      <c r="C39" s="11">
        <f>2*10*2</f>
        <v>40</v>
      </c>
      <c r="D39" s="12">
        <f>7.083/3.281</f>
        <v>2.1587930508991162</v>
      </c>
      <c r="E39" s="13">
        <f t="shared" si="9"/>
        <v>0.39506172839506171</v>
      </c>
      <c r="F39" s="20">
        <f t="shared" si="10"/>
        <v>34.114260557418135</v>
      </c>
      <c r="G39" s="20">
        <f t="shared" si="11"/>
        <v>3.4114260557418133E-2</v>
      </c>
      <c r="H39" s="15"/>
      <c r="I39" s="14"/>
      <c r="J39" s="16"/>
      <c r="K39" s="13"/>
    </row>
    <row r="40" spans="1:11" ht="15" customHeight="1" x14ac:dyDescent="0.25">
      <c r="A40" s="9"/>
      <c r="B40" s="10"/>
      <c r="C40" s="11">
        <f>0*12*2</f>
        <v>0</v>
      </c>
      <c r="D40" s="12">
        <f>6.583/3.281</f>
        <v>2.0064004876562023</v>
      </c>
      <c r="E40" s="13">
        <f t="shared" si="9"/>
        <v>0.39506172839506171</v>
      </c>
      <c r="F40" s="20">
        <f t="shared" si="10"/>
        <v>0</v>
      </c>
      <c r="G40" s="20">
        <f t="shared" si="11"/>
        <v>0</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0.86519057950564604</v>
      </c>
      <c r="H42" s="15" t="s">
        <v>25</v>
      </c>
      <c r="I42" s="14">
        <v>131940</v>
      </c>
      <c r="J42" s="16">
        <f>G42*I42</f>
        <v>114153.24505997494</v>
      </c>
      <c r="K42" s="13"/>
    </row>
    <row r="43" spans="1:11" ht="15" customHeight="1" x14ac:dyDescent="0.25">
      <c r="A43" s="9"/>
      <c r="B43" s="10" t="s">
        <v>21</v>
      </c>
      <c r="C43" s="11"/>
      <c r="D43" s="12"/>
      <c r="E43" s="13"/>
      <c r="F43" s="13"/>
      <c r="G43" s="14"/>
      <c r="H43" s="15"/>
      <c r="I43" s="14"/>
      <c r="J43" s="16">
        <f>0.13*G42*106200</f>
        <v>11944.821140654951</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1" t="s">
        <v>53</v>
      </c>
      <c r="C45" s="44"/>
      <c r="D45" s="44"/>
      <c r="E45" s="44"/>
      <c r="F45" s="44"/>
      <c r="G45" s="44"/>
      <c r="H45" s="44"/>
      <c r="I45" s="44"/>
      <c r="J45" s="44"/>
      <c r="K45" s="44"/>
    </row>
    <row r="46" spans="1:11" x14ac:dyDescent="0.25">
      <c r="A46" s="59"/>
      <c r="B46" s="45" t="str">
        <f>B10</f>
        <v>-Column</v>
      </c>
      <c r="C46" s="64">
        <f>C10</f>
        <v>6</v>
      </c>
      <c r="D46" s="63">
        <v>0.3</v>
      </c>
      <c r="E46" s="63">
        <v>0.3</v>
      </c>
      <c r="F46" s="63">
        <f>F10</f>
        <v>2.48796098750381</v>
      </c>
      <c r="G46" s="30">
        <f>PRODUCT(C46:F46)</f>
        <v>1.3434989332520573</v>
      </c>
      <c r="H46" s="29"/>
      <c r="I46" s="29"/>
      <c r="J46" s="29"/>
      <c r="K46" s="29"/>
    </row>
    <row r="47" spans="1:11" x14ac:dyDescent="0.25">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25">
      <c r="A48" s="59"/>
      <c r="B48" s="45"/>
      <c r="C48" s="64">
        <f>C12</f>
        <v>3</v>
      </c>
      <c r="D48" s="63">
        <f>D12</f>
        <v>3.5812252362084727</v>
      </c>
      <c r="E48" s="63">
        <v>0.23</v>
      </c>
      <c r="F48" s="63">
        <v>0.23</v>
      </c>
      <c r="G48" s="30">
        <f t="shared" si="12"/>
        <v>0.56834044498628455</v>
      </c>
      <c r="H48" s="29"/>
      <c r="I48" s="29"/>
      <c r="J48" s="29"/>
      <c r="K48" s="29"/>
    </row>
    <row r="49" spans="1:11" x14ac:dyDescent="0.25">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25">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25">
      <c r="A51" s="59"/>
      <c r="B51" s="45" t="str">
        <f>B15</f>
        <v>-deduction for hollow portion</v>
      </c>
      <c r="C51" s="64">
        <f>C15</f>
        <v>0</v>
      </c>
      <c r="D51" s="63">
        <f>D15</f>
        <v>1.8</v>
      </c>
      <c r="E51" s="63">
        <f>E15</f>
        <v>1.8</v>
      </c>
      <c r="F51" s="63">
        <v>0.125</v>
      </c>
      <c r="G51" s="30">
        <f>PRODUCT(C51:F51)</f>
        <v>0</v>
      </c>
      <c r="H51" s="29"/>
      <c r="I51" s="29"/>
      <c r="J51" s="29"/>
      <c r="K51" s="29"/>
    </row>
    <row r="52" spans="1:11" x14ac:dyDescent="0.25">
      <c r="A52" s="59"/>
      <c r="B52" s="45" t="s">
        <v>69</v>
      </c>
      <c r="C52" s="64">
        <f>0*2</f>
        <v>0</v>
      </c>
      <c r="D52" s="63">
        <f>12.25/3.281</f>
        <v>3.7336177994513866</v>
      </c>
      <c r="E52" s="63">
        <v>0.23</v>
      </c>
      <c r="F52" s="63">
        <v>0.23</v>
      </c>
      <c r="G52" s="30">
        <f t="shared" ref="G52" si="13">PRODUCT(C52:F52)</f>
        <v>0</v>
      </c>
      <c r="H52" s="29"/>
      <c r="I52" s="29"/>
      <c r="J52" s="29"/>
      <c r="K52" s="29"/>
    </row>
    <row r="53" spans="1:11" ht="15" customHeight="1" x14ac:dyDescent="0.25">
      <c r="A53" s="9"/>
      <c r="B53" s="10" t="s">
        <v>19</v>
      </c>
      <c r="C53" s="11"/>
      <c r="D53" s="12"/>
      <c r="E53" s="13"/>
      <c r="F53" s="13"/>
      <c r="G53" s="14">
        <f>SUM(G46:G52)</f>
        <v>10.025035301567742</v>
      </c>
      <c r="H53" s="15" t="s">
        <v>20</v>
      </c>
      <c r="I53" s="14">
        <v>13568.9</v>
      </c>
      <c r="J53" s="16">
        <f>G53*I53</f>
        <v>136028.70150344254</v>
      </c>
      <c r="K53" s="13"/>
    </row>
    <row r="54" spans="1:11" ht="15" customHeight="1" x14ac:dyDescent="0.25">
      <c r="A54" s="9"/>
      <c r="B54" s="10" t="s">
        <v>21</v>
      </c>
      <c r="C54" s="11"/>
      <c r="D54" s="12"/>
      <c r="E54" s="13"/>
      <c r="F54" s="13"/>
      <c r="G54" s="14"/>
      <c r="H54" s="15"/>
      <c r="I54" s="14"/>
      <c r="J54" s="16">
        <f>0.13*G53*9524.2</f>
        <v>12412.457358494896</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4">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366519.30316745536</v>
      </c>
      <c r="K60" s="18"/>
    </row>
    <row r="62" spans="1:11" s="17" customFormat="1" x14ac:dyDescent="0.25">
      <c r="A62" s="33"/>
      <c r="B62" s="28" t="s">
        <v>30</v>
      </c>
      <c r="C62" s="72">
        <f>J60</f>
        <v>366519.30316745536</v>
      </c>
      <c r="D62" s="72"/>
      <c r="E62" s="20">
        <v>100</v>
      </c>
      <c r="F62" s="34"/>
      <c r="G62" s="35"/>
      <c r="H62" s="34"/>
      <c r="I62" s="36"/>
      <c r="J62" s="37"/>
      <c r="K62" s="38"/>
    </row>
    <row r="63" spans="1:11" x14ac:dyDescent="0.25">
      <c r="A63" s="39"/>
      <c r="B63" s="28" t="s">
        <v>31</v>
      </c>
      <c r="C63" s="75">
        <v>250000</v>
      </c>
      <c r="D63" s="75"/>
      <c r="E63" s="20"/>
      <c r="F63" s="40"/>
      <c r="G63" s="41"/>
      <c r="H63" s="41"/>
      <c r="I63" s="41"/>
      <c r="J63" s="41"/>
      <c r="K63" s="40"/>
    </row>
    <row r="64" spans="1:11" x14ac:dyDescent="0.25">
      <c r="A64" s="39"/>
      <c r="B64" s="28" t="s">
        <v>32</v>
      </c>
      <c r="C64" s="75">
        <f>C63-C66-C67</f>
        <v>237500</v>
      </c>
      <c r="D64" s="75"/>
      <c r="E64" s="20">
        <f>C64/C62*100</f>
        <v>64.798769927675821</v>
      </c>
      <c r="F64" s="40"/>
      <c r="G64" s="41"/>
      <c r="H64" s="41"/>
      <c r="I64" s="41"/>
      <c r="J64" s="41"/>
      <c r="K64" s="40"/>
    </row>
    <row r="65" spans="1:11" x14ac:dyDescent="0.25">
      <c r="A65" s="39"/>
      <c r="B65" s="28" t="s">
        <v>33</v>
      </c>
      <c r="C65" s="72">
        <f>C62-C64</f>
        <v>129019.30316745536</v>
      </c>
      <c r="D65" s="72"/>
      <c r="E65" s="20">
        <f>100-E64</f>
        <v>35.201230072324179</v>
      </c>
      <c r="F65" s="40"/>
      <c r="G65" s="41"/>
      <c r="H65" s="41"/>
      <c r="I65" s="41"/>
      <c r="J65" s="41"/>
      <c r="K65" s="40"/>
    </row>
    <row r="66" spans="1:11" x14ac:dyDescent="0.25">
      <c r="A66" s="39"/>
      <c r="B66" s="28" t="s">
        <v>34</v>
      </c>
      <c r="C66" s="72">
        <f>C63*0.03</f>
        <v>7500</v>
      </c>
      <c r="D66" s="72"/>
      <c r="E66" s="20">
        <v>3</v>
      </c>
      <c r="F66" s="40"/>
      <c r="G66" s="41"/>
      <c r="H66" s="41"/>
      <c r="I66" s="41"/>
      <c r="J66" s="41"/>
      <c r="K66" s="40"/>
    </row>
    <row r="67" spans="1:11" x14ac:dyDescent="0.25">
      <c r="A67" s="39"/>
      <c r="B67" s="28" t="s">
        <v>51</v>
      </c>
      <c r="C67" s="72">
        <f>C63*0.02</f>
        <v>5000</v>
      </c>
      <c r="D67" s="72"/>
      <c r="E67" s="20">
        <v>2</v>
      </c>
      <c r="F67" s="40"/>
      <c r="G67" s="41"/>
      <c r="H67" s="41"/>
      <c r="I67" s="41"/>
      <c r="J67" s="41"/>
      <c r="K67" s="40"/>
    </row>
  </sheetData>
  <mergeCells count="15">
    <mergeCell ref="C66:D66"/>
    <mergeCell ref="C67:D67"/>
    <mergeCell ref="A7:F7"/>
    <mergeCell ref="H7:K7"/>
    <mergeCell ref="C62:D62"/>
    <mergeCell ref="C63:D63"/>
    <mergeCell ref="C64:D64"/>
    <mergeCell ref="C65:D65"/>
    <mergeCell ref="A1:K1"/>
    <mergeCell ref="A2:K2"/>
    <mergeCell ref="A3:K3"/>
    <mergeCell ref="A4:K4"/>
    <mergeCell ref="A5:K5"/>
    <mergeCell ref="A6:F6"/>
    <mergeCell ref="H6:K6"/>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Estimate</vt:lpstr>
      <vt:lpstr>WCR</vt:lpstr>
      <vt:lpstr>V</vt:lpstr>
      <vt:lpstr>WCR!Print_Area</vt:lpstr>
      <vt:lpstr>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2025-02-21T07:24:58Z</dcterms:modified>
</cp:coreProperties>
</file>