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155" firstSheet="1" activeTab="5"/>
  </bookViews>
  <sheets>
    <sheet name="estimate" sheetId="7" state="hidden" r:id="rId1"/>
    <sheet name="F_estimate" sheetId="12" r:id="rId2"/>
    <sheet name="WCR" sheetId="3" r:id="rId3"/>
    <sheet name="valuated" sheetId="8" r:id="rId4"/>
    <sheet name="Sheet1" sheetId="10" r:id="rId5"/>
    <sheet name="mea" sheetId="14" r:id="rId6"/>
    <sheet name="M" sheetId="13" state="hidden" r:id="rId7"/>
    <sheet name="level check" sheetId="9" state="hidden" r:id="rId8"/>
    <sheet name="empty" sheetId="11" state="hidden" r:id="rId9"/>
  </sheets>
  <externalReferences>
    <externalReference r:id="rId10"/>
    <externalReference r:id="rId11"/>
    <externalReference r:id="rId12"/>
    <externalReference r:id="rId13"/>
  </externalReferences>
  <definedNames>
    <definedName name="description_103">[1]Abstract!$B$16</definedName>
    <definedName name="description_124" localSheetId="8">#REF!</definedName>
    <definedName name="description_124" localSheetId="0">#REF!</definedName>
    <definedName name="description_124" localSheetId="1">#REF!</definedName>
    <definedName name="description_124" localSheetId="6">#REF!</definedName>
    <definedName name="description_124" localSheetId="5">#REF!</definedName>
    <definedName name="description_124" localSheetId="3">#REF!</definedName>
    <definedName name="description_124">#REF!</definedName>
    <definedName name="description_247">[1]Abstract!$B$22</definedName>
    <definedName name="description_261">[2]Abstract!$B$33</definedName>
    <definedName name="description_262">[1]Abstract!$B$34</definedName>
    <definedName name="description_299">[3]Abstract!$B$54</definedName>
    <definedName name="description_3">[1]Abstract!$B$169</definedName>
    <definedName name="description_5">[1]Abstract!$B$171</definedName>
    <definedName name="description_6">[3]Abstract!$B$172</definedName>
    <definedName name="description_759">[1]Abstract!$B$278</definedName>
    <definedName name="description_783" localSheetId="2">[1]Abstract!$B$301</definedName>
    <definedName name="description_783">[4]Abstract!$B$301</definedName>
    <definedName name="_xlnm.Print_Area" localSheetId="8">empty!$A$1:$K$319</definedName>
    <definedName name="_xlnm.Print_Area" localSheetId="0">estimate!$A$1:$K$212</definedName>
    <definedName name="_xlnm.Print_Area" localSheetId="1">F_estimate!$A$1:$K$455</definedName>
    <definedName name="_xlnm.Print_Area" localSheetId="6">M!$A$1:$K$398</definedName>
    <definedName name="_xlnm.Print_Area" localSheetId="5">mea!$A$1:$K$436</definedName>
    <definedName name="_xlnm.Print_Area" localSheetId="4">Sheet1!$A$1:$H$36</definedName>
    <definedName name="_xlnm.Print_Area" localSheetId="3">valuated!$A$1:$K$436</definedName>
    <definedName name="_xlnm.Print_Area" localSheetId="2">WCR!$A$1:$K$88</definedName>
    <definedName name="_xlnm.Print_Titles" localSheetId="8">empty!$1:$8</definedName>
    <definedName name="_xlnm.Print_Titles" localSheetId="0">estimate!$1:$8</definedName>
    <definedName name="_xlnm.Print_Titles" localSheetId="1">F_estimate!$1:$8</definedName>
    <definedName name="_xlnm.Print_Titles" localSheetId="6">M!$1:$8</definedName>
    <definedName name="_xlnm.Print_Titles" localSheetId="5">mea!$1:$8</definedName>
    <definedName name="_xlnm.Print_Titles" localSheetId="3">valuated!$1:$8</definedName>
    <definedName name="_xlnm.Print_Titles" localSheetId="2">WCR!$1:$12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30" i="14" l="1"/>
  <c r="C329" i="14"/>
  <c r="C328" i="14"/>
  <c r="C330" i="8" l="1"/>
  <c r="C329" i="8"/>
  <c r="C328" i="8"/>
  <c r="C435" i="14" l="1"/>
  <c r="C434" i="14"/>
  <c r="G427" i="14"/>
  <c r="J427" i="14" s="1"/>
  <c r="G425" i="14"/>
  <c r="J425" i="14" s="1"/>
  <c r="I423" i="14"/>
  <c r="G423" i="14"/>
  <c r="J423" i="14" s="1"/>
  <c r="G419" i="14"/>
  <c r="G418" i="14"/>
  <c r="E417" i="14"/>
  <c r="D417" i="14"/>
  <c r="G417" i="14" s="1"/>
  <c r="G416" i="14"/>
  <c r="D416" i="14"/>
  <c r="E415" i="14"/>
  <c r="G415" i="14" s="1"/>
  <c r="D415" i="14"/>
  <c r="G410" i="14"/>
  <c r="F409" i="14"/>
  <c r="G409" i="14" s="1"/>
  <c r="G408" i="14"/>
  <c r="G407" i="14"/>
  <c r="D406" i="14"/>
  <c r="G406" i="14" s="1"/>
  <c r="G411" i="14" s="1"/>
  <c r="J411" i="14" s="1"/>
  <c r="G401" i="14"/>
  <c r="F401" i="14"/>
  <c r="D401" i="14"/>
  <c r="F400" i="14"/>
  <c r="G400" i="14" s="1"/>
  <c r="F399" i="14"/>
  <c r="D399" i="14"/>
  <c r="G399" i="14" s="1"/>
  <c r="B399" i="14"/>
  <c r="G394" i="14"/>
  <c r="G393" i="14"/>
  <c r="G392" i="14"/>
  <c r="G391" i="14"/>
  <c r="N390" i="14"/>
  <c r="M390" i="14"/>
  <c r="O390" i="14" s="1"/>
  <c r="G390" i="14"/>
  <c r="G389" i="14"/>
  <c r="G388" i="14"/>
  <c r="F387" i="14"/>
  <c r="G387" i="14" s="1"/>
  <c r="F386" i="14"/>
  <c r="D386" i="14"/>
  <c r="G386" i="14" s="1"/>
  <c r="G385" i="14"/>
  <c r="D385" i="14"/>
  <c r="D384" i="14"/>
  <c r="G384" i="14" s="1"/>
  <c r="G383" i="14"/>
  <c r="D382" i="14"/>
  <c r="G382" i="14" s="1"/>
  <c r="D381" i="14"/>
  <c r="G381" i="14" s="1"/>
  <c r="G380" i="14"/>
  <c r="C380" i="14"/>
  <c r="C379" i="14"/>
  <c r="G379" i="14" s="1"/>
  <c r="R378" i="14"/>
  <c r="Q378" i="14"/>
  <c r="C378" i="14"/>
  <c r="G378" i="14" s="1"/>
  <c r="D377" i="14"/>
  <c r="C377" i="14"/>
  <c r="G377" i="14" s="1"/>
  <c r="G376" i="14"/>
  <c r="D376" i="14"/>
  <c r="G374" i="14"/>
  <c r="D373" i="14"/>
  <c r="G373" i="14" s="1"/>
  <c r="P367" i="14"/>
  <c r="O367" i="14"/>
  <c r="N367" i="14"/>
  <c r="G367" i="14"/>
  <c r="G366" i="14"/>
  <c r="G365" i="14"/>
  <c r="D365" i="14"/>
  <c r="G364" i="14"/>
  <c r="G363" i="14"/>
  <c r="G362" i="14"/>
  <c r="G361" i="14"/>
  <c r="D360" i="14"/>
  <c r="G360" i="14" s="1"/>
  <c r="G359" i="14"/>
  <c r="G358" i="14"/>
  <c r="G357" i="14"/>
  <c r="G356" i="14"/>
  <c r="G355" i="14"/>
  <c r="G354" i="14"/>
  <c r="G353" i="14"/>
  <c r="G352" i="14"/>
  <c r="G351" i="14"/>
  <c r="G350" i="14"/>
  <c r="G349" i="14"/>
  <c r="G348" i="14"/>
  <c r="G347" i="14"/>
  <c r="G346" i="14"/>
  <c r="G345" i="14"/>
  <c r="G344" i="14"/>
  <c r="G343" i="14"/>
  <c r="G342" i="14"/>
  <c r="G341" i="14"/>
  <c r="G340" i="14"/>
  <c r="R339" i="14"/>
  <c r="Q339" i="14"/>
  <c r="G339" i="14"/>
  <c r="G338" i="14"/>
  <c r="G337" i="14"/>
  <c r="G336" i="14"/>
  <c r="G335" i="14"/>
  <c r="D334" i="14"/>
  <c r="G334" i="14" s="1"/>
  <c r="D333" i="14"/>
  <c r="G333" i="14" s="1"/>
  <c r="D332" i="14"/>
  <c r="G332" i="14" s="1"/>
  <c r="D331" i="14"/>
  <c r="G331" i="14" s="1"/>
  <c r="G330" i="14"/>
  <c r="G329" i="14"/>
  <c r="R328" i="14"/>
  <c r="Q328" i="14"/>
  <c r="G328" i="14"/>
  <c r="D327" i="14"/>
  <c r="G327" i="14" s="1"/>
  <c r="G326" i="14"/>
  <c r="N325" i="14"/>
  <c r="G325" i="14"/>
  <c r="D325" i="14"/>
  <c r="D324" i="14"/>
  <c r="G324" i="14" s="1"/>
  <c r="F323" i="14"/>
  <c r="D323" i="14"/>
  <c r="G323" i="14" s="1"/>
  <c r="G322" i="14"/>
  <c r="D322" i="14"/>
  <c r="D321" i="14"/>
  <c r="G321" i="14" s="1"/>
  <c r="D316" i="14"/>
  <c r="G316" i="14" s="1"/>
  <c r="D315" i="14"/>
  <c r="G315" i="14" s="1"/>
  <c r="G317" i="14" s="1"/>
  <c r="J317" i="14" s="1"/>
  <c r="O314" i="14"/>
  <c r="N314" i="14"/>
  <c r="G310" i="14"/>
  <c r="D310" i="14"/>
  <c r="M309" i="14"/>
  <c r="D309" i="14"/>
  <c r="G309" i="14" s="1"/>
  <c r="G308" i="14"/>
  <c r="D308" i="14"/>
  <c r="P307" i="14"/>
  <c r="N307" i="14"/>
  <c r="E307" i="14"/>
  <c r="D307" i="14"/>
  <c r="G307" i="14" s="1"/>
  <c r="Q307" i="14" s="1"/>
  <c r="E306" i="14"/>
  <c r="D306" i="14"/>
  <c r="G306" i="14" s="1"/>
  <c r="M305" i="14"/>
  <c r="E305" i="14"/>
  <c r="D305" i="14"/>
  <c r="G305" i="14" s="1"/>
  <c r="G304" i="14"/>
  <c r="E304" i="14"/>
  <c r="D304" i="14"/>
  <c r="G303" i="14"/>
  <c r="E303" i="14"/>
  <c r="D303" i="14"/>
  <c r="E302" i="14"/>
  <c r="G302" i="14" s="1"/>
  <c r="E301" i="14"/>
  <c r="D301" i="14"/>
  <c r="G301" i="14" s="1"/>
  <c r="P300" i="14"/>
  <c r="O300" i="14"/>
  <c r="M300" i="14"/>
  <c r="E300" i="14"/>
  <c r="G300" i="14" s="1"/>
  <c r="D300" i="14"/>
  <c r="R298" i="14"/>
  <c r="P298" i="14"/>
  <c r="P297" i="14"/>
  <c r="G295" i="14"/>
  <c r="F295" i="14"/>
  <c r="G294" i="14"/>
  <c r="D293" i="14"/>
  <c r="G293" i="14" s="1"/>
  <c r="D292" i="14"/>
  <c r="G292" i="14" s="1"/>
  <c r="G291" i="14"/>
  <c r="G290" i="14"/>
  <c r="D290" i="14"/>
  <c r="D289" i="14"/>
  <c r="G289" i="14" s="1"/>
  <c r="G288" i="14"/>
  <c r="G287" i="14"/>
  <c r="G286" i="14"/>
  <c r="G285" i="14"/>
  <c r="R284" i="14"/>
  <c r="Q284" i="14"/>
  <c r="G284" i="14"/>
  <c r="G283" i="14"/>
  <c r="G282" i="14"/>
  <c r="G281" i="14"/>
  <c r="G280" i="14"/>
  <c r="D279" i="14"/>
  <c r="G279" i="14" s="1"/>
  <c r="M278" i="14"/>
  <c r="D278" i="14"/>
  <c r="G278" i="14" s="1"/>
  <c r="M277" i="14"/>
  <c r="G277" i="14"/>
  <c r="D277" i="14"/>
  <c r="C276" i="14"/>
  <c r="G276" i="14" s="1"/>
  <c r="G275" i="14"/>
  <c r="C275" i="14"/>
  <c r="R274" i="14"/>
  <c r="Q274" i="14"/>
  <c r="G274" i="14"/>
  <c r="C274" i="14"/>
  <c r="D273" i="14"/>
  <c r="G273" i="14" s="1"/>
  <c r="G272" i="14"/>
  <c r="D272" i="14"/>
  <c r="G271" i="14"/>
  <c r="G270" i="14"/>
  <c r="D270" i="14"/>
  <c r="M265" i="14"/>
  <c r="N264" i="14"/>
  <c r="G264" i="14"/>
  <c r="G259" i="14"/>
  <c r="D259" i="14"/>
  <c r="B259" i="14"/>
  <c r="C258" i="14"/>
  <c r="G258" i="14" s="1"/>
  <c r="B258" i="14"/>
  <c r="D257" i="14"/>
  <c r="C257" i="14"/>
  <c r="B257" i="14"/>
  <c r="M256" i="14"/>
  <c r="G256" i="14"/>
  <c r="E256" i="14"/>
  <c r="D256" i="14"/>
  <c r="C256" i="14"/>
  <c r="B256" i="14"/>
  <c r="M255" i="14"/>
  <c r="E255" i="14"/>
  <c r="G255" i="14" s="1"/>
  <c r="G250" i="14"/>
  <c r="G251" i="14" s="1"/>
  <c r="J251" i="14" s="1"/>
  <c r="J252" i="14" s="1"/>
  <c r="J247" i="14"/>
  <c r="G245" i="14"/>
  <c r="G244" i="14"/>
  <c r="G246" i="14" s="1"/>
  <c r="J246" i="14" s="1"/>
  <c r="G243" i="14"/>
  <c r="E238" i="14"/>
  <c r="C238" i="14"/>
  <c r="N234" i="14"/>
  <c r="D233" i="14"/>
  <c r="G233" i="14" s="1"/>
  <c r="D232" i="14"/>
  <c r="G232" i="14" s="1"/>
  <c r="G231" i="14"/>
  <c r="D231" i="14"/>
  <c r="E230" i="14"/>
  <c r="G230" i="14" s="1"/>
  <c r="D230" i="14"/>
  <c r="E229" i="14"/>
  <c r="D229" i="14"/>
  <c r="C229" i="14"/>
  <c r="G229" i="14" s="1"/>
  <c r="G234" i="14" s="1"/>
  <c r="J234" i="14" s="1"/>
  <c r="J235" i="14" s="1"/>
  <c r="D228" i="14"/>
  <c r="G228" i="14" s="1"/>
  <c r="G226" i="14"/>
  <c r="E226" i="14"/>
  <c r="D226" i="14"/>
  <c r="G224" i="14"/>
  <c r="G223" i="14"/>
  <c r="E223" i="14"/>
  <c r="G222" i="14"/>
  <c r="G221" i="14"/>
  <c r="G220" i="14"/>
  <c r="G219" i="14"/>
  <c r="N218" i="14"/>
  <c r="G218" i="14"/>
  <c r="G217" i="14"/>
  <c r="D217" i="14"/>
  <c r="G216" i="14"/>
  <c r="C215" i="14"/>
  <c r="G215" i="14" s="1"/>
  <c r="G214" i="14"/>
  <c r="G213" i="14"/>
  <c r="G212" i="14"/>
  <c r="G211" i="14"/>
  <c r="G210" i="14"/>
  <c r="G209" i="14"/>
  <c r="G208" i="14"/>
  <c r="G207" i="14"/>
  <c r="G206" i="14"/>
  <c r="G205" i="14"/>
  <c r="G204" i="14"/>
  <c r="G203" i="14"/>
  <c r="G202" i="14"/>
  <c r="G201" i="14"/>
  <c r="G200" i="14"/>
  <c r="G199" i="14"/>
  <c r="E194" i="14"/>
  <c r="D194" i="14"/>
  <c r="F194" i="14" s="1"/>
  <c r="G194" i="14" s="1"/>
  <c r="E193" i="14"/>
  <c r="D193" i="14"/>
  <c r="F193" i="14" s="1"/>
  <c r="G193" i="14" s="1"/>
  <c r="G192" i="14"/>
  <c r="E192" i="14"/>
  <c r="D192" i="14"/>
  <c r="F192" i="14" s="1"/>
  <c r="G191" i="14"/>
  <c r="F191" i="14"/>
  <c r="E191" i="14"/>
  <c r="D191" i="14"/>
  <c r="G190" i="14"/>
  <c r="F190" i="14"/>
  <c r="E190" i="14"/>
  <c r="D190" i="14"/>
  <c r="G189" i="14"/>
  <c r="F189" i="14"/>
  <c r="E189" i="14"/>
  <c r="D189" i="14"/>
  <c r="G188" i="14"/>
  <c r="F188" i="14"/>
  <c r="E188" i="14"/>
  <c r="D188" i="14"/>
  <c r="E187" i="14"/>
  <c r="D187" i="14"/>
  <c r="F187" i="14" s="1"/>
  <c r="G187" i="14" s="1"/>
  <c r="E186" i="14"/>
  <c r="D186" i="14"/>
  <c r="F186" i="14" s="1"/>
  <c r="G186" i="14" s="1"/>
  <c r="E185" i="14"/>
  <c r="D185" i="14"/>
  <c r="F185" i="14" s="1"/>
  <c r="G185" i="14" s="1"/>
  <c r="E184" i="14"/>
  <c r="D184" i="14"/>
  <c r="F184" i="14" s="1"/>
  <c r="G184" i="14" s="1"/>
  <c r="E183" i="14"/>
  <c r="D183" i="14"/>
  <c r="F183" i="14" s="1"/>
  <c r="G183" i="14" s="1"/>
  <c r="E181" i="14"/>
  <c r="D181" i="14"/>
  <c r="F181" i="14" s="1"/>
  <c r="G181" i="14" s="1"/>
  <c r="E180" i="14"/>
  <c r="D180" i="14"/>
  <c r="F180" i="14" s="1"/>
  <c r="G180" i="14" s="1"/>
  <c r="E179" i="14"/>
  <c r="D179" i="14"/>
  <c r="F179" i="14" s="1"/>
  <c r="G179" i="14" s="1"/>
  <c r="E178" i="14"/>
  <c r="D178" i="14"/>
  <c r="F178" i="14" s="1"/>
  <c r="G178" i="14" s="1"/>
  <c r="E177" i="14"/>
  <c r="D177" i="14"/>
  <c r="F177" i="14" s="1"/>
  <c r="G177" i="14" s="1"/>
  <c r="E176" i="14"/>
  <c r="D176" i="14"/>
  <c r="F176" i="14" s="1"/>
  <c r="G176" i="14" s="1"/>
  <c r="E175" i="14"/>
  <c r="D175" i="14"/>
  <c r="F175" i="14" s="1"/>
  <c r="G175" i="14" s="1"/>
  <c r="E174" i="14"/>
  <c r="D174" i="14"/>
  <c r="F174" i="14" s="1"/>
  <c r="G174" i="14" s="1"/>
  <c r="G173" i="14"/>
  <c r="F173" i="14"/>
  <c r="E173" i="14"/>
  <c r="D173" i="14"/>
  <c r="G172" i="14"/>
  <c r="F172" i="14"/>
  <c r="E172" i="14"/>
  <c r="D172" i="14"/>
  <c r="G171" i="14"/>
  <c r="F171" i="14"/>
  <c r="E171" i="14"/>
  <c r="D171" i="14"/>
  <c r="G170" i="14"/>
  <c r="F170" i="14"/>
  <c r="E170" i="14"/>
  <c r="D170" i="14"/>
  <c r="G169" i="14"/>
  <c r="F169" i="14"/>
  <c r="E169" i="14"/>
  <c r="D169" i="14"/>
  <c r="G168" i="14"/>
  <c r="F168" i="14"/>
  <c r="E168" i="14"/>
  <c r="D168" i="14"/>
  <c r="G166" i="14"/>
  <c r="F166" i="14"/>
  <c r="E166" i="14"/>
  <c r="D166" i="14"/>
  <c r="G165" i="14"/>
  <c r="F165" i="14"/>
  <c r="E165" i="14"/>
  <c r="D165" i="14"/>
  <c r="G164" i="14"/>
  <c r="E164" i="14"/>
  <c r="D164" i="14"/>
  <c r="C164" i="14"/>
  <c r="F164" i="14" s="1"/>
  <c r="E163" i="14"/>
  <c r="D163" i="14"/>
  <c r="C163" i="14"/>
  <c r="F163" i="14" s="1"/>
  <c r="G163" i="14" s="1"/>
  <c r="O162" i="14"/>
  <c r="F162" i="14"/>
  <c r="G162" i="14" s="1"/>
  <c r="E162" i="14"/>
  <c r="D162" i="14"/>
  <c r="C162" i="14"/>
  <c r="G161" i="14"/>
  <c r="E161" i="14"/>
  <c r="D161" i="14"/>
  <c r="C161" i="14"/>
  <c r="F161" i="14" s="1"/>
  <c r="E160" i="14"/>
  <c r="D160" i="14"/>
  <c r="C160" i="14"/>
  <c r="F160" i="14" s="1"/>
  <c r="G160" i="14" s="1"/>
  <c r="E159" i="14"/>
  <c r="D159" i="14"/>
  <c r="C159" i="14"/>
  <c r="F159" i="14" s="1"/>
  <c r="G159" i="14" s="1"/>
  <c r="F158" i="14"/>
  <c r="G158" i="14" s="1"/>
  <c r="E158" i="14"/>
  <c r="D158" i="14"/>
  <c r="C158" i="14"/>
  <c r="G157" i="14"/>
  <c r="E157" i="14"/>
  <c r="D157" i="14"/>
  <c r="C157" i="14"/>
  <c r="F157" i="14" s="1"/>
  <c r="O156" i="14"/>
  <c r="N156" i="14"/>
  <c r="F156" i="14"/>
  <c r="G156" i="14" s="1"/>
  <c r="E156" i="14"/>
  <c r="D156" i="14"/>
  <c r="C156" i="14"/>
  <c r="G155" i="14"/>
  <c r="E155" i="14"/>
  <c r="D155" i="14"/>
  <c r="C155" i="14"/>
  <c r="F155" i="14" s="1"/>
  <c r="N154" i="14"/>
  <c r="E154" i="14"/>
  <c r="D154" i="14"/>
  <c r="C154" i="14"/>
  <c r="F153" i="14"/>
  <c r="G153" i="14" s="1"/>
  <c r="E153" i="14"/>
  <c r="D153" i="14"/>
  <c r="C153" i="14"/>
  <c r="O152" i="14"/>
  <c r="N152" i="14"/>
  <c r="E152" i="14"/>
  <c r="D152" i="14"/>
  <c r="C152" i="14"/>
  <c r="F151" i="14"/>
  <c r="G151" i="14" s="1"/>
  <c r="E151" i="14"/>
  <c r="D151" i="14"/>
  <c r="C151" i="14"/>
  <c r="G150" i="14"/>
  <c r="E150" i="14"/>
  <c r="D150" i="14"/>
  <c r="C150" i="14"/>
  <c r="F150" i="14" s="1"/>
  <c r="E149" i="14"/>
  <c r="D149" i="14"/>
  <c r="C149" i="14"/>
  <c r="G148" i="14"/>
  <c r="E148" i="14"/>
  <c r="D148" i="14"/>
  <c r="C148" i="14"/>
  <c r="F148" i="14" s="1"/>
  <c r="E147" i="14"/>
  <c r="D147" i="14"/>
  <c r="C147" i="14"/>
  <c r="F147" i="14" s="1"/>
  <c r="G147" i="14" s="1"/>
  <c r="E146" i="14"/>
  <c r="D146" i="14"/>
  <c r="C146" i="14"/>
  <c r="F146" i="14" s="1"/>
  <c r="G146" i="14" s="1"/>
  <c r="F145" i="14"/>
  <c r="G145" i="14" s="1"/>
  <c r="E145" i="14"/>
  <c r="D145" i="14"/>
  <c r="C145" i="14"/>
  <c r="N144" i="14" s="1"/>
  <c r="O144" i="14"/>
  <c r="E144" i="14"/>
  <c r="D144" i="14"/>
  <c r="C144" i="14"/>
  <c r="F144" i="14" s="1"/>
  <c r="G144" i="14" s="1"/>
  <c r="F143" i="14"/>
  <c r="G143" i="14" s="1"/>
  <c r="E143" i="14"/>
  <c r="D143" i="14"/>
  <c r="C143" i="14"/>
  <c r="G142" i="14"/>
  <c r="E142" i="14"/>
  <c r="D142" i="14"/>
  <c r="C142" i="14"/>
  <c r="F142" i="14" s="1"/>
  <c r="E141" i="14"/>
  <c r="D141" i="14"/>
  <c r="F141" i="14" s="1"/>
  <c r="G141" i="14" s="1"/>
  <c r="E140" i="14"/>
  <c r="D140" i="14"/>
  <c r="F140" i="14" s="1"/>
  <c r="G140" i="14" s="1"/>
  <c r="G135" i="14"/>
  <c r="E135" i="14"/>
  <c r="D135" i="14"/>
  <c r="C135" i="14"/>
  <c r="D134" i="14"/>
  <c r="C134" i="14"/>
  <c r="G133" i="14"/>
  <c r="D133" i="14"/>
  <c r="C133" i="14"/>
  <c r="C132" i="14"/>
  <c r="F131" i="14"/>
  <c r="D131" i="14"/>
  <c r="G130" i="14"/>
  <c r="F130" i="14"/>
  <c r="D130" i="14"/>
  <c r="G129" i="14"/>
  <c r="F129" i="14"/>
  <c r="D129" i="14"/>
  <c r="C129" i="14"/>
  <c r="G128" i="14"/>
  <c r="F128" i="14"/>
  <c r="D128" i="14"/>
  <c r="C128" i="14"/>
  <c r="G127" i="14"/>
  <c r="F127" i="14"/>
  <c r="D127" i="14"/>
  <c r="C127" i="14"/>
  <c r="G126" i="14"/>
  <c r="F126" i="14"/>
  <c r="D126" i="14"/>
  <c r="C126" i="14"/>
  <c r="G125" i="14"/>
  <c r="F125" i="14"/>
  <c r="D125" i="14"/>
  <c r="C125" i="14"/>
  <c r="G124" i="14"/>
  <c r="F124" i="14"/>
  <c r="D124" i="14"/>
  <c r="C124" i="14"/>
  <c r="G123" i="14"/>
  <c r="D123" i="14"/>
  <c r="D122" i="14"/>
  <c r="G122" i="14" s="1"/>
  <c r="G117" i="14"/>
  <c r="E116" i="14"/>
  <c r="E115" i="14"/>
  <c r="E133" i="14" s="1"/>
  <c r="E114" i="14"/>
  <c r="D114" i="14"/>
  <c r="D132" i="14" s="1"/>
  <c r="C113" i="14"/>
  <c r="G113" i="14" s="1"/>
  <c r="G112" i="14"/>
  <c r="C112" i="14"/>
  <c r="C130" i="14" s="1"/>
  <c r="G111" i="14"/>
  <c r="P110" i="14"/>
  <c r="G110" i="14"/>
  <c r="G109" i="14"/>
  <c r="G108" i="14"/>
  <c r="G107" i="14"/>
  <c r="N106" i="14"/>
  <c r="G106" i="14"/>
  <c r="F105" i="14"/>
  <c r="D105" i="14"/>
  <c r="G105" i="14" s="1"/>
  <c r="F104" i="14"/>
  <c r="M104" i="14" s="1"/>
  <c r="D104" i="14"/>
  <c r="G104" i="14" s="1"/>
  <c r="O103" i="14"/>
  <c r="N103" i="14"/>
  <c r="G102" i="14"/>
  <c r="G100" i="14"/>
  <c r="G98" i="14"/>
  <c r="M96" i="14"/>
  <c r="G91" i="14"/>
  <c r="D91" i="14"/>
  <c r="Q90" i="14"/>
  <c r="N90" i="14"/>
  <c r="G90" i="14"/>
  <c r="N89" i="14"/>
  <c r="Q89" i="14" s="1"/>
  <c r="G89" i="14"/>
  <c r="Q88" i="14"/>
  <c r="N88" i="14"/>
  <c r="G88" i="14"/>
  <c r="N87" i="14"/>
  <c r="Q87" i="14" s="1"/>
  <c r="G87" i="14"/>
  <c r="Q86" i="14"/>
  <c r="N86" i="14"/>
  <c r="G86" i="14"/>
  <c r="S85" i="14"/>
  <c r="Q85" i="14"/>
  <c r="N85" i="14"/>
  <c r="G85" i="14"/>
  <c r="Q80" i="14"/>
  <c r="N80" i="14"/>
  <c r="G80" i="14"/>
  <c r="D80" i="14"/>
  <c r="Q79" i="14"/>
  <c r="G79" i="14"/>
  <c r="Q78" i="14"/>
  <c r="G78" i="14"/>
  <c r="Q77" i="14"/>
  <c r="N77" i="14"/>
  <c r="G77" i="14"/>
  <c r="D77" i="14"/>
  <c r="Q76" i="14"/>
  <c r="N76" i="14"/>
  <c r="G76" i="14"/>
  <c r="D76" i="14"/>
  <c r="Q75" i="14"/>
  <c r="N75" i="14"/>
  <c r="G75" i="14"/>
  <c r="D75" i="14"/>
  <c r="Q74" i="14"/>
  <c r="O74" i="14"/>
  <c r="N74" i="14"/>
  <c r="E74" i="14"/>
  <c r="D74" i="14"/>
  <c r="G74" i="14" s="1"/>
  <c r="Q73" i="14"/>
  <c r="N73" i="14"/>
  <c r="G73" i="14"/>
  <c r="D73" i="14"/>
  <c r="P72" i="14"/>
  <c r="N72" i="14"/>
  <c r="Q72" i="14" s="1"/>
  <c r="F72" i="14"/>
  <c r="G72" i="14" s="1"/>
  <c r="D72" i="14"/>
  <c r="Q71" i="14"/>
  <c r="P71" i="14"/>
  <c r="N71" i="14"/>
  <c r="F71" i="14"/>
  <c r="D71" i="14"/>
  <c r="G71" i="14" s="1"/>
  <c r="P70" i="14"/>
  <c r="N70" i="14"/>
  <c r="Q70" i="14" s="1"/>
  <c r="F70" i="14"/>
  <c r="G70" i="14" s="1"/>
  <c r="D70" i="14"/>
  <c r="Q69" i="14"/>
  <c r="Q91" i="14" s="1"/>
  <c r="R91" i="14" s="1"/>
  <c r="P69" i="14"/>
  <c r="N69" i="14"/>
  <c r="F69" i="14"/>
  <c r="D69" i="14"/>
  <c r="G69" i="14" s="1"/>
  <c r="G81" i="14" s="1"/>
  <c r="G65" i="14"/>
  <c r="D65" i="14"/>
  <c r="E64" i="14"/>
  <c r="D64" i="14"/>
  <c r="G64" i="14" s="1"/>
  <c r="F63" i="14"/>
  <c r="D63" i="14"/>
  <c r="G63" i="14" s="1"/>
  <c r="G62" i="14"/>
  <c r="F62" i="14"/>
  <c r="D62" i="14"/>
  <c r="E61" i="14"/>
  <c r="G61" i="14" s="1"/>
  <c r="N60" i="14"/>
  <c r="M60" i="14"/>
  <c r="E60" i="14"/>
  <c r="G60" i="14" s="1"/>
  <c r="B60" i="14"/>
  <c r="D55" i="14"/>
  <c r="G55" i="14" s="1"/>
  <c r="E54" i="14"/>
  <c r="C54" i="14"/>
  <c r="B54" i="14"/>
  <c r="F52" i="14"/>
  <c r="F51" i="14"/>
  <c r="B51" i="14"/>
  <c r="E50" i="14"/>
  <c r="D50" i="14"/>
  <c r="G50" i="14" s="1"/>
  <c r="E49" i="14"/>
  <c r="D49" i="14"/>
  <c r="G49" i="14" s="1"/>
  <c r="G47" i="14"/>
  <c r="D47" i="14"/>
  <c r="G46" i="14"/>
  <c r="D45" i="14"/>
  <c r="G45" i="14" s="1"/>
  <c r="C45" i="14"/>
  <c r="B45" i="14"/>
  <c r="D41" i="14"/>
  <c r="G41" i="14" s="1"/>
  <c r="B41" i="14"/>
  <c r="I36" i="14"/>
  <c r="D35" i="14"/>
  <c r="G35" i="14" s="1"/>
  <c r="G34" i="14"/>
  <c r="E34" i="14"/>
  <c r="D34" i="14"/>
  <c r="B34" i="14"/>
  <c r="G33" i="14"/>
  <c r="D33" i="14"/>
  <c r="E32" i="14"/>
  <c r="E53" i="14" s="1"/>
  <c r="D32" i="14"/>
  <c r="D53" i="14" s="1"/>
  <c r="C32" i="14"/>
  <c r="C53" i="14" s="1"/>
  <c r="G53" i="14" s="1"/>
  <c r="E31" i="14"/>
  <c r="E52" i="14" s="1"/>
  <c r="D31" i="14"/>
  <c r="G31" i="14" s="1"/>
  <c r="C31" i="14"/>
  <c r="C52" i="14" s="1"/>
  <c r="D30" i="14"/>
  <c r="D51" i="14" s="1"/>
  <c r="C30" i="14"/>
  <c r="C51" i="14" s="1"/>
  <c r="E29" i="14"/>
  <c r="D29" i="14"/>
  <c r="D238" i="14" s="1"/>
  <c r="E28" i="14"/>
  <c r="C28" i="14"/>
  <c r="G28" i="14" s="1"/>
  <c r="E27" i="14"/>
  <c r="C27" i="14"/>
  <c r="E26" i="14"/>
  <c r="E48" i="14" s="1"/>
  <c r="D26" i="14"/>
  <c r="D48" i="14" s="1"/>
  <c r="C26" i="14"/>
  <c r="G26" i="14" s="1"/>
  <c r="E25" i="14"/>
  <c r="B25" i="14"/>
  <c r="E21" i="14"/>
  <c r="G21" i="14" s="1"/>
  <c r="G22" i="14" s="1"/>
  <c r="J22" i="14" s="1"/>
  <c r="D21" i="14"/>
  <c r="G17" i="14"/>
  <c r="E17" i="14"/>
  <c r="D17" i="14"/>
  <c r="D16" i="14"/>
  <c r="D54" i="14" s="1"/>
  <c r="G15" i="14"/>
  <c r="G14" i="14"/>
  <c r="E13" i="14"/>
  <c r="G13" i="14" s="1"/>
  <c r="D13" i="14"/>
  <c r="F12" i="14"/>
  <c r="D12" i="14"/>
  <c r="D28" i="14" s="1"/>
  <c r="F11" i="14"/>
  <c r="D11" i="14"/>
  <c r="G11" i="14" s="1"/>
  <c r="G10" i="14"/>
  <c r="D40" i="14" s="1"/>
  <c r="G40" i="14" s="1"/>
  <c r="G42" i="14" s="1"/>
  <c r="J42" i="14" s="1"/>
  <c r="G411" i="8"/>
  <c r="G317" i="8"/>
  <c r="G311" i="8"/>
  <c r="G296" i="8"/>
  <c r="G266" i="8"/>
  <c r="G260" i="8"/>
  <c r="G246" i="8"/>
  <c r="G234" i="8"/>
  <c r="G195" i="8"/>
  <c r="G136" i="8"/>
  <c r="G118" i="8"/>
  <c r="G92" i="8"/>
  <c r="G81" i="8"/>
  <c r="G66" i="8"/>
  <c r="G56" i="8"/>
  <c r="G42" i="8"/>
  <c r="G36" i="8"/>
  <c r="G18" i="8"/>
  <c r="G368" i="14" l="1"/>
  <c r="J369" i="14" s="1"/>
  <c r="G52" i="14"/>
  <c r="M187" i="14"/>
  <c r="D52" i="14"/>
  <c r="E134" i="14"/>
  <c r="G134" i="14" s="1"/>
  <c r="G116" i="14"/>
  <c r="G16" i="14"/>
  <c r="D25" i="14"/>
  <c r="G25" i="14" s="1"/>
  <c r="D27" i="14"/>
  <c r="G27" i="14" s="1"/>
  <c r="E30" i="14"/>
  <c r="E51" i="14" s="1"/>
  <c r="G51" i="14" s="1"/>
  <c r="C48" i="14"/>
  <c r="G296" i="14"/>
  <c r="G12" i="14"/>
  <c r="G18" i="14" s="1"/>
  <c r="J18" i="14" s="1"/>
  <c r="G29" i="14"/>
  <c r="G32" i="14"/>
  <c r="G54" i="14"/>
  <c r="E132" i="14"/>
  <c r="G132" i="14" s="1"/>
  <c r="G136" i="14" s="1"/>
  <c r="G114" i="14"/>
  <c r="F152" i="14"/>
  <c r="G152" i="14" s="1"/>
  <c r="O173" i="14"/>
  <c r="Q173" i="14" s="1"/>
  <c r="G402" i="14"/>
  <c r="J82" i="14"/>
  <c r="J81" i="14"/>
  <c r="J368" i="14"/>
  <c r="J412" i="14"/>
  <c r="M411" i="14"/>
  <c r="G66" i="14"/>
  <c r="J66" i="14" s="1"/>
  <c r="G92" i="14"/>
  <c r="F149" i="14"/>
  <c r="G149" i="14" s="1"/>
  <c r="G195" i="14" s="1"/>
  <c r="F154" i="14"/>
  <c r="G154" i="14" s="1"/>
  <c r="P173" i="14"/>
  <c r="G238" i="14"/>
  <c r="G239" i="14" s="1"/>
  <c r="J239" i="14" s="1"/>
  <c r="J240" i="14" s="1"/>
  <c r="G311" i="14"/>
  <c r="O303" i="14"/>
  <c r="J318" i="14"/>
  <c r="G395" i="14"/>
  <c r="G420" i="14"/>
  <c r="C131" i="14"/>
  <c r="G131" i="14" s="1"/>
  <c r="N148" i="14"/>
  <c r="O148" i="14" s="1"/>
  <c r="E257" i="14"/>
  <c r="G257" i="14" s="1"/>
  <c r="G260" i="14" s="1"/>
  <c r="G115" i="14"/>
  <c r="J261" i="14" l="1"/>
  <c r="G265" i="14"/>
  <c r="G266" i="14" s="1"/>
  <c r="J260" i="14"/>
  <c r="J137" i="14"/>
  <c r="J136" i="14"/>
  <c r="J196" i="14"/>
  <c r="J195" i="14"/>
  <c r="J312" i="14"/>
  <c r="J311" i="14"/>
  <c r="J396" i="14"/>
  <c r="J395" i="14"/>
  <c r="N339" i="14" s="1"/>
  <c r="J93" i="14"/>
  <c r="J92" i="14"/>
  <c r="N93" i="14"/>
  <c r="M393" i="14"/>
  <c r="G30" i="14"/>
  <c r="J420" i="14"/>
  <c r="J421" i="14"/>
  <c r="G48" i="14"/>
  <c r="G56" i="14" s="1"/>
  <c r="C97" i="14"/>
  <c r="G97" i="14" s="1"/>
  <c r="J297" i="14"/>
  <c r="J296" i="14"/>
  <c r="J403" i="14"/>
  <c r="J402" i="14"/>
  <c r="G36" i="14"/>
  <c r="J267" i="14" l="1"/>
  <c r="J266" i="14"/>
  <c r="J36" i="14"/>
  <c r="J37" i="14"/>
  <c r="G118" i="14"/>
  <c r="M103" i="14"/>
  <c r="J57" i="14"/>
  <c r="J56" i="14"/>
  <c r="J428" i="14" l="1"/>
  <c r="C430" i="14" s="1"/>
  <c r="N118" i="14"/>
  <c r="N117" i="14"/>
  <c r="J118" i="14"/>
  <c r="J119" i="14"/>
  <c r="O117" i="14" l="1"/>
  <c r="C432" i="14"/>
  <c r="E432" i="14" s="1"/>
  <c r="E433" i="14" s="1"/>
  <c r="C433" i="14" l="1"/>
  <c r="D16" i="12" l="1"/>
  <c r="D296" i="12"/>
  <c r="D297" i="12"/>
  <c r="D334" i="8"/>
  <c r="N245" i="12"/>
  <c r="S82" i="12"/>
  <c r="E74" i="8"/>
  <c r="G278" i="12"/>
  <c r="D278" i="12"/>
  <c r="G277" i="12"/>
  <c r="G279" i="12" s="1"/>
  <c r="C277" i="12"/>
  <c r="G50" i="12"/>
  <c r="P381" i="12"/>
  <c r="O381" i="12"/>
  <c r="N381" i="12"/>
  <c r="G381" i="12"/>
  <c r="G380" i="12"/>
  <c r="D379" i="12"/>
  <c r="G379" i="12" s="1"/>
  <c r="G378" i="12"/>
  <c r="G377" i="12"/>
  <c r="G376" i="12"/>
  <c r="G375" i="12"/>
  <c r="D374" i="12"/>
  <c r="G374" i="12" s="1"/>
  <c r="G373" i="12"/>
  <c r="G372" i="12"/>
  <c r="G371" i="12"/>
  <c r="G370" i="12"/>
  <c r="G369" i="12"/>
  <c r="G368" i="12"/>
  <c r="G367" i="12"/>
  <c r="G366" i="12"/>
  <c r="G365" i="12"/>
  <c r="G364" i="12"/>
  <c r="G363" i="12"/>
  <c r="G362" i="12"/>
  <c r="G361" i="12"/>
  <c r="G360" i="12"/>
  <c r="G359" i="12"/>
  <c r="G358" i="12"/>
  <c r="G357" i="12"/>
  <c r="G356" i="12"/>
  <c r="G355" i="12"/>
  <c r="G354" i="12"/>
  <c r="R353" i="12"/>
  <c r="Q353" i="12"/>
  <c r="G353" i="12"/>
  <c r="G352" i="12"/>
  <c r="G351" i="12"/>
  <c r="G350" i="12"/>
  <c r="G349" i="12"/>
  <c r="H81" i="3"/>
  <c r="E81" i="3"/>
  <c r="C81" i="3"/>
  <c r="B81" i="3"/>
  <c r="A81" i="3"/>
  <c r="E440" i="12"/>
  <c r="D440" i="12"/>
  <c r="G440" i="12" s="1"/>
  <c r="E439" i="12"/>
  <c r="D439" i="12"/>
  <c r="E438" i="12"/>
  <c r="D438" i="12"/>
  <c r="G438" i="12" s="1"/>
  <c r="F323" i="8"/>
  <c r="D279" i="8"/>
  <c r="D278" i="8"/>
  <c r="D277" i="8"/>
  <c r="M278" i="8"/>
  <c r="M277" i="8"/>
  <c r="D273" i="8"/>
  <c r="G418" i="8"/>
  <c r="G419" i="8"/>
  <c r="E417" i="8"/>
  <c r="D417" i="8"/>
  <c r="D416" i="8"/>
  <c r="E415" i="8"/>
  <c r="D415" i="8"/>
  <c r="G415" i="8" s="1"/>
  <c r="G416" i="8"/>
  <c r="G420" i="8" l="1"/>
  <c r="G81" i="3" s="1"/>
  <c r="I81" i="3" s="1"/>
  <c r="G439" i="12"/>
  <c r="G441" i="12" s="1"/>
  <c r="D81" i="3" s="1"/>
  <c r="F81" i="3" s="1"/>
  <c r="M81" i="3" s="1"/>
  <c r="G417" i="8"/>
  <c r="J421" i="8" s="1"/>
  <c r="I82" i="3" s="1"/>
  <c r="J81" i="3" l="1"/>
  <c r="J442" i="12"/>
  <c r="F82" i="3" s="1"/>
  <c r="J441" i="12"/>
  <c r="J420" i="8"/>
  <c r="J82" i="3" l="1"/>
  <c r="M82" i="3"/>
  <c r="N367" i="8" l="1"/>
  <c r="O367" i="8"/>
  <c r="P367" i="8"/>
  <c r="G366" i="8" l="1"/>
  <c r="G367" i="8"/>
  <c r="D365" i="8"/>
  <c r="G365" i="8" s="1"/>
  <c r="G364" i="8"/>
  <c r="G363" i="8"/>
  <c r="G362" i="8"/>
  <c r="G361" i="8"/>
  <c r="D360" i="8"/>
  <c r="G360" i="8" s="1"/>
  <c r="G359" i="8"/>
  <c r="G358" i="8"/>
  <c r="G357" i="8"/>
  <c r="G356" i="8"/>
  <c r="G355" i="8"/>
  <c r="G354" i="8"/>
  <c r="G353" i="8"/>
  <c r="G352" i="8"/>
  <c r="G351" i="8"/>
  <c r="G350" i="8"/>
  <c r="G349" i="8"/>
  <c r="G348" i="8"/>
  <c r="G347" i="8"/>
  <c r="G346" i="8"/>
  <c r="G345" i="8"/>
  <c r="G344" i="8"/>
  <c r="D333" i="8"/>
  <c r="G333" i="8" s="1"/>
  <c r="D332" i="8"/>
  <c r="D331" i="8"/>
  <c r="D327" i="8"/>
  <c r="G327" i="8"/>
  <c r="N325" i="8"/>
  <c r="D325" i="8"/>
  <c r="G326" i="8"/>
  <c r="C377" i="8"/>
  <c r="D377" i="8"/>
  <c r="D323" i="8"/>
  <c r="G323" i="8" s="1"/>
  <c r="D322" i="8"/>
  <c r="D321" i="8"/>
  <c r="D316" i="8"/>
  <c r="D64" i="8"/>
  <c r="N307" i="8"/>
  <c r="P307" i="8" s="1"/>
  <c r="G377" i="8" l="1"/>
  <c r="E305" i="8"/>
  <c r="D310" i="8"/>
  <c r="G310" i="8" s="1"/>
  <c r="D309" i="8"/>
  <c r="D308" i="8"/>
  <c r="G308" i="8" s="1"/>
  <c r="E307" i="8"/>
  <c r="D307" i="8"/>
  <c r="D304" i="8"/>
  <c r="E303" i="8"/>
  <c r="E304" i="8"/>
  <c r="D303" i="8"/>
  <c r="E302" i="8"/>
  <c r="G302" i="8" s="1"/>
  <c r="E301" i="8"/>
  <c r="P300" i="8"/>
  <c r="O300" i="8"/>
  <c r="G303" i="8" l="1"/>
  <c r="G304" i="8"/>
  <c r="M265" i="8"/>
  <c r="D259" i="8"/>
  <c r="C258" i="8"/>
  <c r="D65" i="8"/>
  <c r="G65" i="8" s="1"/>
  <c r="E64" i="8"/>
  <c r="G64" i="8" s="1"/>
  <c r="C397" i="13" l="1"/>
  <c r="C396" i="13"/>
  <c r="G389" i="13"/>
  <c r="J389" i="13" s="1"/>
  <c r="G387" i="13"/>
  <c r="J387" i="13" s="1"/>
  <c r="I385" i="13"/>
  <c r="G385" i="13"/>
  <c r="J385" i="13" s="1"/>
  <c r="G381" i="13"/>
  <c r="F380" i="13"/>
  <c r="G380" i="13" s="1"/>
  <c r="G379" i="13"/>
  <c r="G378" i="13"/>
  <c r="D377" i="13"/>
  <c r="G377" i="13" s="1"/>
  <c r="F372" i="13"/>
  <c r="D372" i="13"/>
  <c r="G372" i="13" s="1"/>
  <c r="G371" i="13"/>
  <c r="F371" i="13"/>
  <c r="F370" i="13"/>
  <c r="D370" i="13"/>
  <c r="B370" i="13"/>
  <c r="G365" i="13"/>
  <c r="G364" i="13"/>
  <c r="G363" i="13"/>
  <c r="G362" i="13"/>
  <c r="N361" i="13"/>
  <c r="O361" i="13" s="1"/>
  <c r="M361" i="13"/>
  <c r="G361" i="13"/>
  <c r="G360" i="13"/>
  <c r="G359" i="13"/>
  <c r="F358" i="13"/>
  <c r="G358" i="13" s="1"/>
  <c r="F357" i="13"/>
  <c r="D357" i="13"/>
  <c r="G356" i="13"/>
  <c r="D356" i="13"/>
  <c r="D355" i="13"/>
  <c r="G355" i="13" s="1"/>
  <c r="G354" i="13"/>
  <c r="D353" i="13"/>
  <c r="G353" i="13" s="1"/>
  <c r="D352" i="13"/>
  <c r="G352" i="13" s="1"/>
  <c r="G351" i="13"/>
  <c r="G350" i="13"/>
  <c r="G349" i="13"/>
  <c r="G348" i="13"/>
  <c r="R347" i="13"/>
  <c r="Q347" i="13"/>
  <c r="G347" i="13"/>
  <c r="G346" i="13"/>
  <c r="G345" i="13"/>
  <c r="G344" i="13"/>
  <c r="G343" i="13"/>
  <c r="C342" i="13"/>
  <c r="G342" i="13" s="1"/>
  <c r="G341" i="13"/>
  <c r="C341" i="13"/>
  <c r="R340" i="13"/>
  <c r="Q340" i="13"/>
  <c r="C340" i="13"/>
  <c r="G340" i="13" s="1"/>
  <c r="D339" i="13"/>
  <c r="G339" i="13" s="1"/>
  <c r="C339" i="13"/>
  <c r="D338" i="13"/>
  <c r="G338" i="13" s="1"/>
  <c r="G336" i="13"/>
  <c r="D335" i="13"/>
  <c r="G335" i="13" s="1"/>
  <c r="D329" i="13"/>
  <c r="G329" i="13" s="1"/>
  <c r="D328" i="13"/>
  <c r="G328" i="13" s="1"/>
  <c r="G327" i="13"/>
  <c r="D327" i="13"/>
  <c r="D326" i="13"/>
  <c r="G326" i="13" s="1"/>
  <c r="C325" i="13"/>
  <c r="G325" i="13" s="1"/>
  <c r="C324" i="13"/>
  <c r="G324" i="13" s="1"/>
  <c r="R323" i="13"/>
  <c r="Q323" i="13"/>
  <c r="G323" i="13"/>
  <c r="C323" i="13"/>
  <c r="F322" i="13"/>
  <c r="D322" i="13"/>
  <c r="G322" i="13" s="1"/>
  <c r="D321" i="13"/>
  <c r="C321" i="13"/>
  <c r="G320" i="13"/>
  <c r="D319" i="13"/>
  <c r="G319" i="13" s="1"/>
  <c r="F318" i="13"/>
  <c r="G318" i="13" s="1"/>
  <c r="D318" i="13"/>
  <c r="G317" i="13"/>
  <c r="G316" i="13"/>
  <c r="D315" i="13"/>
  <c r="G315" i="13" s="1"/>
  <c r="D310" i="13"/>
  <c r="G310" i="13" s="1"/>
  <c r="D309" i="13"/>
  <c r="G309" i="13" s="1"/>
  <c r="G311" i="13" s="1"/>
  <c r="O308" i="13"/>
  <c r="N308" i="13"/>
  <c r="M304" i="13"/>
  <c r="E304" i="13"/>
  <c r="G304" i="13" s="1"/>
  <c r="D304" i="13"/>
  <c r="E303" i="13"/>
  <c r="D303" i="13"/>
  <c r="G303" i="13" s="1"/>
  <c r="E302" i="13"/>
  <c r="D302" i="13"/>
  <c r="M301" i="13"/>
  <c r="E301" i="13"/>
  <c r="D301" i="13"/>
  <c r="G301" i="13" s="1"/>
  <c r="E300" i="13"/>
  <c r="D300" i="13"/>
  <c r="G300" i="13" s="1"/>
  <c r="E299" i="13"/>
  <c r="G299" i="13" s="1"/>
  <c r="D299" i="13"/>
  <c r="M298" i="13"/>
  <c r="E298" i="13"/>
  <c r="D298" i="13"/>
  <c r="G298" i="13" s="1"/>
  <c r="R296" i="13"/>
  <c r="P296" i="13"/>
  <c r="P295" i="13"/>
  <c r="G293" i="13"/>
  <c r="F293" i="13"/>
  <c r="G292" i="13"/>
  <c r="D291" i="13"/>
  <c r="G291" i="13" s="1"/>
  <c r="G290" i="13"/>
  <c r="D290" i="13"/>
  <c r="G289" i="13"/>
  <c r="D288" i="13"/>
  <c r="G288" i="13" s="1"/>
  <c r="D287" i="13"/>
  <c r="G287" i="13" s="1"/>
  <c r="G286" i="13"/>
  <c r="G285" i="13"/>
  <c r="G284" i="13"/>
  <c r="G283" i="13"/>
  <c r="R282" i="13"/>
  <c r="Q282" i="13"/>
  <c r="G282" i="13"/>
  <c r="G281" i="13"/>
  <c r="G280" i="13"/>
  <c r="G279" i="13"/>
  <c r="G278" i="13"/>
  <c r="G277" i="13"/>
  <c r="D277" i="13"/>
  <c r="D276" i="13"/>
  <c r="G276" i="13" s="1"/>
  <c r="D275" i="13"/>
  <c r="G275" i="13" s="1"/>
  <c r="G274" i="13"/>
  <c r="C274" i="13"/>
  <c r="C273" i="13"/>
  <c r="G273" i="13" s="1"/>
  <c r="R272" i="13"/>
  <c r="Q272" i="13"/>
  <c r="C272" i="13"/>
  <c r="G272" i="13" s="1"/>
  <c r="G271" i="13"/>
  <c r="D271" i="13"/>
  <c r="D270" i="13"/>
  <c r="G270" i="13" s="1"/>
  <c r="G269" i="13"/>
  <c r="D268" i="13"/>
  <c r="G268" i="13" s="1"/>
  <c r="N262" i="13"/>
  <c r="F262" i="13"/>
  <c r="G262" i="13" s="1"/>
  <c r="E257" i="13"/>
  <c r="D257" i="13"/>
  <c r="C257" i="13"/>
  <c r="B257" i="13"/>
  <c r="D256" i="13"/>
  <c r="C256" i="13"/>
  <c r="B256" i="13"/>
  <c r="D255" i="13"/>
  <c r="C255" i="13"/>
  <c r="B255" i="13"/>
  <c r="M254" i="13"/>
  <c r="E254" i="13"/>
  <c r="D254" i="13"/>
  <c r="C254" i="13"/>
  <c r="B254" i="13"/>
  <c r="M253" i="13"/>
  <c r="E253" i="13"/>
  <c r="G253" i="13" s="1"/>
  <c r="G248" i="13"/>
  <c r="G249" i="13" s="1"/>
  <c r="J249" i="13" s="1"/>
  <c r="J250" i="13" s="1"/>
  <c r="G243" i="13"/>
  <c r="G242" i="13"/>
  <c r="G241" i="13"/>
  <c r="G244" i="13" s="1"/>
  <c r="J244" i="13" s="1"/>
  <c r="J245" i="13" s="1"/>
  <c r="E236" i="13"/>
  <c r="C236" i="13"/>
  <c r="N232" i="13"/>
  <c r="D231" i="13"/>
  <c r="G231" i="13" s="1"/>
  <c r="D230" i="13"/>
  <c r="G230" i="13" s="1"/>
  <c r="D229" i="13"/>
  <c r="G229" i="13" s="1"/>
  <c r="E228" i="13"/>
  <c r="G228" i="13" s="1"/>
  <c r="D228" i="13"/>
  <c r="E227" i="13"/>
  <c r="D227" i="13"/>
  <c r="C227" i="13"/>
  <c r="G227" i="13" s="1"/>
  <c r="D226" i="13"/>
  <c r="G226" i="13" s="1"/>
  <c r="E224" i="13"/>
  <c r="D224" i="13"/>
  <c r="G224" i="13" s="1"/>
  <c r="G222" i="13"/>
  <c r="E221" i="13"/>
  <c r="G221" i="13" s="1"/>
  <c r="G220" i="13"/>
  <c r="G219" i="13"/>
  <c r="G218" i="13"/>
  <c r="G217" i="13"/>
  <c r="N216" i="13"/>
  <c r="G216" i="13"/>
  <c r="D215" i="13"/>
  <c r="G215" i="13" s="1"/>
  <c r="G214" i="13"/>
  <c r="C213" i="13"/>
  <c r="G213" i="13" s="1"/>
  <c r="G212" i="13"/>
  <c r="G211" i="13"/>
  <c r="G210" i="13"/>
  <c r="G209" i="13"/>
  <c r="G208" i="13"/>
  <c r="G207" i="13"/>
  <c r="G206" i="13"/>
  <c r="G205" i="13"/>
  <c r="G204" i="13"/>
  <c r="G203" i="13"/>
  <c r="G202" i="13"/>
  <c r="G201" i="13"/>
  <c r="G200" i="13"/>
  <c r="G199" i="13"/>
  <c r="G198" i="13"/>
  <c r="G197" i="13"/>
  <c r="E192" i="13"/>
  <c r="D192" i="13"/>
  <c r="E191" i="13"/>
  <c r="D191" i="13"/>
  <c r="F191" i="13" s="1"/>
  <c r="G191" i="13" s="1"/>
  <c r="E190" i="13"/>
  <c r="D190" i="13"/>
  <c r="E189" i="13"/>
  <c r="D189" i="13"/>
  <c r="F189" i="13" s="1"/>
  <c r="G189" i="13" s="1"/>
  <c r="E188" i="13"/>
  <c r="D188" i="13"/>
  <c r="E187" i="13"/>
  <c r="D187" i="13"/>
  <c r="F187" i="13" s="1"/>
  <c r="G187" i="13" s="1"/>
  <c r="E186" i="13"/>
  <c r="D186" i="13"/>
  <c r="E185" i="13"/>
  <c r="D185" i="13"/>
  <c r="F185" i="13" s="1"/>
  <c r="G185" i="13" s="1"/>
  <c r="E184" i="13"/>
  <c r="F184" i="13" s="1"/>
  <c r="G184" i="13" s="1"/>
  <c r="D184" i="13"/>
  <c r="E183" i="13"/>
  <c r="F183" i="13" s="1"/>
  <c r="G183" i="13" s="1"/>
  <c r="D183" i="13"/>
  <c r="E182" i="13"/>
  <c r="D182" i="13"/>
  <c r="F181" i="13"/>
  <c r="G181" i="13" s="1"/>
  <c r="E181" i="13"/>
  <c r="D181" i="13"/>
  <c r="E179" i="13"/>
  <c r="D179" i="13"/>
  <c r="E178" i="13"/>
  <c r="D178" i="13"/>
  <c r="F178" i="13" s="1"/>
  <c r="G178" i="13" s="1"/>
  <c r="E177" i="13"/>
  <c r="F177" i="13" s="1"/>
  <c r="G177" i="13" s="1"/>
  <c r="D177" i="13"/>
  <c r="E176" i="13"/>
  <c r="D176" i="13"/>
  <c r="F176" i="13" s="1"/>
  <c r="G176" i="13" s="1"/>
  <c r="E175" i="13"/>
  <c r="F175" i="13" s="1"/>
  <c r="G175" i="13" s="1"/>
  <c r="D175" i="13"/>
  <c r="E174" i="13"/>
  <c r="D174" i="13"/>
  <c r="F174" i="13" s="1"/>
  <c r="G174" i="13" s="1"/>
  <c r="E173" i="13"/>
  <c r="D173" i="13"/>
  <c r="F172" i="13"/>
  <c r="G172" i="13" s="1"/>
  <c r="E172" i="13"/>
  <c r="D172" i="13"/>
  <c r="E171" i="13"/>
  <c r="D171" i="13"/>
  <c r="E170" i="13"/>
  <c r="D170" i="13"/>
  <c r="E169" i="13"/>
  <c r="D169" i="13"/>
  <c r="E168" i="13"/>
  <c r="D168" i="13"/>
  <c r="E167" i="13"/>
  <c r="D167" i="13"/>
  <c r="E166" i="13"/>
  <c r="D166" i="13"/>
  <c r="E164" i="13"/>
  <c r="D164" i="13"/>
  <c r="E163" i="13"/>
  <c r="D163" i="13"/>
  <c r="E162" i="13"/>
  <c r="D162" i="13"/>
  <c r="C162" i="13"/>
  <c r="E161" i="13"/>
  <c r="D161" i="13"/>
  <c r="C161" i="13"/>
  <c r="O160" i="13"/>
  <c r="E160" i="13"/>
  <c r="D160" i="13"/>
  <c r="C160" i="13"/>
  <c r="F160" i="13" s="1"/>
  <c r="G160" i="13" s="1"/>
  <c r="E159" i="13"/>
  <c r="D159" i="13"/>
  <c r="C159" i="13"/>
  <c r="E158" i="13"/>
  <c r="F158" i="13" s="1"/>
  <c r="G158" i="13" s="1"/>
  <c r="D158" i="13"/>
  <c r="C158" i="13"/>
  <c r="E157" i="13"/>
  <c r="D157" i="13"/>
  <c r="C157" i="13"/>
  <c r="E156" i="13"/>
  <c r="D156" i="13"/>
  <c r="C156" i="13"/>
  <c r="E155" i="13"/>
  <c r="D155" i="13"/>
  <c r="C155" i="13"/>
  <c r="O154" i="13"/>
  <c r="N154" i="13"/>
  <c r="E154" i="13"/>
  <c r="D154" i="13"/>
  <c r="C154" i="13"/>
  <c r="F154" i="13" s="1"/>
  <c r="G154" i="13" s="1"/>
  <c r="E153" i="13"/>
  <c r="D153" i="13"/>
  <c r="C153" i="13"/>
  <c r="N152" i="13"/>
  <c r="E152" i="13"/>
  <c r="D152" i="13"/>
  <c r="C152" i="13"/>
  <c r="F152" i="13" s="1"/>
  <c r="G152" i="13" s="1"/>
  <c r="E151" i="13"/>
  <c r="D151" i="13"/>
  <c r="C151" i="13"/>
  <c r="F151" i="13" s="1"/>
  <c r="G151" i="13" s="1"/>
  <c r="O150" i="13"/>
  <c r="N150" i="13"/>
  <c r="E150" i="13"/>
  <c r="D150" i="13"/>
  <c r="C150" i="13"/>
  <c r="F150" i="13" s="1"/>
  <c r="G150" i="13" s="1"/>
  <c r="E149" i="13"/>
  <c r="D149" i="13"/>
  <c r="C149" i="13"/>
  <c r="F149" i="13" s="1"/>
  <c r="G149" i="13" s="1"/>
  <c r="E148" i="13"/>
  <c r="D148" i="13"/>
  <c r="C148" i="13"/>
  <c r="E147" i="13"/>
  <c r="D147" i="13"/>
  <c r="C147" i="13"/>
  <c r="N146" i="13" s="1"/>
  <c r="O146" i="13" s="1"/>
  <c r="E146" i="13"/>
  <c r="D146" i="13"/>
  <c r="F146" i="13" s="1"/>
  <c r="G146" i="13" s="1"/>
  <c r="C146" i="13"/>
  <c r="E145" i="13"/>
  <c r="D145" i="13"/>
  <c r="C145" i="13"/>
  <c r="E144" i="13"/>
  <c r="D144" i="13"/>
  <c r="C144" i="13"/>
  <c r="F144" i="13" s="1"/>
  <c r="G144" i="13" s="1"/>
  <c r="E143" i="13"/>
  <c r="D143" i="13"/>
  <c r="C143" i="13"/>
  <c r="N142" i="13"/>
  <c r="O142" i="13" s="1"/>
  <c r="F142" i="13"/>
  <c r="G142" i="13" s="1"/>
  <c r="E142" i="13"/>
  <c r="D142" i="13"/>
  <c r="C142" i="13"/>
  <c r="E141" i="13"/>
  <c r="D141" i="13"/>
  <c r="C141" i="13"/>
  <c r="E140" i="13"/>
  <c r="D140" i="13"/>
  <c r="C140" i="13"/>
  <c r="E139" i="13"/>
  <c r="D139" i="13"/>
  <c r="E138" i="13"/>
  <c r="D138" i="13"/>
  <c r="E133" i="13"/>
  <c r="D133" i="13"/>
  <c r="C133" i="13"/>
  <c r="G133" i="13" s="1"/>
  <c r="D132" i="13"/>
  <c r="C132" i="13"/>
  <c r="D131" i="13"/>
  <c r="C131" i="13"/>
  <c r="E130" i="13"/>
  <c r="D130" i="13"/>
  <c r="C130" i="13"/>
  <c r="F129" i="13"/>
  <c r="D129" i="13"/>
  <c r="F128" i="13"/>
  <c r="D128" i="13"/>
  <c r="F127" i="13"/>
  <c r="G127" i="13" s="1"/>
  <c r="D127" i="13"/>
  <c r="C127" i="13"/>
  <c r="F126" i="13"/>
  <c r="D126" i="13"/>
  <c r="C126" i="13"/>
  <c r="F125" i="13"/>
  <c r="D125" i="13"/>
  <c r="C125" i="13"/>
  <c r="G125" i="13" s="1"/>
  <c r="F124" i="13"/>
  <c r="D124" i="13"/>
  <c r="C124" i="13"/>
  <c r="G124" i="13" s="1"/>
  <c r="F123" i="13"/>
  <c r="D123" i="13"/>
  <c r="C123" i="13"/>
  <c r="G123" i="13" s="1"/>
  <c r="F122" i="13"/>
  <c r="D122" i="13"/>
  <c r="C122" i="13"/>
  <c r="G122" i="13" s="1"/>
  <c r="G121" i="13"/>
  <c r="D121" i="13"/>
  <c r="D120" i="13"/>
  <c r="G120" i="13" s="1"/>
  <c r="G115" i="13"/>
  <c r="E114" i="13"/>
  <c r="G114" i="13" s="1"/>
  <c r="E113" i="13"/>
  <c r="E131" i="13" s="1"/>
  <c r="E112" i="13"/>
  <c r="D112" i="13"/>
  <c r="G112" i="13" s="1"/>
  <c r="C111" i="13"/>
  <c r="G111" i="13" s="1"/>
  <c r="C110" i="13"/>
  <c r="G110" i="13" s="1"/>
  <c r="G109" i="13"/>
  <c r="P108" i="13"/>
  <c r="G108" i="13"/>
  <c r="G107" i="13"/>
  <c r="G106" i="13"/>
  <c r="G105" i="13"/>
  <c r="N104" i="13"/>
  <c r="G104" i="13"/>
  <c r="F103" i="13"/>
  <c r="D103" i="13"/>
  <c r="F102" i="13"/>
  <c r="M102" i="13" s="1"/>
  <c r="D102" i="13"/>
  <c r="O101" i="13"/>
  <c r="G100" i="13"/>
  <c r="G98" i="13"/>
  <c r="G96" i="13"/>
  <c r="M94" i="13"/>
  <c r="D89" i="13"/>
  <c r="G89" i="13" s="1"/>
  <c r="N88" i="13"/>
  <c r="Q88" i="13" s="1"/>
  <c r="G88" i="13"/>
  <c r="Q87" i="13"/>
  <c r="N87" i="13"/>
  <c r="G87" i="13"/>
  <c r="N86" i="13"/>
  <c r="Q86" i="13" s="1"/>
  <c r="G86" i="13"/>
  <c r="Q85" i="13"/>
  <c r="N85" i="13"/>
  <c r="G85" i="13"/>
  <c r="Q84" i="13"/>
  <c r="N84" i="13"/>
  <c r="G84" i="13"/>
  <c r="S83" i="13"/>
  <c r="N83" i="13"/>
  <c r="Q83" i="13" s="1"/>
  <c r="G83" i="13"/>
  <c r="N78" i="13"/>
  <c r="Q78" i="13" s="1"/>
  <c r="D78" i="13"/>
  <c r="G78" i="13" s="1"/>
  <c r="Q77" i="13"/>
  <c r="G77" i="13"/>
  <c r="Q76" i="13"/>
  <c r="G76" i="13"/>
  <c r="N75" i="13"/>
  <c r="Q75" i="13" s="1"/>
  <c r="D75" i="13"/>
  <c r="G75" i="13" s="1"/>
  <c r="N74" i="13"/>
  <c r="Q74" i="13" s="1"/>
  <c r="G74" i="13"/>
  <c r="D74" i="13"/>
  <c r="N73" i="13"/>
  <c r="Q73" i="13" s="1"/>
  <c r="D73" i="13"/>
  <c r="G73" i="13" s="1"/>
  <c r="Q72" i="13"/>
  <c r="O72" i="13"/>
  <c r="N72" i="13"/>
  <c r="E72" i="13"/>
  <c r="D72" i="13"/>
  <c r="G72" i="13" s="1"/>
  <c r="N71" i="13"/>
  <c r="Q71" i="13" s="1"/>
  <c r="D71" i="13"/>
  <c r="G71" i="13" s="1"/>
  <c r="P70" i="13"/>
  <c r="N70" i="13"/>
  <c r="F70" i="13"/>
  <c r="D70" i="13"/>
  <c r="G70" i="13" s="1"/>
  <c r="Q69" i="13"/>
  <c r="P69" i="13"/>
  <c r="N69" i="13"/>
  <c r="F69" i="13"/>
  <c r="D69" i="13"/>
  <c r="G69" i="13" s="1"/>
  <c r="P68" i="13"/>
  <c r="Q68" i="13" s="1"/>
  <c r="N68" i="13"/>
  <c r="F68" i="13"/>
  <c r="D68" i="13"/>
  <c r="P67" i="13"/>
  <c r="N67" i="13"/>
  <c r="F67" i="13"/>
  <c r="G67" i="13" s="1"/>
  <c r="D67" i="13"/>
  <c r="F63" i="13"/>
  <c r="D63" i="13"/>
  <c r="G63" i="13" s="1"/>
  <c r="G62" i="13"/>
  <c r="F62" i="13"/>
  <c r="D62" i="13"/>
  <c r="E61" i="13"/>
  <c r="G61" i="13" s="1"/>
  <c r="N60" i="13"/>
  <c r="M60" i="13"/>
  <c r="E60" i="13"/>
  <c r="G60" i="13" s="1"/>
  <c r="B60" i="13"/>
  <c r="D55" i="13"/>
  <c r="G55" i="13" s="1"/>
  <c r="E54" i="13"/>
  <c r="C54" i="13"/>
  <c r="B54" i="13"/>
  <c r="F52" i="13"/>
  <c r="F51" i="13"/>
  <c r="B51" i="13"/>
  <c r="E50" i="13"/>
  <c r="D50" i="13"/>
  <c r="G50" i="13" s="1"/>
  <c r="E49" i="13"/>
  <c r="D49" i="13"/>
  <c r="D47" i="13"/>
  <c r="D34" i="13" s="1"/>
  <c r="G46" i="13"/>
  <c r="G45" i="13"/>
  <c r="D45" i="13"/>
  <c r="D25" i="13" s="1"/>
  <c r="G25" i="13" s="1"/>
  <c r="C45" i="13"/>
  <c r="B45" i="13"/>
  <c r="B41" i="13" s="1"/>
  <c r="D41" i="13"/>
  <c r="G41" i="13" s="1"/>
  <c r="I36" i="13"/>
  <c r="D35" i="13"/>
  <c r="G35" i="13" s="1"/>
  <c r="E34" i="13"/>
  <c r="B34" i="13"/>
  <c r="D33" i="13"/>
  <c r="G33" i="13" s="1"/>
  <c r="E32" i="13"/>
  <c r="D32" i="13"/>
  <c r="D53" i="13" s="1"/>
  <c r="C32" i="13"/>
  <c r="C53" i="13" s="1"/>
  <c r="E31" i="13"/>
  <c r="E52" i="13" s="1"/>
  <c r="D31" i="13"/>
  <c r="D52" i="13" s="1"/>
  <c r="C31" i="13"/>
  <c r="G31" i="13" s="1"/>
  <c r="C30" i="13"/>
  <c r="C51" i="13" s="1"/>
  <c r="E29" i="13"/>
  <c r="D29" i="13"/>
  <c r="D236" i="13" s="1"/>
  <c r="G236" i="13" s="1"/>
  <c r="G237" i="13" s="1"/>
  <c r="J237" i="13" s="1"/>
  <c r="J238" i="13" s="1"/>
  <c r="E28" i="13"/>
  <c r="C28" i="13"/>
  <c r="E27" i="13"/>
  <c r="C27" i="13"/>
  <c r="E26" i="13"/>
  <c r="E48" i="13" s="1"/>
  <c r="D26" i="13"/>
  <c r="D48" i="13" s="1"/>
  <c r="C26" i="13"/>
  <c r="C48" i="13" s="1"/>
  <c r="E25" i="13"/>
  <c r="G21" i="13"/>
  <c r="G22" i="13" s="1"/>
  <c r="J22" i="13" s="1"/>
  <c r="E21" i="13"/>
  <c r="D21" i="13"/>
  <c r="E17" i="13"/>
  <c r="D17" i="13"/>
  <c r="G17" i="13" s="1"/>
  <c r="G16" i="13"/>
  <c r="D16" i="13"/>
  <c r="D54" i="13" s="1"/>
  <c r="G15" i="13"/>
  <c r="G14" i="13"/>
  <c r="E13" i="13"/>
  <c r="E30" i="13" s="1"/>
  <c r="E51" i="13" s="1"/>
  <c r="D13" i="13"/>
  <c r="D30" i="13" s="1"/>
  <c r="F12" i="13"/>
  <c r="D12" i="13"/>
  <c r="D28" i="13" s="1"/>
  <c r="G28" i="13" s="1"/>
  <c r="F11" i="13"/>
  <c r="D11" i="13"/>
  <c r="G11" i="13" s="1"/>
  <c r="G10" i="13"/>
  <c r="D40" i="13" s="1"/>
  <c r="G40" i="13" s="1"/>
  <c r="D315" i="8"/>
  <c r="D330" i="12"/>
  <c r="E17" i="8"/>
  <c r="D17" i="8"/>
  <c r="C172" i="12"/>
  <c r="C170" i="12"/>
  <c r="C162" i="12"/>
  <c r="C163" i="12"/>
  <c r="P387" i="12"/>
  <c r="O387" i="12"/>
  <c r="G17" i="8" l="1"/>
  <c r="G325" i="8"/>
  <c r="F164" i="13"/>
  <c r="G164" i="13" s="1"/>
  <c r="G357" i="13"/>
  <c r="Q67" i="13"/>
  <c r="C128" i="13"/>
  <c r="G128" i="13" s="1"/>
  <c r="F141" i="13"/>
  <c r="G141" i="13" s="1"/>
  <c r="F143" i="13"/>
  <c r="G143" i="13" s="1"/>
  <c r="F145" i="13"/>
  <c r="G145" i="13" s="1"/>
  <c r="F161" i="13"/>
  <c r="G161" i="13" s="1"/>
  <c r="F166" i="13"/>
  <c r="G166" i="13" s="1"/>
  <c r="F170" i="13"/>
  <c r="G170" i="13" s="1"/>
  <c r="F173" i="13"/>
  <c r="G173" i="13" s="1"/>
  <c r="G254" i="13"/>
  <c r="G126" i="13"/>
  <c r="F138" i="13"/>
  <c r="G138" i="13" s="1"/>
  <c r="G193" i="13" s="1"/>
  <c r="F148" i="13"/>
  <c r="G148" i="13" s="1"/>
  <c r="F157" i="13"/>
  <c r="G157" i="13" s="1"/>
  <c r="F159" i="13"/>
  <c r="G159" i="13" s="1"/>
  <c r="F188" i="13"/>
  <c r="G188" i="13" s="1"/>
  <c r="F192" i="13"/>
  <c r="G192" i="13" s="1"/>
  <c r="G294" i="13"/>
  <c r="J294" i="13" s="1"/>
  <c r="G321" i="13"/>
  <c r="G132" i="13"/>
  <c r="E256" i="13"/>
  <c r="G256" i="13" s="1"/>
  <c r="G305" i="13"/>
  <c r="G32" i="13"/>
  <c r="F156" i="13"/>
  <c r="G156" i="13" s="1"/>
  <c r="F179" i="13"/>
  <c r="G179" i="13" s="1"/>
  <c r="G42" i="13"/>
  <c r="J42" i="13" s="1"/>
  <c r="B25" i="13"/>
  <c r="G64" i="13"/>
  <c r="J64" i="13" s="1"/>
  <c r="G68" i="13"/>
  <c r="F162" i="13"/>
  <c r="G162" i="13" s="1"/>
  <c r="F167" i="13"/>
  <c r="G167" i="13" s="1"/>
  <c r="F171" i="13"/>
  <c r="G171" i="13" s="1"/>
  <c r="G370" i="13"/>
  <c r="G12" i="13"/>
  <c r="G103" i="13"/>
  <c r="F169" i="13"/>
  <c r="G169" i="13" s="1"/>
  <c r="G54" i="13"/>
  <c r="G34" i="13"/>
  <c r="G102" i="13"/>
  <c r="E132" i="13"/>
  <c r="F139" i="13"/>
  <c r="G139" i="13" s="1"/>
  <c r="F155" i="13"/>
  <c r="G155" i="13" s="1"/>
  <c r="F163" i="13"/>
  <c r="G163" i="13" s="1"/>
  <c r="F168" i="13"/>
  <c r="G168" i="13" s="1"/>
  <c r="O171" i="13" s="1"/>
  <c r="Q171" i="13" s="1"/>
  <c r="F182" i="13"/>
  <c r="G182" i="13" s="1"/>
  <c r="G257" i="13"/>
  <c r="G49" i="13"/>
  <c r="Q70" i="13"/>
  <c r="G90" i="13"/>
  <c r="G131" i="13"/>
  <c r="G130" i="13"/>
  <c r="F140" i="13"/>
  <c r="G140" i="13" s="1"/>
  <c r="F147" i="13"/>
  <c r="G147" i="13" s="1"/>
  <c r="F153" i="13"/>
  <c r="G153" i="13" s="1"/>
  <c r="F186" i="13"/>
  <c r="G186" i="13" s="1"/>
  <c r="F190" i="13"/>
  <c r="G190" i="13" s="1"/>
  <c r="G302" i="13"/>
  <c r="G48" i="13"/>
  <c r="C95" i="13"/>
  <c r="G95" i="13" s="1"/>
  <c r="G79" i="13"/>
  <c r="J312" i="13"/>
  <c r="J311" i="13"/>
  <c r="D51" i="13"/>
  <c r="G51" i="13" s="1"/>
  <c r="G30" i="13"/>
  <c r="Q89" i="13"/>
  <c r="R89" i="13" s="1"/>
  <c r="M185" i="13"/>
  <c r="P171" i="13"/>
  <c r="J295" i="13"/>
  <c r="G330" i="13"/>
  <c r="G366" i="13"/>
  <c r="G232" i="13"/>
  <c r="J232" i="13" s="1"/>
  <c r="J233" i="13" s="1"/>
  <c r="G382" i="13"/>
  <c r="J90" i="13"/>
  <c r="J91" i="13"/>
  <c r="G373" i="13"/>
  <c r="G113" i="13"/>
  <c r="G47" i="13"/>
  <c r="E53" i="13"/>
  <c r="G53" i="13" s="1"/>
  <c r="E255" i="13"/>
  <c r="G255" i="13" s="1"/>
  <c r="G26" i="13"/>
  <c r="G13" i="13"/>
  <c r="G18" i="13" s="1"/>
  <c r="J18" i="13" s="1"/>
  <c r="D27" i="13"/>
  <c r="G27" i="13" s="1"/>
  <c r="C52" i="13"/>
  <c r="G52" i="13" s="1"/>
  <c r="C129" i="13"/>
  <c r="G129" i="13" s="1"/>
  <c r="G29" i="13"/>
  <c r="D376" i="8"/>
  <c r="D373" i="8"/>
  <c r="G322" i="8"/>
  <c r="G258" i="13" l="1"/>
  <c r="G36" i="13"/>
  <c r="G134" i="13"/>
  <c r="J134" i="13" s="1"/>
  <c r="J37" i="13"/>
  <c r="J36" i="13"/>
  <c r="G56" i="13"/>
  <c r="J135" i="13"/>
  <c r="J258" i="13"/>
  <c r="G263" i="13"/>
  <c r="G264" i="13" s="1"/>
  <c r="J259" i="13"/>
  <c r="J194" i="13"/>
  <c r="J193" i="13"/>
  <c r="J367" i="13"/>
  <c r="J366" i="13"/>
  <c r="J330" i="13"/>
  <c r="J331" i="13"/>
  <c r="J374" i="13"/>
  <c r="J373" i="13"/>
  <c r="M382" i="13"/>
  <c r="J382" i="13"/>
  <c r="J383" i="13"/>
  <c r="J80" i="13"/>
  <c r="J79" i="13"/>
  <c r="J306" i="13"/>
  <c r="J305" i="13"/>
  <c r="G116" i="13"/>
  <c r="M101" i="13"/>
  <c r="N390" i="8"/>
  <c r="M390" i="8"/>
  <c r="O390" i="8" l="1"/>
  <c r="N91" i="13"/>
  <c r="J264" i="13"/>
  <c r="J265" i="13"/>
  <c r="N347" i="13"/>
  <c r="M364" i="13"/>
  <c r="J57" i="13"/>
  <c r="J56" i="13"/>
  <c r="J390" i="13" s="1"/>
  <c r="C392" i="13" s="1"/>
  <c r="N115" i="13"/>
  <c r="N116" i="13"/>
  <c r="J116" i="13"/>
  <c r="J117" i="13"/>
  <c r="C454" i="12"/>
  <c r="C453" i="12"/>
  <c r="H86" i="3"/>
  <c r="E86" i="3"/>
  <c r="C86" i="3"/>
  <c r="B86" i="3"/>
  <c r="A86" i="3"/>
  <c r="E84" i="3"/>
  <c r="C84" i="3"/>
  <c r="B84" i="3"/>
  <c r="A84" i="3"/>
  <c r="H78" i="3"/>
  <c r="E78" i="3"/>
  <c r="C78" i="3"/>
  <c r="B79" i="3"/>
  <c r="B78" i="3"/>
  <c r="A78" i="3"/>
  <c r="H75" i="3"/>
  <c r="E75" i="3"/>
  <c r="C75" i="3"/>
  <c r="B76" i="3"/>
  <c r="B75" i="3"/>
  <c r="A75" i="3"/>
  <c r="H72" i="3"/>
  <c r="E72" i="3"/>
  <c r="C72" i="3"/>
  <c r="B73" i="3"/>
  <c r="B72" i="3"/>
  <c r="A72" i="3"/>
  <c r="H69" i="3"/>
  <c r="E69" i="3"/>
  <c r="C69" i="3"/>
  <c r="B70" i="3"/>
  <c r="B69" i="3"/>
  <c r="A69" i="3"/>
  <c r="H66" i="3"/>
  <c r="E66" i="3"/>
  <c r="C66" i="3"/>
  <c r="B67" i="3"/>
  <c r="B66" i="3"/>
  <c r="A66" i="3"/>
  <c r="H63" i="3"/>
  <c r="E63" i="3"/>
  <c r="C63" i="3"/>
  <c r="B64" i="3"/>
  <c r="B63" i="3"/>
  <c r="A63" i="3"/>
  <c r="H60" i="3"/>
  <c r="E60" i="3"/>
  <c r="C60" i="3"/>
  <c r="B61" i="3"/>
  <c r="B60" i="3"/>
  <c r="A60" i="3"/>
  <c r="H57" i="3"/>
  <c r="E57" i="3"/>
  <c r="C57" i="3"/>
  <c r="B58" i="3"/>
  <c r="B57" i="3"/>
  <c r="A57" i="3"/>
  <c r="H54" i="3"/>
  <c r="E54" i="3"/>
  <c r="C54" i="3"/>
  <c r="B55" i="3"/>
  <c r="B54" i="3"/>
  <c r="A54" i="3"/>
  <c r="H51" i="3"/>
  <c r="E51" i="3"/>
  <c r="C51" i="3"/>
  <c r="B52" i="3"/>
  <c r="B51" i="3"/>
  <c r="A51" i="3"/>
  <c r="H48" i="3"/>
  <c r="E48" i="3"/>
  <c r="C48" i="3"/>
  <c r="B49" i="3"/>
  <c r="B48" i="3"/>
  <c r="A48" i="3"/>
  <c r="H45" i="3"/>
  <c r="E45" i="3"/>
  <c r="C45" i="3"/>
  <c r="B46" i="3"/>
  <c r="B45" i="3"/>
  <c r="A45" i="3"/>
  <c r="H42" i="3"/>
  <c r="E42" i="3"/>
  <c r="C42" i="3"/>
  <c r="B43" i="3"/>
  <c r="B42" i="3"/>
  <c r="A42" i="3"/>
  <c r="H39" i="3"/>
  <c r="E39" i="3"/>
  <c r="C39" i="3"/>
  <c r="B40" i="3"/>
  <c r="B39" i="3"/>
  <c r="A39" i="3"/>
  <c r="H36" i="3"/>
  <c r="E36" i="3"/>
  <c r="C36" i="3"/>
  <c r="B37" i="3"/>
  <c r="B36" i="3"/>
  <c r="A36" i="3"/>
  <c r="H33" i="3"/>
  <c r="E33" i="3"/>
  <c r="C33" i="3"/>
  <c r="B34" i="3"/>
  <c r="B33" i="3"/>
  <c r="A33" i="3"/>
  <c r="H30" i="3"/>
  <c r="E30" i="3"/>
  <c r="C30" i="3"/>
  <c r="B31" i="3"/>
  <c r="B30" i="3"/>
  <c r="A30" i="3"/>
  <c r="H27" i="3"/>
  <c r="E27" i="3"/>
  <c r="C27" i="3"/>
  <c r="B28" i="3"/>
  <c r="B27" i="3"/>
  <c r="A27" i="3"/>
  <c r="E25" i="3"/>
  <c r="C25" i="3"/>
  <c r="B25" i="3"/>
  <c r="A25" i="3"/>
  <c r="E22" i="3"/>
  <c r="C22" i="3"/>
  <c r="B23" i="3"/>
  <c r="B22" i="3"/>
  <c r="A22" i="3"/>
  <c r="E20" i="3"/>
  <c r="C20" i="3"/>
  <c r="B20" i="3"/>
  <c r="A20" i="3"/>
  <c r="C17" i="3"/>
  <c r="B18" i="3"/>
  <c r="B17" i="3"/>
  <c r="A17" i="3"/>
  <c r="H15" i="3"/>
  <c r="E15" i="3"/>
  <c r="C15" i="3"/>
  <c r="B15" i="3"/>
  <c r="A15" i="3"/>
  <c r="H13" i="3"/>
  <c r="E13" i="3"/>
  <c r="C13" i="3"/>
  <c r="B13" i="3"/>
  <c r="A13" i="3"/>
  <c r="D51" i="12"/>
  <c r="G51" i="12" s="1"/>
  <c r="D48" i="12"/>
  <c r="F55" i="12"/>
  <c r="F56" i="12"/>
  <c r="F22" i="12"/>
  <c r="D73" i="12"/>
  <c r="G73" i="12" s="1"/>
  <c r="O266" i="12"/>
  <c r="O265" i="12"/>
  <c r="Q266" i="12"/>
  <c r="P266" i="12"/>
  <c r="F208" i="12"/>
  <c r="G208" i="12" s="1"/>
  <c r="F209" i="12"/>
  <c r="G209" i="12" s="1"/>
  <c r="F207" i="12"/>
  <c r="G207" i="12" s="1"/>
  <c r="F210" i="12"/>
  <c r="G210" i="12" s="1"/>
  <c r="F211" i="12"/>
  <c r="G211" i="12" s="1"/>
  <c r="G146" i="12"/>
  <c r="G147" i="12"/>
  <c r="G125" i="12"/>
  <c r="G126" i="12"/>
  <c r="G127" i="12"/>
  <c r="G60" i="12"/>
  <c r="G61" i="12"/>
  <c r="G85" i="12"/>
  <c r="G86" i="12"/>
  <c r="G87" i="12"/>
  <c r="G37" i="12"/>
  <c r="G38" i="12"/>
  <c r="D18" i="12"/>
  <c r="G18" i="12" s="1"/>
  <c r="D17" i="12"/>
  <c r="G17" i="12" s="1"/>
  <c r="D255" i="12"/>
  <c r="C255" i="12"/>
  <c r="G446" i="12"/>
  <c r="J446" i="12" s="1"/>
  <c r="G433" i="12"/>
  <c r="F432" i="12"/>
  <c r="G432" i="12" s="1"/>
  <c r="G431" i="12"/>
  <c r="G430" i="12"/>
  <c r="D429" i="12"/>
  <c r="G429" i="12" s="1"/>
  <c r="G444" i="12"/>
  <c r="J444" i="12" s="1"/>
  <c r="D424" i="12"/>
  <c r="F423" i="12"/>
  <c r="G423" i="12" s="1"/>
  <c r="D422" i="12"/>
  <c r="B422" i="12"/>
  <c r="G417" i="12"/>
  <c r="G416" i="12"/>
  <c r="G415" i="12"/>
  <c r="G414" i="12"/>
  <c r="G413" i="12"/>
  <c r="G412" i="12"/>
  <c r="G411" i="12"/>
  <c r="F410" i="12"/>
  <c r="G410" i="12" s="1"/>
  <c r="F409" i="12"/>
  <c r="D409" i="12"/>
  <c r="D408" i="12"/>
  <c r="G408" i="12" s="1"/>
  <c r="D407" i="12"/>
  <c r="G407" i="12" s="1"/>
  <c r="G406" i="12"/>
  <c r="D405" i="12"/>
  <c r="G405" i="12" s="1"/>
  <c r="D404" i="12"/>
  <c r="G404" i="12" s="1"/>
  <c r="G403" i="12"/>
  <c r="G402" i="12"/>
  <c r="G401" i="12"/>
  <c r="G400" i="12"/>
  <c r="R399" i="12"/>
  <c r="Q399" i="12"/>
  <c r="G399" i="12"/>
  <c r="G398" i="12"/>
  <c r="G397" i="12"/>
  <c r="G396" i="12"/>
  <c r="G395" i="12"/>
  <c r="C394" i="12"/>
  <c r="G394" i="12" s="1"/>
  <c r="C393" i="12"/>
  <c r="G393" i="12" s="1"/>
  <c r="R392" i="12"/>
  <c r="Q392" i="12"/>
  <c r="C392" i="12"/>
  <c r="G392" i="12" s="1"/>
  <c r="D391" i="12"/>
  <c r="G391" i="12" s="1"/>
  <c r="D390" i="12"/>
  <c r="G390" i="12" s="1"/>
  <c r="F388" i="12"/>
  <c r="G388" i="12" s="1"/>
  <c r="G387" i="12"/>
  <c r="D348" i="12"/>
  <c r="G348" i="12" s="1"/>
  <c r="D347" i="12"/>
  <c r="G347" i="12" s="1"/>
  <c r="D346" i="12"/>
  <c r="G346" i="12" s="1"/>
  <c r="D345" i="12"/>
  <c r="G345" i="12" s="1"/>
  <c r="C344" i="12"/>
  <c r="G344" i="12" s="1"/>
  <c r="C343" i="12"/>
  <c r="G343" i="12" s="1"/>
  <c r="R342" i="12"/>
  <c r="Q342" i="12"/>
  <c r="C342" i="12"/>
  <c r="G342" i="12" s="1"/>
  <c r="D341" i="12"/>
  <c r="G341" i="12" s="1"/>
  <c r="D339" i="12"/>
  <c r="G339" i="12" s="1"/>
  <c r="D336" i="12"/>
  <c r="G336" i="12" s="1"/>
  <c r="D331" i="12"/>
  <c r="G331" i="12" s="1"/>
  <c r="G330" i="12"/>
  <c r="O329" i="12"/>
  <c r="N329" i="12"/>
  <c r="M325" i="12"/>
  <c r="E325" i="12"/>
  <c r="D325" i="12"/>
  <c r="E324" i="12"/>
  <c r="D324" i="12"/>
  <c r="E323" i="12"/>
  <c r="D323" i="12"/>
  <c r="M322" i="12"/>
  <c r="E322" i="12"/>
  <c r="D322" i="12"/>
  <c r="E321" i="12"/>
  <c r="D321" i="12"/>
  <c r="E320" i="12"/>
  <c r="D320" i="12"/>
  <c r="M319" i="12"/>
  <c r="E319" i="12"/>
  <c r="D319" i="12"/>
  <c r="R317" i="12"/>
  <c r="P317" i="12"/>
  <c r="P316" i="12"/>
  <c r="F314" i="12"/>
  <c r="G314" i="12" s="1"/>
  <c r="G313" i="12"/>
  <c r="D312" i="12"/>
  <c r="G312" i="12" s="1"/>
  <c r="D311" i="12"/>
  <c r="G311" i="12" s="1"/>
  <c r="G310" i="12"/>
  <c r="D309" i="12"/>
  <c r="G309" i="12" s="1"/>
  <c r="D308" i="12"/>
  <c r="G308" i="12" s="1"/>
  <c r="G307" i="12"/>
  <c r="G306" i="12"/>
  <c r="G305" i="12"/>
  <c r="G304" i="12"/>
  <c r="R303" i="12"/>
  <c r="Q303" i="12"/>
  <c r="G303" i="12"/>
  <c r="G302" i="12"/>
  <c r="G301" i="12"/>
  <c r="G300" i="12"/>
  <c r="G299" i="12"/>
  <c r="D298" i="12"/>
  <c r="G298" i="12" s="1"/>
  <c r="G297" i="12"/>
  <c r="G296" i="12"/>
  <c r="C295" i="12"/>
  <c r="G295" i="12" s="1"/>
  <c r="C294" i="12"/>
  <c r="G294" i="12" s="1"/>
  <c r="R293" i="12"/>
  <c r="Q293" i="12"/>
  <c r="C293" i="12"/>
  <c r="G293" i="12" s="1"/>
  <c r="D292" i="12"/>
  <c r="G292" i="12" s="1"/>
  <c r="D291" i="12"/>
  <c r="G291" i="12" s="1"/>
  <c r="G290" i="12"/>
  <c r="D289" i="12"/>
  <c r="G289" i="12" s="1"/>
  <c r="N283" i="12"/>
  <c r="G283" i="12"/>
  <c r="E276" i="12"/>
  <c r="D276" i="12"/>
  <c r="C276" i="12"/>
  <c r="B276" i="12"/>
  <c r="D275" i="12"/>
  <c r="C275" i="12"/>
  <c r="B275" i="12"/>
  <c r="D274" i="12"/>
  <c r="C274" i="12"/>
  <c r="B274" i="12"/>
  <c r="M273" i="12"/>
  <c r="E273" i="12"/>
  <c r="D273" i="12"/>
  <c r="C273" i="12"/>
  <c r="B273" i="12"/>
  <c r="M272" i="12"/>
  <c r="E272" i="12"/>
  <c r="G272" i="12" s="1"/>
  <c r="G267" i="12"/>
  <c r="G262" i="12"/>
  <c r="G261" i="12"/>
  <c r="G260" i="12"/>
  <c r="E255" i="12"/>
  <c r="N251" i="12"/>
  <c r="D250" i="12"/>
  <c r="D249" i="12"/>
  <c r="D248" i="12"/>
  <c r="E247" i="12"/>
  <c r="D247" i="12"/>
  <c r="E246" i="12"/>
  <c r="D246" i="12"/>
  <c r="C246" i="12"/>
  <c r="D245" i="12"/>
  <c r="G245" i="12" s="1"/>
  <c r="E243" i="12"/>
  <c r="D243" i="12"/>
  <c r="G241" i="12"/>
  <c r="E240" i="12"/>
  <c r="G240" i="12" s="1"/>
  <c r="G239" i="12"/>
  <c r="G238" i="12"/>
  <c r="G237" i="12"/>
  <c r="G236" i="12"/>
  <c r="N235" i="12"/>
  <c r="G235" i="12"/>
  <c r="D234" i="12"/>
  <c r="G234" i="12" s="1"/>
  <c r="G233" i="12"/>
  <c r="C232" i="12"/>
  <c r="G232" i="12" s="1"/>
  <c r="G231" i="12"/>
  <c r="G230" i="12"/>
  <c r="G229" i="12"/>
  <c r="G228" i="12"/>
  <c r="G227" i="12"/>
  <c r="G226" i="12"/>
  <c r="G225" i="12"/>
  <c r="G224" i="12"/>
  <c r="G223" i="12"/>
  <c r="G222" i="12"/>
  <c r="G221" i="12"/>
  <c r="G220" i="12"/>
  <c r="G219" i="12"/>
  <c r="G218" i="12"/>
  <c r="G217" i="12"/>
  <c r="G216" i="12"/>
  <c r="E206" i="12"/>
  <c r="D206" i="12"/>
  <c r="E205" i="12"/>
  <c r="D205" i="12"/>
  <c r="E204" i="12"/>
  <c r="D204" i="12"/>
  <c r="E203" i="12"/>
  <c r="D203" i="12"/>
  <c r="E202" i="12"/>
  <c r="D202" i="12"/>
  <c r="E201" i="12"/>
  <c r="D201" i="12"/>
  <c r="E200" i="12"/>
  <c r="D200" i="12"/>
  <c r="E199" i="12"/>
  <c r="D199" i="12"/>
  <c r="E198" i="12"/>
  <c r="D198" i="12"/>
  <c r="E197" i="12"/>
  <c r="D197" i="12"/>
  <c r="E196" i="12"/>
  <c r="D196" i="12"/>
  <c r="E195" i="12"/>
  <c r="D195" i="12"/>
  <c r="E193" i="12"/>
  <c r="D193" i="12"/>
  <c r="E192" i="12"/>
  <c r="D192" i="12"/>
  <c r="E191" i="12"/>
  <c r="D191" i="12"/>
  <c r="E190" i="12"/>
  <c r="D190" i="12"/>
  <c r="E189" i="12"/>
  <c r="D189" i="12"/>
  <c r="E188" i="12"/>
  <c r="D188" i="12"/>
  <c r="E187" i="12"/>
  <c r="D187" i="12"/>
  <c r="E186" i="12"/>
  <c r="D186" i="12"/>
  <c r="E185" i="12"/>
  <c r="D185" i="12"/>
  <c r="E184" i="12"/>
  <c r="D184" i="12"/>
  <c r="E183" i="12"/>
  <c r="D183" i="12"/>
  <c r="E182" i="12"/>
  <c r="D182" i="12"/>
  <c r="E181" i="12"/>
  <c r="D181" i="12"/>
  <c r="E180" i="12"/>
  <c r="D180" i="12"/>
  <c r="E178" i="12"/>
  <c r="D178" i="12"/>
  <c r="E177" i="12"/>
  <c r="D177" i="12"/>
  <c r="E176" i="12"/>
  <c r="D176" i="12"/>
  <c r="C176" i="12"/>
  <c r="E175" i="12"/>
  <c r="D175" i="12"/>
  <c r="C175" i="12"/>
  <c r="O174" i="12"/>
  <c r="E174" i="12"/>
  <c r="D174" i="12"/>
  <c r="C174" i="12"/>
  <c r="E173" i="12"/>
  <c r="D173" i="12"/>
  <c r="C173" i="12"/>
  <c r="E172" i="12"/>
  <c r="D172" i="12"/>
  <c r="E171" i="12"/>
  <c r="D171" i="12"/>
  <c r="C171" i="12"/>
  <c r="E170" i="12"/>
  <c r="D170" i="12"/>
  <c r="E169" i="12"/>
  <c r="D169" i="12"/>
  <c r="C169" i="12"/>
  <c r="O168" i="12"/>
  <c r="N168" i="12"/>
  <c r="E168" i="12"/>
  <c r="D168" i="12"/>
  <c r="C168" i="12"/>
  <c r="E167" i="12"/>
  <c r="D167" i="12"/>
  <c r="C167" i="12"/>
  <c r="N166" i="12"/>
  <c r="E166" i="12"/>
  <c r="D166" i="12"/>
  <c r="C166" i="12"/>
  <c r="E165" i="12"/>
  <c r="D165" i="12"/>
  <c r="C165" i="12"/>
  <c r="O164" i="12"/>
  <c r="N164" i="12"/>
  <c r="E164" i="12"/>
  <c r="D164" i="12"/>
  <c r="C164" i="12"/>
  <c r="E163" i="12"/>
  <c r="D163" i="12"/>
  <c r="E162" i="12"/>
  <c r="D162" i="12"/>
  <c r="E161" i="12"/>
  <c r="D161" i="12"/>
  <c r="C161" i="12"/>
  <c r="E160" i="12"/>
  <c r="D160" i="12"/>
  <c r="C160" i="12"/>
  <c r="E159" i="12"/>
  <c r="D159" i="12"/>
  <c r="C159" i="12"/>
  <c r="E158" i="12"/>
  <c r="D158" i="12"/>
  <c r="C158" i="12"/>
  <c r="E157" i="12"/>
  <c r="D157" i="12"/>
  <c r="C157" i="12"/>
  <c r="E156" i="12"/>
  <c r="D156" i="12"/>
  <c r="C156" i="12"/>
  <c r="E155" i="12"/>
  <c r="D155" i="12"/>
  <c r="C155" i="12"/>
  <c r="E154" i="12"/>
  <c r="D154" i="12"/>
  <c r="C154" i="12"/>
  <c r="E153" i="12"/>
  <c r="D153" i="12"/>
  <c r="E152" i="12"/>
  <c r="D152" i="12"/>
  <c r="E145" i="12"/>
  <c r="D145" i="12"/>
  <c r="C145" i="12"/>
  <c r="D144" i="12"/>
  <c r="C144" i="12"/>
  <c r="D143" i="12"/>
  <c r="C143" i="12"/>
  <c r="C142" i="12"/>
  <c r="F141" i="12"/>
  <c r="D141" i="12"/>
  <c r="F140" i="12"/>
  <c r="D140" i="12"/>
  <c r="F139" i="12"/>
  <c r="D139" i="12"/>
  <c r="C139" i="12"/>
  <c r="F138" i="12"/>
  <c r="D138" i="12"/>
  <c r="C138" i="12"/>
  <c r="F137" i="12"/>
  <c r="D137" i="12"/>
  <c r="C137" i="12"/>
  <c r="F136" i="12"/>
  <c r="D136" i="12"/>
  <c r="C136" i="12"/>
  <c r="F135" i="12"/>
  <c r="D135" i="12"/>
  <c r="C135" i="12"/>
  <c r="F134" i="12"/>
  <c r="D134" i="12"/>
  <c r="C134" i="12"/>
  <c r="D133" i="12"/>
  <c r="G133" i="12" s="1"/>
  <c r="D132" i="12"/>
  <c r="G132" i="12" s="1"/>
  <c r="G124" i="12"/>
  <c r="E123" i="12"/>
  <c r="E275" i="12" s="1"/>
  <c r="E122" i="12"/>
  <c r="E274" i="12" s="1"/>
  <c r="E121" i="12"/>
  <c r="E142" i="12" s="1"/>
  <c r="D121" i="12"/>
  <c r="C120" i="12"/>
  <c r="G120" i="12" s="1"/>
  <c r="C119" i="12"/>
  <c r="G118" i="12"/>
  <c r="P117" i="12"/>
  <c r="G117" i="12"/>
  <c r="G116" i="12"/>
  <c r="G115" i="12"/>
  <c r="G114" i="12"/>
  <c r="N113" i="12"/>
  <c r="G113" i="12"/>
  <c r="F112" i="12"/>
  <c r="D112" i="12"/>
  <c r="F111" i="12"/>
  <c r="M111" i="12" s="1"/>
  <c r="D111" i="12"/>
  <c r="O110" i="12"/>
  <c r="G109" i="12"/>
  <c r="G107" i="12"/>
  <c r="G105" i="12"/>
  <c r="M103" i="12"/>
  <c r="D98" i="12"/>
  <c r="G98" i="12" s="1"/>
  <c r="N97" i="12"/>
  <c r="Q97" i="12" s="1"/>
  <c r="G97" i="12"/>
  <c r="N96" i="12"/>
  <c r="Q96" i="12" s="1"/>
  <c r="G96" i="12"/>
  <c r="N95" i="12"/>
  <c r="Q95" i="12" s="1"/>
  <c r="G95" i="12"/>
  <c r="N94" i="12"/>
  <c r="Q94" i="12" s="1"/>
  <c r="G94" i="12"/>
  <c r="N93" i="12"/>
  <c r="Q93" i="12" s="1"/>
  <c r="G93" i="12"/>
  <c r="S92" i="12"/>
  <c r="N92" i="12"/>
  <c r="Q92" i="12" s="1"/>
  <c r="G92" i="12"/>
  <c r="N84" i="12"/>
  <c r="Q84" i="12" s="1"/>
  <c r="D84" i="12"/>
  <c r="G84" i="12" s="1"/>
  <c r="Q83" i="12"/>
  <c r="G83" i="12"/>
  <c r="Q82" i="12"/>
  <c r="G82" i="12"/>
  <c r="N81" i="12"/>
  <c r="Q81" i="12" s="1"/>
  <c r="D81" i="12"/>
  <c r="G81" i="12" s="1"/>
  <c r="N80" i="12"/>
  <c r="Q80" i="12" s="1"/>
  <c r="D80" i="12"/>
  <c r="G80" i="12" s="1"/>
  <c r="N79" i="12"/>
  <c r="Q79" i="12" s="1"/>
  <c r="D79" i="12"/>
  <c r="G79" i="12" s="1"/>
  <c r="O78" i="12"/>
  <c r="N78" i="12"/>
  <c r="D78" i="12"/>
  <c r="N77" i="12"/>
  <c r="Q77" i="12" s="1"/>
  <c r="D77" i="12"/>
  <c r="G77" i="12" s="1"/>
  <c r="P76" i="12"/>
  <c r="N76" i="12"/>
  <c r="D76" i="12"/>
  <c r="P75" i="12"/>
  <c r="N75" i="12"/>
  <c r="D75" i="12"/>
  <c r="P74" i="12"/>
  <c r="N74" i="12"/>
  <c r="D74" i="12"/>
  <c r="G74" i="12" s="1"/>
  <c r="P73" i="12"/>
  <c r="N73" i="12"/>
  <c r="Q73" i="12" s="1"/>
  <c r="F69" i="12"/>
  <c r="D69" i="12"/>
  <c r="F68" i="12"/>
  <c r="D68" i="12"/>
  <c r="E67" i="12"/>
  <c r="G67" i="12" s="1"/>
  <c r="N66" i="12"/>
  <c r="M66" i="12"/>
  <c r="E66" i="12"/>
  <c r="G66" i="12" s="1"/>
  <c r="B66" i="12"/>
  <c r="D59" i="12"/>
  <c r="G59" i="12" s="1"/>
  <c r="E58" i="12"/>
  <c r="C58" i="12"/>
  <c r="B58" i="12"/>
  <c r="B55" i="12"/>
  <c r="E54" i="12"/>
  <c r="D54" i="12"/>
  <c r="E53" i="12"/>
  <c r="D53" i="12"/>
  <c r="G49" i="12"/>
  <c r="C48" i="12"/>
  <c r="B48" i="12"/>
  <c r="B44" i="12" s="1"/>
  <c r="D44" i="12"/>
  <c r="G44" i="12" s="1"/>
  <c r="I39" i="12"/>
  <c r="E17" i="3" s="1"/>
  <c r="D36" i="12"/>
  <c r="G36" i="12" s="1"/>
  <c r="E35" i="12"/>
  <c r="B35" i="12"/>
  <c r="D34" i="12"/>
  <c r="G34" i="12" s="1"/>
  <c r="E33" i="12"/>
  <c r="E57" i="12" s="1"/>
  <c r="D33" i="12"/>
  <c r="D57" i="12" s="1"/>
  <c r="C33" i="12"/>
  <c r="C57" i="12" s="1"/>
  <c r="E32" i="12"/>
  <c r="E56" i="12" s="1"/>
  <c r="D32" i="12"/>
  <c r="D56" i="12" s="1"/>
  <c r="C32" i="12"/>
  <c r="C56" i="12" s="1"/>
  <c r="C31" i="12"/>
  <c r="C55" i="12" s="1"/>
  <c r="E30" i="12"/>
  <c r="D30" i="12"/>
  <c r="E29" i="12"/>
  <c r="C29" i="12"/>
  <c r="E28" i="12"/>
  <c r="C28" i="12"/>
  <c r="E27" i="12"/>
  <c r="E52" i="12" s="1"/>
  <c r="D27" i="12"/>
  <c r="D52" i="12" s="1"/>
  <c r="C27" i="12"/>
  <c r="E26" i="12"/>
  <c r="E22" i="12"/>
  <c r="D22" i="12"/>
  <c r="G16" i="12"/>
  <c r="G15" i="12"/>
  <c r="G14" i="12"/>
  <c r="E13" i="12"/>
  <c r="E31" i="12" s="1"/>
  <c r="E55" i="12" s="1"/>
  <c r="D13" i="12"/>
  <c r="D31" i="12" s="1"/>
  <c r="D55" i="12" s="1"/>
  <c r="D12" i="12"/>
  <c r="D29" i="12" s="1"/>
  <c r="D11" i="12"/>
  <c r="G10" i="12"/>
  <c r="G382" i="12" l="1"/>
  <c r="G434" i="12"/>
  <c r="F187" i="12"/>
  <c r="G187" i="12" s="1"/>
  <c r="F191" i="12"/>
  <c r="G191" i="12" s="1"/>
  <c r="F196" i="12"/>
  <c r="G196" i="12" s="1"/>
  <c r="F202" i="12"/>
  <c r="G202" i="12" s="1"/>
  <c r="F206" i="12"/>
  <c r="G206" i="12" s="1"/>
  <c r="G324" i="12"/>
  <c r="G263" i="12"/>
  <c r="G48" i="12"/>
  <c r="F201" i="12"/>
  <c r="G201" i="12" s="1"/>
  <c r="G268" i="12"/>
  <c r="D51" i="3" s="1"/>
  <c r="G332" i="12"/>
  <c r="C451" i="12"/>
  <c r="G99" i="12"/>
  <c r="J99" i="12" s="1"/>
  <c r="D69" i="3"/>
  <c r="D43" i="12"/>
  <c r="G43" i="12" s="1"/>
  <c r="G45" i="12" s="1"/>
  <c r="D20" i="3" s="1"/>
  <c r="G315" i="12"/>
  <c r="D60" i="3" s="1"/>
  <c r="O115" i="13"/>
  <c r="C394" i="13"/>
  <c r="E394" i="13" s="1"/>
  <c r="E395" i="13" s="1"/>
  <c r="F182" i="12"/>
  <c r="G182" i="12" s="1"/>
  <c r="F203" i="12"/>
  <c r="G203" i="12" s="1"/>
  <c r="F153" i="12"/>
  <c r="G153" i="12" s="1"/>
  <c r="F178" i="12"/>
  <c r="G178" i="12" s="1"/>
  <c r="D86" i="3"/>
  <c r="D58" i="12"/>
  <c r="D84" i="3"/>
  <c r="G145" i="12"/>
  <c r="F181" i="12"/>
  <c r="G181" i="12" s="1"/>
  <c r="F152" i="12"/>
  <c r="G152" i="12" s="1"/>
  <c r="F154" i="12"/>
  <c r="G154" i="12" s="1"/>
  <c r="F171" i="12"/>
  <c r="G171" i="12" s="1"/>
  <c r="F188" i="12"/>
  <c r="G188" i="12" s="1"/>
  <c r="F190" i="12"/>
  <c r="G190" i="12" s="1"/>
  <c r="G250" i="12"/>
  <c r="G319" i="12"/>
  <c r="R265" i="12"/>
  <c r="G22" i="12"/>
  <c r="G23" i="12" s="1"/>
  <c r="G69" i="12"/>
  <c r="Q76" i="12"/>
  <c r="F160" i="12"/>
  <c r="G160" i="12" s="1"/>
  <c r="R266" i="12"/>
  <c r="G11" i="12"/>
  <c r="G54" i="12"/>
  <c r="F164" i="12"/>
  <c r="G164" i="12" s="1"/>
  <c r="F166" i="12"/>
  <c r="G166" i="12" s="1"/>
  <c r="F167" i="12"/>
  <c r="G167" i="12" s="1"/>
  <c r="F177" i="12"/>
  <c r="G177" i="12" s="1"/>
  <c r="F180" i="12"/>
  <c r="G180" i="12" s="1"/>
  <c r="G273" i="12"/>
  <c r="B26" i="12"/>
  <c r="D35" i="12"/>
  <c r="G35" i="12" s="1"/>
  <c r="Q74" i="12"/>
  <c r="Q75" i="12"/>
  <c r="G111" i="12"/>
  <c r="F157" i="12"/>
  <c r="G157" i="12" s="1"/>
  <c r="F162" i="12"/>
  <c r="G162" i="12" s="1"/>
  <c r="F176" i="12"/>
  <c r="G176" i="12" s="1"/>
  <c r="F183" i="12"/>
  <c r="G183" i="12" s="1"/>
  <c r="F185" i="12"/>
  <c r="G185" i="12" s="1"/>
  <c r="F205" i="12"/>
  <c r="G205" i="12" s="1"/>
  <c r="G320" i="12"/>
  <c r="G325" i="12"/>
  <c r="F156" i="12"/>
  <c r="G156" i="12" s="1"/>
  <c r="F200" i="12"/>
  <c r="G200" i="12" s="1"/>
  <c r="G55" i="12"/>
  <c r="G122" i="12"/>
  <c r="F169" i="12"/>
  <c r="G169" i="12" s="1"/>
  <c r="F173" i="12"/>
  <c r="G173" i="12" s="1"/>
  <c r="F184" i="12"/>
  <c r="G184" i="12" s="1"/>
  <c r="F199" i="12"/>
  <c r="G199" i="12" s="1"/>
  <c r="F204" i="12"/>
  <c r="G204" i="12" s="1"/>
  <c r="G247" i="12"/>
  <c r="G249" i="12"/>
  <c r="G323" i="12"/>
  <c r="G409" i="12"/>
  <c r="G31" i="12"/>
  <c r="G58" i="12"/>
  <c r="G76" i="12"/>
  <c r="G135" i="12"/>
  <c r="E144" i="12"/>
  <c r="G144" i="12" s="1"/>
  <c r="F192" i="12"/>
  <c r="G192" i="12" s="1"/>
  <c r="F195" i="12"/>
  <c r="G195" i="12" s="1"/>
  <c r="F197" i="12"/>
  <c r="G197" i="12" s="1"/>
  <c r="G246" i="12"/>
  <c r="G422" i="12"/>
  <c r="G13" i="12"/>
  <c r="G134" i="12"/>
  <c r="G138" i="12"/>
  <c r="E143" i="12"/>
  <c r="G143" i="12" s="1"/>
  <c r="F159" i="12"/>
  <c r="G159" i="12" s="1"/>
  <c r="F172" i="12"/>
  <c r="G172" i="12" s="1"/>
  <c r="F174" i="12"/>
  <c r="G174" i="12" s="1"/>
  <c r="F175" i="12"/>
  <c r="G175" i="12" s="1"/>
  <c r="F189" i="12"/>
  <c r="G189" i="12" s="1"/>
  <c r="G276" i="12"/>
  <c r="G12" i="12"/>
  <c r="G53" i="12"/>
  <c r="G68" i="12"/>
  <c r="G70" i="12" s="1"/>
  <c r="Q78" i="12"/>
  <c r="G112" i="12"/>
  <c r="G139" i="12"/>
  <c r="N156" i="12"/>
  <c r="O156" i="12" s="1"/>
  <c r="F158" i="12"/>
  <c r="G158" i="12" s="1"/>
  <c r="F186" i="12"/>
  <c r="G186" i="12" s="1"/>
  <c r="F193" i="12"/>
  <c r="G193" i="12" s="1"/>
  <c r="F198" i="12"/>
  <c r="G198" i="12" s="1"/>
  <c r="G321" i="12"/>
  <c r="G424" i="12"/>
  <c r="G137" i="12"/>
  <c r="G136" i="12"/>
  <c r="G27" i="12"/>
  <c r="G29" i="12"/>
  <c r="G32" i="12"/>
  <c r="G56" i="12"/>
  <c r="G57" i="12"/>
  <c r="J100" i="12"/>
  <c r="F31" i="3" s="1"/>
  <c r="D26" i="12"/>
  <c r="G26" i="12" s="1"/>
  <c r="D28" i="12"/>
  <c r="G28" i="12" s="1"/>
  <c r="G274" i="12"/>
  <c r="G30" i="12"/>
  <c r="G33" i="12"/>
  <c r="G78" i="12"/>
  <c r="F155" i="12"/>
  <c r="G155" i="12" s="1"/>
  <c r="F168" i="12"/>
  <c r="G168" i="12" s="1"/>
  <c r="G322" i="12"/>
  <c r="G255" i="12"/>
  <c r="G256" i="12" s="1"/>
  <c r="C52" i="12"/>
  <c r="C140" i="12"/>
  <c r="G140" i="12" s="1"/>
  <c r="G119" i="12"/>
  <c r="G75" i="12"/>
  <c r="D142" i="12"/>
  <c r="G142" i="12" s="1"/>
  <c r="G121" i="12"/>
  <c r="F161" i="12"/>
  <c r="G161" i="12" s="1"/>
  <c r="N160" i="12"/>
  <c r="O160" i="12" s="1"/>
  <c r="F163" i="12"/>
  <c r="G163" i="12" s="1"/>
  <c r="F165" i="12"/>
  <c r="G165" i="12" s="1"/>
  <c r="F170" i="12"/>
  <c r="G170" i="12" s="1"/>
  <c r="G243" i="12"/>
  <c r="G248" i="12"/>
  <c r="G275" i="12"/>
  <c r="D66" i="3"/>
  <c r="G123" i="12"/>
  <c r="C141" i="12"/>
  <c r="G141" i="12" s="1"/>
  <c r="I423" i="8"/>
  <c r="H84" i="3" s="1"/>
  <c r="C380" i="8"/>
  <c r="G380" i="8" s="1"/>
  <c r="C379" i="8"/>
  <c r="G379" i="8" s="1"/>
  <c r="C378" i="8"/>
  <c r="G378" i="8" s="1"/>
  <c r="R378" i="8"/>
  <c r="Q378" i="8"/>
  <c r="G376" i="8"/>
  <c r="G374" i="8"/>
  <c r="G373" i="8"/>
  <c r="D233" i="8"/>
  <c r="G233" i="8" s="1"/>
  <c r="D232" i="8"/>
  <c r="D231" i="8"/>
  <c r="G231" i="8" s="1"/>
  <c r="E230" i="8"/>
  <c r="D230" i="8"/>
  <c r="E223" i="8"/>
  <c r="E229" i="8"/>
  <c r="C229" i="8"/>
  <c r="D229" i="8"/>
  <c r="D228" i="8"/>
  <c r="G228" i="8" s="1"/>
  <c r="G19" i="12" l="1"/>
  <c r="G251" i="12"/>
  <c r="G88" i="12"/>
  <c r="D27" i="3" s="1"/>
  <c r="G148" i="12"/>
  <c r="D36" i="3" s="1"/>
  <c r="G418" i="12"/>
  <c r="D72" i="3" s="1"/>
  <c r="F72" i="3" s="1"/>
  <c r="M72" i="3" s="1"/>
  <c r="G212" i="12"/>
  <c r="G326" i="12"/>
  <c r="J268" i="12"/>
  <c r="J269" i="12" s="1"/>
  <c r="F52" i="3" s="1"/>
  <c r="D30" i="3"/>
  <c r="G39" i="12"/>
  <c r="D17" i="3" s="1"/>
  <c r="O185" i="12"/>
  <c r="G425" i="12"/>
  <c r="C395" i="13"/>
  <c r="P185" i="12"/>
  <c r="M434" i="12"/>
  <c r="D78" i="3"/>
  <c r="F78" i="3" s="1"/>
  <c r="M78" i="3" s="1"/>
  <c r="G229" i="8"/>
  <c r="G232" i="8"/>
  <c r="G230" i="8"/>
  <c r="J70" i="12"/>
  <c r="D25" i="3"/>
  <c r="J263" i="12"/>
  <c r="J264" i="12" s="1"/>
  <c r="F49" i="3" s="1"/>
  <c r="D48" i="3"/>
  <c r="J23" i="12"/>
  <c r="D15" i="3"/>
  <c r="J256" i="12"/>
  <c r="J257" i="12" s="1"/>
  <c r="F46" i="3" s="1"/>
  <c r="D45" i="3"/>
  <c r="D39" i="3"/>
  <c r="Q98" i="12"/>
  <c r="R98" i="12" s="1"/>
  <c r="J45" i="12"/>
  <c r="M199" i="12"/>
  <c r="J435" i="12"/>
  <c r="F79" i="3" s="1"/>
  <c r="M79" i="3" s="1"/>
  <c r="J434" i="12"/>
  <c r="J383" i="12"/>
  <c r="F70" i="3" s="1"/>
  <c r="J382" i="12"/>
  <c r="J332" i="12"/>
  <c r="J333" i="12"/>
  <c r="F67" i="3" s="1"/>
  <c r="C104" i="12"/>
  <c r="G104" i="12" s="1"/>
  <c r="G52" i="12"/>
  <c r="J316" i="12"/>
  <c r="F61" i="3" s="1"/>
  <c r="J315" i="12"/>
  <c r="J418" i="12"/>
  <c r="D226" i="8"/>
  <c r="E226" i="8"/>
  <c r="F401" i="8"/>
  <c r="D401" i="8"/>
  <c r="F400" i="8"/>
  <c r="Q185" i="12" l="1"/>
  <c r="N353" i="12"/>
  <c r="J419" i="12"/>
  <c r="F73" i="3" s="1"/>
  <c r="G226" i="8"/>
  <c r="G128" i="12"/>
  <c r="D33" i="3" s="1"/>
  <c r="G401" i="8"/>
  <c r="G62" i="12"/>
  <c r="D22" i="3" s="1"/>
  <c r="J88" i="12"/>
  <c r="J213" i="12"/>
  <c r="F40" i="3" s="1"/>
  <c r="J212" i="12"/>
  <c r="J89" i="12"/>
  <c r="F28" i="3" s="1"/>
  <c r="J148" i="12"/>
  <c r="J251" i="12"/>
  <c r="J252" i="12" s="1"/>
  <c r="F43" i="3" s="1"/>
  <c r="D42" i="3"/>
  <c r="J425" i="12"/>
  <c r="D75" i="3"/>
  <c r="F75" i="3" s="1"/>
  <c r="J279" i="12"/>
  <c r="D54" i="3"/>
  <c r="J280" i="12"/>
  <c r="F55" i="3" s="1"/>
  <c r="G284" i="12"/>
  <c r="J19" i="12"/>
  <c r="D13" i="3"/>
  <c r="M73" i="3"/>
  <c r="J327" i="12"/>
  <c r="F64" i="3" s="1"/>
  <c r="D63" i="3"/>
  <c r="J326" i="12"/>
  <c r="J426" i="12"/>
  <c r="F76" i="3" s="1"/>
  <c r="J149" i="12"/>
  <c r="F37" i="3" s="1"/>
  <c r="J39" i="12"/>
  <c r="J40" i="12"/>
  <c r="F18" i="3" s="1"/>
  <c r="M110" i="12"/>
  <c r="N399" i="12"/>
  <c r="M416" i="12"/>
  <c r="O103" i="8"/>
  <c r="G334" i="8"/>
  <c r="J62" i="12" l="1"/>
  <c r="J63" i="12"/>
  <c r="F23" i="3" s="1"/>
  <c r="G285" i="12"/>
  <c r="D57" i="3" s="1"/>
  <c r="N100" i="12"/>
  <c r="M75" i="3"/>
  <c r="M76" i="3"/>
  <c r="J128" i="12"/>
  <c r="J129" i="12"/>
  <c r="N124" i="12"/>
  <c r="N128" i="12"/>
  <c r="A9" i="3"/>
  <c r="A8" i="3"/>
  <c r="G388" i="8"/>
  <c r="G389" i="8"/>
  <c r="G390" i="8"/>
  <c r="G391" i="8"/>
  <c r="G392" i="8"/>
  <c r="G393" i="8"/>
  <c r="G394" i="8"/>
  <c r="D386" i="8"/>
  <c r="F386" i="8"/>
  <c r="F387" i="8"/>
  <c r="G387" i="8" s="1"/>
  <c r="G321" i="8"/>
  <c r="D381" i="8"/>
  <c r="G381" i="8" s="1"/>
  <c r="D385" i="8"/>
  <c r="G385" i="8" s="1"/>
  <c r="D384" i="8"/>
  <c r="G384" i="8" s="1"/>
  <c r="G383" i="8"/>
  <c r="D382" i="8"/>
  <c r="G382" i="8" s="1"/>
  <c r="G343" i="8"/>
  <c r="G342" i="8"/>
  <c r="G341" i="8"/>
  <c r="G340" i="8"/>
  <c r="R339" i="8"/>
  <c r="Q339" i="8"/>
  <c r="G339" i="8"/>
  <c r="G338" i="8"/>
  <c r="G337" i="8"/>
  <c r="G336" i="8"/>
  <c r="G335" i="8"/>
  <c r="G332" i="8"/>
  <c r="G331" i="8"/>
  <c r="G330" i="8"/>
  <c r="G329" i="8"/>
  <c r="R328" i="8"/>
  <c r="Q328" i="8"/>
  <c r="G328" i="8"/>
  <c r="D324" i="8"/>
  <c r="G324" i="8" s="1"/>
  <c r="O314" i="8"/>
  <c r="N314" i="8"/>
  <c r="G279" i="8"/>
  <c r="G278" i="8"/>
  <c r="G277" i="8"/>
  <c r="R284" i="8"/>
  <c r="Q284" i="8"/>
  <c r="E34" i="8"/>
  <c r="B34" i="8"/>
  <c r="P110" i="8"/>
  <c r="G368" i="8" l="1"/>
  <c r="J285" i="12"/>
  <c r="J286" i="12"/>
  <c r="F58" i="3" s="1"/>
  <c r="J447" i="12"/>
  <c r="C449" i="12" s="1"/>
  <c r="F34" i="3"/>
  <c r="O124" i="12"/>
  <c r="G386" i="8"/>
  <c r="G395" i="8" s="1"/>
  <c r="G72" i="3" l="1"/>
  <c r="I72" i="3" s="1"/>
  <c r="J72" i="3" s="1"/>
  <c r="C452" i="12"/>
  <c r="E451" i="12"/>
  <c r="E452" i="12" s="1"/>
  <c r="J369" i="8"/>
  <c r="I70" i="3" s="1"/>
  <c r="G69" i="3"/>
  <c r="N106" i="8"/>
  <c r="C215" i="8"/>
  <c r="M309" i="8"/>
  <c r="G400" i="8"/>
  <c r="G271" i="8" l="1"/>
  <c r="D270" i="8"/>
  <c r="G309" i="8" l="1"/>
  <c r="G307" i="8"/>
  <c r="D301" i="8"/>
  <c r="G301" i="8" s="1"/>
  <c r="O303" i="8" s="1"/>
  <c r="E306" i="8"/>
  <c r="D306" i="8"/>
  <c r="D305" i="8"/>
  <c r="M305" i="8"/>
  <c r="E300" i="8"/>
  <c r="D300" i="8"/>
  <c r="M300" i="8"/>
  <c r="M70" i="3"/>
  <c r="N264" i="8"/>
  <c r="F409" i="8"/>
  <c r="Q307" i="8" l="1"/>
  <c r="G305" i="8"/>
  <c r="G306" i="8"/>
  <c r="G300" i="8"/>
  <c r="D91" i="8"/>
  <c r="S85" i="8"/>
  <c r="D80" i="8"/>
  <c r="D77" i="8"/>
  <c r="D76" i="8"/>
  <c r="D75" i="8"/>
  <c r="D74" i="8"/>
  <c r="D73" i="8"/>
  <c r="F72" i="8"/>
  <c r="D72" i="8"/>
  <c r="F71" i="8"/>
  <c r="D71" i="8"/>
  <c r="F70" i="8"/>
  <c r="D70" i="8"/>
  <c r="F69" i="8"/>
  <c r="D69" i="8"/>
  <c r="G63" i="3" l="1"/>
  <c r="Q78" i="8"/>
  <c r="Q79" i="8"/>
  <c r="N90" i="8"/>
  <c r="Q90" i="8" s="1"/>
  <c r="N89" i="8"/>
  <c r="Q89" i="8" s="1"/>
  <c r="N88" i="8"/>
  <c r="Q88" i="8" s="1"/>
  <c r="N87" i="8"/>
  <c r="Q87" i="8" s="1"/>
  <c r="N86" i="8"/>
  <c r="Q86" i="8" s="1"/>
  <c r="N85" i="8"/>
  <c r="Q85" i="8" s="1"/>
  <c r="N80" i="8"/>
  <c r="Q80" i="8" s="1"/>
  <c r="N77" i="8"/>
  <c r="Q77" i="8" s="1"/>
  <c r="N76" i="8"/>
  <c r="Q76" i="8" s="1"/>
  <c r="N75" i="8"/>
  <c r="Q75" i="8" s="1"/>
  <c r="O74" i="8"/>
  <c r="N74" i="8"/>
  <c r="N73" i="8"/>
  <c r="Q73" i="8" s="1"/>
  <c r="P72" i="8"/>
  <c r="N72" i="8"/>
  <c r="P71" i="8"/>
  <c r="N71" i="8"/>
  <c r="P70" i="8"/>
  <c r="N70" i="8"/>
  <c r="P69" i="8"/>
  <c r="N69" i="8"/>
  <c r="G408" i="8"/>
  <c r="D406" i="8"/>
  <c r="G410" i="8"/>
  <c r="J312" i="8" l="1"/>
  <c r="I64" i="3" s="1"/>
  <c r="Q71" i="8"/>
  <c r="Q74" i="8"/>
  <c r="Q70" i="8"/>
  <c r="Q72" i="8"/>
  <c r="Q69" i="8"/>
  <c r="G21" i="11"/>
  <c r="J21" i="11" s="1"/>
  <c r="C318" i="11"/>
  <c r="C317" i="11"/>
  <c r="C315" i="11" s="1"/>
  <c r="J310" i="11"/>
  <c r="G307" i="11"/>
  <c r="J301" i="11"/>
  <c r="J299" i="11"/>
  <c r="G296" i="11"/>
  <c r="R281" i="11"/>
  <c r="P281" i="11"/>
  <c r="P280" i="11"/>
  <c r="R260" i="11"/>
  <c r="Q260" i="11"/>
  <c r="M243" i="11"/>
  <c r="M242" i="11"/>
  <c r="G238" i="11"/>
  <c r="J238" i="11" s="1"/>
  <c r="J239" i="11" s="1"/>
  <c r="G233" i="11"/>
  <c r="J233" i="11" s="1"/>
  <c r="J234" i="11" s="1"/>
  <c r="N221" i="11"/>
  <c r="N214" i="11"/>
  <c r="O156" i="11"/>
  <c r="O150" i="11"/>
  <c r="N150" i="11"/>
  <c r="N148" i="11"/>
  <c r="O146" i="11"/>
  <c r="N146" i="11"/>
  <c r="N142" i="11"/>
  <c r="O142" i="11" s="1"/>
  <c r="N138" i="11"/>
  <c r="O138" i="11" s="1"/>
  <c r="N100" i="11"/>
  <c r="M90" i="11"/>
  <c r="M70" i="11"/>
  <c r="N58" i="11"/>
  <c r="M58" i="11"/>
  <c r="D24" i="11"/>
  <c r="I34" i="11"/>
  <c r="E24" i="11"/>
  <c r="B24" i="11"/>
  <c r="G17" i="11"/>
  <c r="J17" i="11" s="1"/>
  <c r="Q91" i="8" l="1"/>
  <c r="G24" i="11"/>
  <c r="G62" i="11"/>
  <c r="J62" i="11" s="1"/>
  <c r="G247" i="11"/>
  <c r="G291" i="11"/>
  <c r="J308" i="11"/>
  <c r="M307" i="11"/>
  <c r="J307" i="11"/>
  <c r="G86" i="11"/>
  <c r="N70" i="11"/>
  <c r="G221" i="11"/>
  <c r="J221" i="11" s="1"/>
  <c r="J222" i="11" s="1"/>
  <c r="G285" i="11"/>
  <c r="G279" i="11"/>
  <c r="O167" i="11"/>
  <c r="P167" i="11"/>
  <c r="M181" i="11"/>
  <c r="J297" i="11"/>
  <c r="J296" i="11"/>
  <c r="G189" i="11"/>
  <c r="G34" i="11"/>
  <c r="M98" i="11"/>
  <c r="G40" i="11"/>
  <c r="J40" i="11" s="1"/>
  <c r="G226" i="11"/>
  <c r="J226" i="11" s="1"/>
  <c r="J227" i="11" s="1"/>
  <c r="F69" i="3"/>
  <c r="M69" i="3" s="1"/>
  <c r="G407" i="8"/>
  <c r="G409" i="8"/>
  <c r="G406" i="8"/>
  <c r="D29" i="10"/>
  <c r="G29" i="10" s="1"/>
  <c r="G30" i="10"/>
  <c r="G31" i="10"/>
  <c r="G32" i="10"/>
  <c r="G28" i="10"/>
  <c r="H33" i="10" s="1"/>
  <c r="G27" i="10"/>
  <c r="G26" i="10"/>
  <c r="A21" i="10"/>
  <c r="G221" i="8"/>
  <c r="G222" i="8"/>
  <c r="G223" i="8"/>
  <c r="G224" i="8"/>
  <c r="G220" i="8"/>
  <c r="G219" i="8"/>
  <c r="N218" i="8"/>
  <c r="G218" i="8"/>
  <c r="D217" i="8"/>
  <c r="G217" i="8" s="1"/>
  <c r="G216" i="8"/>
  <c r="J12" i="10"/>
  <c r="K12" i="10" s="1"/>
  <c r="J11" i="10"/>
  <c r="K11" i="10" s="1"/>
  <c r="D12" i="10"/>
  <c r="G12" i="10" s="1"/>
  <c r="G11" i="10"/>
  <c r="G13" i="10"/>
  <c r="G10" i="10"/>
  <c r="G8" i="10"/>
  <c r="G7" i="10"/>
  <c r="G9" i="10"/>
  <c r="A1" i="10"/>
  <c r="F399" i="8"/>
  <c r="D399" i="8"/>
  <c r="G215" i="8"/>
  <c r="G214" i="8"/>
  <c r="G213" i="8"/>
  <c r="G210" i="8"/>
  <c r="G209" i="8"/>
  <c r="G203" i="8"/>
  <c r="G204" i="8"/>
  <c r="G205" i="8"/>
  <c r="G206" i="8"/>
  <c r="G207" i="8"/>
  <c r="G208" i="8"/>
  <c r="G211" i="8"/>
  <c r="G212" i="8"/>
  <c r="G200" i="8"/>
  <c r="G201" i="8"/>
  <c r="G202" i="8"/>
  <c r="N234" i="8"/>
  <c r="G78" i="3" l="1"/>
  <c r="I78" i="3" s="1"/>
  <c r="J78" i="3" s="1"/>
  <c r="G130" i="11"/>
  <c r="J131" i="11" s="1"/>
  <c r="J248" i="11"/>
  <c r="J247" i="11"/>
  <c r="G253" i="11"/>
  <c r="J190" i="11"/>
  <c r="J189" i="11"/>
  <c r="J35" i="11"/>
  <c r="J34" i="11"/>
  <c r="Q167" i="11"/>
  <c r="J292" i="11"/>
  <c r="J291" i="11"/>
  <c r="J286" i="11"/>
  <c r="J285" i="11"/>
  <c r="G54" i="11"/>
  <c r="G112" i="11"/>
  <c r="J280" i="11"/>
  <c r="J279" i="11"/>
  <c r="J87" i="11"/>
  <c r="J86" i="11"/>
  <c r="H32" i="10"/>
  <c r="H28" i="10"/>
  <c r="H13" i="10"/>
  <c r="H14" i="10" s="1"/>
  <c r="H8" i="10"/>
  <c r="J412" i="8" l="1"/>
  <c r="I79" i="3" s="1"/>
  <c r="J79" i="3" s="1"/>
  <c r="J70" i="3"/>
  <c r="J411" i="8"/>
  <c r="M411" i="8"/>
  <c r="I69" i="3"/>
  <c r="J69" i="3" s="1"/>
  <c r="J130" i="11"/>
  <c r="J113" i="11"/>
  <c r="J112" i="11"/>
  <c r="J254" i="11"/>
  <c r="J253" i="11"/>
  <c r="J55" i="11"/>
  <c r="J54" i="11"/>
  <c r="H34" i="10"/>
  <c r="H15" i="10"/>
  <c r="H16" i="10"/>
  <c r="H17" i="10" s="1"/>
  <c r="B17" i="10" s="1"/>
  <c r="D17" i="10" s="1"/>
  <c r="J311" i="11" l="1"/>
  <c r="C313" i="11" s="1"/>
  <c r="C316" i="11" s="1"/>
  <c r="H35" i="10"/>
  <c r="H36" i="10" s="1"/>
  <c r="B36" i="10" s="1"/>
  <c r="E315" i="11" l="1"/>
  <c r="E316" i="11" s="1"/>
  <c r="G264" i="8"/>
  <c r="F295" i="8"/>
  <c r="G295" i="8" s="1"/>
  <c r="G294" i="8"/>
  <c r="D293" i="8"/>
  <c r="G293" i="8" s="1"/>
  <c r="D292" i="8"/>
  <c r="G292" i="8" s="1"/>
  <c r="G291" i="8"/>
  <c r="D290" i="8"/>
  <c r="G290" i="8" s="1"/>
  <c r="D289" i="8"/>
  <c r="G289" i="8" s="1"/>
  <c r="G280" i="8"/>
  <c r="G281" i="8"/>
  <c r="G282" i="8"/>
  <c r="G283" i="8"/>
  <c r="G284" i="8"/>
  <c r="G285" i="8"/>
  <c r="G286" i="8"/>
  <c r="G287" i="8"/>
  <c r="G288" i="8"/>
  <c r="G273" i="8"/>
  <c r="C276" i="8"/>
  <c r="G276" i="8" s="1"/>
  <c r="C275" i="8"/>
  <c r="G275" i="8" s="1"/>
  <c r="C274" i="8"/>
  <c r="D272" i="8"/>
  <c r="C164" i="8"/>
  <c r="C163" i="8"/>
  <c r="C162" i="8"/>
  <c r="D156" i="8"/>
  <c r="D154" i="8"/>
  <c r="D152" i="8"/>
  <c r="D150" i="8"/>
  <c r="D166" i="8"/>
  <c r="D165" i="8"/>
  <c r="D160" i="8"/>
  <c r="D158" i="8"/>
  <c r="E166" i="8"/>
  <c r="E165" i="8"/>
  <c r="D164" i="8"/>
  <c r="D163" i="8"/>
  <c r="D162" i="8"/>
  <c r="C161" i="8"/>
  <c r="C160" i="8"/>
  <c r="C159" i="8"/>
  <c r="C158" i="8"/>
  <c r="E161" i="8"/>
  <c r="D161" i="8"/>
  <c r="E160" i="8"/>
  <c r="E159" i="8"/>
  <c r="D159" i="8"/>
  <c r="E158" i="8"/>
  <c r="C155" i="8"/>
  <c r="C151" i="8"/>
  <c r="N154" i="8"/>
  <c r="C157" i="8"/>
  <c r="C156" i="8"/>
  <c r="E157" i="8"/>
  <c r="D157" i="8"/>
  <c r="O156" i="8"/>
  <c r="N156" i="8"/>
  <c r="E156" i="8"/>
  <c r="E155" i="8"/>
  <c r="D155" i="8"/>
  <c r="E154" i="8"/>
  <c r="C154" i="8"/>
  <c r="C153" i="8"/>
  <c r="O152" i="8"/>
  <c r="N152" i="8"/>
  <c r="C152" i="8"/>
  <c r="C149" i="8"/>
  <c r="C148" i="8"/>
  <c r="D147" i="8"/>
  <c r="D146" i="8"/>
  <c r="C147" i="8"/>
  <c r="C146" i="8"/>
  <c r="C145" i="8"/>
  <c r="C144" i="8"/>
  <c r="C143" i="8"/>
  <c r="C142" i="8"/>
  <c r="E149" i="8"/>
  <c r="D149" i="8"/>
  <c r="E148" i="8"/>
  <c r="D148" i="8"/>
  <c r="E147" i="8"/>
  <c r="E146" i="8"/>
  <c r="E179" i="8"/>
  <c r="E180" i="8"/>
  <c r="E181" i="8"/>
  <c r="D181" i="8"/>
  <c r="D180" i="8"/>
  <c r="D179" i="8"/>
  <c r="D178" i="8"/>
  <c r="D177" i="8"/>
  <c r="D176" i="8"/>
  <c r="D175" i="8"/>
  <c r="D174" i="8"/>
  <c r="D173" i="8"/>
  <c r="D172" i="8"/>
  <c r="D171" i="8"/>
  <c r="E170" i="8"/>
  <c r="D170" i="8"/>
  <c r="D169" i="8"/>
  <c r="D168" i="8"/>
  <c r="F181" i="8" l="1"/>
  <c r="G181" i="8" s="1"/>
  <c r="F179" i="8"/>
  <c r="G179" i="8" s="1"/>
  <c r="F166" i="8"/>
  <c r="G166" i="8" s="1"/>
  <c r="F161" i="8"/>
  <c r="G161" i="8" s="1"/>
  <c r="F165" i="8"/>
  <c r="G165" i="8" s="1"/>
  <c r="F156" i="8"/>
  <c r="G156" i="8" s="1"/>
  <c r="F158" i="8"/>
  <c r="G158" i="8" s="1"/>
  <c r="F180" i="8"/>
  <c r="G180" i="8" s="1"/>
  <c r="F170" i="8"/>
  <c r="G170" i="8" s="1"/>
  <c r="F155" i="8"/>
  <c r="G155" i="8" s="1"/>
  <c r="F159" i="8"/>
  <c r="G159" i="8" s="1"/>
  <c r="F160" i="8"/>
  <c r="G160" i="8" s="1"/>
  <c r="F154" i="8"/>
  <c r="G154" i="8" s="1"/>
  <c r="F157" i="8"/>
  <c r="G157" i="8" s="1"/>
  <c r="F148" i="8"/>
  <c r="G148" i="8" s="1"/>
  <c r="F149" i="8"/>
  <c r="G149" i="8" s="1"/>
  <c r="F147" i="8"/>
  <c r="G147" i="8" s="1"/>
  <c r="F146" i="8"/>
  <c r="G146" i="8" s="1"/>
  <c r="N148" i="8"/>
  <c r="O148" i="8" s="1"/>
  <c r="O162" i="8"/>
  <c r="D194" i="8" l="1"/>
  <c r="D193" i="8"/>
  <c r="D192" i="8"/>
  <c r="E193" i="8"/>
  <c r="E194" i="8"/>
  <c r="D190" i="8"/>
  <c r="D189" i="8"/>
  <c r="D188" i="8"/>
  <c r="E189" i="8"/>
  <c r="E190" i="8"/>
  <c r="E192" i="8"/>
  <c r="E191" i="8"/>
  <c r="D191" i="8"/>
  <c r="E188" i="8"/>
  <c r="E187" i="8"/>
  <c r="D187" i="8"/>
  <c r="D186" i="8"/>
  <c r="D185" i="8"/>
  <c r="E186" i="8"/>
  <c r="E185" i="8"/>
  <c r="E184" i="8"/>
  <c r="D184" i="8"/>
  <c r="E183" i="8"/>
  <c r="D183" i="8"/>
  <c r="D123" i="8"/>
  <c r="F105" i="8"/>
  <c r="D105" i="8"/>
  <c r="P298" i="8"/>
  <c r="P297" i="8"/>
  <c r="R298" i="8"/>
  <c r="R274" i="8"/>
  <c r="Q274" i="8"/>
  <c r="N144" i="8"/>
  <c r="O144" i="8" s="1"/>
  <c r="D143" i="8"/>
  <c r="D142" i="8"/>
  <c r="F192" i="8" l="1"/>
  <c r="G192" i="8" s="1"/>
  <c r="F190" i="8"/>
  <c r="G190" i="8" s="1"/>
  <c r="F193" i="8"/>
  <c r="G193" i="8" s="1"/>
  <c r="G123" i="8"/>
  <c r="F188" i="8"/>
  <c r="G188" i="8" s="1"/>
  <c r="F183" i="8"/>
  <c r="G183" i="8" s="1"/>
  <c r="F187" i="8"/>
  <c r="G187" i="8" s="1"/>
  <c r="F191" i="8"/>
  <c r="G191" i="8" s="1"/>
  <c r="F194" i="8"/>
  <c r="G194" i="8" s="1"/>
  <c r="G105" i="8"/>
  <c r="F189" i="8"/>
  <c r="G189" i="8" s="1"/>
  <c r="F185" i="8"/>
  <c r="G185" i="8" s="1"/>
  <c r="F184" i="8"/>
  <c r="G184" i="8" s="1"/>
  <c r="F186" i="8"/>
  <c r="G186" i="8" s="1"/>
  <c r="C238" i="8"/>
  <c r="G91" i="8"/>
  <c r="G89" i="8"/>
  <c r="G88" i="8"/>
  <c r="G86" i="8"/>
  <c r="G87" i="8"/>
  <c r="G85" i="8"/>
  <c r="G80" i="8"/>
  <c r="G79" i="8"/>
  <c r="D55" i="8"/>
  <c r="G55" i="8" s="1"/>
  <c r="G73" i="8"/>
  <c r="D47" i="8"/>
  <c r="F52" i="8"/>
  <c r="F51" i="8"/>
  <c r="E54" i="8"/>
  <c r="C54" i="8"/>
  <c r="B54" i="8"/>
  <c r="B51" i="8"/>
  <c r="D50" i="8"/>
  <c r="D49" i="8"/>
  <c r="G46" i="8"/>
  <c r="D45" i="8"/>
  <c r="N60" i="8"/>
  <c r="M60" i="8"/>
  <c r="D35" i="8"/>
  <c r="G35" i="8" s="1"/>
  <c r="D33" i="8"/>
  <c r="G33" i="8" s="1"/>
  <c r="D31" i="8"/>
  <c r="D52" i="8" s="1"/>
  <c r="E31" i="8"/>
  <c r="E52" i="8" s="1"/>
  <c r="D32" i="8"/>
  <c r="D53" i="8" s="1"/>
  <c r="E32" i="8"/>
  <c r="E53" i="8" s="1"/>
  <c r="C31" i="8"/>
  <c r="C52" i="8" s="1"/>
  <c r="C32" i="8"/>
  <c r="C30" i="8"/>
  <c r="E29" i="8"/>
  <c r="D29" i="8"/>
  <c r="D16" i="8"/>
  <c r="D54" i="8" s="1"/>
  <c r="G15" i="8"/>
  <c r="G14" i="8"/>
  <c r="E13" i="8"/>
  <c r="D13" i="8"/>
  <c r="D30" i="8" s="1"/>
  <c r="D51" i="8" s="1"/>
  <c r="I36" i="8"/>
  <c r="H17" i="3" s="1"/>
  <c r="G47" i="8" l="1"/>
  <c r="D34" i="8"/>
  <c r="G34" i="8" s="1"/>
  <c r="P173" i="8"/>
  <c r="G71" i="8"/>
  <c r="G74" i="8"/>
  <c r="M187" i="8"/>
  <c r="G32" i="8"/>
  <c r="G72" i="8"/>
  <c r="G13" i="8"/>
  <c r="G54" i="8"/>
  <c r="C51" i="8"/>
  <c r="G52" i="8"/>
  <c r="E30" i="8"/>
  <c r="E51" i="8" s="1"/>
  <c r="G16" i="8"/>
  <c r="G31" i="8"/>
  <c r="C53" i="8"/>
  <c r="G53" i="8" s="1"/>
  <c r="G51" i="8" l="1"/>
  <c r="G30" i="8"/>
  <c r="F104" i="8" l="1"/>
  <c r="M104" i="8" s="1"/>
  <c r="D11" i="8"/>
  <c r="H25" i="3"/>
  <c r="H22" i="3"/>
  <c r="H20" i="3"/>
  <c r="E50" i="8"/>
  <c r="G50" i="8" s="1"/>
  <c r="E49" i="8"/>
  <c r="G49" i="8" s="1"/>
  <c r="G316" i="8"/>
  <c r="M256" i="8"/>
  <c r="E256" i="8"/>
  <c r="D256" i="8"/>
  <c r="E255" i="8"/>
  <c r="G255" i="8" s="1"/>
  <c r="M255" i="8"/>
  <c r="D257" i="8"/>
  <c r="C257" i="8"/>
  <c r="C256" i="8"/>
  <c r="B257" i="8"/>
  <c r="B258" i="8"/>
  <c r="B259" i="8"/>
  <c r="B256" i="8"/>
  <c r="G244" i="8"/>
  <c r="G245" i="8"/>
  <c r="C135" i="8"/>
  <c r="D135" i="8"/>
  <c r="E135" i="8"/>
  <c r="D134" i="8"/>
  <c r="C134" i="8"/>
  <c r="D133" i="8"/>
  <c r="C133" i="8"/>
  <c r="C132" i="8"/>
  <c r="F131" i="8"/>
  <c r="F130" i="8"/>
  <c r="D131" i="8"/>
  <c r="D130" i="8"/>
  <c r="C129" i="8"/>
  <c r="D129" i="8"/>
  <c r="F129" i="8"/>
  <c r="F128" i="8"/>
  <c r="D128" i="8"/>
  <c r="C128" i="8"/>
  <c r="C126" i="8"/>
  <c r="D126" i="8"/>
  <c r="F126" i="8"/>
  <c r="C127" i="8"/>
  <c r="D127" i="8"/>
  <c r="F127" i="8"/>
  <c r="D125" i="8"/>
  <c r="D124" i="8"/>
  <c r="C125" i="8"/>
  <c r="C124" i="8"/>
  <c r="E116" i="8"/>
  <c r="E134" i="8" s="1"/>
  <c r="E115" i="8"/>
  <c r="E133" i="8" s="1"/>
  <c r="E114" i="8"/>
  <c r="E132" i="8" s="1"/>
  <c r="D114" i="8"/>
  <c r="D132" i="8" s="1"/>
  <c r="G117" i="8"/>
  <c r="C113" i="8"/>
  <c r="C131" i="8" s="1"/>
  <c r="C112" i="8"/>
  <c r="C130" i="8" s="1"/>
  <c r="G111" i="8"/>
  <c r="G109" i="8"/>
  <c r="G129" i="8" l="1"/>
  <c r="G116" i="8"/>
  <c r="G256" i="8"/>
  <c r="G259" i="8"/>
  <c r="G127" i="8"/>
  <c r="G258" i="8"/>
  <c r="G134" i="8"/>
  <c r="E257" i="8"/>
  <c r="G257" i="8" s="1"/>
  <c r="G126" i="8"/>
  <c r="G132" i="8"/>
  <c r="G133" i="8"/>
  <c r="G135" i="8"/>
  <c r="G108" i="8"/>
  <c r="G102" i="8"/>
  <c r="G100" i="8"/>
  <c r="G98" i="8"/>
  <c r="F12" i="8"/>
  <c r="F11" i="8"/>
  <c r="D12" i="8"/>
  <c r="G54" i="3" l="1"/>
  <c r="J8" i="9"/>
  <c r="J7" i="9"/>
  <c r="J6" i="9"/>
  <c r="J5" i="9"/>
  <c r="J4" i="9"/>
  <c r="J3" i="9"/>
  <c r="I8" i="9"/>
  <c r="I7" i="9"/>
  <c r="I6" i="9"/>
  <c r="I5" i="9"/>
  <c r="I4" i="9"/>
  <c r="I3" i="9"/>
  <c r="F8" i="9"/>
  <c r="G8" i="9" s="1"/>
  <c r="F7" i="9"/>
  <c r="G7" i="9" s="1"/>
  <c r="F6" i="9"/>
  <c r="F5" i="9"/>
  <c r="F4" i="9"/>
  <c r="F3" i="9"/>
  <c r="D8" i="9"/>
  <c r="E8" i="9" s="1"/>
  <c r="D7" i="9"/>
  <c r="D6" i="9"/>
  <c r="D5" i="9"/>
  <c r="E5" i="9" s="1"/>
  <c r="D4" i="9"/>
  <c r="D3" i="9"/>
  <c r="C8" i="9"/>
  <c r="C7" i="9"/>
  <c r="C6" i="9"/>
  <c r="C5" i="9"/>
  <c r="C4" i="9"/>
  <c r="C3" i="9"/>
  <c r="M96" i="8"/>
  <c r="E3" i="9" l="1"/>
  <c r="G3" i="9"/>
  <c r="E4" i="9"/>
  <c r="G6" i="9"/>
  <c r="K5" i="9"/>
  <c r="K4" i="9"/>
  <c r="G4" i="9"/>
  <c r="K6" i="9"/>
  <c r="E6" i="9"/>
  <c r="E7" i="9"/>
  <c r="K7" i="9"/>
  <c r="G265" i="8"/>
  <c r="K8" i="9"/>
  <c r="K3" i="9"/>
  <c r="G5" i="9"/>
  <c r="C435" i="8"/>
  <c r="C434" i="8"/>
  <c r="G427" i="8"/>
  <c r="G86" i="3" s="1"/>
  <c r="G425" i="8"/>
  <c r="G423" i="8"/>
  <c r="G84" i="3" s="1"/>
  <c r="B399" i="8"/>
  <c r="G315" i="8"/>
  <c r="G274" i="8"/>
  <c r="G250" i="8"/>
  <c r="G251" i="8" s="1"/>
  <c r="G51" i="3" s="1"/>
  <c r="G243" i="8"/>
  <c r="E178" i="8"/>
  <c r="E177" i="8"/>
  <c r="E176" i="8"/>
  <c r="E175" i="8"/>
  <c r="E174" i="8"/>
  <c r="E173" i="8"/>
  <c r="E172" i="8"/>
  <c r="E171" i="8"/>
  <c r="E169" i="8"/>
  <c r="E168" i="8"/>
  <c r="E164" i="8"/>
  <c r="E163" i="8"/>
  <c r="E162" i="8"/>
  <c r="E153" i="8"/>
  <c r="D153" i="8"/>
  <c r="E151" i="8"/>
  <c r="D151" i="8"/>
  <c r="E152" i="8"/>
  <c r="E150" i="8"/>
  <c r="C150" i="8"/>
  <c r="E145" i="8"/>
  <c r="D145" i="8"/>
  <c r="E144" i="8"/>
  <c r="D144" i="8"/>
  <c r="E143" i="8"/>
  <c r="E142" i="8"/>
  <c r="E141" i="8"/>
  <c r="D141" i="8"/>
  <c r="E140" i="8"/>
  <c r="D140" i="8"/>
  <c r="D122" i="8"/>
  <c r="G115" i="8"/>
  <c r="D104" i="8"/>
  <c r="G90" i="8"/>
  <c r="F63" i="8"/>
  <c r="D63" i="8"/>
  <c r="F62" i="8"/>
  <c r="D62" i="8"/>
  <c r="E61" i="8"/>
  <c r="G61" i="8" s="1"/>
  <c r="E60" i="8"/>
  <c r="G60" i="8" s="1"/>
  <c r="B60" i="8"/>
  <c r="E25" i="8"/>
  <c r="C45" i="8"/>
  <c r="B45" i="8"/>
  <c r="B25" i="8" s="1"/>
  <c r="D41" i="8"/>
  <c r="G41" i="8" s="1"/>
  <c r="E28" i="8"/>
  <c r="D28" i="8"/>
  <c r="C28" i="8"/>
  <c r="E27" i="8"/>
  <c r="C27" i="8"/>
  <c r="E26" i="8"/>
  <c r="E48" i="8" s="1"/>
  <c r="D26" i="8"/>
  <c r="D48" i="8" s="1"/>
  <c r="C26" i="8"/>
  <c r="C48" i="8" s="1"/>
  <c r="E21" i="8"/>
  <c r="D21" i="8"/>
  <c r="G11" i="8"/>
  <c r="D27" i="8"/>
  <c r="G10" i="8"/>
  <c r="G48" i="3" l="1"/>
  <c r="G57" i="3"/>
  <c r="G66" i="3"/>
  <c r="G30" i="3"/>
  <c r="D40" i="8"/>
  <c r="G40" i="8" s="1"/>
  <c r="G20" i="3" s="1"/>
  <c r="I20" i="3" s="1"/>
  <c r="R91" i="8"/>
  <c r="I63" i="3"/>
  <c r="J425" i="8"/>
  <c r="J423" i="8"/>
  <c r="J251" i="8"/>
  <c r="J252" i="8" s="1"/>
  <c r="I52" i="3" s="1"/>
  <c r="J427" i="8"/>
  <c r="F178" i="8"/>
  <c r="G178" i="8" s="1"/>
  <c r="F168" i="8"/>
  <c r="G168" i="8" s="1"/>
  <c r="G21" i="8"/>
  <c r="G22" i="8" s="1"/>
  <c r="F175" i="8"/>
  <c r="G175" i="8" s="1"/>
  <c r="G199" i="8"/>
  <c r="F177" i="8"/>
  <c r="G177" i="8" s="1"/>
  <c r="F164" i="8"/>
  <c r="G164" i="8" s="1"/>
  <c r="G270" i="8"/>
  <c r="F162" i="8"/>
  <c r="G162" i="8" s="1"/>
  <c r="F173" i="8"/>
  <c r="G173" i="8" s="1"/>
  <c r="F163" i="8"/>
  <c r="G163" i="8" s="1"/>
  <c r="G70" i="8"/>
  <c r="F150" i="8"/>
  <c r="G150" i="8" s="1"/>
  <c r="B41" i="8"/>
  <c r="F143" i="8"/>
  <c r="G143" i="8" s="1"/>
  <c r="G62" i="8"/>
  <c r="F141" i="8"/>
  <c r="G141" i="8" s="1"/>
  <c r="F145" i="8"/>
  <c r="G145" i="8" s="1"/>
  <c r="F169" i="8"/>
  <c r="G169" i="8" s="1"/>
  <c r="F171" i="8"/>
  <c r="G171" i="8" s="1"/>
  <c r="F174" i="8"/>
  <c r="G174" i="8" s="1"/>
  <c r="D238" i="8"/>
  <c r="G63" i="8"/>
  <c r="G114" i="8"/>
  <c r="F140" i="8"/>
  <c r="G140" i="8" s="1"/>
  <c r="F172" i="8"/>
  <c r="G172" i="8" s="1"/>
  <c r="G272" i="8"/>
  <c r="G28" i="8"/>
  <c r="G26" i="8"/>
  <c r="G27" i="8"/>
  <c r="G48" i="8"/>
  <c r="G12" i="8"/>
  <c r="C97" i="8"/>
  <c r="F142" i="8"/>
  <c r="G142" i="8" s="1"/>
  <c r="F176" i="8"/>
  <c r="G176" i="8" s="1"/>
  <c r="G69" i="8"/>
  <c r="G399" i="8"/>
  <c r="G402" i="8" s="1"/>
  <c r="D25" i="8"/>
  <c r="G25" i="8" s="1"/>
  <c r="G122" i="8"/>
  <c r="G29" i="8"/>
  <c r="E238" i="8"/>
  <c r="F144" i="8"/>
  <c r="G144" i="8" s="1"/>
  <c r="G201" i="7"/>
  <c r="G60" i="3" l="1"/>
  <c r="G17" i="3"/>
  <c r="G75" i="3"/>
  <c r="I75" i="3" s="1"/>
  <c r="J75" i="3" s="1"/>
  <c r="G42" i="3"/>
  <c r="G15" i="3"/>
  <c r="I15" i="3" s="1"/>
  <c r="G13" i="3"/>
  <c r="J311" i="8"/>
  <c r="J92" i="8"/>
  <c r="J93" i="8"/>
  <c r="I31" i="3" s="1"/>
  <c r="J317" i="8"/>
  <c r="J318" i="8"/>
  <c r="I67" i="3" s="1"/>
  <c r="J201" i="7"/>
  <c r="I66" i="3"/>
  <c r="J403" i="8"/>
  <c r="I76" i="3" s="1"/>
  <c r="J76" i="3" s="1"/>
  <c r="J42" i="8"/>
  <c r="O173" i="8"/>
  <c r="Q173" i="8" s="1"/>
  <c r="J246" i="8"/>
  <c r="J247" i="8" s="1"/>
  <c r="I49" i="3" s="1"/>
  <c r="G238" i="8"/>
  <c r="G239" i="8" s="1"/>
  <c r="G45" i="3" s="1"/>
  <c r="G77" i="8"/>
  <c r="G78" i="8"/>
  <c r="F124" i="8"/>
  <c r="J402" i="8"/>
  <c r="G76" i="8"/>
  <c r="G45" i="8"/>
  <c r="F125" i="8"/>
  <c r="G125" i="8" s="1"/>
  <c r="J260" i="8"/>
  <c r="J261" i="8"/>
  <c r="I55" i="3" s="1"/>
  <c r="G75" i="8"/>
  <c r="G97" i="8"/>
  <c r="E138" i="7"/>
  <c r="E137" i="7"/>
  <c r="D97" i="7"/>
  <c r="G97" i="7" s="1"/>
  <c r="C96" i="7"/>
  <c r="B96" i="7"/>
  <c r="B137" i="7" s="1"/>
  <c r="E82" i="7"/>
  <c r="D82" i="7"/>
  <c r="D96" i="7" s="1"/>
  <c r="D137" i="7" s="1"/>
  <c r="C138" i="7" s="1"/>
  <c r="C159" i="7"/>
  <c r="G159" i="7" s="1"/>
  <c r="G160" i="7" s="1"/>
  <c r="F64" i="7"/>
  <c r="D64" i="7"/>
  <c r="G64" i="7" s="1"/>
  <c r="F63" i="7"/>
  <c r="F62" i="7"/>
  <c r="E63" i="7"/>
  <c r="E62" i="7"/>
  <c r="C143" i="7"/>
  <c r="D136" i="7"/>
  <c r="E136" i="7"/>
  <c r="E135" i="7"/>
  <c r="D135" i="7"/>
  <c r="E134" i="7"/>
  <c r="D81" i="7"/>
  <c r="D80" i="7"/>
  <c r="D134" i="7" s="1"/>
  <c r="C28" i="7"/>
  <c r="C43" i="7" s="1"/>
  <c r="C81" i="7" s="1"/>
  <c r="C135" i="7" s="1"/>
  <c r="E28" i="7"/>
  <c r="E43" i="7" s="1"/>
  <c r="C27" i="7"/>
  <c r="C42" i="7" s="1"/>
  <c r="C80" i="7" s="1"/>
  <c r="E27" i="7"/>
  <c r="B27" i="7"/>
  <c r="B42" i="7" s="1"/>
  <c r="B80" i="7" s="1"/>
  <c r="B134" i="7" s="1"/>
  <c r="B159" i="7" s="1"/>
  <c r="D14" i="7"/>
  <c r="G14" i="7" s="1"/>
  <c r="D13" i="7"/>
  <c r="G13" i="7" s="1"/>
  <c r="G27" i="3" l="1"/>
  <c r="G82" i="7"/>
  <c r="J22" i="8"/>
  <c r="J395" i="8"/>
  <c r="J396" i="8"/>
  <c r="I73" i="3" s="1"/>
  <c r="J73" i="3" s="1"/>
  <c r="M103" i="8"/>
  <c r="E96" i="7"/>
  <c r="D138" i="7" s="1"/>
  <c r="C137" i="7" s="1"/>
  <c r="F137" i="7" s="1"/>
  <c r="G137" i="7" s="1"/>
  <c r="J160" i="7"/>
  <c r="J161" i="7" s="1"/>
  <c r="M49" i="3" s="1"/>
  <c r="G22" i="3"/>
  <c r="J239" i="8"/>
  <c r="J240" i="8" s="1"/>
  <c r="I46" i="3" s="1"/>
  <c r="J297" i="8"/>
  <c r="I61" i="3" s="1"/>
  <c r="I57" i="3"/>
  <c r="J66" i="8"/>
  <c r="G25" i="3"/>
  <c r="I25" i="3" s="1"/>
  <c r="J18" i="8"/>
  <c r="J296" i="8"/>
  <c r="J234" i="8"/>
  <c r="J235" i="8" s="1"/>
  <c r="I43" i="3" s="1"/>
  <c r="F153" i="8"/>
  <c r="G153" i="8" s="1"/>
  <c r="B62" i="7"/>
  <c r="G113" i="8"/>
  <c r="J266" i="8"/>
  <c r="J267" i="8"/>
  <c r="I58" i="3" s="1"/>
  <c r="J37" i="8"/>
  <c r="I18" i="3" s="1"/>
  <c r="J36" i="8"/>
  <c r="G107" i="8"/>
  <c r="G104" i="8"/>
  <c r="G112" i="8"/>
  <c r="G106" i="8"/>
  <c r="G131" i="8"/>
  <c r="C62" i="7"/>
  <c r="C63" i="7"/>
  <c r="G80" i="7"/>
  <c r="F135" i="7"/>
  <c r="G135" i="7" s="1"/>
  <c r="C136" i="7"/>
  <c r="F136" i="7" s="1"/>
  <c r="G136" i="7" s="1"/>
  <c r="G81" i="7"/>
  <c r="C134" i="7"/>
  <c r="F134" i="7" s="1"/>
  <c r="G134" i="7" s="1"/>
  <c r="D28" i="7"/>
  <c r="G28" i="7" s="1"/>
  <c r="D27" i="7"/>
  <c r="D42" i="7" s="1"/>
  <c r="D62" i="7" s="1"/>
  <c r="E42" i="7"/>
  <c r="G96" i="7" l="1"/>
  <c r="F138" i="7"/>
  <c r="G138" i="7" s="1"/>
  <c r="J57" i="8"/>
  <c r="I23" i="3" s="1"/>
  <c r="J56" i="8"/>
  <c r="F152" i="8"/>
  <c r="G152" i="8" s="1"/>
  <c r="G130" i="8"/>
  <c r="F151" i="8"/>
  <c r="G151" i="8" s="1"/>
  <c r="G124" i="8"/>
  <c r="G110" i="8"/>
  <c r="G62" i="7"/>
  <c r="D43" i="7"/>
  <c r="G42" i="7"/>
  <c r="G27" i="7"/>
  <c r="G39" i="3" l="1"/>
  <c r="G128" i="8"/>
  <c r="G43" i="7"/>
  <c r="D63" i="7"/>
  <c r="G63" i="7" s="1"/>
  <c r="G36" i="3" l="1"/>
  <c r="N118" i="8"/>
  <c r="G33" i="3"/>
  <c r="J119" i="8"/>
  <c r="I34" i="3" s="1"/>
  <c r="N117" i="8"/>
  <c r="J118" i="8"/>
  <c r="I196" i="7"/>
  <c r="C195" i="7"/>
  <c r="B195" i="7"/>
  <c r="O117" i="8" l="1"/>
  <c r="J137" i="8"/>
  <c r="I37" i="3" s="1"/>
  <c r="J136" i="8"/>
  <c r="J196" i="8"/>
  <c r="I40" i="3" s="1"/>
  <c r="J195" i="8"/>
  <c r="G199" i="7"/>
  <c r="J199" i="7" l="1"/>
  <c r="D190" i="7"/>
  <c r="G190" i="7" s="1"/>
  <c r="D33" i="7"/>
  <c r="G33" i="7" s="1"/>
  <c r="G34" i="7" s="1"/>
  <c r="G165" i="7"/>
  <c r="G180" i="7"/>
  <c r="F179" i="7"/>
  <c r="D179" i="7"/>
  <c r="F178" i="7"/>
  <c r="D178" i="7"/>
  <c r="F177" i="7"/>
  <c r="D177" i="7"/>
  <c r="G177" i="7" s="1"/>
  <c r="F176" i="7"/>
  <c r="D176" i="7"/>
  <c r="G176" i="7" s="1"/>
  <c r="D166" i="7"/>
  <c r="G166" i="7" s="1"/>
  <c r="E164" i="7"/>
  <c r="D164" i="7"/>
  <c r="E18" i="7"/>
  <c r="D18" i="7"/>
  <c r="D51" i="7"/>
  <c r="F51" i="7"/>
  <c r="F50" i="7"/>
  <c r="D50" i="7"/>
  <c r="D55" i="7"/>
  <c r="D195" i="7" s="1"/>
  <c r="G195" i="7" s="1"/>
  <c r="G196" i="7" s="1"/>
  <c r="F66" i="3" s="1"/>
  <c r="D56" i="7"/>
  <c r="E49" i="7"/>
  <c r="G49" i="7" s="1"/>
  <c r="E48" i="7"/>
  <c r="G48" i="7" s="1"/>
  <c r="B48" i="7"/>
  <c r="G154" i="7"/>
  <c r="G155" i="7" s="1"/>
  <c r="J66" i="3" l="1"/>
  <c r="M66" i="3"/>
  <c r="J34" i="7"/>
  <c r="F20" i="3"/>
  <c r="M20" i="3" s="1"/>
  <c r="G191" i="7"/>
  <c r="J197" i="7"/>
  <c r="J196" i="7"/>
  <c r="G179" i="7"/>
  <c r="G164" i="7"/>
  <c r="G178" i="7"/>
  <c r="G18" i="7"/>
  <c r="G19" i="7" s="1"/>
  <c r="G50" i="7"/>
  <c r="G51" i="7"/>
  <c r="J155" i="7"/>
  <c r="J156" i="7" s="1"/>
  <c r="M46" i="3" s="1"/>
  <c r="J67" i="3" l="1"/>
  <c r="M67" i="3"/>
  <c r="J192" i="7"/>
  <c r="F63" i="3"/>
  <c r="J19" i="7"/>
  <c r="F15" i="3"/>
  <c r="M15" i="3" s="1"/>
  <c r="J20" i="3"/>
  <c r="G181" i="7"/>
  <c r="F57" i="3" s="1"/>
  <c r="J191" i="7"/>
  <c r="G167" i="7"/>
  <c r="J167" i="7" s="1"/>
  <c r="G171" i="7"/>
  <c r="G52" i="7"/>
  <c r="F25" i="3" s="1"/>
  <c r="M25" i="3" s="1"/>
  <c r="J57" i="3" l="1"/>
  <c r="M57" i="3"/>
  <c r="J63" i="3"/>
  <c r="M63" i="3"/>
  <c r="J64" i="3"/>
  <c r="M64" i="3"/>
  <c r="J182" i="7"/>
  <c r="G185" i="7"/>
  <c r="G186" i="7" s="1"/>
  <c r="F60" i="3" s="1"/>
  <c r="M60" i="3" s="1"/>
  <c r="J25" i="3"/>
  <c r="J15" i="3"/>
  <c r="J181" i="7"/>
  <c r="J168" i="7"/>
  <c r="M52" i="3" s="1"/>
  <c r="G172" i="7"/>
  <c r="J172" i="7" s="1"/>
  <c r="J187" i="7" l="1"/>
  <c r="M61" i="3" s="1"/>
  <c r="J186" i="7"/>
  <c r="J58" i="3"/>
  <c r="M58" i="3"/>
  <c r="J173" i="7"/>
  <c r="M55" i="3" s="1"/>
  <c r="C133" i="7"/>
  <c r="E133" i="7"/>
  <c r="E95" i="7"/>
  <c r="D95" i="7"/>
  <c r="D133" i="7" s="1"/>
  <c r="C95" i="7"/>
  <c r="B95" i="7"/>
  <c r="B133" i="7" s="1"/>
  <c r="G79" i="7"/>
  <c r="G61" i="7"/>
  <c r="C60" i="7"/>
  <c r="C59" i="7"/>
  <c r="E56" i="7"/>
  <c r="G56" i="7" s="1"/>
  <c r="E37" i="7"/>
  <c r="E22" i="7" s="1"/>
  <c r="C37" i="7"/>
  <c r="B37" i="7"/>
  <c r="E55" i="7"/>
  <c r="B22" i="7" l="1"/>
  <c r="B33" i="7"/>
  <c r="G95" i="7"/>
  <c r="F133" i="7"/>
  <c r="G133" i="7" s="1"/>
  <c r="D37" i="7"/>
  <c r="D22" i="7" s="1"/>
  <c r="G22" i="7" s="1"/>
  <c r="J52" i="7"/>
  <c r="G55" i="7"/>
  <c r="F60" i="7"/>
  <c r="E144" i="7" s="1"/>
  <c r="F59" i="7"/>
  <c r="E26" i="7"/>
  <c r="D144" i="7" s="1"/>
  <c r="D26" i="7"/>
  <c r="E128" i="7"/>
  <c r="D128" i="7"/>
  <c r="C128" i="7"/>
  <c r="C127" i="7"/>
  <c r="C126" i="7"/>
  <c r="C131" i="7"/>
  <c r="C132" i="7"/>
  <c r="C130" i="7"/>
  <c r="C129" i="7"/>
  <c r="C125" i="7"/>
  <c r="C124" i="7"/>
  <c r="C120" i="7"/>
  <c r="C119" i="7"/>
  <c r="C118" i="7"/>
  <c r="C116" i="7"/>
  <c r="C78" i="7"/>
  <c r="C94" i="7" s="1"/>
  <c r="E132" i="7"/>
  <c r="E131" i="7"/>
  <c r="E127" i="7"/>
  <c r="D127" i="7"/>
  <c r="E130" i="7"/>
  <c r="D130" i="7"/>
  <c r="E129" i="7"/>
  <c r="D129" i="7"/>
  <c r="D126" i="7"/>
  <c r="E126" i="7"/>
  <c r="E121" i="7"/>
  <c r="D121" i="7"/>
  <c r="E122" i="7"/>
  <c r="D122" i="7"/>
  <c r="D125" i="7"/>
  <c r="D131" i="7" s="1"/>
  <c r="E125" i="7"/>
  <c r="D124" i="7"/>
  <c r="D132" i="7" s="1"/>
  <c r="E124" i="7"/>
  <c r="E118" i="7"/>
  <c r="E119" i="7"/>
  <c r="E120" i="7"/>
  <c r="D120" i="7"/>
  <c r="D119" i="7"/>
  <c r="D118" i="7"/>
  <c r="E117" i="7"/>
  <c r="D117" i="7"/>
  <c r="E116" i="7"/>
  <c r="D116" i="7"/>
  <c r="E115" i="7"/>
  <c r="E114" i="7"/>
  <c r="D115" i="7"/>
  <c r="D114" i="7"/>
  <c r="G37" i="7" l="1"/>
  <c r="D143" i="7"/>
  <c r="D149" i="7"/>
  <c r="E143" i="7"/>
  <c r="E149" i="7"/>
  <c r="F131" i="7"/>
  <c r="G131" i="7" s="1"/>
  <c r="G144" i="7"/>
  <c r="F132" i="7"/>
  <c r="G132" i="7" s="1"/>
  <c r="F128" i="7"/>
  <c r="G128" i="7" s="1"/>
  <c r="F118" i="7"/>
  <c r="G118" i="7" s="1"/>
  <c r="F130" i="7"/>
  <c r="G130" i="7" s="1"/>
  <c r="F129" i="7"/>
  <c r="G129" i="7" s="1"/>
  <c r="F127" i="7"/>
  <c r="G127" i="7" s="1"/>
  <c r="F116" i="7"/>
  <c r="G116" i="7" s="1"/>
  <c r="F126" i="7"/>
  <c r="G126" i="7" s="1"/>
  <c r="F120" i="7"/>
  <c r="G120" i="7" s="1"/>
  <c r="F119" i="7"/>
  <c r="G119" i="7" s="1"/>
  <c r="F124" i="7"/>
  <c r="G124" i="7" s="1"/>
  <c r="F125" i="7"/>
  <c r="G125" i="7" s="1"/>
  <c r="B114" i="7"/>
  <c r="B94" i="7"/>
  <c r="B123" i="7" s="1"/>
  <c r="B92" i="7"/>
  <c r="B116" i="7" s="1"/>
  <c r="B91" i="7"/>
  <c r="B112" i="7" s="1"/>
  <c r="E78" i="7"/>
  <c r="E94" i="7" s="1"/>
  <c r="D78" i="7"/>
  <c r="F75" i="7"/>
  <c r="F91" i="7" s="1"/>
  <c r="E75" i="7"/>
  <c r="C41" i="7"/>
  <c r="D109" i="7"/>
  <c r="D108" i="7"/>
  <c r="C107" i="7"/>
  <c r="C106" i="7"/>
  <c r="C104" i="7"/>
  <c r="C112" i="7" s="1"/>
  <c r="D88" i="7"/>
  <c r="D91" i="7" s="1"/>
  <c r="B88" i="7"/>
  <c r="B104" i="7" s="1"/>
  <c r="F87" i="7"/>
  <c r="E71" i="7"/>
  <c r="D71" i="7"/>
  <c r="E70" i="7"/>
  <c r="D70" i="7"/>
  <c r="D58" i="7"/>
  <c r="D60" i="7" s="1"/>
  <c r="D73" i="7"/>
  <c r="D89" i="7" s="1"/>
  <c r="D92" i="7" s="1"/>
  <c r="E25" i="7"/>
  <c r="E40" i="7" s="1"/>
  <c r="E58" i="7" s="1"/>
  <c r="E24" i="7"/>
  <c r="E39" i="7" s="1"/>
  <c r="E57" i="7" s="1"/>
  <c r="E23" i="7"/>
  <c r="D23" i="7"/>
  <c r="C23" i="7"/>
  <c r="C25" i="7"/>
  <c r="C40" i="7" s="1"/>
  <c r="C58" i="7" s="1"/>
  <c r="C74" i="7" s="1"/>
  <c r="C24" i="7"/>
  <c r="C39" i="7" s="1"/>
  <c r="C57" i="7" s="1"/>
  <c r="D12" i="7"/>
  <c r="D25" i="7" s="1"/>
  <c r="D11" i="7"/>
  <c r="D24" i="7" s="1"/>
  <c r="F12" i="7"/>
  <c r="F11" i="7"/>
  <c r="G143" i="7" l="1"/>
  <c r="G145" i="7"/>
  <c r="M128" i="7"/>
  <c r="N128" i="7" s="1"/>
  <c r="G149" i="7"/>
  <c r="G150" i="7" s="1"/>
  <c r="E73" i="7"/>
  <c r="F73" i="7" s="1"/>
  <c r="F76" i="7" s="1"/>
  <c r="E59" i="7"/>
  <c r="E74" i="7"/>
  <c r="F74" i="7" s="1"/>
  <c r="F77" i="7" s="1"/>
  <c r="E60" i="7"/>
  <c r="G60" i="7" s="1"/>
  <c r="C90" i="7"/>
  <c r="C111" i="7" s="1"/>
  <c r="C77" i="7"/>
  <c r="G78" i="7"/>
  <c r="D112" i="7"/>
  <c r="D113" i="7"/>
  <c r="D76" i="7"/>
  <c r="D94" i="7"/>
  <c r="D41" i="7"/>
  <c r="C73" i="7"/>
  <c r="C76" i="7" s="1"/>
  <c r="E41" i="7"/>
  <c r="D74" i="7"/>
  <c r="D77" i="7" s="1"/>
  <c r="G26" i="7"/>
  <c r="D57" i="7"/>
  <c r="D59" i="7" s="1"/>
  <c r="G94" i="7" l="1"/>
  <c r="N94" i="7" s="1"/>
  <c r="P94" i="7"/>
  <c r="J146" i="7"/>
  <c r="M40" i="3" s="1"/>
  <c r="J145" i="7"/>
  <c r="J150" i="7"/>
  <c r="E76" i="7"/>
  <c r="G76" i="7" s="1"/>
  <c r="G59" i="7"/>
  <c r="E77" i="7"/>
  <c r="G77" i="7" s="1"/>
  <c r="C122" i="7"/>
  <c r="F122" i="7" s="1"/>
  <c r="G122" i="7" s="1"/>
  <c r="C93" i="7"/>
  <c r="G41" i="7"/>
  <c r="G74" i="7"/>
  <c r="D90" i="7"/>
  <c r="D93" i="7" s="1"/>
  <c r="G73" i="7"/>
  <c r="C89" i="7"/>
  <c r="J151" i="7" l="1"/>
  <c r="M43" i="3" s="1"/>
  <c r="C121" i="7"/>
  <c r="F121" i="7" s="1"/>
  <c r="G121" i="7" s="1"/>
  <c r="C117" i="7"/>
  <c r="F117" i="7" s="1"/>
  <c r="G117" i="7" s="1"/>
  <c r="C92" i="7"/>
  <c r="C110" i="7"/>
  <c r="C109" i="7"/>
  <c r="J218" i="7" l="1"/>
  <c r="C108" i="7"/>
  <c r="F58" i="7" l="1"/>
  <c r="F57" i="7"/>
  <c r="D40" i="7"/>
  <c r="D39" i="7"/>
  <c r="E90" i="7" l="1"/>
  <c r="E93" i="7" s="1"/>
  <c r="G93" i="7" s="1"/>
  <c r="E89" i="7"/>
  <c r="E92" i="7" s="1"/>
  <c r="G92" i="7" s="1"/>
  <c r="G58" i="7"/>
  <c r="C211" i="7"/>
  <c r="C210" i="7"/>
  <c r="G203" i="7"/>
  <c r="E111" i="7"/>
  <c r="D111" i="7"/>
  <c r="E110" i="7"/>
  <c r="D110" i="7"/>
  <c r="E109" i="7"/>
  <c r="E108" i="7"/>
  <c r="E107" i="7"/>
  <c r="D107" i="7"/>
  <c r="E106" i="7"/>
  <c r="D106" i="7"/>
  <c r="E105" i="7"/>
  <c r="E113" i="7" s="1"/>
  <c r="C105" i="7"/>
  <c r="E104" i="7"/>
  <c r="E112" i="7" s="1"/>
  <c r="F112" i="7" s="1"/>
  <c r="G112" i="7" s="1"/>
  <c r="E103" i="7"/>
  <c r="D103" i="7"/>
  <c r="C102" i="7" s="1"/>
  <c r="E102" i="7"/>
  <c r="D102" i="7"/>
  <c r="C103" i="7" s="1"/>
  <c r="D87" i="7"/>
  <c r="C87" i="7"/>
  <c r="F88" i="7"/>
  <c r="D72" i="7"/>
  <c r="D75" i="7" s="1"/>
  <c r="E38" i="7"/>
  <c r="E69" i="7" s="1"/>
  <c r="C38" i="7"/>
  <c r="C69" i="7" s="1"/>
  <c r="C72" i="7" s="1"/>
  <c r="C75" i="7" s="1"/>
  <c r="C91" i="7" s="1"/>
  <c r="G12" i="7"/>
  <c r="G10" i="7"/>
  <c r="J203" i="7" l="1"/>
  <c r="C114" i="7"/>
  <c r="C115" i="7"/>
  <c r="C113" i="7"/>
  <c r="F113" i="7" s="1"/>
  <c r="G113" i="7" s="1"/>
  <c r="G75" i="7"/>
  <c r="G88" i="7"/>
  <c r="D105" i="7"/>
  <c r="F105" i="7" s="1"/>
  <c r="G105" i="7" s="1"/>
  <c r="D104" i="7"/>
  <c r="F104" i="7" s="1"/>
  <c r="G104" i="7" s="1"/>
  <c r="G72" i="7"/>
  <c r="G90" i="7"/>
  <c r="F102" i="7"/>
  <c r="G102" i="7" s="1"/>
  <c r="F108" i="7"/>
  <c r="G108" i="7" s="1"/>
  <c r="F109" i="7"/>
  <c r="G109" i="7" s="1"/>
  <c r="F110" i="7"/>
  <c r="G110" i="7" s="1"/>
  <c r="F111" i="7"/>
  <c r="G111" i="7" s="1"/>
  <c r="C208" i="7"/>
  <c r="F103" i="7"/>
  <c r="G103" i="7" s="1"/>
  <c r="G89" i="7"/>
  <c r="F107" i="7"/>
  <c r="G107" i="7" s="1"/>
  <c r="G87" i="7"/>
  <c r="G25" i="7"/>
  <c r="G40" i="7"/>
  <c r="F106" i="7"/>
  <c r="G106" i="7" s="1"/>
  <c r="G57" i="7"/>
  <c r="G65" i="7" s="1"/>
  <c r="G11" i="7"/>
  <c r="G15" i="7" s="1"/>
  <c r="G23" i="7"/>
  <c r="D38" i="7"/>
  <c r="D69" i="7" s="1"/>
  <c r="G98" i="7" l="1"/>
  <c r="J65" i="7"/>
  <c r="F115" i="7"/>
  <c r="G115" i="7" s="1"/>
  <c r="F114" i="7"/>
  <c r="G114" i="7" s="1"/>
  <c r="G139" i="7" s="1"/>
  <c r="G91" i="7"/>
  <c r="G71" i="7"/>
  <c r="G70" i="7"/>
  <c r="G24" i="7"/>
  <c r="G39" i="7"/>
  <c r="G38" i="7"/>
  <c r="G69" i="7"/>
  <c r="N101" i="13" l="1"/>
  <c r="G83" i="7"/>
  <c r="N110" i="12"/>
  <c r="N103" i="8"/>
  <c r="G44" i="7"/>
  <c r="G29" i="7"/>
  <c r="J139" i="7"/>
  <c r="J66" i="7"/>
  <c r="M28" i="3" s="1"/>
  <c r="J15" i="7"/>
  <c r="J44" i="7" l="1"/>
  <c r="J30" i="7"/>
  <c r="M18" i="3" s="1"/>
  <c r="J29" i="7"/>
  <c r="J140" i="7"/>
  <c r="M37" i="3" s="1"/>
  <c r="J45" i="7"/>
  <c r="M23" i="3" s="1"/>
  <c r="J99" i="7"/>
  <c r="M34" i="3" s="1"/>
  <c r="J98" i="7"/>
  <c r="J84" i="7"/>
  <c r="M31" i="3" s="1"/>
  <c r="J83" i="7"/>
  <c r="J204" i="7" l="1"/>
  <c r="F92" i="3" s="1"/>
  <c r="C206" i="7" l="1"/>
  <c r="C209" i="7" s="1"/>
  <c r="E208" i="7" l="1"/>
  <c r="E209" i="7" s="1"/>
  <c r="I33" i="3"/>
  <c r="I84" i="3" l="1"/>
  <c r="I45" i="3"/>
  <c r="I30" i="3"/>
  <c r="I42" i="3"/>
  <c r="I54" i="3"/>
  <c r="I22" i="3"/>
  <c r="I36" i="3"/>
  <c r="I48" i="3"/>
  <c r="I39" i="3"/>
  <c r="I51" i="3"/>
  <c r="I17" i="3" l="1"/>
  <c r="I13" i="3"/>
  <c r="I86" i="3" l="1"/>
  <c r="F86" i="3" l="1"/>
  <c r="M86" i="3" s="1"/>
  <c r="F84" i="3"/>
  <c r="J84" i="3" l="1"/>
  <c r="M84" i="3"/>
  <c r="J86" i="3"/>
  <c r="F22" i="3"/>
  <c r="J22" i="3" l="1"/>
  <c r="M22" i="3"/>
  <c r="J23" i="3"/>
  <c r="F54" i="3" l="1"/>
  <c r="J54" i="3" l="1"/>
  <c r="M54" i="3"/>
  <c r="J55" i="3"/>
  <c r="F51" i="3" l="1"/>
  <c r="J51" i="3" l="1"/>
  <c r="M51" i="3"/>
  <c r="F33" i="3"/>
  <c r="J33" i="3" l="1"/>
  <c r="M33" i="3"/>
  <c r="F27" i="3"/>
  <c r="M27" i="3" s="1"/>
  <c r="F17" i="3" l="1"/>
  <c r="M17" i="3" s="1"/>
  <c r="J17" i="3" l="1"/>
  <c r="F39" i="3"/>
  <c r="F36" i="3"/>
  <c r="J36" i="3" l="1"/>
  <c r="M36" i="3"/>
  <c r="J39" i="3"/>
  <c r="M39" i="3"/>
  <c r="F42" i="3"/>
  <c r="F13" i="3"/>
  <c r="F88" i="3" s="1"/>
  <c r="J18" i="3"/>
  <c r="J37" i="3"/>
  <c r="J42" i="3" l="1"/>
  <c r="M42" i="3"/>
  <c r="M13" i="3"/>
  <c r="J13" i="3"/>
  <c r="J43" i="3"/>
  <c r="F48" i="3"/>
  <c r="J48" i="3" l="1"/>
  <c r="M48" i="3"/>
  <c r="J49" i="3"/>
  <c r="F30" i="3"/>
  <c r="M30" i="3" s="1"/>
  <c r="F45" i="3" l="1"/>
  <c r="J30" i="3"/>
  <c r="J45" i="3" l="1"/>
  <c r="M45" i="3"/>
  <c r="J46" i="3"/>
  <c r="J34" i="3"/>
  <c r="J52" i="3"/>
  <c r="J40" i="3"/>
  <c r="J31" i="3" l="1"/>
  <c r="C6" i="3" l="1"/>
  <c r="J81" i="8" l="1"/>
  <c r="I27" i="3"/>
  <c r="J82" i="8"/>
  <c r="I28" i="3" l="1"/>
  <c r="J28" i="3" s="1"/>
  <c r="N93" i="8"/>
  <c r="J27" i="3"/>
  <c r="J61" i="3"/>
  <c r="J368" i="8"/>
  <c r="J428" i="8" s="1"/>
  <c r="I60" i="3"/>
  <c r="J60" i="3" s="1"/>
  <c r="N339" i="8" l="1"/>
  <c r="M393" i="8"/>
  <c r="I92" i="3"/>
  <c r="J92" i="3" s="1"/>
  <c r="M92" i="3" s="1"/>
  <c r="I88" i="3"/>
  <c r="J6" i="3" s="1"/>
  <c r="C430" i="8" l="1"/>
  <c r="J88" i="3"/>
  <c r="C432" i="8" l="1"/>
  <c r="C433" i="8" s="1"/>
  <c r="E432" i="8" l="1"/>
  <c r="E433" i="8" s="1"/>
</calcChain>
</file>

<file path=xl/comments1.xml><?xml version="1.0" encoding="utf-8"?>
<comments xmlns="http://schemas.openxmlformats.org/spreadsheetml/2006/main">
  <authors>
    <author>Author</author>
  </authors>
  <commentList>
    <comment ref="G70" authorId="0" shapeId="0">
      <text>
        <r>
          <rPr>
            <b/>
            <sz val="9"/>
            <color indexed="81"/>
            <rFont val="Tahoma"/>
            <family val="2"/>
          </rPr>
          <t>Author:</t>
        </r>
        <r>
          <rPr>
            <sz val="9"/>
            <color indexed="81"/>
            <rFont val="Tahoma"/>
            <family val="2"/>
          </rPr>
          <t xml:space="preserve">
(h/3)*(A1+A2+sqrt(A1*A2))</t>
        </r>
      </text>
    </comment>
    <comment ref="D104" authorId="0" shapeId="0">
      <text>
        <r>
          <rPr>
            <b/>
            <sz val="9"/>
            <color indexed="81"/>
            <rFont val="Tahoma"/>
            <family val="2"/>
          </rPr>
          <t>Author:</t>
        </r>
        <r>
          <rPr>
            <sz val="9"/>
            <color indexed="81"/>
            <rFont val="Tahoma"/>
            <family val="2"/>
          </rPr>
          <t xml:space="preserve">
from footing top to plinth lvl + Ld</t>
        </r>
      </text>
    </comment>
    <comment ref="J218" authorId="0" shapeId="0">
      <text>
        <r>
          <rPr>
            <b/>
            <sz val="9"/>
            <color indexed="81"/>
            <rFont val="Tahoma"/>
            <family val="2"/>
          </rPr>
          <t>Author:</t>
        </r>
        <r>
          <rPr>
            <sz val="9"/>
            <color indexed="81"/>
            <rFont val="Tahoma"/>
            <family val="2"/>
          </rPr>
          <t xml:space="preserve">
toilet amount</t>
        </r>
      </text>
    </comment>
  </commentList>
</comments>
</file>

<file path=xl/comments2.xml><?xml version="1.0" encoding="utf-8"?>
<comments xmlns="http://schemas.openxmlformats.org/spreadsheetml/2006/main">
  <authors>
    <author>Author</author>
  </authors>
  <commentList>
    <comment ref="G105" authorId="0" shapeId="0">
      <text>
        <r>
          <rPr>
            <b/>
            <sz val="9"/>
            <color indexed="81"/>
            <rFont val="Tahoma"/>
            <family val="2"/>
          </rPr>
          <t>Author:</t>
        </r>
        <r>
          <rPr>
            <sz val="9"/>
            <color indexed="81"/>
            <rFont val="Tahoma"/>
            <family val="2"/>
          </rPr>
          <t xml:space="preserve">
(h/3)*(A1+A2+sqrt(A1*A2))</t>
        </r>
      </text>
    </comment>
    <comment ref="G107" authorId="0" shapeId="0">
      <text>
        <r>
          <rPr>
            <b/>
            <sz val="9"/>
            <color indexed="81"/>
            <rFont val="Tahoma"/>
            <family val="2"/>
          </rPr>
          <t>Author:</t>
        </r>
        <r>
          <rPr>
            <sz val="9"/>
            <color indexed="81"/>
            <rFont val="Tahoma"/>
            <family val="2"/>
          </rPr>
          <t xml:space="preserve">
(h/3)*(A1+A2+sqrt(A1*A2))</t>
        </r>
      </text>
    </comment>
    <comment ref="G109" authorId="0" shapeId="0">
      <text>
        <r>
          <rPr>
            <b/>
            <sz val="9"/>
            <color indexed="81"/>
            <rFont val="Tahoma"/>
            <family val="2"/>
          </rPr>
          <t>Author:</t>
        </r>
        <r>
          <rPr>
            <sz val="9"/>
            <color indexed="81"/>
            <rFont val="Tahoma"/>
            <family val="2"/>
          </rPr>
          <t xml:space="preserve">
(h/3)*(A1+A2+sqrt(A1*A2))</t>
        </r>
      </text>
    </comment>
    <comment ref="D154" authorId="0" shapeId="0">
      <text>
        <r>
          <rPr>
            <b/>
            <sz val="9"/>
            <color indexed="81"/>
            <rFont val="Tahoma"/>
            <family val="2"/>
          </rPr>
          <t>Author:</t>
        </r>
        <r>
          <rPr>
            <sz val="9"/>
            <color indexed="81"/>
            <rFont val="Tahoma"/>
            <family val="2"/>
          </rPr>
          <t xml:space="preserve">
from footing top to plinth lvl + Ld</t>
        </r>
      </text>
    </comment>
    <comment ref="D158" authorId="0" shapeId="0">
      <text>
        <r>
          <rPr>
            <b/>
            <sz val="9"/>
            <color indexed="81"/>
            <rFont val="Tahoma"/>
            <family val="2"/>
          </rPr>
          <t>Author:</t>
        </r>
        <r>
          <rPr>
            <sz val="9"/>
            <color indexed="81"/>
            <rFont val="Tahoma"/>
            <family val="2"/>
          </rPr>
          <t xml:space="preserve">
from footing top to plinth lvl + Ld</t>
        </r>
      </text>
    </comment>
    <comment ref="D372" authorId="0" shapeId="0">
      <text>
        <r>
          <rPr>
            <b/>
            <sz val="9"/>
            <color indexed="81"/>
            <rFont val="Tahoma"/>
          </rPr>
          <t>Author:</t>
        </r>
        <r>
          <rPr>
            <sz val="9"/>
            <color indexed="81"/>
            <rFont val="Tahoma"/>
          </rPr>
          <t xml:space="preserve">
staircase</t>
        </r>
      </text>
    </comment>
  </commentList>
</comments>
</file>

<file path=xl/comments3.xml><?xml version="1.0" encoding="utf-8"?>
<comments xmlns="http://schemas.openxmlformats.org/spreadsheetml/2006/main">
  <authors>
    <author>Author</author>
  </authors>
  <commentList>
    <comment ref="G64" authorId="0" shapeId="0">
      <text>
        <r>
          <rPr>
            <b/>
            <sz val="9"/>
            <color indexed="81"/>
            <rFont val="Tahoma"/>
          </rPr>
          <t>Author:</t>
        </r>
        <r>
          <rPr>
            <sz val="9"/>
            <color indexed="81"/>
            <rFont val="Tahoma"/>
          </rPr>
          <t xml:space="preserve">
circumfeence=pi()*Dia</t>
        </r>
      </text>
    </comment>
    <comment ref="G98" authorId="0" shapeId="0">
      <text>
        <r>
          <rPr>
            <b/>
            <sz val="9"/>
            <color indexed="81"/>
            <rFont val="Tahoma"/>
            <family val="2"/>
          </rPr>
          <t>Author:</t>
        </r>
        <r>
          <rPr>
            <sz val="9"/>
            <color indexed="81"/>
            <rFont val="Tahoma"/>
            <family val="2"/>
          </rPr>
          <t xml:space="preserve">
(h/3)*(A1+A2+sqrt(A1*A2))</t>
        </r>
      </text>
    </comment>
    <comment ref="G100" authorId="0" shapeId="0">
      <text>
        <r>
          <rPr>
            <b/>
            <sz val="9"/>
            <color indexed="81"/>
            <rFont val="Tahoma"/>
            <family val="2"/>
          </rPr>
          <t>Author:</t>
        </r>
        <r>
          <rPr>
            <sz val="9"/>
            <color indexed="81"/>
            <rFont val="Tahoma"/>
            <family val="2"/>
          </rPr>
          <t xml:space="preserve">
(h/3)*(A1+A2+sqrt(A1*A2))</t>
        </r>
      </text>
    </comment>
    <comment ref="G102" authorId="0" shapeId="0">
      <text>
        <r>
          <rPr>
            <b/>
            <sz val="9"/>
            <color indexed="81"/>
            <rFont val="Tahoma"/>
            <family val="2"/>
          </rPr>
          <t>Author:</t>
        </r>
        <r>
          <rPr>
            <sz val="9"/>
            <color indexed="81"/>
            <rFont val="Tahoma"/>
            <family val="2"/>
          </rPr>
          <t xml:space="preserve">
(h/3)*(A1+A2+sqrt(A1*A2))</t>
        </r>
      </text>
    </comment>
    <comment ref="D142" authorId="0" shapeId="0">
      <text>
        <r>
          <rPr>
            <b/>
            <sz val="9"/>
            <color indexed="81"/>
            <rFont val="Tahoma"/>
            <family val="2"/>
          </rPr>
          <t>Author:</t>
        </r>
        <r>
          <rPr>
            <sz val="9"/>
            <color indexed="81"/>
            <rFont val="Tahoma"/>
            <family val="2"/>
          </rPr>
          <t xml:space="preserve">
from footing top to plinth lvl + Ld</t>
        </r>
      </text>
    </comment>
    <comment ref="D146" authorId="0" shapeId="0">
      <text>
        <r>
          <rPr>
            <b/>
            <sz val="9"/>
            <color indexed="81"/>
            <rFont val="Tahoma"/>
            <family val="2"/>
          </rPr>
          <t>Author:</t>
        </r>
        <r>
          <rPr>
            <sz val="9"/>
            <color indexed="81"/>
            <rFont val="Tahoma"/>
            <family val="2"/>
          </rPr>
          <t xml:space="preserve">
from footing top to plinth lvl + Ld</t>
        </r>
      </text>
    </comment>
    <comment ref="D358" authorId="0" shapeId="0">
      <text>
        <r>
          <rPr>
            <b/>
            <sz val="9"/>
            <color indexed="81"/>
            <rFont val="Tahoma"/>
          </rPr>
          <t>Author:</t>
        </r>
        <r>
          <rPr>
            <sz val="9"/>
            <color indexed="81"/>
            <rFont val="Tahoma"/>
          </rPr>
          <t xml:space="preserve">
staircase</t>
        </r>
      </text>
    </comment>
  </commentList>
</comments>
</file>

<file path=xl/comments4.xml><?xml version="1.0" encoding="utf-8"?>
<comments xmlns="http://schemas.openxmlformats.org/spreadsheetml/2006/main">
  <authors>
    <author>Author</author>
  </authors>
  <commentList>
    <comment ref="G64" authorId="0" shapeId="0">
      <text>
        <r>
          <rPr>
            <b/>
            <sz val="9"/>
            <color indexed="81"/>
            <rFont val="Tahoma"/>
          </rPr>
          <t>Author:</t>
        </r>
        <r>
          <rPr>
            <sz val="9"/>
            <color indexed="81"/>
            <rFont val="Tahoma"/>
          </rPr>
          <t xml:space="preserve">
circumfeence=pi()*Dia</t>
        </r>
      </text>
    </comment>
    <comment ref="G98" authorId="0" shapeId="0">
      <text>
        <r>
          <rPr>
            <b/>
            <sz val="9"/>
            <color indexed="81"/>
            <rFont val="Tahoma"/>
            <family val="2"/>
          </rPr>
          <t>Author:</t>
        </r>
        <r>
          <rPr>
            <sz val="9"/>
            <color indexed="81"/>
            <rFont val="Tahoma"/>
            <family val="2"/>
          </rPr>
          <t xml:space="preserve">
(h/3)*(A1+A2+sqrt(A1*A2))</t>
        </r>
      </text>
    </comment>
    <comment ref="G100" authorId="0" shapeId="0">
      <text>
        <r>
          <rPr>
            <b/>
            <sz val="9"/>
            <color indexed="81"/>
            <rFont val="Tahoma"/>
            <family val="2"/>
          </rPr>
          <t>Author:</t>
        </r>
        <r>
          <rPr>
            <sz val="9"/>
            <color indexed="81"/>
            <rFont val="Tahoma"/>
            <family val="2"/>
          </rPr>
          <t xml:space="preserve">
(h/3)*(A1+A2+sqrt(A1*A2))</t>
        </r>
      </text>
    </comment>
    <comment ref="G102" authorId="0" shapeId="0">
      <text>
        <r>
          <rPr>
            <b/>
            <sz val="9"/>
            <color indexed="81"/>
            <rFont val="Tahoma"/>
            <family val="2"/>
          </rPr>
          <t>Author:</t>
        </r>
        <r>
          <rPr>
            <sz val="9"/>
            <color indexed="81"/>
            <rFont val="Tahoma"/>
            <family val="2"/>
          </rPr>
          <t xml:space="preserve">
(h/3)*(A1+A2+sqrt(A1*A2))</t>
        </r>
      </text>
    </comment>
    <comment ref="D142" authorId="0" shapeId="0">
      <text>
        <r>
          <rPr>
            <b/>
            <sz val="9"/>
            <color indexed="81"/>
            <rFont val="Tahoma"/>
            <family val="2"/>
          </rPr>
          <t>Author:</t>
        </r>
        <r>
          <rPr>
            <sz val="9"/>
            <color indexed="81"/>
            <rFont val="Tahoma"/>
            <family val="2"/>
          </rPr>
          <t xml:space="preserve">
from footing top to plinth lvl + Ld</t>
        </r>
      </text>
    </comment>
    <comment ref="D146" authorId="0" shapeId="0">
      <text>
        <r>
          <rPr>
            <b/>
            <sz val="9"/>
            <color indexed="81"/>
            <rFont val="Tahoma"/>
            <family val="2"/>
          </rPr>
          <t>Author:</t>
        </r>
        <r>
          <rPr>
            <sz val="9"/>
            <color indexed="81"/>
            <rFont val="Tahoma"/>
            <family val="2"/>
          </rPr>
          <t xml:space="preserve">
from footing top to plinth lvl + Ld</t>
        </r>
      </text>
    </comment>
    <comment ref="D358" authorId="0" shapeId="0">
      <text>
        <r>
          <rPr>
            <b/>
            <sz val="9"/>
            <color indexed="81"/>
            <rFont val="Tahoma"/>
          </rPr>
          <t>Author:</t>
        </r>
        <r>
          <rPr>
            <sz val="9"/>
            <color indexed="81"/>
            <rFont val="Tahoma"/>
          </rPr>
          <t xml:space="preserve">
staircase</t>
        </r>
      </text>
    </comment>
  </commentList>
</comments>
</file>

<file path=xl/comments5.xml><?xml version="1.0" encoding="utf-8"?>
<comments xmlns="http://schemas.openxmlformats.org/spreadsheetml/2006/main">
  <authors>
    <author>Author</author>
  </authors>
  <commentList>
    <comment ref="G96" authorId="0" shapeId="0">
      <text>
        <r>
          <rPr>
            <b/>
            <sz val="9"/>
            <color indexed="81"/>
            <rFont val="Tahoma"/>
            <family val="2"/>
          </rPr>
          <t>Author:</t>
        </r>
        <r>
          <rPr>
            <sz val="9"/>
            <color indexed="81"/>
            <rFont val="Tahoma"/>
            <family val="2"/>
          </rPr>
          <t xml:space="preserve">
(h/3)*(A1+A2+sqrt(A1*A2))</t>
        </r>
      </text>
    </comment>
    <comment ref="G98" authorId="0" shapeId="0">
      <text>
        <r>
          <rPr>
            <b/>
            <sz val="9"/>
            <color indexed="81"/>
            <rFont val="Tahoma"/>
            <family val="2"/>
          </rPr>
          <t>Author:</t>
        </r>
        <r>
          <rPr>
            <sz val="9"/>
            <color indexed="81"/>
            <rFont val="Tahoma"/>
            <family val="2"/>
          </rPr>
          <t xml:space="preserve">
(h/3)*(A1+A2+sqrt(A1*A2))</t>
        </r>
      </text>
    </comment>
    <comment ref="G100" authorId="0" shapeId="0">
      <text>
        <r>
          <rPr>
            <b/>
            <sz val="9"/>
            <color indexed="81"/>
            <rFont val="Tahoma"/>
            <family val="2"/>
          </rPr>
          <t>Author:</t>
        </r>
        <r>
          <rPr>
            <sz val="9"/>
            <color indexed="81"/>
            <rFont val="Tahoma"/>
            <family val="2"/>
          </rPr>
          <t xml:space="preserve">
(h/3)*(A1+A2+sqrt(A1*A2))</t>
        </r>
      </text>
    </comment>
    <comment ref="D140" authorId="0" shapeId="0">
      <text>
        <r>
          <rPr>
            <b/>
            <sz val="9"/>
            <color indexed="81"/>
            <rFont val="Tahoma"/>
            <family val="2"/>
          </rPr>
          <t>Author:</t>
        </r>
        <r>
          <rPr>
            <sz val="9"/>
            <color indexed="81"/>
            <rFont val="Tahoma"/>
            <family val="2"/>
          </rPr>
          <t xml:space="preserve">
from footing top to plinth lvl + Ld</t>
        </r>
      </text>
    </comment>
    <comment ref="D144" authorId="0" shapeId="0">
      <text>
        <r>
          <rPr>
            <b/>
            <sz val="9"/>
            <color indexed="81"/>
            <rFont val="Tahoma"/>
            <family val="2"/>
          </rPr>
          <t>Author:</t>
        </r>
        <r>
          <rPr>
            <sz val="9"/>
            <color indexed="81"/>
            <rFont val="Tahoma"/>
            <family val="2"/>
          </rPr>
          <t xml:space="preserve">
from footing top to plinth lvl + Ld</t>
        </r>
      </text>
    </comment>
  </commentList>
</comments>
</file>

<file path=xl/comments6.xml><?xml version="1.0" encoding="utf-8"?>
<comments xmlns="http://schemas.openxmlformats.org/spreadsheetml/2006/main">
  <authors>
    <author>Author</author>
  </authors>
  <commentList>
    <comment ref="G92" authorId="0" shapeId="0">
      <text>
        <r>
          <rPr>
            <b/>
            <sz val="9"/>
            <color indexed="81"/>
            <rFont val="Tahoma"/>
            <family val="2"/>
          </rPr>
          <t>Author:</t>
        </r>
        <r>
          <rPr>
            <sz val="9"/>
            <color indexed="81"/>
            <rFont val="Tahoma"/>
            <family val="2"/>
          </rPr>
          <t xml:space="preserve">
(h/3)*(A1+A2+sqrt(A1*A2))</t>
        </r>
      </text>
    </comment>
    <comment ref="G94" authorId="0" shapeId="0">
      <text>
        <r>
          <rPr>
            <b/>
            <sz val="9"/>
            <color indexed="81"/>
            <rFont val="Tahoma"/>
            <family val="2"/>
          </rPr>
          <t>Author:</t>
        </r>
        <r>
          <rPr>
            <sz val="9"/>
            <color indexed="81"/>
            <rFont val="Tahoma"/>
            <family val="2"/>
          </rPr>
          <t xml:space="preserve">
(h/3)*(A1+A2+sqrt(A1*A2))</t>
        </r>
      </text>
    </comment>
    <comment ref="G96" authorId="0" shapeId="0">
      <text>
        <r>
          <rPr>
            <b/>
            <sz val="9"/>
            <color indexed="81"/>
            <rFont val="Tahoma"/>
            <family val="2"/>
          </rPr>
          <t>Author:</t>
        </r>
        <r>
          <rPr>
            <sz val="9"/>
            <color indexed="81"/>
            <rFont val="Tahoma"/>
            <family val="2"/>
          </rPr>
          <t xml:space="preserve">
(h/3)*(A1+A2+sqrt(A1*A2))</t>
        </r>
      </text>
    </comment>
    <comment ref="D136" authorId="0" shapeId="0">
      <text>
        <r>
          <rPr>
            <b/>
            <sz val="9"/>
            <color indexed="81"/>
            <rFont val="Tahoma"/>
            <family val="2"/>
          </rPr>
          <t>Author:</t>
        </r>
        <r>
          <rPr>
            <sz val="9"/>
            <color indexed="81"/>
            <rFont val="Tahoma"/>
            <family val="2"/>
          </rPr>
          <t xml:space="preserve">
from footing top to plinth lvl + Ld</t>
        </r>
      </text>
    </comment>
    <comment ref="D140" authorId="0" shapeId="0">
      <text>
        <r>
          <rPr>
            <b/>
            <sz val="9"/>
            <color indexed="81"/>
            <rFont val="Tahoma"/>
            <family val="2"/>
          </rPr>
          <t>Author:</t>
        </r>
        <r>
          <rPr>
            <sz val="9"/>
            <color indexed="81"/>
            <rFont val="Tahoma"/>
            <family val="2"/>
          </rPr>
          <t xml:space="preserve">
from footing top to plinth lvl + Ld</t>
        </r>
      </text>
    </comment>
  </commentList>
</comments>
</file>

<file path=xl/sharedStrings.xml><?xml version="1.0" encoding="utf-8"?>
<sst xmlns="http://schemas.openxmlformats.org/spreadsheetml/2006/main" count="1525" uniqueCount="278">
  <si>
    <t>Government of Nepal</t>
  </si>
  <si>
    <t>Shankharapur Municipality Office</t>
  </si>
  <si>
    <t>Bagmati Province</t>
  </si>
  <si>
    <t>Sankhu, Kathmandu</t>
  </si>
  <si>
    <t>Detail Estimated Sheet</t>
  </si>
  <si>
    <t>Location:- Shankharapur Municipality 9</t>
  </si>
  <si>
    <t>S.N.</t>
  </si>
  <si>
    <t>Description of work</t>
  </si>
  <si>
    <t>No.</t>
  </si>
  <si>
    <t>Length</t>
  </si>
  <si>
    <t>Breadth</t>
  </si>
  <si>
    <t>Height</t>
  </si>
  <si>
    <t>Quantity</t>
  </si>
  <si>
    <t>Unit</t>
  </si>
  <si>
    <t>Rate</t>
  </si>
  <si>
    <t>Amount</t>
  </si>
  <si>
    <t>Sub-total</t>
  </si>
  <si>
    <t>VAT Calculation</t>
  </si>
  <si>
    <t>cum</t>
  </si>
  <si>
    <t>Information board (सुचना पाटि)</t>
  </si>
  <si>
    <t>no.</t>
  </si>
  <si>
    <t>Grand total</t>
  </si>
  <si>
    <t>Length (m)</t>
  </si>
  <si>
    <t>sqm</t>
  </si>
  <si>
    <t>Total Estimated</t>
  </si>
  <si>
    <t>Budget allocated</t>
  </si>
  <si>
    <t>Municipal payment</t>
  </si>
  <si>
    <t>User Contribution</t>
  </si>
  <si>
    <t xml:space="preserve">Contingencies </t>
  </si>
  <si>
    <t xml:space="preserve">Maintanince </t>
  </si>
  <si>
    <t>-VAT 13% for materials</t>
  </si>
  <si>
    <t>d]lzgsf] k|of]u u/L ;'k/ :6«Sr/df l;d]G6 s+lqm6 ug]{ sfd -!M!=%M#_</t>
  </si>
  <si>
    <t>kmnfd]sf] kfOk / KnfOaf]8{af6 kmdf{ agfpg] sfd</t>
  </si>
  <si>
    <t xml:space="preserve">cf/=;L=;L= nflu kmnfd] 808L sf6\g], df]8\g] #) dL6/ ;Dd </t>
  </si>
  <si>
    <t>Unit weight (m)</t>
  </si>
  <si>
    <t>Total weight (kg)</t>
  </si>
  <si>
    <t>Total weight (M.T.)</t>
  </si>
  <si>
    <t>M.T</t>
  </si>
  <si>
    <t>Remark</t>
  </si>
  <si>
    <t>e'O{+tNnfdf lrDgL e§fsf] O{+6fsf] uf/f] l;d]G6 d;nf -!M^_ df</t>
  </si>
  <si>
    <t>hu leQf kvf{ndf l;d]G6 s+lqm6 ug]{ sfd -lk=;L=;L= !M@M$_</t>
  </si>
  <si>
    <t>-VAT calculation</t>
  </si>
  <si>
    <t>F.Y.: 2080/2081</t>
  </si>
  <si>
    <t>Work Completion Report</t>
  </si>
  <si>
    <t>Total Estimated Amount:</t>
  </si>
  <si>
    <t>Total Valuated Amount :</t>
  </si>
  <si>
    <t xml:space="preserve">Work Started : </t>
  </si>
  <si>
    <t xml:space="preserve">Work Finished:             </t>
  </si>
  <si>
    <t xml:space="preserve">F.Y:2080/81                 </t>
  </si>
  <si>
    <t>S.No.</t>
  </si>
  <si>
    <t>Description</t>
  </si>
  <si>
    <t>Estimated</t>
  </si>
  <si>
    <t>Valuated</t>
  </si>
  <si>
    <t>Difference</t>
  </si>
  <si>
    <t>Remarks</t>
  </si>
  <si>
    <t xml:space="preserve">Quantity </t>
  </si>
  <si>
    <t>Total</t>
  </si>
  <si>
    <t>-For footing work</t>
  </si>
  <si>
    <t>-For lower tie beam to upper tie beam</t>
  </si>
  <si>
    <t>-Stirrups</t>
  </si>
  <si>
    <t>-Lower Tie Beam &amp; Upper Tie Beam</t>
  </si>
  <si>
    <t>-tie beam</t>
  </si>
  <si>
    <t xml:space="preserve">g/d k|sf/sf] Sn] / l;N6L df6f]df ;j} lsl;dsf] vGg] sfd </t>
  </si>
  <si>
    <t>-For flooring</t>
  </si>
  <si>
    <t>-Neck Column upto plinth level</t>
  </si>
  <si>
    <t>-For lower tie beam &amp; upper plinth beam</t>
  </si>
  <si>
    <t>-extra bars</t>
  </si>
  <si>
    <t>-bottom bars</t>
  </si>
  <si>
    <t>-top bars</t>
  </si>
  <si>
    <t>-distribution bars</t>
  </si>
  <si>
    <t>-Ground &amp; 1st floor column</t>
  </si>
  <si>
    <t>-1st &amp; 2nd floor beam</t>
  </si>
  <si>
    <t>-1st &amp; 2nd floor slab</t>
  </si>
  <si>
    <t>1st &amp; 2nd floor wall</t>
  </si>
  <si>
    <t>-Extending compound</t>
  </si>
  <si>
    <t>-Deduction for window opening</t>
  </si>
  <si>
    <t>-Deduction for opening</t>
  </si>
  <si>
    <t>$=% X @) dL=dL= kmnfd] kftfsf] k|m]ddf !@ x !@ dL=dL=;f]ln8 sf]/ :Sjfo/ /8sf] lu|n agfO{ vfS;L nufO{ /]8cS;fO8 tyf cNd'lgod k]G6 ;d]t u/L hf]8\g]</t>
  </si>
  <si>
    <t>-At ground floor</t>
  </si>
  <si>
    <t>UPVC sliding window without net (frame 60 X 60mm sash 66 X 42mm</t>
  </si>
  <si>
    <t>-Window</t>
  </si>
  <si>
    <t>l;d]G6 jf jh|df hf]8]sf] uf/f] eTsfO{ To;af6 cfPsf] ;fdfu+|L !) dL x6fpg] sfd</t>
  </si>
  <si>
    <t>-Existing paati</t>
  </si>
  <si>
    <t>cf/=l;=l;= jf cf/=lj=l;= sfd eTsfO{ !) dL= k/ x6fpg] sfd</t>
  </si>
  <si>
    <t>-Flooring</t>
  </si>
  <si>
    <t xml:space="preserve">l;d]G6 s+qmL6 ˆnf]l/Ë -!M@M$_ -#* dL=dL=_ </t>
  </si>
  <si>
    <t xml:space="preserve">-1st &amp; 2nd floor </t>
  </si>
  <si>
    <t>-cantilever</t>
  </si>
  <si>
    <t># dL=dL= df]6fO{ d;Lgf] l;d]G6 3f]6\g] sfd</t>
  </si>
  <si>
    <t>-same as screeding</t>
  </si>
  <si>
    <t>!@=% dL=dL= l;d]G6 afn'jf -!M$_ Knfi6/</t>
  </si>
  <si>
    <t>- At 1st floor outer face walls</t>
  </si>
  <si>
    <t>-at rooms</t>
  </si>
  <si>
    <t>-At groung floor outer face</t>
  </si>
  <si>
    <t>- at room wall</t>
  </si>
  <si>
    <t>-Deduction for windows</t>
  </si>
  <si>
    <t xml:space="preserve"> Ps sf]6 k|fO{d/ ;lxt b'O{ sf]6 tof/L jf;]jn l8:6]Dk/ nufpg] sfd .</t>
  </si>
  <si>
    <t>-same as plaster</t>
  </si>
  <si>
    <t>-deduction for opening</t>
  </si>
  <si>
    <t xml:space="preserve">;fdfGo df6f]n] k'g]{ sfd !%, !% ;]=dL= sf] txdf km}nfpg], kfgL 5g]{ / Hofldåf/f sDk}S6 ug]{ sfd ;d]t !) dL= b"/Laf6 बोकानी समेत </t>
  </si>
  <si>
    <t>Knfi6/ dfly @) dL=dL= afSnf] emNn/ jf kfgL k§L agfpg] sfd</t>
  </si>
  <si>
    <t>-at cantilever</t>
  </si>
  <si>
    <t>%) dL=dL= Ø sf] sfnf] kmnfd] kfO{k kf]i6 @ dL6/ b"/Ldf @)x@)x$ dL=dL=/ '@% x @% x $ dL=dL= ;fO{hsf] kmnfd] PËn k|m]dsf] ljrdf !) S.W.G.G. I. Chain Link  @Æx@Æ sf] d]; ;fOh hfnL h8fg ug]{ / # x @) sf] kmnfd] kftfsf] lu|n )=!% dL= cUnf] agfO{ dfly h8fg u/L km]lj|s]zg u/L k|fOd/ k]G6 ;lxt ;Dk"0f{ sfo{ .</t>
  </si>
  <si>
    <t>-For toilet</t>
  </si>
  <si>
    <t xml:space="preserve">;'Vvf O{6f RofK6f] 5fKg] sfd </t>
  </si>
  <si>
    <t>kmnfd] sf]nfK;Lan u]6 k]lG6Ë / h8fg ;d]t ug]{</t>
  </si>
  <si>
    <t>-deduction for door</t>
  </si>
  <si>
    <t>UPVC Singl Door with full pannel (frame 60*60mm sash 60X100mm white colour with panel)</t>
  </si>
  <si>
    <t>-toilet slab</t>
  </si>
  <si>
    <t>-deduction for wall</t>
  </si>
  <si>
    <t>Date: 2080/10/14</t>
  </si>
  <si>
    <t>Project:- विन्दवासिनी मन्दिर मर्मत निर्माण</t>
  </si>
  <si>
    <t xml:space="preserve">Provisional sum for lab test </t>
  </si>
  <si>
    <t>lum</t>
  </si>
  <si>
    <t xml:space="preserve"> Lump sum for unforeseen works</t>
  </si>
  <si>
    <t>SN</t>
  </si>
  <si>
    <t>A1</t>
  </si>
  <si>
    <t>A2</t>
  </si>
  <si>
    <t>A3</t>
  </si>
  <si>
    <t>B1</t>
  </si>
  <si>
    <t>B2</t>
  </si>
  <si>
    <t>B3</t>
  </si>
  <si>
    <t>Difference (mm)</t>
  </si>
  <si>
    <t>Soiling lvl (mm)</t>
  </si>
  <si>
    <t>PCC level (mm)</t>
  </si>
  <si>
    <t>Footing rectangular Level (mm)</t>
  </si>
  <si>
    <t>Footing rectangular lvl (mm)</t>
  </si>
  <si>
    <t>Footing trapezoidal lvl (mm)</t>
  </si>
  <si>
    <t>Trapezoidal top area (mm2)</t>
  </si>
  <si>
    <t>Trapezoidal base area (mm2)</t>
  </si>
  <si>
    <t>40*40</t>
  </si>
  <si>
    <t>110*130</t>
  </si>
  <si>
    <t>110*110</t>
  </si>
  <si>
    <t>145*145</t>
  </si>
  <si>
    <t>-Rectangular cuboid part</t>
  </si>
  <si>
    <t>-F2, F3, F4, F6</t>
  </si>
  <si>
    <t>-F1</t>
  </si>
  <si>
    <t>-F5</t>
  </si>
  <si>
    <t>-lower tie beam</t>
  </si>
  <si>
    <t>-Upper tie beam</t>
  </si>
  <si>
    <t>-Ground floor column</t>
  </si>
  <si>
    <t>-First floor column</t>
  </si>
  <si>
    <t>-1st  floor slab</t>
  </si>
  <si>
    <t>-2nd floor slab</t>
  </si>
  <si>
    <t>-door</t>
  </si>
  <si>
    <t>-Ground floor</t>
  </si>
  <si>
    <t>-At 2nd floor cantilever</t>
  </si>
  <si>
    <t>-At 1st floor cantilever</t>
  </si>
  <si>
    <t>rm</t>
  </si>
  <si>
    <t>-New path</t>
  </si>
  <si>
    <t>-drain</t>
  </si>
  <si>
    <t>-Compound Wall</t>
  </si>
  <si>
    <t>-Steps</t>
  </si>
  <si>
    <t>-at footing</t>
  </si>
  <si>
    <t>50% of footing excavation</t>
  </si>
  <si>
    <r>
      <t xml:space="preserve">;fdfGo df6f]n] k'g]{ sfd !%, !% ;]=dL= sf] txdf km}nfpg], kfgL 5g]{ / Hofldåf/f sDk}S6 ug]{ sfd ;d]t !) dL= b"/Laf6 </t>
    </r>
    <r>
      <rPr>
        <b/>
        <sz val="11"/>
        <rFont val="Preeti"/>
      </rPr>
      <t xml:space="preserve">बोकानी समेत </t>
    </r>
  </si>
  <si>
    <t>-compound base</t>
  </si>
  <si>
    <t>-pole</t>
  </si>
  <si>
    <t>-Below GL</t>
  </si>
  <si>
    <t>-peti</t>
  </si>
  <si>
    <t>-1st floor wall</t>
  </si>
  <si>
    <t>-Ground floor wall</t>
  </si>
  <si>
    <t>-Roof floor</t>
  </si>
  <si>
    <t>-bottom bars along short side</t>
  </si>
  <si>
    <t>-bottom bars along long side</t>
  </si>
  <si>
    <t>-Top bars along short side</t>
  </si>
  <si>
    <t>-Lower Tie Beam</t>
  </si>
  <si>
    <t>-Upper Tie Beam</t>
  </si>
  <si>
    <t>- At 1st floor</t>
  </si>
  <si>
    <t>-Neck Column upto roof level</t>
  </si>
  <si>
    <t>-Mandir</t>
  </si>
  <si>
    <t>-Door deduction</t>
  </si>
  <si>
    <t>-Old wall</t>
  </si>
  <si>
    <t>-back wall</t>
  </si>
  <si>
    <t>kmnfd] lu|n agfO{ vfS;L nufO{ /]8cS;fO8 k]G6 ;d]t u/L hf]8\g]</t>
  </si>
  <si>
    <t>Kg</t>
  </si>
  <si>
    <r>
      <t xml:space="preserve">%) dL=dL= </t>
    </r>
    <r>
      <rPr>
        <sz val="12"/>
        <rFont val="Arial"/>
        <family val="2"/>
      </rPr>
      <t>Ø</t>
    </r>
    <r>
      <rPr>
        <sz val="12"/>
        <rFont val="Preeti"/>
      </rPr>
      <t xml:space="preserve"> sf] sfnf] kmnfd] kfO{k kf]i6 @ dL6/ b"/Ldf @)</t>
    </r>
    <r>
      <rPr>
        <sz val="10"/>
        <rFont val="Arial"/>
        <family val="2"/>
      </rPr>
      <t>x</t>
    </r>
    <r>
      <rPr>
        <sz val="12"/>
        <rFont val="Preeti"/>
      </rPr>
      <t>@)</t>
    </r>
    <r>
      <rPr>
        <sz val="10"/>
        <rFont val="Arial"/>
        <family val="2"/>
      </rPr>
      <t>x</t>
    </r>
    <r>
      <rPr>
        <sz val="12"/>
        <rFont val="Preeti"/>
      </rPr>
      <t>$ dL=dL=/</t>
    </r>
  </si>
  <si>
    <t>M 12</t>
  </si>
  <si>
    <r>
      <t>@%</t>
    </r>
    <r>
      <rPr>
        <sz val="12"/>
        <rFont val="Arial"/>
        <family val="2"/>
      </rPr>
      <t xml:space="preserve"> x</t>
    </r>
    <r>
      <rPr>
        <sz val="12"/>
        <rFont val="Preeti"/>
      </rPr>
      <t xml:space="preserve"> @% </t>
    </r>
    <r>
      <rPr>
        <sz val="12"/>
        <rFont val="Arial"/>
        <family val="2"/>
      </rPr>
      <t>x</t>
    </r>
    <r>
      <rPr>
        <sz val="12"/>
        <rFont val="Preeti"/>
      </rPr>
      <t xml:space="preserve"> $ dL=dL= ;fO{hsf] kmnfd] PËn k|m]dsf] ljrdf !) </t>
    </r>
    <r>
      <rPr>
        <sz val="9"/>
        <rFont val="Arial"/>
        <family val="2"/>
      </rPr>
      <t>S.W.G.G. I. Chain Link</t>
    </r>
    <r>
      <rPr>
        <sz val="12"/>
        <rFont val="Preeti"/>
      </rPr>
      <t xml:space="preserve">  @Æ</t>
    </r>
    <r>
      <rPr>
        <sz val="8"/>
        <rFont val="Arial"/>
        <family val="2"/>
      </rPr>
      <t>x</t>
    </r>
    <r>
      <rPr>
        <sz val="12"/>
        <rFont val="Preeti"/>
      </rPr>
      <t xml:space="preserve">@Æ sf] d]; ;fOh hfnL </t>
    </r>
  </si>
  <si>
    <r>
      <t xml:space="preserve">h8fg ug]{ / # </t>
    </r>
    <r>
      <rPr>
        <sz val="9"/>
        <rFont val="Arial"/>
        <family val="2"/>
      </rPr>
      <t>x</t>
    </r>
    <r>
      <rPr>
        <sz val="11"/>
        <rFont val="Arial"/>
        <family val="2"/>
      </rPr>
      <t xml:space="preserve"> </t>
    </r>
    <r>
      <rPr>
        <sz val="12"/>
        <rFont val="Preeti"/>
      </rPr>
      <t>@) sf] kmnfd] kftfsf] lu|n )=!% dL= cUnf] agfO{ dfly h8fg u/L</t>
    </r>
  </si>
  <si>
    <t>km]lj|s]zg u/L k|fOd/ k]G6 ;lxt ;Dk"0f{ sfo{ .</t>
  </si>
  <si>
    <t>b/ ljZn]if0fsf] nflu !) J.=dL= lnOPsf]</t>
  </si>
  <si>
    <t>;|f]t ;fwg</t>
  </si>
  <si>
    <t>tx÷lsl;d</t>
  </si>
  <si>
    <t>kl/df0f</t>
  </si>
  <si>
    <t>PsfO{</t>
  </si>
  <si>
    <t>b/ k|lt PsfO{</t>
  </si>
  <si>
    <t>/sd</t>
  </si>
  <si>
    <t>k|To]s ;|f]t ;fwgsf] hDdf</t>
  </si>
  <si>
    <t xml:space="preserve">&gt;lds </t>
  </si>
  <si>
    <t>l;kfn'</t>
  </si>
  <si>
    <t>hjfg</t>
  </si>
  <si>
    <t>HofdL</t>
  </si>
  <si>
    <t>lgdf{0f ;fdu|L</t>
  </si>
  <si>
    <r>
      <t>%) dL=dL=</t>
    </r>
    <r>
      <rPr>
        <sz val="10"/>
        <rFont val="Arial"/>
        <family val="2"/>
      </rPr>
      <t>Ø</t>
    </r>
    <r>
      <rPr>
        <sz val="13"/>
        <rFont val="Preeti"/>
      </rPr>
      <t xml:space="preserve"> kf]i6</t>
    </r>
  </si>
  <si>
    <t>s]=hL=</t>
  </si>
  <si>
    <r>
      <t>@%</t>
    </r>
    <r>
      <rPr>
        <sz val="9"/>
        <rFont val="Arial"/>
        <family val="2"/>
      </rPr>
      <t>x</t>
    </r>
    <r>
      <rPr>
        <sz val="11"/>
        <rFont val="Preeti"/>
      </rPr>
      <t>@%</t>
    </r>
    <r>
      <rPr>
        <sz val="9"/>
        <rFont val="Arial"/>
        <family val="2"/>
      </rPr>
      <t>x</t>
    </r>
    <r>
      <rPr>
        <sz val="11"/>
        <rFont val="Preeti"/>
      </rPr>
      <t>$ dL=dL= PËn</t>
    </r>
  </si>
  <si>
    <r>
      <t>@)</t>
    </r>
    <r>
      <rPr>
        <sz val="9"/>
        <rFont val="Arial"/>
        <family val="2"/>
      </rPr>
      <t>x</t>
    </r>
    <r>
      <rPr>
        <sz val="11"/>
        <rFont val="Preeti"/>
      </rPr>
      <t>@)</t>
    </r>
    <r>
      <rPr>
        <sz val="9"/>
        <rFont val="Arial"/>
        <family val="2"/>
      </rPr>
      <t>x</t>
    </r>
    <r>
      <rPr>
        <sz val="11"/>
        <rFont val="Preeti"/>
      </rPr>
      <t>$ dL=dL=PËn</t>
    </r>
  </si>
  <si>
    <r>
      <t>kmnfd] kftfsf] lu|n #</t>
    </r>
    <r>
      <rPr>
        <sz val="8"/>
        <rFont val="Arial"/>
        <family val="2"/>
      </rPr>
      <t>x</t>
    </r>
    <r>
      <rPr>
        <sz val="11"/>
        <rFont val="Preeti"/>
      </rPr>
      <t>@) dL=dL=</t>
    </r>
  </si>
  <si>
    <r>
      <t xml:space="preserve">!) </t>
    </r>
    <r>
      <rPr>
        <sz val="7"/>
        <rFont val="Arial"/>
        <family val="2"/>
      </rPr>
      <t xml:space="preserve">S.W.G.G. I. Chain </t>
    </r>
    <r>
      <rPr>
        <sz val="8"/>
        <rFont val="Arial"/>
        <family val="2"/>
      </rPr>
      <t xml:space="preserve">Link  </t>
    </r>
    <r>
      <rPr>
        <sz val="11"/>
        <rFont val="Preeti"/>
      </rPr>
      <t>@Æ</t>
    </r>
    <r>
      <rPr>
        <sz val="8"/>
        <rFont val="Arial"/>
        <family val="2"/>
      </rPr>
      <t>x</t>
    </r>
    <r>
      <rPr>
        <sz val="11"/>
        <rFont val="Preeti"/>
      </rPr>
      <t>@Æ sf] d]; ;fOh</t>
    </r>
  </si>
  <si>
    <t>j=dL=</t>
  </si>
  <si>
    <t>k|mflj|s]zg !%Ü</t>
  </si>
  <si>
    <t>jf:tljs b//]6</t>
  </si>
  <si>
    <t>b/ k|lt j=dL=sf]</t>
  </si>
  <si>
    <t xml:space="preserve">!%Ü 7]s]bf/ cf]e/x]8 </t>
  </si>
  <si>
    <t>Ö ?=</t>
  </si>
  <si>
    <t>k}=</t>
  </si>
  <si>
    <t>hDdf b/ /]6</t>
  </si>
  <si>
    <t>square rod unit weight = 0.77kg/m</t>
  </si>
  <si>
    <t>1"*1" equal angle unit weight =1.17kg/m</t>
  </si>
  <si>
    <t>3mm*20mm MS flat unit weight =0.47kg/m</t>
  </si>
  <si>
    <t>-equal angle</t>
  </si>
  <si>
    <t>-cover MS flat</t>
  </si>
  <si>
    <t>-MS square pipe 20mm*20mm*1.2mm</t>
  </si>
  <si>
    <t>C 2</t>
  </si>
  <si>
    <t>l;d]G6 d;nf -!M^_ tof/ u/L uf/f] nufpg]</t>
  </si>
  <si>
    <t>% -@_ s</t>
  </si>
  <si>
    <t xml:space="preserve">sfd #) dL6/;Dd 9'jfgL ;lxt </t>
  </si>
  <si>
    <t>b/ ljZn]if0fsf] nflu ! 3=ld= lnOPsf]</t>
  </si>
  <si>
    <t>&gt;lds</t>
  </si>
  <si>
    <t>s_ l;kfn'</t>
  </si>
  <si>
    <t>v_ HofdL</t>
  </si>
  <si>
    <t>u_ HofdL</t>
  </si>
  <si>
    <t xml:space="preserve">O{6f </t>
  </si>
  <si>
    <t>uf]6f</t>
  </si>
  <si>
    <t>l;d]G6</t>
  </si>
  <si>
    <t>d]=6=</t>
  </si>
  <si>
    <t>afn'jf vf]nfsf]</t>
  </si>
  <si>
    <t>3=dL=</t>
  </si>
  <si>
    <t>kfgL</t>
  </si>
  <si>
    <t>nL6/</t>
  </si>
  <si>
    <t>v6sf] ;ffdfg</t>
  </si>
  <si>
    <t>-u_ sf] #Ü n]</t>
  </si>
  <si>
    <t>b/ k|lt 3=dL=sf]</t>
  </si>
  <si>
    <t>!%Ü 7]s]bf/ cf]e/x]8</t>
  </si>
  <si>
    <t>?=</t>
  </si>
  <si>
    <t xml:space="preserve">e'O{tNnfdf k'/fgf] lrDgL e§fsf] O{6f pknAw ug]{, l;d]G6 d;nf -!M^_ tof/ u/L uf/f] nufpg] sfd #) dL6/;Dd 9'jfgL ;lxt </t>
  </si>
  <si>
    <t>-Back compound</t>
  </si>
  <si>
    <t>-Ladder</t>
  </si>
  <si>
    <r>
      <t>e'O{+tNnfeGbf dfly lrDgL e§fsf] O{+6fsf]</t>
    </r>
    <r>
      <rPr>
        <sz val="10"/>
        <rFont val="Preeti"/>
      </rPr>
      <t xml:space="preserve"> </t>
    </r>
    <r>
      <rPr>
        <b/>
        <sz val="12"/>
        <rFont val="Preeti"/>
      </rPr>
      <t>uf/f] l;d]G6 d;nf -!M^_ df</t>
    </r>
  </si>
  <si>
    <t>leQf Pjd\ l;lnËdf @ ld=ld= Kn]g XjfO{6 k'§L Knfi6/ ug]{ sfo{</t>
  </si>
  <si>
    <t>-1st floor ceiling</t>
  </si>
  <si>
    <t>PS</t>
  </si>
  <si>
    <t>LS</t>
  </si>
  <si>
    <t>- At roof floor</t>
  </si>
  <si>
    <t>Ps sf]6 Knfli6s O{dNzg k]G6 nufpg] sfd -k|fOd/ ;lxt_</t>
  </si>
  <si>
    <t>b'O{ sf]6 Knfli6s O{dNzg k]G6 nufpg] sfd -k|fOd/ ;lxt_</t>
  </si>
  <si>
    <t>-at panipatti</t>
  </si>
  <si>
    <r>
      <t>;'k/ :6«Sr/, 8]s :n]a ljdx?df l;d]G6 s+lqm6 ug]{ sfd -!M!</t>
    </r>
    <r>
      <rPr>
        <sz val="15"/>
        <rFont val="Arial"/>
        <family val="2"/>
      </rPr>
      <t>.</t>
    </r>
    <r>
      <rPr>
        <sz val="15"/>
        <rFont val="Preeti"/>
      </rPr>
      <t>%M#_</t>
    </r>
  </si>
  <si>
    <t>-For Ladder</t>
  </si>
  <si>
    <t>-Square pipe of 1.5"*1.5" and 1.2mm thick</t>
  </si>
  <si>
    <t>-For water tank stand</t>
  </si>
  <si>
    <t>-MS flats</t>
  </si>
  <si>
    <t>-MS square rod 10mm*10mm</t>
  </si>
  <si>
    <t>-MS Angle  1"*1"</t>
  </si>
  <si>
    <t>-MS square pipe 20mm*20mm*1.6mm</t>
  </si>
  <si>
    <t>-equal angle 1.5"*1.5" of 3mm</t>
  </si>
  <si>
    <t>Provisional sum for lab test and other unforeseen works</t>
  </si>
  <si>
    <t>Total Valuated</t>
  </si>
  <si>
    <t xml:space="preserve">Date:                            </t>
  </si>
  <si>
    <t>e'O{tNnfdf k'/fgf lrDgL e§fsf] O{6f pknAw ug]{,</t>
  </si>
  <si>
    <t xml:space="preserve">Date:               </t>
  </si>
  <si>
    <t>Detail Valuated Sheet</t>
  </si>
  <si>
    <t>Unit weight (kg/m)</t>
  </si>
  <si>
    <t>-Ground floor ceiling</t>
  </si>
  <si>
    <t>-equal angle 1.5"*1.5" of 4mm</t>
  </si>
  <si>
    <t>-Open area</t>
  </si>
  <si>
    <t>F.Y.: 2080/081</t>
  </si>
  <si>
    <t>Detail Quantity Measurement Sheet</t>
  </si>
  <si>
    <t>-existing base for water tank</t>
  </si>
  <si>
    <t>-existing corner structure</t>
  </si>
  <si>
    <t xml:space="preserve"> </t>
  </si>
  <si>
    <t>-Compoound wall</t>
  </si>
  <si>
    <t>@%–#&amp;=% dL=dL= afSnf] 5fKg] 9'+uf -ˆn}u:6f]g_ !M$ l;d]G6 afn'jfdf</t>
  </si>
  <si>
    <t>-flooring</t>
  </si>
  <si>
    <t>-deduction for gap</t>
  </si>
  <si>
    <t>-2nd floor</t>
  </si>
  <si>
    <t>UPVC Single Door with full pannel (frame 60*60mm sash 60X100mm white colour with panel)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</si>
</sst>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 #,##0.00_-;_-* &quot;-&quot;??_-;_-@_-"/>
    <numFmt numFmtId="165" formatCode="0.0"/>
    <numFmt numFmtId="166" formatCode="0.000"/>
  </numFmts>
  <fonts count="54"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b/>
      <sz val="12"/>
      <name val="Preeti"/>
    </font>
    <font>
      <sz val="11"/>
      <name val="Times New Roman"/>
      <family val="1"/>
    </font>
    <font>
      <b/>
      <sz val="13"/>
      <name val="Preeti"/>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FF0000"/>
      <name val="Times New Roman"/>
      <family val="1"/>
    </font>
    <font>
      <sz val="12"/>
      <name val="Times New Roman"/>
      <family val="1"/>
    </font>
    <font>
      <sz val="15"/>
      <name val="Preeti"/>
    </font>
    <font>
      <b/>
      <sz val="11"/>
      <color rgb="FFFF0000"/>
      <name val="Times New Roman"/>
      <family val="1"/>
    </font>
    <font>
      <b/>
      <sz val="12"/>
      <color rgb="FFFF0000"/>
      <name val="Preeti"/>
    </font>
    <font>
      <b/>
      <sz val="11"/>
      <color rgb="FFFF0000"/>
      <name val="Calibri"/>
      <family val="2"/>
      <scheme val="minor"/>
    </font>
    <font>
      <sz val="11"/>
      <name val="Calibri"/>
      <family val="2"/>
      <scheme val="minor"/>
    </font>
    <font>
      <b/>
      <sz val="11"/>
      <name val="Calibri"/>
      <family val="2"/>
      <scheme val="minor"/>
    </font>
    <font>
      <sz val="12"/>
      <color rgb="FFFF0000"/>
      <name val="Times New Roman"/>
      <family val="1"/>
    </font>
    <font>
      <sz val="10"/>
      <color theme="1"/>
      <name val="Calibri"/>
      <family val="2"/>
      <scheme val="minor"/>
    </font>
    <font>
      <b/>
      <sz val="11"/>
      <name val="Preeti"/>
    </font>
    <font>
      <sz val="16"/>
      <name val="Preeti"/>
    </font>
    <font>
      <sz val="10"/>
      <name val="FONTASY_ HIMALI_ TT"/>
      <family val="5"/>
    </font>
    <font>
      <sz val="12"/>
      <name val="Preeti"/>
    </font>
    <font>
      <sz val="12"/>
      <name val="Arial"/>
      <family val="2"/>
    </font>
    <font>
      <sz val="10"/>
      <name val="Arial"/>
      <family val="2"/>
    </font>
    <font>
      <sz val="11"/>
      <name val="Arial"/>
      <family val="2"/>
    </font>
    <font>
      <sz val="9"/>
      <name val="Arial"/>
      <family val="2"/>
    </font>
    <font>
      <sz val="8"/>
      <name val="Arial"/>
      <family val="2"/>
    </font>
    <font>
      <sz val="11"/>
      <name val="Preeti"/>
    </font>
    <font>
      <sz val="13"/>
      <name val="Preeti"/>
    </font>
    <font>
      <sz val="10"/>
      <name val="Fontasy Himali"/>
      <family val="5"/>
    </font>
    <font>
      <sz val="7"/>
      <name val="Arial"/>
      <family val="2"/>
    </font>
    <font>
      <sz val="12"/>
      <name val="FONTASY_ HIMALI_ TT"/>
      <family val="5"/>
    </font>
    <font>
      <sz val="13"/>
      <name val="FONTASY_ HIMALI_ TT"/>
      <family val="5"/>
    </font>
    <font>
      <sz val="12"/>
      <name val="Calibri"/>
      <family val="2"/>
      <scheme val="minor"/>
    </font>
    <font>
      <sz val="8"/>
      <name val="FONTASY_ HIMALI_ TT"/>
      <family val="5"/>
    </font>
    <font>
      <sz val="10"/>
      <name val="Preeti"/>
    </font>
    <font>
      <sz val="11"/>
      <color rgb="FF92D050"/>
      <name val="Calibri"/>
      <family val="2"/>
      <scheme val="minor"/>
    </font>
    <font>
      <sz val="15"/>
      <name val="Arial"/>
      <family val="2"/>
    </font>
    <font>
      <b/>
      <sz val="12"/>
      <name val="Times New Roman"/>
      <family val="1"/>
    </font>
    <font>
      <sz val="10"/>
      <name val="Calibri"/>
      <family val="2"/>
      <scheme val="minor"/>
    </font>
    <font>
      <sz val="10"/>
      <color rgb="FFC00000"/>
      <name val="Fontasy Himali"/>
      <family val="5"/>
    </font>
    <font>
      <sz val="9"/>
      <color indexed="81"/>
      <name val="Tahoma"/>
    </font>
    <font>
      <b/>
      <sz val="9"/>
      <color indexed="81"/>
      <name val="Tahoma"/>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77">
    <xf numFmtId="0" fontId="0" fillId="0" borderId="0" xfId="0"/>
    <xf numFmtId="0" fontId="7" fillId="0" borderId="0" xfId="0" applyFont="1" applyAlignment="1">
      <alignment horizontal="center"/>
    </xf>
    <xf numFmtId="43" fontId="7" fillId="0" borderId="0" xfId="1" applyFont="1"/>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43" fontId="7" fillId="0" borderId="1" xfId="1" applyFont="1" applyBorder="1" applyAlignment="1">
      <alignment horizontal="center"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1" applyNumberFormat="1" applyFont="1" applyBorder="1" applyAlignment="1">
      <alignment vertical="center"/>
    </xf>
    <xf numFmtId="0" fontId="0" fillId="0" borderId="0" xfId="0" applyAlignment="1">
      <alignment vertical="center"/>
    </xf>
    <xf numFmtId="1" fontId="10" fillId="0" borderId="1" xfId="0" applyNumberFormat="1" applyFont="1" applyFill="1" applyBorder="1" applyAlignment="1">
      <alignment vertical="center" wrapText="1"/>
    </xf>
    <xf numFmtId="0" fontId="0" fillId="0" borderId="1" xfId="0" applyBorder="1" applyAlignment="1">
      <alignment vertical="center"/>
    </xf>
    <xf numFmtId="2" fontId="0" fillId="0" borderId="1" xfId="0" applyNumberFormat="1"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2" fillId="0" borderId="0" xfId="0" applyFont="1"/>
    <xf numFmtId="0" fontId="2" fillId="0" borderId="1" xfId="0" applyFont="1" applyBorder="1" applyAlignment="1">
      <alignment vertical="center"/>
    </xf>
    <xf numFmtId="1" fontId="8" fillId="0" borderId="1" xfId="0" applyNumberFormat="1" applyFont="1" applyFill="1" applyBorder="1" applyAlignment="1">
      <alignment vertical="center"/>
    </xf>
    <xf numFmtId="165"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10" fillId="0" borderId="1" xfId="0" applyNumberFormat="1" applyFont="1" applyFill="1" applyBorder="1" applyAlignment="1">
      <alignment vertical="center"/>
    </xf>
    <xf numFmtId="2" fontId="2" fillId="0" borderId="1" xfId="0" applyNumberFormat="1" applyFont="1" applyBorder="1" applyAlignment="1">
      <alignment vertical="center"/>
    </xf>
    <xf numFmtId="0" fontId="0" fillId="0" borderId="1" xfId="0" quotePrefix="1" applyFont="1" applyBorder="1" applyAlignment="1">
      <alignment horizontal="right" vertical="center" wrapText="1"/>
    </xf>
    <xf numFmtId="165" fontId="0" fillId="0" borderId="1" xfId="0" applyNumberFormat="1" applyBorder="1" applyAlignment="1">
      <alignment vertical="center"/>
    </xf>
    <xf numFmtId="2" fontId="3" fillId="0" borderId="1" xfId="0" applyNumberFormat="1" applyFont="1" applyBorder="1" applyAlignment="1">
      <alignment vertical="center"/>
    </xf>
    <xf numFmtId="0" fontId="9" fillId="2" borderId="1" xfId="0" applyFont="1" applyFill="1" applyBorder="1" applyAlignment="1">
      <alignment vertical="center" wrapText="1"/>
    </xf>
    <xf numFmtId="2" fontId="0" fillId="0" borderId="1" xfId="0" applyNumberFormat="1" applyFont="1" applyBorder="1" applyAlignment="1">
      <alignment vertical="center"/>
    </xf>
    <xf numFmtId="2" fontId="0" fillId="0" borderId="1" xfId="0" applyNumberFormat="1" applyBorder="1" applyAlignment="1">
      <alignment vertical="center" wrapText="1"/>
    </xf>
    <xf numFmtId="0" fontId="7" fillId="0" borderId="1" xfId="0" applyFont="1" applyBorder="1" applyAlignment="1">
      <alignment vertical="center"/>
    </xf>
    <xf numFmtId="0" fontId="0" fillId="0" borderId="1" xfId="0" applyBorder="1" applyAlignment="1">
      <alignment horizontal="right" vertical="center"/>
    </xf>
    <xf numFmtId="0" fontId="0" fillId="0" borderId="1" xfId="0" quotePrefix="1" applyBorder="1" applyAlignment="1">
      <alignment horizontal="right" vertical="center"/>
    </xf>
    <xf numFmtId="0" fontId="2" fillId="0" borderId="1" xfId="0" applyFont="1" applyBorder="1" applyAlignment="1">
      <alignment horizontal="right" vertical="center"/>
    </xf>
    <xf numFmtId="0" fontId="11" fillId="2" borderId="1" xfId="0" applyFont="1" applyFill="1" applyBorder="1" applyAlignment="1">
      <alignment vertical="center" wrapText="1"/>
    </xf>
    <xf numFmtId="0" fontId="14" fillId="0" borderId="0" xfId="0" applyFont="1"/>
    <xf numFmtId="0" fontId="15" fillId="0" borderId="0" xfId="0" applyFont="1" applyAlignment="1">
      <alignment horizontal="center"/>
    </xf>
    <xf numFmtId="0" fontId="0" fillId="0" borderId="0" xfId="0" applyAlignment="1">
      <alignment horizontal="left"/>
    </xf>
    <xf numFmtId="0" fontId="0" fillId="3" borderId="1" xfId="0" applyFill="1" applyBorder="1"/>
    <xf numFmtId="0" fontId="0" fillId="0" borderId="1" xfId="0" applyBorder="1"/>
    <xf numFmtId="43" fontId="2" fillId="0" borderId="1" xfId="1" applyFont="1" applyBorder="1"/>
    <xf numFmtId="43" fontId="0" fillId="0" borderId="0" xfId="0" applyNumberFormat="1"/>
    <xf numFmtId="0" fontId="0" fillId="0" borderId="1" xfId="0" quotePrefix="1" applyBorder="1" applyAlignment="1">
      <alignment horizontal="right" vertical="center" wrapText="1"/>
    </xf>
    <xf numFmtId="2" fontId="0" fillId="0" borderId="0" xfId="0" applyNumberFormat="1"/>
    <xf numFmtId="0" fontId="16" fillId="0" borderId="1" xfId="0" quotePrefix="1" applyFont="1" applyBorder="1" applyAlignment="1">
      <alignment horizontal="right" vertical="center" wrapText="1"/>
    </xf>
    <xf numFmtId="166" fontId="0" fillId="0" borderId="1" xfId="0" applyNumberFormat="1" applyFont="1" applyBorder="1" applyAlignment="1">
      <alignment vertical="center"/>
    </xf>
    <xf numFmtId="165" fontId="19" fillId="0" borderId="1" xfId="0" applyNumberFormat="1" applyFont="1" applyFill="1" applyBorder="1" applyAlignment="1">
      <alignment vertical="center"/>
    </xf>
    <xf numFmtId="2" fontId="16" fillId="0" borderId="1" xfId="0" applyNumberFormat="1" applyFont="1" applyBorder="1" applyAlignment="1">
      <alignment vertical="center"/>
    </xf>
    <xf numFmtId="166" fontId="16" fillId="0" borderId="1" xfId="0" applyNumberFormat="1" applyFont="1" applyBorder="1" applyAlignment="1">
      <alignment vertical="center"/>
    </xf>
    <xf numFmtId="0" fontId="20" fillId="2" borderId="1" xfId="0" applyFont="1" applyFill="1" applyBorder="1" applyAlignment="1">
      <alignment vertical="center" wrapText="1"/>
    </xf>
    <xf numFmtId="0" fontId="0" fillId="0" borderId="1" xfId="0" quotePrefix="1" applyFont="1" applyBorder="1" applyAlignment="1">
      <alignment horizontal="left" vertical="center" wrapText="1"/>
    </xf>
    <xf numFmtId="43" fontId="2" fillId="0" borderId="0" xfId="0" applyNumberFormat="1" applyFont="1"/>
    <xf numFmtId="0" fontId="21" fillId="2" borderId="1" xfId="0" applyFont="1" applyFill="1" applyBorder="1"/>
    <xf numFmtId="0" fontId="20" fillId="2" borderId="1" xfId="0" applyFont="1" applyFill="1" applyBorder="1" applyAlignment="1">
      <alignment horizontal="right" vertical="center" wrapText="1"/>
    </xf>
    <xf numFmtId="0" fontId="2" fillId="0" borderId="0" xfId="0" applyFont="1" applyAlignment="1">
      <alignment vertical="center"/>
    </xf>
    <xf numFmtId="166" fontId="0" fillId="4" borderId="1" xfId="0" applyNumberFormat="1" applyFill="1" applyBorder="1"/>
    <xf numFmtId="166" fontId="0" fillId="0" borderId="1" xfId="0" applyNumberFormat="1" applyBorder="1"/>
    <xf numFmtId="0" fontId="2" fillId="3" borderId="1" xfId="0" applyFont="1" applyFill="1" applyBorder="1" applyAlignment="1">
      <alignment vertical="center"/>
    </xf>
    <xf numFmtId="0" fontId="2" fillId="3" borderId="1" xfId="0" applyFont="1" applyFill="1" applyBorder="1" applyAlignment="1">
      <alignment vertical="center" wrapText="1"/>
    </xf>
    <xf numFmtId="1" fontId="22" fillId="0" borderId="1" xfId="0" applyNumberFormat="1" applyFont="1" applyFill="1" applyBorder="1" applyAlignment="1">
      <alignment vertical="center"/>
    </xf>
    <xf numFmtId="2" fontId="19" fillId="0" borderId="1" xfId="1" applyNumberFormat="1" applyFont="1" applyFill="1" applyBorder="1" applyAlignment="1">
      <alignment vertical="center"/>
    </xf>
    <xf numFmtId="2" fontId="19" fillId="0" borderId="1" xfId="0" applyNumberFormat="1" applyFont="1" applyFill="1" applyBorder="1" applyAlignment="1">
      <alignment vertical="center"/>
    </xf>
    <xf numFmtId="166" fontId="0" fillId="0" borderId="0" xfId="0" applyNumberFormat="1"/>
    <xf numFmtId="0" fontId="30" fillId="0" borderId="0" xfId="0" applyFont="1" applyBorder="1" applyAlignment="1"/>
    <xf numFmtId="1" fontId="31" fillId="0" borderId="4" xfId="0" applyNumberFormat="1" applyFont="1" applyBorder="1" applyAlignment="1">
      <alignment horizontal="center"/>
    </xf>
    <xf numFmtId="0" fontId="35" fillId="0" borderId="5" xfId="0" applyFont="1" applyBorder="1" applyAlignment="1">
      <alignment horizontal="center"/>
    </xf>
    <xf numFmtId="0" fontId="32" fillId="0" borderId="7" xfId="0" applyFont="1" applyBorder="1" applyAlignment="1">
      <alignment horizontal="center"/>
    </xf>
    <xf numFmtId="0" fontId="35" fillId="0" borderId="0" xfId="0" applyFont="1" applyBorder="1" applyAlignment="1">
      <alignment horizontal="center"/>
    </xf>
    <xf numFmtId="0" fontId="32" fillId="0" borderId="0" xfId="0" applyFont="1"/>
    <xf numFmtId="0" fontId="39" fillId="0" borderId="1" xfId="0" applyFont="1" applyBorder="1" applyAlignment="1">
      <alignment horizontal="center" vertical="center" wrapText="1"/>
    </xf>
    <xf numFmtId="0" fontId="32" fillId="0" borderId="0" xfId="0" applyFont="1" applyAlignment="1">
      <alignment horizontal="right"/>
    </xf>
    <xf numFmtId="0" fontId="39" fillId="0" borderId="9" xfId="0" applyFont="1" applyBorder="1" applyAlignment="1">
      <alignment horizontal="center" vertical="center" wrapText="1"/>
    </xf>
    <xf numFmtId="2" fontId="40" fillId="0" borderId="9" xfId="0" applyNumberFormat="1" applyFont="1" applyBorder="1" applyAlignment="1">
      <alignment horizontal="center"/>
    </xf>
    <xf numFmtId="0" fontId="39" fillId="0" borderId="9" xfId="0" applyFont="1" applyBorder="1" applyAlignment="1">
      <alignment horizontal="center"/>
    </xf>
    <xf numFmtId="2" fontId="31" fillId="0" borderId="4" xfId="0" applyNumberFormat="1" applyFont="1" applyBorder="1" applyAlignment="1">
      <alignment horizontal="center" vertical="center" wrapText="1"/>
    </xf>
    <xf numFmtId="2" fontId="31" fillId="0" borderId="4" xfId="0" applyNumberFormat="1" applyFont="1" applyBorder="1" applyAlignment="1">
      <alignment horizontal="center" vertical="center"/>
    </xf>
    <xf numFmtId="0" fontId="39" fillId="0" borderId="5" xfId="0" applyFont="1" applyBorder="1" applyAlignment="1">
      <alignment horizontal="center" vertical="center" wrapText="1"/>
    </xf>
    <xf numFmtId="2" fontId="40" fillId="0" borderId="5" xfId="0" applyNumberFormat="1" applyFont="1" applyBorder="1" applyAlignment="1">
      <alignment horizontal="center"/>
    </xf>
    <xf numFmtId="0" fontId="39" fillId="0" borderId="5" xfId="0" applyFont="1" applyBorder="1" applyAlignment="1">
      <alignment horizontal="center"/>
    </xf>
    <xf numFmtId="2" fontId="31" fillId="0" borderId="5" xfId="0" applyNumberFormat="1" applyFont="1" applyBorder="1" applyAlignment="1">
      <alignment horizontal="center" vertical="center" wrapText="1"/>
    </xf>
    <xf numFmtId="2" fontId="31" fillId="0" borderId="5" xfId="0" applyNumberFormat="1" applyFont="1" applyBorder="1" applyAlignment="1">
      <alignment horizontal="center" vertical="center"/>
    </xf>
    <xf numFmtId="2" fontId="31" fillId="0" borderId="4" xfId="0" applyNumberFormat="1" applyFont="1" applyBorder="1" applyAlignment="1">
      <alignment horizontal="center"/>
    </xf>
    <xf numFmtId="2" fontId="31" fillId="0" borderId="9" xfId="0" applyNumberFormat="1" applyFont="1" applyBorder="1" applyAlignment="1">
      <alignment horizontal="center" vertical="center"/>
    </xf>
    <xf numFmtId="0" fontId="38" fillId="0" borderId="9" xfId="0" quotePrefix="1" applyFont="1" applyBorder="1" applyAlignment="1">
      <alignment horizontal="center" vertical="center" wrapText="1"/>
    </xf>
    <xf numFmtId="2" fontId="31" fillId="0" borderId="9" xfId="0" applyNumberFormat="1" applyFont="1" applyBorder="1" applyAlignment="1">
      <alignment horizontal="center" vertical="center" wrapText="1"/>
    </xf>
    <xf numFmtId="2" fontId="31" fillId="0" borderId="9" xfId="0" applyNumberFormat="1" applyFont="1" applyBorder="1" applyAlignment="1">
      <alignment horizontal="center"/>
    </xf>
    <xf numFmtId="0" fontId="38" fillId="0" borderId="9" xfId="0" applyFont="1" applyBorder="1" applyAlignment="1">
      <alignment horizontal="center" vertical="center" wrapText="1"/>
    </xf>
    <xf numFmtId="2" fontId="31" fillId="0" borderId="5" xfId="0" applyNumberFormat="1" applyFont="1" applyBorder="1" applyAlignment="1">
      <alignment horizontal="center"/>
    </xf>
    <xf numFmtId="0" fontId="0" fillId="0" borderId="2" xfId="0" applyBorder="1" applyAlignment="1">
      <alignment horizontal="center" vertical="center" wrapText="1"/>
    </xf>
    <xf numFmtId="0" fontId="39" fillId="0" borderId="10" xfId="0" applyFont="1" applyBorder="1" applyAlignment="1">
      <alignment horizontal="center" vertical="center" wrapText="1"/>
    </xf>
    <xf numFmtId="1" fontId="40" fillId="0" borderId="10" xfId="0" applyNumberFormat="1" applyFont="1" applyBorder="1" applyAlignment="1">
      <alignment horizontal="center"/>
    </xf>
    <xf numFmtId="0" fontId="39" fillId="0" borderId="10" xfId="0" applyFont="1" applyBorder="1" applyAlignment="1">
      <alignment horizontal="center"/>
    </xf>
    <xf numFmtId="2" fontId="32" fillId="0" borderId="10" xfId="0" applyNumberFormat="1" applyFont="1" applyBorder="1" applyAlignment="1">
      <alignment horizontal="center" vertical="center" wrapText="1"/>
    </xf>
    <xf numFmtId="2" fontId="42" fillId="0" borderId="3" xfId="0" applyNumberFormat="1" applyFont="1" applyBorder="1" applyAlignment="1">
      <alignment horizontal="center"/>
    </xf>
    <xf numFmtId="0" fontId="39" fillId="0" borderId="0" xfId="0" applyFont="1"/>
    <xf numFmtId="0" fontId="43" fillId="0" borderId="0" xfId="0" applyFont="1"/>
    <xf numFmtId="2" fontId="31" fillId="0" borderId="8" xfId="0" applyNumberFormat="1" applyFont="1" applyBorder="1" applyAlignment="1">
      <alignment horizontal="center"/>
    </xf>
    <xf numFmtId="2" fontId="31" fillId="0" borderId="1" xfId="0" applyNumberFormat="1" applyFont="1" applyBorder="1" applyAlignment="1">
      <alignment horizontal="center"/>
    </xf>
    <xf numFmtId="0" fontId="40" fillId="0" borderId="0" xfId="0" applyFont="1" applyAlignment="1">
      <alignment horizontal="center"/>
    </xf>
    <xf numFmtId="2" fontId="31" fillId="0" borderId="0" xfId="0" applyNumberFormat="1" applyFont="1" applyBorder="1" applyAlignment="1">
      <alignment horizontal="center"/>
    </xf>
    <xf numFmtId="0" fontId="39" fillId="0" borderId="4" xfId="0" applyFont="1" applyBorder="1" applyAlignment="1">
      <alignment horizontal="center" vertical="center" wrapText="1"/>
    </xf>
    <xf numFmtId="2" fontId="10" fillId="0" borderId="1" xfId="0" applyNumberFormat="1" applyFont="1" applyFill="1" applyBorder="1" applyAlignment="1">
      <alignment vertical="center" wrapText="1"/>
    </xf>
    <xf numFmtId="1" fontId="31" fillId="0" borderId="1" xfId="0" applyNumberFormat="1" applyFont="1" applyBorder="1" applyAlignment="1">
      <alignment horizontal="center"/>
    </xf>
    <xf numFmtId="0" fontId="44" fillId="0" borderId="5" xfId="0" applyFont="1" applyBorder="1" applyAlignment="1">
      <alignment horizontal="center"/>
    </xf>
    <xf numFmtId="0" fontId="32" fillId="0" borderId="5" xfId="0" quotePrefix="1" applyFont="1" applyBorder="1" applyAlignment="1">
      <alignment horizontal="center"/>
    </xf>
    <xf numFmtId="2" fontId="40" fillId="0" borderId="4" xfId="0" applyNumberFormat="1" applyFont="1" applyBorder="1" applyAlignment="1">
      <alignment horizontal="center"/>
    </xf>
    <xf numFmtId="0" fontId="39" fillId="0" borderId="4" xfId="0" applyFont="1" applyBorder="1" applyAlignment="1">
      <alignment horizontal="center"/>
    </xf>
    <xf numFmtId="0" fontId="32" fillId="0" borderId="9" xfId="0" applyFont="1" applyBorder="1"/>
    <xf numFmtId="0" fontId="39" fillId="0" borderId="4" xfId="0" applyFont="1" applyBorder="1"/>
    <xf numFmtId="0" fontId="39" fillId="0" borderId="9" xfId="0" applyFont="1" applyBorder="1"/>
    <xf numFmtId="0" fontId="39" fillId="0" borderId="5" xfId="0" applyFont="1" applyBorder="1"/>
    <xf numFmtId="0" fontId="39" fillId="0" borderId="1" xfId="0" applyFont="1" applyBorder="1" applyAlignment="1">
      <alignment horizontal="center"/>
    </xf>
    <xf numFmtId="0" fontId="45" fillId="0" borderId="10" xfId="0" applyFont="1" applyBorder="1"/>
    <xf numFmtId="2" fontId="31" fillId="0" borderId="3" xfId="0" applyNumberFormat="1" applyFont="1" applyBorder="1" applyAlignment="1">
      <alignment horizontal="center"/>
    </xf>
    <xf numFmtId="2" fontId="31" fillId="0" borderId="0" xfId="0" applyNumberFormat="1" applyFont="1"/>
    <xf numFmtId="0" fontId="0" fillId="0" borderId="0" xfId="0" applyFill="1"/>
    <xf numFmtId="0" fontId="7" fillId="0" borderId="0" xfId="0" applyFont="1" applyFill="1" applyAlignment="1">
      <alignment horizontal="center"/>
    </xf>
    <xf numFmtId="43" fontId="7" fillId="0" borderId="0" xfId="1" applyFont="1" applyFill="1"/>
    <xf numFmtId="0" fontId="7" fillId="0" borderId="1" xfId="0" applyFont="1" applyFill="1" applyBorder="1" applyAlignment="1">
      <alignment vertical="center"/>
    </xf>
    <xf numFmtId="0" fontId="7"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43" fontId="7" fillId="0" borderId="1" xfId="1" applyFont="1" applyFill="1" applyBorder="1" applyAlignment="1">
      <alignment horizontal="center" vertical="center"/>
    </xf>
    <xf numFmtId="0" fontId="2" fillId="0" borderId="1" xfId="0" applyFont="1" applyFill="1" applyBorder="1" applyAlignment="1">
      <alignment vertical="center"/>
    </xf>
    <xf numFmtId="0" fontId="11" fillId="0" borderId="1" xfId="0" applyFont="1" applyFill="1" applyBorder="1" applyAlignment="1">
      <alignment vertical="center" wrapText="1"/>
    </xf>
    <xf numFmtId="0" fontId="0" fillId="0" borderId="1" xfId="0" applyFill="1" applyBorder="1" applyAlignment="1">
      <alignment vertical="center"/>
    </xf>
    <xf numFmtId="2" fontId="0" fillId="0" borderId="1" xfId="0" applyNumberFormat="1" applyFill="1" applyBorder="1" applyAlignment="1">
      <alignment vertical="center"/>
    </xf>
    <xf numFmtId="0" fontId="16" fillId="0" borderId="1" xfId="0" quotePrefix="1" applyFont="1" applyFill="1" applyBorder="1" applyAlignment="1">
      <alignment horizontal="right" vertical="center"/>
    </xf>
    <xf numFmtId="165" fontId="16" fillId="0" borderId="1" xfId="0" applyNumberFormat="1" applyFont="1" applyFill="1" applyBorder="1" applyAlignment="1">
      <alignment vertical="center"/>
    </xf>
    <xf numFmtId="2" fontId="16" fillId="0" borderId="1" xfId="0" applyNumberFormat="1" applyFont="1" applyFill="1" applyBorder="1" applyAlignment="1">
      <alignment vertical="center"/>
    </xf>
    <xf numFmtId="0" fontId="0" fillId="0" borderId="1" xfId="0" applyFill="1" applyBorder="1" applyAlignment="1">
      <alignment horizontal="right" vertical="center"/>
    </xf>
    <xf numFmtId="165" fontId="0" fillId="0" borderId="1" xfId="0" applyNumberFormat="1" applyFill="1" applyBorder="1" applyAlignment="1">
      <alignment vertical="center"/>
    </xf>
    <xf numFmtId="2" fontId="2" fillId="0" borderId="1" xfId="0" applyNumberFormat="1" applyFont="1" applyFill="1" applyBorder="1" applyAlignment="1">
      <alignment vertical="center"/>
    </xf>
    <xf numFmtId="0" fontId="0" fillId="0" borderId="1" xfId="0" quotePrefix="1" applyFill="1" applyBorder="1" applyAlignment="1">
      <alignment horizontal="right" vertical="center"/>
    </xf>
    <xf numFmtId="2" fontId="3" fillId="0" borderId="1" xfId="0" applyNumberFormat="1" applyFont="1" applyFill="1" applyBorder="1" applyAlignment="1">
      <alignment vertical="center"/>
    </xf>
    <xf numFmtId="2" fontId="2" fillId="0" borderId="1" xfId="1" applyNumberFormat="1" applyFont="1" applyFill="1" applyBorder="1" applyAlignment="1">
      <alignment vertical="center"/>
    </xf>
    <xf numFmtId="2" fontId="0" fillId="0" borderId="1" xfId="0" applyNumberFormat="1" applyFont="1" applyFill="1" applyBorder="1" applyAlignment="1">
      <alignment vertical="center"/>
    </xf>
    <xf numFmtId="1" fontId="16" fillId="0" borderId="1" xfId="0" applyNumberFormat="1" applyFont="1" applyFill="1" applyBorder="1" applyAlignment="1">
      <alignment vertical="center"/>
    </xf>
    <xf numFmtId="0" fontId="16" fillId="0" borderId="1" xfId="0" applyFont="1" applyFill="1" applyBorder="1" applyAlignment="1">
      <alignment horizontal="right" vertical="center"/>
    </xf>
    <xf numFmtId="0" fontId="9" fillId="0" borderId="1" xfId="0" applyFont="1" applyFill="1" applyBorder="1" applyAlignment="1">
      <alignment vertical="center" wrapText="1"/>
    </xf>
    <xf numFmtId="0" fontId="0" fillId="0" borderId="0" xfId="0" applyFill="1" applyAlignment="1">
      <alignment vertical="center"/>
    </xf>
    <xf numFmtId="0" fontId="16" fillId="0" borderId="1" xfId="0" quotePrefix="1" applyFont="1" applyFill="1" applyBorder="1" applyAlignment="1">
      <alignment horizontal="right" vertical="center" wrapText="1"/>
    </xf>
    <xf numFmtId="0" fontId="0" fillId="0" borderId="1" xfId="0" quotePrefix="1" applyFont="1" applyFill="1" applyBorder="1" applyAlignment="1">
      <alignment horizontal="right" vertical="center" wrapText="1"/>
    </xf>
    <xf numFmtId="2" fontId="0" fillId="0" borderId="0" xfId="0" applyNumberFormat="1" applyFill="1"/>
    <xf numFmtId="0" fontId="0" fillId="0" borderId="1" xfId="0" applyFill="1" applyBorder="1"/>
    <xf numFmtId="2" fontId="16" fillId="0" borderId="0" xfId="0" applyNumberFormat="1" applyFont="1" applyFill="1"/>
    <xf numFmtId="0" fontId="23" fillId="0" borderId="1" xfId="0" applyFont="1" applyFill="1" applyBorder="1" applyAlignment="1">
      <alignment vertical="center" wrapText="1"/>
    </xf>
    <xf numFmtId="2" fontId="24" fillId="0" borderId="1" xfId="0" applyNumberFormat="1" applyFont="1" applyFill="1" applyBorder="1" applyAlignment="1">
      <alignment vertical="center"/>
    </xf>
    <xf numFmtId="0" fontId="24" fillId="0" borderId="1" xfId="0" applyFont="1" applyFill="1" applyBorder="1" applyAlignment="1">
      <alignment vertical="center"/>
    </xf>
    <xf numFmtId="0" fontId="16" fillId="0" borderId="1" xfId="0" applyFont="1" applyFill="1" applyBorder="1" applyAlignment="1">
      <alignment vertical="center"/>
    </xf>
    <xf numFmtId="0" fontId="25" fillId="0" borderId="1" xfId="0" quotePrefix="1" applyFont="1" applyFill="1" applyBorder="1" applyAlignment="1">
      <alignment horizontal="right" vertical="center" wrapText="1"/>
    </xf>
    <xf numFmtId="165" fontId="25" fillId="0" borderId="1" xfId="0" applyNumberFormat="1" applyFont="1" applyFill="1" applyBorder="1" applyAlignment="1">
      <alignment vertical="center"/>
    </xf>
    <xf numFmtId="2" fontId="25" fillId="0" borderId="1" xfId="0" applyNumberFormat="1" applyFont="1" applyFill="1" applyBorder="1" applyAlignment="1">
      <alignment vertical="center"/>
    </xf>
    <xf numFmtId="2" fontId="26" fillId="0" borderId="1" xfId="0" applyNumberFormat="1" applyFont="1" applyFill="1" applyBorder="1" applyAlignment="1">
      <alignment vertical="center"/>
    </xf>
    <xf numFmtId="2" fontId="26" fillId="0" borderId="1" xfId="1" applyNumberFormat="1" applyFont="1" applyFill="1" applyBorder="1" applyAlignment="1">
      <alignment vertical="center"/>
    </xf>
    <xf numFmtId="2" fontId="0" fillId="0" borderId="1" xfId="0" applyNumberFormat="1" applyFill="1" applyBorder="1" applyAlignment="1">
      <alignment vertical="center" wrapText="1"/>
    </xf>
    <xf numFmtId="166" fontId="16" fillId="0" borderId="1" xfId="0" applyNumberFormat="1" applyFont="1" applyFill="1" applyBorder="1" applyAlignment="1">
      <alignment vertical="center"/>
    </xf>
    <xf numFmtId="166" fontId="0" fillId="0" borderId="0" xfId="0" applyNumberFormat="1" applyFill="1"/>
    <xf numFmtId="0" fontId="30" fillId="0" borderId="0" xfId="0" applyFont="1" applyFill="1" applyBorder="1" applyAlignment="1"/>
    <xf numFmtId="0" fontId="0" fillId="0" borderId="1" xfId="0" quotePrefix="1" applyFont="1" applyFill="1" applyBorder="1" applyAlignment="1">
      <alignment horizontal="right" vertical="center"/>
    </xf>
    <xf numFmtId="0" fontId="21" fillId="0" borderId="1" xfId="0" applyFont="1" applyFill="1" applyBorder="1"/>
    <xf numFmtId="0" fontId="20" fillId="0" borderId="1" xfId="0" applyFont="1" applyFill="1" applyBorder="1" applyAlignment="1">
      <alignment vertical="center" wrapText="1"/>
    </xf>
    <xf numFmtId="0" fontId="27" fillId="0" borderId="1" xfId="0" quotePrefix="1" applyFont="1" applyFill="1" applyBorder="1" applyAlignment="1">
      <alignment horizontal="right" vertical="center" wrapText="1"/>
    </xf>
    <xf numFmtId="0" fontId="0" fillId="0" borderId="1" xfId="0" quotePrefix="1" applyFont="1" applyFill="1" applyBorder="1" applyAlignment="1">
      <alignment horizontal="left" vertical="center" wrapText="1"/>
    </xf>
    <xf numFmtId="0" fontId="2" fillId="0" borderId="1" xfId="0" applyFont="1" applyFill="1" applyBorder="1" applyAlignment="1">
      <alignment horizontal="right" vertical="center"/>
    </xf>
    <xf numFmtId="0" fontId="0" fillId="0" borderId="0" xfId="0" applyFill="1" applyBorder="1" applyAlignment="1">
      <alignment vertical="center"/>
    </xf>
    <xf numFmtId="2" fontId="0" fillId="0" borderId="0" xfId="0" applyNumberFormat="1" applyFill="1" applyBorder="1" applyAlignment="1">
      <alignment vertical="center"/>
    </xf>
    <xf numFmtId="0" fontId="2" fillId="0" borderId="0" xfId="0" applyFont="1" applyFill="1" applyBorder="1" applyAlignment="1">
      <alignment horizontal="right" vertical="center"/>
    </xf>
    <xf numFmtId="43" fontId="2" fillId="0" borderId="0" xfId="1" applyFont="1" applyFill="1" applyBorder="1" applyAlignment="1">
      <alignment vertical="center"/>
    </xf>
    <xf numFmtId="0" fontId="2" fillId="0" borderId="0" xfId="0" applyFont="1" applyFill="1" applyBorder="1" applyAlignment="1">
      <alignment vertical="center"/>
    </xf>
    <xf numFmtId="0" fontId="2" fillId="0" borderId="0" xfId="0" applyFont="1" applyFill="1"/>
    <xf numFmtId="43" fontId="2" fillId="0" borderId="0" xfId="0" applyNumberFormat="1" applyFont="1" applyFill="1"/>
    <xf numFmtId="0" fontId="47" fillId="0" borderId="0" xfId="0" applyFont="1"/>
    <xf numFmtId="0" fontId="25" fillId="0" borderId="1" xfId="0" quotePrefix="1" applyFont="1" applyFill="1" applyBorder="1" applyAlignment="1">
      <alignment horizontal="right" vertical="center"/>
    </xf>
    <xf numFmtId="164" fontId="0" fillId="0" borderId="0" xfId="0" applyNumberFormat="1"/>
    <xf numFmtId="2" fontId="10" fillId="0" borderId="1" xfId="0" applyNumberFormat="1" applyFont="1" applyFill="1" applyBorder="1" applyAlignment="1">
      <alignment vertical="center" wrapText="1"/>
    </xf>
    <xf numFmtId="2" fontId="10" fillId="0" borderId="1" xfId="0" applyNumberFormat="1" applyFont="1" applyFill="1" applyBorder="1" applyAlignment="1">
      <alignment vertical="center" wrapText="1"/>
    </xf>
    <xf numFmtId="1" fontId="25" fillId="0" borderId="1" xfId="0" applyNumberFormat="1" applyFont="1" applyFill="1" applyBorder="1" applyAlignment="1">
      <alignment vertical="center"/>
    </xf>
    <xf numFmtId="0" fontId="25" fillId="0" borderId="1" xfId="0" applyFont="1" applyFill="1" applyBorder="1" applyAlignment="1">
      <alignment vertical="center"/>
    </xf>
    <xf numFmtId="0" fontId="25" fillId="0" borderId="1" xfId="0" applyFont="1" applyFill="1" applyBorder="1" applyAlignment="1">
      <alignment horizontal="right" vertical="center"/>
    </xf>
    <xf numFmtId="0" fontId="25" fillId="0" borderId="1" xfId="0" applyFont="1" applyFill="1" applyBorder="1"/>
    <xf numFmtId="2" fontId="25" fillId="0" borderId="1" xfId="0" applyNumberFormat="1" applyFont="1" applyFill="1" applyBorder="1"/>
    <xf numFmtId="0" fontId="26" fillId="0" borderId="1" xfId="0" applyFont="1" applyFill="1" applyBorder="1" applyAlignment="1">
      <alignment vertical="center"/>
    </xf>
    <xf numFmtId="166" fontId="25" fillId="0" borderId="1" xfId="0" applyNumberFormat="1" applyFont="1" applyFill="1" applyBorder="1" applyAlignment="1">
      <alignment vertical="center"/>
    </xf>
    <xf numFmtId="0" fontId="49" fillId="0" borderId="1" xfId="0" applyFont="1" applyFill="1" applyBorder="1" applyAlignment="1">
      <alignment vertical="center"/>
    </xf>
    <xf numFmtId="0" fontId="49" fillId="0" borderId="1" xfId="0" applyFont="1" applyFill="1" applyBorder="1" applyAlignment="1">
      <alignment horizontal="center" vertical="center" wrapText="1"/>
    </xf>
    <xf numFmtId="0" fontId="49" fillId="0" borderId="1" xfId="0" applyFont="1" applyFill="1" applyBorder="1" applyAlignment="1">
      <alignment horizontal="center" vertical="center"/>
    </xf>
    <xf numFmtId="43" fontId="49" fillId="0" borderId="1" xfId="1" applyFont="1" applyFill="1" applyBorder="1" applyAlignment="1">
      <alignment horizontal="center" vertical="center"/>
    </xf>
    <xf numFmtId="2" fontId="25" fillId="0" borderId="1" xfId="0" applyNumberFormat="1" applyFont="1" applyFill="1" applyBorder="1" applyAlignment="1">
      <alignment vertical="center" wrapText="1"/>
    </xf>
    <xf numFmtId="0" fontId="20" fillId="0" borderId="1" xfId="0" quotePrefix="1" applyFont="1" applyFill="1" applyBorder="1" applyAlignment="1">
      <alignment horizontal="right" vertical="center" wrapText="1"/>
    </xf>
    <xf numFmtId="0" fontId="25" fillId="0" borderId="1" xfId="0" quotePrefix="1" applyFont="1" applyFill="1" applyBorder="1" applyAlignment="1">
      <alignment horizontal="left" vertical="center" wrapText="1"/>
    </xf>
    <xf numFmtId="0" fontId="26" fillId="0" borderId="1" xfId="0" applyFont="1" applyFill="1" applyBorder="1" applyAlignment="1">
      <alignment horizontal="right" vertical="center"/>
    </xf>
    <xf numFmtId="1" fontId="10" fillId="0" borderId="1" xfId="0" applyNumberFormat="1" applyFont="1" applyFill="1" applyBorder="1" applyAlignment="1">
      <alignment vertical="center"/>
    </xf>
    <xf numFmtId="43" fontId="26" fillId="0" borderId="1" xfId="1" applyFont="1" applyFill="1" applyBorder="1" applyAlignment="1">
      <alignment vertical="center"/>
    </xf>
    <xf numFmtId="0" fontId="25" fillId="0" borderId="1" xfId="0" applyFont="1" applyFill="1" applyBorder="1" applyAlignment="1">
      <alignment vertical="center" wrapText="1"/>
    </xf>
    <xf numFmtId="1" fontId="20" fillId="0" borderId="1" xfId="0" applyNumberFormat="1" applyFont="1" applyFill="1" applyBorder="1" applyAlignment="1">
      <alignment horizontal="left" vertical="center" wrapText="1"/>
    </xf>
    <xf numFmtId="1" fontId="20" fillId="0" borderId="1" xfId="0" applyNumberFormat="1" applyFont="1" applyFill="1" applyBorder="1" applyAlignment="1">
      <alignment horizontal="right" vertical="center" wrapText="1"/>
    </xf>
    <xf numFmtId="1" fontId="10" fillId="0" borderId="1" xfId="0" applyNumberFormat="1" applyFont="1" applyFill="1" applyBorder="1" applyAlignment="1">
      <alignment horizontal="right" vertical="center"/>
    </xf>
    <xf numFmtId="0" fontId="10" fillId="0" borderId="1" xfId="0" applyFont="1" applyFill="1" applyBorder="1" applyAlignment="1">
      <alignment vertical="center"/>
    </xf>
    <xf numFmtId="0" fontId="26" fillId="0" borderId="1" xfId="0" applyFont="1" applyFill="1" applyBorder="1" applyAlignment="1">
      <alignment horizontal="right"/>
    </xf>
    <xf numFmtId="2" fontId="26" fillId="0" borderId="1" xfId="0" applyNumberFormat="1" applyFont="1" applyFill="1" applyBorder="1"/>
    <xf numFmtId="43" fontId="26" fillId="0" borderId="1" xfId="1" applyFont="1" applyFill="1" applyBorder="1"/>
    <xf numFmtId="2" fontId="51" fillId="0" borderId="9" xfId="0" applyNumberFormat="1" applyFont="1" applyBorder="1" applyAlignment="1">
      <alignment horizontal="center"/>
    </xf>
    <xf numFmtId="1" fontId="51" fillId="0" borderId="4" xfId="0" applyNumberFormat="1" applyFont="1" applyBorder="1" applyAlignment="1">
      <alignment horizontal="center"/>
    </xf>
    <xf numFmtId="2" fontId="10" fillId="0" borderId="1" xfId="0" quotePrefix="1" applyNumberFormat="1" applyFont="1" applyFill="1" applyBorder="1" applyAlignment="1">
      <alignment vertical="center" wrapText="1"/>
    </xf>
    <xf numFmtId="2" fontId="10" fillId="0" borderId="1" xfId="1" applyNumberFormat="1" applyFont="1" applyFill="1" applyBorder="1" applyAlignment="1">
      <alignment vertical="center" wrapText="1"/>
    </xf>
    <xf numFmtId="2" fontId="10" fillId="0" borderId="4" xfId="0" applyNumberFormat="1" applyFont="1" applyFill="1" applyBorder="1" applyAlignment="1">
      <alignment vertical="center" wrapText="1"/>
    </xf>
    <xf numFmtId="2" fontId="10" fillId="0" borderId="9" xfId="0" applyNumberFormat="1" applyFont="1" applyFill="1" applyBorder="1" applyAlignment="1">
      <alignment vertical="center" wrapText="1"/>
    </xf>
    <xf numFmtId="2" fontId="10" fillId="0" borderId="5" xfId="0" applyNumberFormat="1" applyFont="1" applyFill="1" applyBorder="1" applyAlignment="1">
      <alignment vertical="center" wrapText="1"/>
    </xf>
    <xf numFmtId="2" fontId="10" fillId="0" borderId="1" xfId="0" applyNumberFormat="1" applyFont="1" applyFill="1" applyBorder="1" applyAlignment="1">
      <alignment vertical="center" wrapText="1"/>
    </xf>
    <xf numFmtId="2" fontId="10" fillId="0" borderId="1" xfId="0" applyNumberFormat="1" applyFont="1" applyFill="1" applyBorder="1" applyAlignment="1">
      <alignment vertical="center" wrapText="1"/>
    </xf>
    <xf numFmtId="0" fontId="9" fillId="0" borderId="1" xfId="0" quotePrefix="1" applyFont="1" applyFill="1" applyBorder="1" applyAlignment="1">
      <alignment vertical="center" wrapText="1"/>
    </xf>
    <xf numFmtId="2" fontId="25" fillId="0" borderId="1" xfId="0" quotePrefix="1" applyNumberFormat="1" applyFont="1" applyFill="1" applyBorder="1" applyAlignment="1">
      <alignment horizontal="right"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50" fillId="0" borderId="1" xfId="0" applyFont="1" applyFill="1" applyBorder="1" applyAlignment="1">
      <alignment horizontal="center" vertical="center" wrapText="1"/>
    </xf>
    <xf numFmtId="165" fontId="25" fillId="0" borderId="1" xfId="0" applyNumberFormat="1" applyFont="1" applyFill="1" applyBorder="1" applyAlignment="1">
      <alignment horizontal="right" vertical="center"/>
    </xf>
    <xf numFmtId="2" fontId="25" fillId="0" borderId="1" xfId="0" applyNumberFormat="1" applyFont="1" applyFill="1" applyBorder="1" applyAlignment="1">
      <alignment horizontal="right" vertical="center"/>
    </xf>
    <xf numFmtId="2" fontId="10" fillId="0" borderId="1" xfId="0" applyNumberFormat="1" applyFont="1" applyFill="1" applyBorder="1" applyAlignment="1">
      <alignment vertical="center" wrapText="1"/>
    </xf>
    <xf numFmtId="2" fontId="10" fillId="0" borderId="1" xfId="0" applyNumberFormat="1" applyFont="1" applyFill="1" applyBorder="1" applyAlignment="1">
      <alignment horizontal="center" vertical="center" wrapText="1"/>
    </xf>
    <xf numFmtId="2" fontId="0" fillId="0" borderId="0" xfId="0" applyNumberFormat="1" applyAlignment="1">
      <alignment horizont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43" fontId="14" fillId="0" borderId="0" xfId="0" applyNumberFormat="1" applyFont="1" applyAlignment="1">
      <alignment horizontal="center"/>
    </xf>
    <xf numFmtId="0" fontId="14" fillId="0" borderId="0" xfId="0" applyFont="1" applyAlignment="1">
      <alignment horizontal="center"/>
    </xf>
    <xf numFmtId="43" fontId="14" fillId="0" borderId="0" xfId="0" applyNumberFormat="1" applyFont="1" applyAlignment="1">
      <alignment horizontal="center" vertical="center"/>
    </xf>
    <xf numFmtId="0" fontId="14" fillId="0" borderId="0" xfId="0" applyFont="1" applyAlignment="1">
      <alignment horizontal="center" vertical="center"/>
    </xf>
    <xf numFmtId="0" fontId="3"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0" fontId="39" fillId="0" borderId="2" xfId="0" quotePrefix="1" applyFont="1" applyBorder="1" applyAlignment="1">
      <alignment horizontal="center" vertical="center"/>
    </xf>
    <xf numFmtId="0" fontId="39" fillId="0" borderId="10" xfId="0" applyFont="1" applyBorder="1" applyAlignment="1">
      <alignment vertical="center"/>
    </xf>
    <xf numFmtId="0" fontId="39" fillId="0" borderId="4" xfId="0" applyFont="1"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30" fillId="0" borderId="0" xfId="0" applyFont="1" applyAlignment="1">
      <alignment horizontal="center"/>
    </xf>
    <xf numFmtId="0" fontId="30" fillId="0" borderId="6" xfId="0" applyFont="1" applyBorder="1" applyAlignment="1">
      <alignment horizontal="center"/>
    </xf>
    <xf numFmtId="0" fontId="38" fillId="0" borderId="8" xfId="0" applyFont="1" applyBorder="1" applyAlignment="1">
      <alignment horizontal="center"/>
    </xf>
    <xf numFmtId="0" fontId="39" fillId="0" borderId="4" xfId="0" applyFont="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32" fillId="0" borderId="6" xfId="0" applyFont="1" applyBorder="1" applyAlignment="1">
      <alignment horizontal="center" vertical="center"/>
    </xf>
    <xf numFmtId="0" fontId="32" fillId="0" borderId="0" xfId="0" applyFont="1" applyBorder="1" applyAlignment="1">
      <alignment horizontal="center" vertical="center"/>
    </xf>
    <xf numFmtId="0" fontId="32" fillId="0" borderId="6" xfId="0" quotePrefix="1" applyFont="1" applyBorder="1" applyAlignment="1">
      <alignment horizontal="center" vertical="center"/>
    </xf>
    <xf numFmtId="0" fontId="6" fillId="0" borderId="0" xfId="0" applyFont="1" applyAlignment="1"/>
    <xf numFmtId="0" fontId="6" fillId="0" borderId="0" xfId="0" applyFont="1" applyFill="1" applyAlignment="1">
      <alignment horizontal="left"/>
    </xf>
    <xf numFmtId="0" fontId="6" fillId="0" borderId="0" xfId="0" applyFont="1" applyFill="1" applyAlignment="1">
      <alignment horizontal="right"/>
    </xf>
    <xf numFmtId="0" fontId="3" fillId="0" borderId="0" xfId="0" applyFont="1" applyFill="1" applyAlignment="1">
      <alignment horizontal="center" vertical="center"/>
    </xf>
    <xf numFmtId="0" fontId="4" fillId="0" borderId="0" xfId="0" applyFont="1" applyFill="1" applyAlignment="1">
      <alignment horizontal="center" vertical="center"/>
    </xf>
    <xf numFmtId="0" fontId="2" fillId="0" borderId="0" xfId="0" applyFont="1" applyFill="1" applyAlignment="1">
      <alignment horizontal="center" vertical="center"/>
    </xf>
    <xf numFmtId="0" fontId="5" fillId="0" borderId="0" xfId="0" applyFont="1" applyFill="1" applyAlignment="1">
      <alignment horizontal="center"/>
    </xf>
    <xf numFmtId="2" fontId="0" fillId="0" borderId="2" xfId="0" applyNumberFormat="1" applyFill="1" applyBorder="1" applyAlignment="1">
      <alignment horizontal="center" vertical="center"/>
    </xf>
    <xf numFmtId="2" fontId="0" fillId="0" borderId="3" xfId="0" applyNumberFormat="1" applyFill="1" applyBorder="1" applyAlignment="1">
      <alignment horizontal="center" vertical="center"/>
    </xf>
    <xf numFmtId="0" fontId="6" fillId="0" borderId="0" xfId="0" applyFont="1" applyFill="1"/>
    <xf numFmtId="0" fontId="28" fillId="0" borderId="4" xfId="0" applyFont="1" applyFill="1" applyBorder="1" applyAlignment="1">
      <alignment horizontal="center" vertical="center" wrapText="1"/>
    </xf>
    <xf numFmtId="0" fontId="28" fillId="0" borderId="5" xfId="0" applyFont="1" applyFill="1" applyBorder="1" applyAlignment="1">
      <alignment horizontal="center" vertical="center" wrapText="1"/>
    </xf>
    <xf numFmtId="165" fontId="0" fillId="0" borderId="4" xfId="0" applyNumberFormat="1" applyFill="1" applyBorder="1" applyAlignment="1">
      <alignment horizontal="right" vertical="center"/>
    </xf>
    <xf numFmtId="165" fontId="0" fillId="0" borderId="5" xfId="0" applyNumberFormat="1" applyFill="1" applyBorder="1" applyAlignment="1">
      <alignment horizontal="right" vertical="center"/>
    </xf>
    <xf numFmtId="2" fontId="0" fillId="0" borderId="4" xfId="0" applyNumberFormat="1" applyFill="1" applyBorder="1" applyAlignment="1">
      <alignment horizontal="right" vertical="center"/>
    </xf>
    <xf numFmtId="2" fontId="0" fillId="0" borderId="5" xfId="0" applyNumberFormat="1" applyFill="1" applyBorder="1" applyAlignment="1">
      <alignment horizontal="right" vertical="center"/>
    </xf>
    <xf numFmtId="2" fontId="0" fillId="0" borderId="2" xfId="1" applyNumberFormat="1" applyFont="1" applyFill="1" applyBorder="1" applyAlignment="1">
      <alignment horizontal="center" vertical="center"/>
    </xf>
    <xf numFmtId="2" fontId="0" fillId="0" borderId="3" xfId="1" applyNumberFormat="1" applyFont="1" applyFill="1" applyBorder="1" applyAlignment="1">
      <alignment horizontal="center" vertical="center"/>
    </xf>
    <xf numFmtId="2" fontId="0" fillId="0" borderId="1" xfId="0" applyNumberForma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85725</xdr:colOff>
      <xdr:row>17</xdr:row>
      <xdr:rowOff>0</xdr:rowOff>
    </xdr:from>
    <xdr:to>
      <xdr:col>2</xdr:col>
      <xdr:colOff>342900</xdr:colOff>
      <xdr:row>17</xdr:row>
      <xdr:rowOff>0</xdr:rowOff>
    </xdr:to>
    <xdr:sp macro="" textlink="">
      <xdr:nvSpPr>
        <xdr:cNvPr id="6" name="Text Box 162"/>
        <xdr:cNvSpPr txBox="1">
          <a:spLocks noChangeArrowheads="1"/>
        </xdr:cNvSpPr>
      </xdr:nvSpPr>
      <xdr:spPr bwMode="auto">
        <a:xfrm>
          <a:off x="1480185" y="988809300"/>
          <a:ext cx="257175"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0-081\For-all-Road-rate-analysis-80-81-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Users\USER\Videos\079-080\Rate%20Analysis\Road-rate-analysis-079-80-shankharapur-as-per-dor-norms-nn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row r="54">
          <cell r="B54" t="str">
            <v>Scarifying Existing road Surface to a Depth of 50 mm by
Manual Means, Scarifying the existing road surface to a depth of 50 mm and disposal of scarified Material with all lifts and leads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18"/>
  <sheetViews>
    <sheetView topLeftCell="A202" zoomScale="89" zoomScaleNormal="89" workbookViewId="0">
      <selection activeCell="B206" sqref="B206:E211"/>
    </sheetView>
  </sheetViews>
  <sheetFormatPr defaultRowHeight="15" x14ac:dyDescent="0.25"/>
  <cols>
    <col min="1" max="1" width="4.42578125" customWidth="1"/>
    <col min="2" max="2" width="31.28515625" customWidth="1"/>
    <col min="3" max="3" width="5.5703125" customWidth="1"/>
    <col min="4" max="4" width="9.140625" bestFit="1" customWidth="1"/>
    <col min="5" max="5" width="7.85546875" customWidth="1"/>
    <col min="6" max="6" width="8.28515625" customWidth="1"/>
    <col min="7" max="7" width="9.28515625" customWidth="1"/>
    <col min="8" max="8" width="5.28515625" bestFit="1" customWidth="1"/>
    <col min="9" max="9" width="10.85546875" customWidth="1"/>
    <col min="10" max="10" width="12.140625" customWidth="1"/>
    <col min="11" max="11" width="9.140625" customWidth="1"/>
  </cols>
  <sheetData>
    <row r="1" spans="1:11" x14ac:dyDescent="0.25">
      <c r="A1" s="215" t="s">
        <v>0</v>
      </c>
      <c r="B1" s="215"/>
      <c r="C1" s="215"/>
      <c r="D1" s="215"/>
      <c r="E1" s="215"/>
      <c r="F1" s="215"/>
      <c r="G1" s="215"/>
      <c r="H1" s="215"/>
      <c r="I1" s="215"/>
      <c r="J1" s="215"/>
      <c r="K1" s="215"/>
    </row>
    <row r="2" spans="1:11" ht="22.5" x14ac:dyDescent="0.25">
      <c r="A2" s="216" t="s">
        <v>1</v>
      </c>
      <c r="B2" s="216"/>
      <c r="C2" s="216"/>
      <c r="D2" s="216"/>
      <c r="E2" s="216"/>
      <c r="F2" s="216"/>
      <c r="G2" s="216"/>
      <c r="H2" s="216"/>
      <c r="I2" s="216"/>
      <c r="J2" s="216"/>
      <c r="K2" s="216"/>
    </row>
    <row r="3" spans="1:11" x14ac:dyDescent="0.25">
      <c r="A3" s="217" t="s">
        <v>2</v>
      </c>
      <c r="B3" s="217"/>
      <c r="C3" s="217"/>
      <c r="D3" s="217"/>
      <c r="E3" s="217"/>
      <c r="F3" s="217"/>
      <c r="G3" s="217"/>
      <c r="H3" s="217"/>
      <c r="I3" s="217"/>
      <c r="J3" s="217"/>
      <c r="K3" s="217"/>
    </row>
    <row r="4" spans="1:11" x14ac:dyDescent="0.25">
      <c r="A4" s="217" t="s">
        <v>3</v>
      </c>
      <c r="B4" s="217"/>
      <c r="C4" s="217"/>
      <c r="D4" s="217"/>
      <c r="E4" s="217"/>
      <c r="F4" s="217"/>
      <c r="G4" s="217"/>
      <c r="H4" s="217"/>
      <c r="I4" s="217"/>
      <c r="J4" s="217"/>
      <c r="K4" s="217"/>
    </row>
    <row r="5" spans="1:11" ht="18.75" x14ac:dyDescent="0.3">
      <c r="A5" s="218" t="s">
        <v>4</v>
      </c>
      <c r="B5" s="218"/>
      <c r="C5" s="218"/>
      <c r="D5" s="218"/>
      <c r="E5" s="218"/>
      <c r="F5" s="218"/>
      <c r="G5" s="218"/>
      <c r="H5" s="218"/>
      <c r="I5" s="218"/>
      <c r="J5" s="218"/>
      <c r="K5" s="218"/>
    </row>
    <row r="6" spans="1:11" ht="15.75" x14ac:dyDescent="0.25">
      <c r="A6" s="213" t="s">
        <v>111</v>
      </c>
      <c r="B6" s="213"/>
      <c r="C6" s="213"/>
      <c r="D6" s="213"/>
      <c r="E6" s="213"/>
      <c r="F6" s="213"/>
      <c r="G6" s="1"/>
      <c r="H6" s="214" t="s">
        <v>42</v>
      </c>
      <c r="I6" s="214"/>
      <c r="J6" s="214"/>
      <c r="K6" s="214"/>
    </row>
    <row r="7" spans="1:11" ht="15.75" x14ac:dyDescent="0.25">
      <c r="A7" s="221" t="s">
        <v>5</v>
      </c>
      <c r="B7" s="221"/>
      <c r="C7" s="221"/>
      <c r="D7" s="221"/>
      <c r="E7" s="221"/>
      <c r="F7" s="221"/>
      <c r="G7" s="2"/>
      <c r="H7" s="214" t="s">
        <v>110</v>
      </c>
      <c r="I7" s="214"/>
      <c r="J7" s="214"/>
      <c r="K7" s="214"/>
    </row>
    <row r="8" spans="1:11" ht="15" customHeight="1" x14ac:dyDescent="0.25">
      <c r="A8" s="31" t="s">
        <v>6</v>
      </c>
      <c r="B8" s="4" t="s">
        <v>7</v>
      </c>
      <c r="C8" s="3" t="s">
        <v>8</v>
      </c>
      <c r="D8" s="5" t="s">
        <v>9</v>
      </c>
      <c r="E8" s="5" t="s">
        <v>10</v>
      </c>
      <c r="F8" s="5" t="s">
        <v>11</v>
      </c>
      <c r="G8" s="5" t="s">
        <v>12</v>
      </c>
      <c r="H8" s="3" t="s">
        <v>13</v>
      </c>
      <c r="I8" s="5" t="s">
        <v>14</v>
      </c>
      <c r="J8" s="5" t="s">
        <v>15</v>
      </c>
      <c r="K8" s="4" t="s">
        <v>38</v>
      </c>
    </row>
    <row r="9" spans="1:11" ht="31.5" x14ac:dyDescent="0.25">
      <c r="A9" s="19">
        <v>1</v>
      </c>
      <c r="B9" s="35" t="s">
        <v>62</v>
      </c>
      <c r="C9" s="11"/>
      <c r="D9" s="11"/>
      <c r="E9" s="11"/>
      <c r="F9" s="11"/>
      <c r="G9" s="11"/>
      <c r="H9" s="11"/>
      <c r="I9" s="11"/>
      <c r="J9" s="12"/>
      <c r="K9" s="11"/>
    </row>
    <row r="10" spans="1:11" x14ac:dyDescent="0.25">
      <c r="A10" s="19"/>
      <c r="B10" s="33" t="s">
        <v>57</v>
      </c>
      <c r="C10" s="26">
        <v>6</v>
      </c>
      <c r="D10" s="12">
        <v>1.5</v>
      </c>
      <c r="E10" s="12">
        <v>1.5</v>
      </c>
      <c r="F10" s="12">
        <v>1.5</v>
      </c>
      <c r="G10" s="12">
        <f>PRODUCT(C10:F10)</f>
        <v>20.25</v>
      </c>
      <c r="H10" s="11"/>
      <c r="I10" s="11"/>
      <c r="J10" s="12"/>
      <c r="K10" s="11"/>
    </row>
    <row r="11" spans="1:11" x14ac:dyDescent="0.25">
      <c r="A11" s="19"/>
      <c r="B11" s="33" t="s">
        <v>61</v>
      </c>
      <c r="C11" s="26">
        <v>3</v>
      </c>
      <c r="D11" s="12">
        <f>3.5/3.281</f>
        <v>1.0667479427003961</v>
      </c>
      <c r="E11" s="12">
        <v>0.23</v>
      </c>
      <c r="F11" s="12">
        <f>3.5/3.281</f>
        <v>1.0667479427003961</v>
      </c>
      <c r="G11" s="12">
        <f t="shared" ref="G11" si="0">PRODUCT(C11:F11)</f>
        <v>0.78518630954631397</v>
      </c>
      <c r="H11" s="11"/>
      <c r="I11" s="11"/>
      <c r="J11" s="12"/>
      <c r="K11" s="11"/>
    </row>
    <row r="12" spans="1:11" x14ac:dyDescent="0.25">
      <c r="A12" s="19"/>
      <c r="B12" s="33"/>
      <c r="C12" s="26">
        <v>4</v>
      </c>
      <c r="D12" s="12">
        <f>2.5/3.281</f>
        <v>0.76196281621456874</v>
      </c>
      <c r="E12" s="12">
        <v>0.23</v>
      </c>
      <c r="F12" s="12">
        <f>3.5/3.281</f>
        <v>1.0667479427003961</v>
      </c>
      <c r="G12" s="12">
        <f t="shared" ref="G12:G14" si="1">PRODUCT(C12:F12)</f>
        <v>0.74779648528220388</v>
      </c>
      <c r="H12" s="11"/>
      <c r="I12" s="11"/>
      <c r="J12" s="12"/>
      <c r="K12" s="11"/>
    </row>
    <row r="13" spans="1:11" x14ac:dyDescent="0.25">
      <c r="A13" s="19"/>
      <c r="B13" s="33" t="s">
        <v>103</v>
      </c>
      <c r="C13" s="26">
        <v>2</v>
      </c>
      <c r="D13" s="12">
        <f>9/3.281</f>
        <v>2.7430661383724475</v>
      </c>
      <c r="E13" s="12">
        <v>0.3</v>
      </c>
      <c r="F13" s="12">
        <v>0.75</v>
      </c>
      <c r="G13" s="12">
        <f t="shared" si="1"/>
        <v>1.2343797622676014</v>
      </c>
      <c r="H13" s="11"/>
      <c r="I13" s="11"/>
      <c r="J13" s="12"/>
      <c r="K13" s="11"/>
    </row>
    <row r="14" spans="1:11" x14ac:dyDescent="0.25">
      <c r="A14" s="19"/>
      <c r="B14" s="33"/>
      <c r="C14" s="26">
        <v>3</v>
      </c>
      <c r="D14" s="12">
        <f>3/3.281</f>
        <v>0.91435537945748246</v>
      </c>
      <c r="E14" s="12">
        <v>0.3</v>
      </c>
      <c r="F14" s="12">
        <v>0.75</v>
      </c>
      <c r="G14" s="12">
        <f t="shared" si="1"/>
        <v>0.61718988113380069</v>
      </c>
      <c r="H14" s="11"/>
      <c r="I14" s="11"/>
      <c r="J14" s="12"/>
      <c r="K14" s="11"/>
    </row>
    <row r="15" spans="1:11" x14ac:dyDescent="0.25">
      <c r="A15" s="19"/>
      <c r="B15" s="32" t="s">
        <v>16</v>
      </c>
      <c r="C15" s="26"/>
      <c r="D15" s="12"/>
      <c r="E15" s="12"/>
      <c r="F15" s="12"/>
      <c r="G15" s="24">
        <f>SUM(G10:G14)</f>
        <v>23.634552438229921</v>
      </c>
      <c r="H15" s="6" t="s">
        <v>18</v>
      </c>
      <c r="I15" s="7">
        <v>648.9</v>
      </c>
      <c r="J15" s="24">
        <f>G15*I15</f>
        <v>15336.461077167396</v>
      </c>
      <c r="K15" s="11"/>
    </row>
    <row r="16" spans="1:11" x14ac:dyDescent="0.25">
      <c r="A16" s="19"/>
      <c r="B16" s="11"/>
      <c r="C16" s="26"/>
      <c r="D16" s="12"/>
      <c r="E16" s="12"/>
      <c r="F16" s="12"/>
      <c r="G16" s="12"/>
      <c r="H16" s="11"/>
      <c r="I16" s="12"/>
      <c r="J16" s="12"/>
      <c r="K16" s="11"/>
    </row>
    <row r="17" spans="1:11" ht="31.5" x14ac:dyDescent="0.25">
      <c r="A17" s="19">
        <v>2</v>
      </c>
      <c r="B17" s="35" t="s">
        <v>83</v>
      </c>
      <c r="C17" s="26"/>
      <c r="D17" s="12"/>
      <c r="E17" s="12"/>
      <c r="F17" s="12"/>
      <c r="G17" s="12"/>
      <c r="H17" s="11"/>
      <c r="I17" s="12"/>
      <c r="J17" s="12"/>
      <c r="K17" s="11"/>
    </row>
    <row r="18" spans="1:11" x14ac:dyDescent="0.25">
      <c r="A18" s="19"/>
      <c r="B18" s="33" t="s">
        <v>84</v>
      </c>
      <c r="C18" s="26">
        <v>1</v>
      </c>
      <c r="D18" s="12">
        <f>17/3.281</f>
        <v>5.1813471502590671</v>
      </c>
      <c r="E18" s="12">
        <f>15/3.281</f>
        <v>4.5717768972874122</v>
      </c>
      <c r="F18" s="12">
        <v>7.4999999999999997E-2</v>
      </c>
      <c r="G18" s="12">
        <f t="shared" ref="G18" si="2">PRODUCT(C18:F18)</f>
        <v>1.7765972398785279</v>
      </c>
      <c r="H18" s="11"/>
      <c r="I18" s="12"/>
      <c r="J18" s="12"/>
      <c r="K18" s="11"/>
    </row>
    <row r="19" spans="1:11" x14ac:dyDescent="0.25">
      <c r="A19" s="19"/>
      <c r="B19" s="32" t="s">
        <v>16</v>
      </c>
      <c r="C19" s="26"/>
      <c r="D19" s="12"/>
      <c r="E19" s="12"/>
      <c r="F19" s="12"/>
      <c r="G19" s="24">
        <f>SUM(G18)</f>
        <v>1.7765972398785279</v>
      </c>
      <c r="H19" s="6" t="s">
        <v>18</v>
      </c>
      <c r="I19" s="7">
        <v>3600</v>
      </c>
      <c r="J19" s="24">
        <f>G19*I19</f>
        <v>6395.7500635627002</v>
      </c>
      <c r="K19" s="11"/>
    </row>
    <row r="20" spans="1:11" x14ac:dyDescent="0.25">
      <c r="A20" s="19"/>
      <c r="B20" s="11"/>
      <c r="C20" s="26"/>
      <c r="D20" s="12"/>
      <c r="E20" s="12"/>
      <c r="F20" s="12"/>
      <c r="G20" s="12"/>
      <c r="H20" s="11"/>
      <c r="I20" s="12"/>
      <c r="J20" s="12"/>
      <c r="K20" s="11"/>
    </row>
    <row r="21" spans="1:11" ht="15.75" x14ac:dyDescent="0.25">
      <c r="A21" s="19">
        <v>3</v>
      </c>
      <c r="B21" s="35" t="s">
        <v>104</v>
      </c>
      <c r="C21" s="26"/>
      <c r="D21" s="12"/>
      <c r="E21" s="12"/>
      <c r="F21" s="12"/>
      <c r="G21" s="12"/>
      <c r="H21" s="11"/>
      <c r="I21" s="12"/>
      <c r="J21" s="12"/>
      <c r="K21" s="11"/>
    </row>
    <row r="22" spans="1:11" hidden="1" x14ac:dyDescent="0.25">
      <c r="A22" s="19"/>
      <c r="B22" s="33" t="str">
        <f>B37</f>
        <v>-Extending compound</v>
      </c>
      <c r="C22" s="26">
        <v>0</v>
      </c>
      <c r="D22" s="12">
        <f>D37</f>
        <v>16.5</v>
      </c>
      <c r="E22" s="12">
        <f>E37</f>
        <v>1.2</v>
      </c>
      <c r="F22" s="12">
        <v>0.15</v>
      </c>
      <c r="G22" s="12">
        <f>PRODUCT(C22:F22)</f>
        <v>0</v>
      </c>
      <c r="H22" s="11"/>
      <c r="I22" s="11"/>
      <c r="J22" s="12"/>
      <c r="K22" s="11"/>
    </row>
    <row r="23" spans="1:11" x14ac:dyDescent="0.25">
      <c r="A23" s="19"/>
      <c r="B23" s="33" t="s">
        <v>57</v>
      </c>
      <c r="C23" s="26">
        <f t="shared" ref="C23:E25" si="3">C10</f>
        <v>6</v>
      </c>
      <c r="D23" s="12">
        <f t="shared" si="3"/>
        <v>1.5</v>
      </c>
      <c r="E23" s="12">
        <f t="shared" si="3"/>
        <v>1.5</v>
      </c>
      <c r="F23" s="12"/>
      <c r="G23" s="12">
        <f>PRODUCT(C23:F23)</f>
        <v>13.5</v>
      </c>
      <c r="H23" s="11"/>
      <c r="I23" s="11"/>
      <c r="J23" s="12"/>
      <c r="K23" s="11"/>
    </row>
    <row r="24" spans="1:11" x14ac:dyDescent="0.25">
      <c r="A24" s="19"/>
      <c r="B24" s="33" t="s">
        <v>61</v>
      </c>
      <c r="C24" s="26">
        <f t="shared" si="3"/>
        <v>3</v>
      </c>
      <c r="D24" s="12">
        <f t="shared" si="3"/>
        <v>1.0667479427003961</v>
      </c>
      <c r="E24" s="12">
        <f t="shared" si="3"/>
        <v>0.23</v>
      </c>
      <c r="F24" s="12"/>
      <c r="G24" s="12">
        <f t="shared" ref="G24" si="4">PRODUCT(C24:F24)</f>
        <v>0.73605608046327331</v>
      </c>
      <c r="H24" s="11"/>
      <c r="I24" s="11"/>
      <c r="J24" s="12"/>
      <c r="K24" s="11"/>
    </row>
    <row r="25" spans="1:11" x14ac:dyDescent="0.25">
      <c r="A25" s="19"/>
      <c r="B25" s="33"/>
      <c r="C25" s="26">
        <f t="shared" si="3"/>
        <v>4</v>
      </c>
      <c r="D25" s="12">
        <f t="shared" si="3"/>
        <v>0.76196281621456874</v>
      </c>
      <c r="E25" s="12">
        <f t="shared" si="3"/>
        <v>0.23</v>
      </c>
      <c r="F25" s="12"/>
      <c r="G25" s="12">
        <f t="shared" ref="G25:G28" si="5">PRODUCT(C25:F25)</f>
        <v>0.70100579091740323</v>
      </c>
      <c r="H25" s="11"/>
      <c r="I25" s="11"/>
      <c r="J25" s="12"/>
      <c r="K25" s="11"/>
    </row>
    <row r="26" spans="1:11" x14ac:dyDescent="0.25">
      <c r="A26" s="19"/>
      <c r="B26" s="33" t="s">
        <v>63</v>
      </c>
      <c r="C26" s="26">
        <v>2</v>
      </c>
      <c r="D26" s="12">
        <f>11.5/3.281</f>
        <v>3.5050289545870159</v>
      </c>
      <c r="E26" s="12">
        <f>8.5/3.281</f>
        <v>2.5906735751295336</v>
      </c>
      <c r="F26" s="12"/>
      <c r="G26" s="12">
        <f t="shared" si="5"/>
        <v>18.160771785424952</v>
      </c>
      <c r="H26" s="11"/>
      <c r="I26" s="11"/>
      <c r="J26" s="12"/>
      <c r="K26" s="11"/>
    </row>
    <row r="27" spans="1:11" x14ac:dyDescent="0.25">
      <c r="A27" s="19"/>
      <c r="B27" s="33" t="str">
        <f>B13</f>
        <v>-For toilet</v>
      </c>
      <c r="C27" s="26">
        <f t="shared" ref="C27:E28" si="6">C13</f>
        <v>2</v>
      </c>
      <c r="D27" s="12">
        <f t="shared" si="6"/>
        <v>2.7430661383724475</v>
      </c>
      <c r="E27" s="12">
        <f t="shared" si="6"/>
        <v>0.3</v>
      </c>
      <c r="F27" s="12"/>
      <c r="G27" s="12">
        <f t="shared" si="5"/>
        <v>1.6458396830234685</v>
      </c>
      <c r="H27" s="11"/>
      <c r="I27" s="11"/>
      <c r="J27" s="12"/>
      <c r="K27" s="11"/>
    </row>
    <row r="28" spans="1:11" x14ac:dyDescent="0.25">
      <c r="A28" s="19"/>
      <c r="B28" s="33"/>
      <c r="C28" s="26">
        <f t="shared" si="6"/>
        <v>3</v>
      </c>
      <c r="D28" s="12">
        <f t="shared" si="6"/>
        <v>0.91435537945748246</v>
      </c>
      <c r="E28" s="12">
        <f t="shared" si="6"/>
        <v>0.3</v>
      </c>
      <c r="F28" s="12"/>
      <c r="G28" s="12">
        <f t="shared" si="5"/>
        <v>0.82291984151173425</v>
      </c>
      <c r="H28" s="11"/>
      <c r="I28" s="11"/>
      <c r="J28" s="12"/>
      <c r="K28" s="11"/>
    </row>
    <row r="29" spans="1:11" x14ac:dyDescent="0.25">
      <c r="A29" s="19"/>
      <c r="B29" s="32" t="s">
        <v>16</v>
      </c>
      <c r="C29" s="26"/>
      <c r="D29" s="12"/>
      <c r="E29" s="12"/>
      <c r="F29" s="12"/>
      <c r="G29" s="24">
        <f>SUM(G22:G28)</f>
        <v>35.566593181340828</v>
      </c>
      <c r="H29" s="6" t="s">
        <v>18</v>
      </c>
      <c r="I29" s="27">
        <v>985.37</v>
      </c>
      <c r="J29" s="8">
        <f>G29*I29</f>
        <v>35046.253923097815</v>
      </c>
      <c r="K29" s="11"/>
    </row>
    <row r="30" spans="1:11" x14ac:dyDescent="0.25">
      <c r="A30" s="19"/>
      <c r="B30" s="32" t="s">
        <v>17</v>
      </c>
      <c r="C30" s="26"/>
      <c r="D30" s="12"/>
      <c r="E30" s="12"/>
      <c r="F30" s="12"/>
      <c r="G30" s="12"/>
      <c r="H30" s="6"/>
      <c r="I30" s="29"/>
      <c r="J30" s="8">
        <f>0.13*G29*(8353.81)/10</f>
        <v>3862.5153031948189</v>
      </c>
      <c r="K30" s="11"/>
    </row>
    <row r="31" spans="1:11" x14ac:dyDescent="0.25">
      <c r="A31" s="19"/>
      <c r="B31" s="11"/>
      <c r="C31" s="26"/>
      <c r="D31" s="12"/>
      <c r="E31" s="12"/>
      <c r="F31" s="12"/>
      <c r="G31" s="12"/>
      <c r="H31" s="11"/>
      <c r="I31" s="12"/>
      <c r="J31" s="12"/>
      <c r="K31" s="11"/>
    </row>
    <row r="32" spans="1:11" ht="77.25" x14ac:dyDescent="0.25">
      <c r="A32" s="19">
        <v>4</v>
      </c>
      <c r="B32" s="35" t="s">
        <v>155</v>
      </c>
      <c r="C32" s="26"/>
      <c r="D32" s="12"/>
      <c r="E32" s="12"/>
      <c r="F32" s="12"/>
      <c r="G32" s="12"/>
      <c r="H32" s="11"/>
      <c r="I32" s="12"/>
      <c r="J32" s="12"/>
      <c r="K32" s="11"/>
    </row>
    <row r="33" spans="1:11" x14ac:dyDescent="0.25">
      <c r="A33" s="19"/>
      <c r="B33" s="32" t="str">
        <f>B37</f>
        <v>-Extending compound</v>
      </c>
      <c r="C33" s="26">
        <v>1</v>
      </c>
      <c r="D33" s="12">
        <f>D48</f>
        <v>14.5</v>
      </c>
      <c r="E33" s="12">
        <v>0.9</v>
      </c>
      <c r="F33" s="12">
        <v>0.3</v>
      </c>
      <c r="G33" s="12">
        <f>PRODUCT(C33:F33)</f>
        <v>3.915</v>
      </c>
      <c r="H33" s="11"/>
      <c r="I33" s="12"/>
      <c r="J33" s="12"/>
      <c r="K33" s="11"/>
    </row>
    <row r="34" spans="1:11" x14ac:dyDescent="0.25">
      <c r="A34" s="19"/>
      <c r="B34" s="32" t="s">
        <v>16</v>
      </c>
      <c r="C34" s="26"/>
      <c r="D34" s="12"/>
      <c r="E34" s="12"/>
      <c r="F34" s="12"/>
      <c r="G34" s="24">
        <f>SUM(G33)</f>
        <v>3.915</v>
      </c>
      <c r="H34" s="6" t="s">
        <v>18</v>
      </c>
      <c r="I34" s="27">
        <v>451.4</v>
      </c>
      <c r="J34" s="8">
        <f>G34*I34</f>
        <v>1767.231</v>
      </c>
      <c r="K34" s="11"/>
    </row>
    <row r="35" spans="1:11" x14ac:dyDescent="0.25">
      <c r="A35" s="19"/>
      <c r="B35" s="11"/>
      <c r="C35" s="26"/>
      <c r="D35" s="12"/>
      <c r="E35" s="12"/>
      <c r="F35" s="12"/>
      <c r="G35" s="12"/>
      <c r="H35" s="11"/>
      <c r="I35" s="12"/>
      <c r="J35" s="12"/>
      <c r="K35" s="11"/>
    </row>
    <row r="36" spans="1:11" s="9" customFormat="1" ht="30" x14ac:dyDescent="0.25">
      <c r="A36" s="19">
        <v>5</v>
      </c>
      <c r="B36" s="28" t="s">
        <v>40</v>
      </c>
      <c r="C36" s="26"/>
      <c r="D36" s="12"/>
      <c r="E36" s="12"/>
      <c r="F36" s="12"/>
      <c r="G36" s="12"/>
      <c r="H36" s="11"/>
      <c r="I36" s="12"/>
      <c r="J36" s="12"/>
      <c r="K36" s="11"/>
    </row>
    <row r="37" spans="1:11" x14ac:dyDescent="0.25">
      <c r="A37" s="19"/>
      <c r="B37" s="33" t="str">
        <f>B55</f>
        <v>-Extending compound</v>
      </c>
      <c r="C37" s="26">
        <f>C55</f>
        <v>1</v>
      </c>
      <c r="D37" s="12">
        <f>D55</f>
        <v>16.5</v>
      </c>
      <c r="E37" s="12">
        <f>1.2</f>
        <v>1.2</v>
      </c>
      <c r="F37" s="12">
        <v>0.05</v>
      </c>
      <c r="G37" s="12">
        <f>PRODUCT(C37:F37)</f>
        <v>0.9900000000000001</v>
      </c>
      <c r="H37" s="11"/>
      <c r="I37" s="11"/>
      <c r="J37" s="12"/>
      <c r="K37" s="11"/>
    </row>
    <row r="38" spans="1:11" x14ac:dyDescent="0.25">
      <c r="A38" s="19"/>
      <c r="B38" s="33" t="s">
        <v>57</v>
      </c>
      <c r="C38" s="26">
        <f t="shared" ref="C38:E38" si="7">C23</f>
        <v>6</v>
      </c>
      <c r="D38" s="12">
        <f t="shared" si="7"/>
        <v>1.5</v>
      </c>
      <c r="E38" s="12">
        <f t="shared" si="7"/>
        <v>1.5</v>
      </c>
      <c r="F38" s="12">
        <v>0.05</v>
      </c>
      <c r="G38" s="12">
        <f>PRODUCT(C38:F38)</f>
        <v>0.67500000000000004</v>
      </c>
      <c r="H38" s="11"/>
      <c r="I38" s="11"/>
      <c r="J38" s="12"/>
      <c r="K38" s="11"/>
    </row>
    <row r="39" spans="1:11" x14ac:dyDescent="0.25">
      <c r="A39" s="19"/>
      <c r="B39" s="33" t="s">
        <v>61</v>
      </c>
      <c r="C39" s="26">
        <f t="shared" ref="C39:E41" si="8">C24</f>
        <v>3</v>
      </c>
      <c r="D39" s="12">
        <f t="shared" si="8"/>
        <v>1.0667479427003961</v>
      </c>
      <c r="E39" s="12">
        <f t="shared" si="8"/>
        <v>0.23</v>
      </c>
      <c r="F39" s="12">
        <v>0.05</v>
      </c>
      <c r="G39" s="12">
        <f t="shared" ref="G39" si="9">PRODUCT(C39:F39)</f>
        <v>3.6802804023163667E-2</v>
      </c>
      <c r="H39" s="11"/>
      <c r="I39" s="11"/>
      <c r="J39" s="12"/>
      <c r="K39" s="11"/>
    </row>
    <row r="40" spans="1:11" x14ac:dyDescent="0.25">
      <c r="A40" s="19"/>
      <c r="B40" s="33"/>
      <c r="C40" s="26">
        <f t="shared" si="8"/>
        <v>4</v>
      </c>
      <c r="D40" s="12">
        <f t="shared" si="8"/>
        <v>0.76196281621456874</v>
      </c>
      <c r="E40" s="12">
        <f t="shared" si="8"/>
        <v>0.23</v>
      </c>
      <c r="F40" s="12">
        <v>0.05</v>
      </c>
      <c r="G40" s="12">
        <f t="shared" ref="G40:G43" si="10">PRODUCT(C40:F40)</f>
        <v>3.505028954587016E-2</v>
      </c>
      <c r="H40" s="11"/>
      <c r="I40" s="11"/>
      <c r="J40" s="12"/>
      <c r="K40" s="11"/>
    </row>
    <row r="41" spans="1:11" x14ac:dyDescent="0.25">
      <c r="A41" s="19"/>
      <c r="B41" s="33" t="s">
        <v>63</v>
      </c>
      <c r="C41" s="26">
        <f t="shared" si="8"/>
        <v>2</v>
      </c>
      <c r="D41" s="12">
        <f t="shared" si="8"/>
        <v>3.5050289545870159</v>
      </c>
      <c r="E41" s="12">
        <f t="shared" si="8"/>
        <v>2.5906735751295336</v>
      </c>
      <c r="F41" s="12">
        <v>7.4999999999999997E-2</v>
      </c>
      <c r="G41" s="12">
        <f t="shared" si="10"/>
        <v>1.3620578839068713</v>
      </c>
      <c r="H41" s="11"/>
      <c r="I41" s="11"/>
      <c r="J41" s="12"/>
      <c r="K41" s="11"/>
    </row>
    <row r="42" spans="1:11" x14ac:dyDescent="0.25">
      <c r="A42" s="19"/>
      <c r="B42" s="33" t="str">
        <f>B27</f>
        <v>-For toilet</v>
      </c>
      <c r="C42" s="26">
        <f>C27</f>
        <v>2</v>
      </c>
      <c r="D42" s="12">
        <f>D27</f>
        <v>2.7430661383724475</v>
      </c>
      <c r="E42" s="12">
        <f>E28</f>
        <v>0.3</v>
      </c>
      <c r="F42" s="12">
        <v>0.05</v>
      </c>
      <c r="G42" s="12">
        <f t="shared" si="10"/>
        <v>8.2291984151173433E-2</v>
      </c>
      <c r="H42" s="11"/>
      <c r="I42" s="11"/>
      <c r="J42" s="12"/>
      <c r="K42" s="11"/>
    </row>
    <row r="43" spans="1:11" x14ac:dyDescent="0.25">
      <c r="A43" s="19"/>
      <c r="B43" s="33"/>
      <c r="C43" s="26">
        <f>C28</f>
        <v>3</v>
      </c>
      <c r="D43" s="12">
        <f>D28</f>
        <v>0.91435537945748246</v>
      </c>
      <c r="E43" s="12">
        <f>E28</f>
        <v>0.3</v>
      </c>
      <c r="F43" s="12">
        <v>0.05</v>
      </c>
      <c r="G43" s="12">
        <f t="shared" si="10"/>
        <v>4.1145992075586717E-2</v>
      </c>
      <c r="H43" s="11"/>
      <c r="I43" s="11"/>
      <c r="J43" s="12"/>
      <c r="K43" s="11"/>
    </row>
    <row r="44" spans="1:11" x14ac:dyDescent="0.25">
      <c r="A44" s="19"/>
      <c r="B44" s="32" t="s">
        <v>16</v>
      </c>
      <c r="C44" s="26"/>
      <c r="D44" s="12"/>
      <c r="E44" s="12"/>
      <c r="F44" s="12"/>
      <c r="G44" s="24">
        <f>SUM(G37:G43)</f>
        <v>3.2223489537026655</v>
      </c>
      <c r="H44" s="19" t="s">
        <v>18</v>
      </c>
      <c r="I44" s="27">
        <v>13509.07</v>
      </c>
      <c r="J44" s="8">
        <f>G44*I44</f>
        <v>43530.937579996069</v>
      </c>
      <c r="K44" s="11"/>
    </row>
    <row r="45" spans="1:11" x14ac:dyDescent="0.25">
      <c r="A45" s="19"/>
      <c r="B45" s="32" t="s">
        <v>17</v>
      </c>
      <c r="C45" s="26"/>
      <c r="D45" s="12"/>
      <c r="E45" s="12"/>
      <c r="F45" s="12"/>
      <c r="G45" s="12"/>
      <c r="H45" s="11"/>
      <c r="I45" s="29"/>
      <c r="J45" s="8">
        <f>0.13*G44*(8709.07)</f>
        <v>3648.2761382890258</v>
      </c>
      <c r="K45" s="11"/>
    </row>
    <row r="46" spans="1:11" x14ac:dyDescent="0.25">
      <c r="A46" s="19"/>
      <c r="B46" s="32"/>
      <c r="C46" s="26"/>
      <c r="D46" s="12"/>
      <c r="E46" s="12"/>
      <c r="F46" s="12"/>
      <c r="G46" s="12"/>
      <c r="H46" s="11"/>
      <c r="I46" s="29"/>
      <c r="J46" s="8"/>
      <c r="K46" s="11"/>
    </row>
    <row r="47" spans="1:11" ht="45" x14ac:dyDescent="0.25">
      <c r="A47" s="20">
        <v>6</v>
      </c>
      <c r="B47" s="28" t="s">
        <v>81</v>
      </c>
      <c r="C47" s="21"/>
      <c r="D47" s="22"/>
      <c r="E47" s="23"/>
      <c r="F47" s="23"/>
      <c r="G47" s="7"/>
      <c r="H47" s="6"/>
      <c r="I47" s="7"/>
      <c r="J47" s="24"/>
      <c r="K47" s="23"/>
    </row>
    <row r="48" spans="1:11" x14ac:dyDescent="0.25">
      <c r="A48" s="19"/>
      <c r="B48" s="43" t="str">
        <f>B55</f>
        <v>-Extending compound</v>
      </c>
      <c r="C48" s="26">
        <v>1</v>
      </c>
      <c r="D48" s="12">
        <v>14.5</v>
      </c>
      <c r="E48" s="12">
        <f>0.23/2</f>
        <v>0.115</v>
      </c>
      <c r="F48" s="12">
        <v>2</v>
      </c>
      <c r="G48" s="12">
        <f>PRODUCT(C48:F48)</f>
        <v>3.335</v>
      </c>
      <c r="H48" s="11"/>
      <c r="I48" s="29"/>
      <c r="J48" s="8"/>
      <c r="K48" s="11"/>
    </row>
    <row r="49" spans="1:11" x14ac:dyDescent="0.25">
      <c r="A49" s="19"/>
      <c r="B49" s="43"/>
      <c r="C49" s="26">
        <v>9</v>
      </c>
      <c r="D49" s="12">
        <v>0.23</v>
      </c>
      <c r="E49" s="12">
        <f>0.23/2</f>
        <v>0.115</v>
      </c>
      <c r="F49" s="12">
        <v>2</v>
      </c>
      <c r="G49" s="12">
        <f>PRODUCT(C49:F49)</f>
        <v>0.47610000000000008</v>
      </c>
      <c r="H49" s="11"/>
      <c r="I49" s="29"/>
      <c r="J49" s="8"/>
      <c r="K49" s="11"/>
    </row>
    <row r="50" spans="1:11" x14ac:dyDescent="0.25">
      <c r="A50" s="19"/>
      <c r="B50" s="43" t="s">
        <v>82</v>
      </c>
      <c r="C50" s="26">
        <v>2</v>
      </c>
      <c r="D50" s="12">
        <f>17.667/3.281</f>
        <v>5.3846388296251142</v>
      </c>
      <c r="E50" s="12">
        <v>0.23</v>
      </c>
      <c r="F50" s="12">
        <f>5.667/3.281</f>
        <v>1.7272173117951843</v>
      </c>
      <c r="G50" s="12">
        <f>PRODUCT(C50:F50)</f>
        <v>4.2782030459748066</v>
      </c>
      <c r="H50" s="11"/>
      <c r="I50" s="29"/>
      <c r="J50" s="8"/>
      <c r="K50" s="11"/>
    </row>
    <row r="51" spans="1:11" x14ac:dyDescent="0.25">
      <c r="A51" s="19"/>
      <c r="B51" s="43"/>
      <c r="C51" s="26">
        <v>2</v>
      </c>
      <c r="D51" s="12">
        <f>10.25/3.281</f>
        <v>3.1240475464797317</v>
      </c>
      <c r="E51" s="12">
        <v>0.23</v>
      </c>
      <c r="F51" s="12">
        <f>5.667/3.281</f>
        <v>1.7272173117951843</v>
      </c>
      <c r="G51" s="12">
        <f>PRODUCT(C51:F51)</f>
        <v>2.4821181423694894</v>
      </c>
      <c r="H51" s="11"/>
      <c r="I51" s="29"/>
      <c r="J51" s="8"/>
      <c r="K51" s="11"/>
    </row>
    <row r="52" spans="1:11" ht="15" customHeight="1" x14ac:dyDescent="0.25">
      <c r="A52" s="19"/>
      <c r="B52" s="25" t="s">
        <v>16</v>
      </c>
      <c r="C52" s="26"/>
      <c r="D52" s="12"/>
      <c r="E52" s="12"/>
      <c r="F52" s="12"/>
      <c r="G52" s="24">
        <f>SUM(G48:G51)</f>
        <v>10.571421188344296</v>
      </c>
      <c r="H52" s="24" t="s">
        <v>18</v>
      </c>
      <c r="I52" s="27">
        <v>1908</v>
      </c>
      <c r="J52" s="8">
        <f>G52*I52</f>
        <v>20170.271627360915</v>
      </c>
      <c r="K52" s="11"/>
    </row>
    <row r="53" spans="1:11" ht="15" customHeight="1" x14ac:dyDescent="0.25">
      <c r="A53" s="20"/>
      <c r="B53" s="25"/>
      <c r="C53" s="21"/>
      <c r="D53" s="22"/>
      <c r="E53" s="23"/>
      <c r="F53" s="23"/>
      <c r="G53" s="7"/>
      <c r="H53" s="6"/>
      <c r="I53" s="7"/>
      <c r="J53" s="24"/>
      <c r="K53" s="23"/>
    </row>
    <row r="54" spans="1:11" ht="30" x14ac:dyDescent="0.25">
      <c r="A54" s="19">
        <v>7</v>
      </c>
      <c r="B54" s="28" t="s">
        <v>39</v>
      </c>
      <c r="C54" s="26"/>
      <c r="D54" s="12"/>
      <c r="E54" s="12"/>
      <c r="F54" s="12"/>
      <c r="G54" s="12"/>
      <c r="H54" s="11"/>
      <c r="I54" s="29"/>
      <c r="J54" s="8"/>
      <c r="K54" s="11"/>
    </row>
    <row r="55" spans="1:11" x14ac:dyDescent="0.25">
      <c r="A55" s="19"/>
      <c r="B55" s="43" t="s">
        <v>74</v>
      </c>
      <c r="C55" s="26">
        <v>1</v>
      </c>
      <c r="D55" s="12">
        <f>D48+2</f>
        <v>16.5</v>
      </c>
      <c r="E55" s="12">
        <f>0.23/2</f>
        <v>0.115</v>
      </c>
      <c r="F55" s="12">
        <v>1.5</v>
      </c>
      <c r="G55" s="12">
        <f t="shared" ref="G55" si="11">PRODUCT(C55:F55)</f>
        <v>2.8462500000000004</v>
      </c>
      <c r="H55" s="11"/>
      <c r="I55" s="29"/>
      <c r="J55" s="8"/>
      <c r="K55" s="11"/>
    </row>
    <row r="56" spans="1:11" x14ac:dyDescent="0.25">
      <c r="A56" s="19"/>
      <c r="B56" s="43"/>
      <c r="C56" s="26">
        <v>11</v>
      </c>
      <c r="D56" s="12">
        <f>D49</f>
        <v>0.23</v>
      </c>
      <c r="E56" s="12">
        <f>0.23/2</f>
        <v>0.115</v>
      </c>
      <c r="F56" s="12">
        <v>1.5</v>
      </c>
      <c r="G56" s="12">
        <f t="shared" ref="G56" si="12">PRODUCT(C56:F56)</f>
        <v>0.43642500000000006</v>
      </c>
      <c r="H56" s="11"/>
      <c r="I56" s="29"/>
      <c r="J56" s="8"/>
      <c r="K56" s="11"/>
    </row>
    <row r="57" spans="1:11" x14ac:dyDescent="0.25">
      <c r="A57" s="19"/>
      <c r="B57" s="32" t="s">
        <v>58</v>
      </c>
      <c r="C57" s="26">
        <f>C39</f>
        <v>3</v>
      </c>
      <c r="D57" s="12">
        <f>D26</f>
        <v>3.5050289545870159</v>
      </c>
      <c r="E57" s="12">
        <f>E39</f>
        <v>0.23</v>
      </c>
      <c r="F57" s="12">
        <f>3.5/3.281</f>
        <v>1.0667479427003961</v>
      </c>
      <c r="G57" s="12">
        <f t="shared" ref="G57:G64" si="13">PRODUCT(C57:F57)</f>
        <v>2.5798978742236036</v>
      </c>
      <c r="H57" s="11"/>
      <c r="I57" s="11"/>
      <c r="J57" s="12"/>
      <c r="K57" s="11"/>
    </row>
    <row r="58" spans="1:11" x14ac:dyDescent="0.25">
      <c r="A58" s="19"/>
      <c r="B58" s="32"/>
      <c r="C58" s="26">
        <f>C40</f>
        <v>4</v>
      </c>
      <c r="D58" s="12">
        <f>E26</f>
        <v>2.5906735751295336</v>
      </c>
      <c r="E58" s="12">
        <f>E40</f>
        <v>0.23</v>
      </c>
      <c r="F58" s="12">
        <f>3.5/3.281</f>
        <v>1.0667479427003961</v>
      </c>
      <c r="G58" s="12">
        <f t="shared" si="13"/>
        <v>2.5425080499594932</v>
      </c>
      <c r="H58" s="11"/>
      <c r="I58" s="11"/>
      <c r="J58" s="12"/>
      <c r="K58" s="11"/>
    </row>
    <row r="59" spans="1:11" x14ac:dyDescent="0.25">
      <c r="A59" s="19"/>
      <c r="B59" s="33" t="s">
        <v>73</v>
      </c>
      <c r="C59" s="26">
        <f>2*1+1</f>
        <v>3</v>
      </c>
      <c r="D59" s="12">
        <f>D57</f>
        <v>3.5050289545870159</v>
      </c>
      <c r="E59" s="12">
        <f>E57</f>
        <v>0.23</v>
      </c>
      <c r="F59" s="12">
        <f>8.17/3.281</f>
        <v>2.4900944833892105</v>
      </c>
      <c r="G59" s="12">
        <f t="shared" si="13"/>
        <v>6.0222187521162409</v>
      </c>
      <c r="H59" s="11"/>
      <c r="I59" s="11"/>
      <c r="J59" s="12"/>
      <c r="K59" s="11"/>
    </row>
    <row r="60" spans="1:11" x14ac:dyDescent="0.25">
      <c r="A60" s="19"/>
      <c r="B60" s="33"/>
      <c r="C60" s="26">
        <f>2*2+2</f>
        <v>6</v>
      </c>
      <c r="D60" s="12">
        <f>D58</f>
        <v>2.5906735751295336</v>
      </c>
      <c r="E60" s="12">
        <f>E58</f>
        <v>0.23</v>
      </c>
      <c r="F60" s="12">
        <f>8.17/3.281</f>
        <v>2.4900944833892105</v>
      </c>
      <c r="G60" s="12">
        <f t="shared" si="13"/>
        <v>8.9024103292153107</v>
      </c>
      <c r="H60" s="11"/>
      <c r="I60" s="11"/>
      <c r="J60" s="12"/>
      <c r="K60" s="11"/>
    </row>
    <row r="61" spans="1:11" x14ac:dyDescent="0.25">
      <c r="A61" s="19"/>
      <c r="B61" s="33" t="s">
        <v>75</v>
      </c>
      <c r="C61" s="26">
        <v>-3</v>
      </c>
      <c r="D61" s="12">
        <v>1.2</v>
      </c>
      <c r="E61" s="12">
        <v>0.23</v>
      </c>
      <c r="F61" s="12">
        <v>1.2</v>
      </c>
      <c r="G61" s="12">
        <f t="shared" si="13"/>
        <v>-0.99359999999999993</v>
      </c>
      <c r="H61" s="11"/>
      <c r="I61" s="11"/>
      <c r="J61" s="12"/>
      <c r="K61" s="11"/>
    </row>
    <row r="62" spans="1:11" x14ac:dyDescent="0.25">
      <c r="A62" s="19"/>
      <c r="B62" s="33" t="str">
        <f>B42</f>
        <v>-For toilet</v>
      </c>
      <c r="C62" s="26">
        <f>C42</f>
        <v>2</v>
      </c>
      <c r="D62" s="12">
        <f>D42</f>
        <v>2.7430661383724475</v>
      </c>
      <c r="E62" s="12">
        <f>0.23</f>
        <v>0.23</v>
      </c>
      <c r="F62" s="12">
        <f>8/3.281</f>
        <v>2.4382810118866196</v>
      </c>
      <c r="G62" s="12">
        <f t="shared" si="13"/>
        <v>3.076648396589639</v>
      </c>
      <c r="H62" s="11"/>
      <c r="I62" s="11"/>
      <c r="J62" s="12"/>
      <c r="K62" s="11"/>
    </row>
    <row r="63" spans="1:11" x14ac:dyDescent="0.25">
      <c r="A63" s="19"/>
      <c r="B63" s="33"/>
      <c r="C63" s="26">
        <f>C43</f>
        <v>3</v>
      </c>
      <c r="D63" s="12">
        <f>D43</f>
        <v>0.91435537945748246</v>
      </c>
      <c r="E63" s="12">
        <f>0.23</f>
        <v>0.23</v>
      </c>
      <c r="F63" s="12">
        <f>8/3.281</f>
        <v>2.4382810118866196</v>
      </c>
      <c r="G63" s="12">
        <f t="shared" si="13"/>
        <v>1.5383241982948195</v>
      </c>
      <c r="H63" s="11"/>
      <c r="I63" s="11"/>
      <c r="J63" s="12"/>
      <c r="K63" s="11"/>
    </row>
    <row r="64" spans="1:11" x14ac:dyDescent="0.25">
      <c r="A64" s="19"/>
      <c r="B64" s="33" t="s">
        <v>106</v>
      </c>
      <c r="C64" s="26">
        <v>-2</v>
      </c>
      <c r="D64" s="12">
        <f>2.5/3.281</f>
        <v>0.76196281621456874</v>
      </c>
      <c r="E64">
        <v>0.23</v>
      </c>
      <c r="F64" s="12">
        <f>6/3.281</f>
        <v>1.8287107589149649</v>
      </c>
      <c r="G64" s="12">
        <f t="shared" si="13"/>
        <v>-0.64096841595617482</v>
      </c>
      <c r="H64" s="11"/>
      <c r="I64" s="11"/>
      <c r="J64" s="12"/>
      <c r="K64" s="11"/>
    </row>
    <row r="65" spans="1:11" x14ac:dyDescent="0.25">
      <c r="A65" s="19"/>
      <c r="B65" s="32" t="s">
        <v>16</v>
      </c>
      <c r="C65" s="26"/>
      <c r="D65" s="12"/>
      <c r="E65" s="12"/>
      <c r="F65" s="12"/>
      <c r="G65" s="24">
        <f>SUM(G55:G64)</f>
        <v>26.310114184442934</v>
      </c>
      <c r="H65" s="19" t="s">
        <v>18</v>
      </c>
      <c r="I65" s="27">
        <v>14520.78</v>
      </c>
      <c r="J65" s="8">
        <f>G65*I65</f>
        <v>382043.37984717527</v>
      </c>
      <c r="K65" s="11"/>
    </row>
    <row r="66" spans="1:11" x14ac:dyDescent="0.25">
      <c r="A66" s="19"/>
      <c r="B66" s="32" t="s">
        <v>17</v>
      </c>
      <c r="C66" s="26"/>
      <c r="D66" s="12"/>
      <c r="E66" s="12"/>
      <c r="F66" s="12"/>
      <c r="G66" s="12"/>
      <c r="H66" s="11"/>
      <c r="I66" s="29"/>
      <c r="J66" s="8">
        <f>0.13*G65*(10555.39)</f>
        <v>36102.757100972522</v>
      </c>
      <c r="K66" s="11"/>
    </row>
    <row r="67" spans="1:11" x14ac:dyDescent="0.25">
      <c r="A67" s="19"/>
      <c r="B67" s="32"/>
      <c r="C67" s="26"/>
      <c r="D67" s="12"/>
      <c r="E67" s="12"/>
      <c r="F67" s="12"/>
      <c r="G67" s="12"/>
      <c r="H67" s="11"/>
      <c r="I67" s="29"/>
      <c r="J67" s="8"/>
      <c r="K67" s="11"/>
    </row>
    <row r="68" spans="1:11" s="9" customFormat="1" ht="30" x14ac:dyDescent="0.25">
      <c r="A68" s="20">
        <v>8</v>
      </c>
      <c r="B68" s="28" t="s">
        <v>31</v>
      </c>
      <c r="C68" s="21"/>
      <c r="D68" s="22"/>
      <c r="E68" s="23"/>
      <c r="F68" s="23"/>
      <c r="G68" s="7"/>
      <c r="H68" s="6"/>
      <c r="I68" s="7"/>
      <c r="J68" s="24"/>
      <c r="K68" s="23"/>
    </row>
    <row r="69" spans="1:11" x14ac:dyDescent="0.25">
      <c r="A69" s="19"/>
      <c r="B69" s="33" t="s">
        <v>57</v>
      </c>
      <c r="C69" s="26">
        <f>C38</f>
        <v>6</v>
      </c>
      <c r="D69" s="12">
        <f>D38</f>
        <v>1.5</v>
      </c>
      <c r="E69" s="12">
        <f>E38</f>
        <v>1.5</v>
      </c>
      <c r="F69" s="12">
        <v>0.23</v>
      </c>
      <c r="G69" s="12">
        <f t="shared" ref="G69" si="14">PRODUCT(C69:F69)</f>
        <v>3.105</v>
      </c>
      <c r="H69" s="11"/>
      <c r="I69" s="11"/>
      <c r="J69" s="12"/>
      <c r="K69" s="11"/>
    </row>
    <row r="70" spans="1:11" x14ac:dyDescent="0.25">
      <c r="A70" s="19"/>
      <c r="B70" s="33"/>
      <c r="C70" s="26">
        <v>4</v>
      </c>
      <c r="D70" s="12">
        <f>1.17/3.281</f>
        <v>0.35659859798841814</v>
      </c>
      <c r="E70" s="12">
        <f>1.17/3.281</f>
        <v>0.35659859798841814</v>
      </c>
      <c r="F70" s="12">
        <v>0.23</v>
      </c>
      <c r="G70" s="12">
        <f>C70*((F70/3)*((D70*E70)+(D69*E69)+SQRT((D70*E70)*(D69*E69))))</f>
        <v>0.89303187350144619</v>
      </c>
      <c r="H70" s="11"/>
      <c r="I70" s="11"/>
      <c r="J70" s="12"/>
      <c r="K70" s="11"/>
    </row>
    <row r="71" spans="1:11" x14ac:dyDescent="0.25">
      <c r="A71" s="19"/>
      <c r="B71" s="33"/>
      <c r="C71" s="26">
        <v>2</v>
      </c>
      <c r="D71" s="12">
        <f>1.17/3.281</f>
        <v>0.35659859798841814</v>
      </c>
      <c r="E71" s="12">
        <f>1.333/3.281</f>
        <v>0.40627857360560804</v>
      </c>
      <c r="F71" s="12">
        <v>0.23</v>
      </c>
      <c r="G71" s="12">
        <f>C71*((F71/3)*((D71*E71)+(D69*E69)+SQRT((D71*E71)*(D69*E69))))</f>
        <v>0.45475933344959002</v>
      </c>
      <c r="H71" s="11"/>
      <c r="I71" s="11"/>
      <c r="J71" s="12"/>
      <c r="K71" s="11"/>
    </row>
    <row r="72" spans="1:11" x14ac:dyDescent="0.25">
      <c r="A72" s="19"/>
      <c r="B72" s="33" t="s">
        <v>64</v>
      </c>
      <c r="C72" s="26">
        <f>C69</f>
        <v>6</v>
      </c>
      <c r="D72" s="12">
        <f>0.3</f>
        <v>0.3</v>
      </c>
      <c r="E72" s="12">
        <v>0.3</v>
      </c>
      <c r="F72" s="12">
        <v>1.5</v>
      </c>
      <c r="G72" s="12">
        <f>PRODUCT(C72:F72)</f>
        <v>0.80999999999999983</v>
      </c>
      <c r="H72" s="11"/>
      <c r="I72" s="11"/>
      <c r="J72" s="12"/>
      <c r="K72" s="11"/>
    </row>
    <row r="73" spans="1:11" x14ac:dyDescent="0.25">
      <c r="A73" s="19"/>
      <c r="B73" s="33" t="s">
        <v>61</v>
      </c>
      <c r="C73" s="26">
        <f>C57</f>
        <v>3</v>
      </c>
      <c r="D73" s="12">
        <f>D26</f>
        <v>3.5050289545870159</v>
      </c>
      <c r="E73" s="12">
        <f>E57</f>
        <v>0.23</v>
      </c>
      <c r="F73" s="12">
        <f>E73</f>
        <v>0.23</v>
      </c>
      <c r="G73" s="12">
        <f>PRODUCT(C73:F73)</f>
        <v>0.55624809509295958</v>
      </c>
      <c r="H73" s="11"/>
      <c r="I73" s="11"/>
      <c r="J73" s="12"/>
      <c r="K73" s="11"/>
    </row>
    <row r="74" spans="1:11" x14ac:dyDescent="0.25">
      <c r="A74" s="19"/>
      <c r="B74" s="33"/>
      <c r="C74" s="26">
        <f>C58</f>
        <v>4</v>
      </c>
      <c r="D74" s="12">
        <f>E26</f>
        <v>2.5906735751295336</v>
      </c>
      <c r="E74" s="12">
        <f>E58</f>
        <v>0.23</v>
      </c>
      <c r="F74" s="12">
        <f>E74</f>
        <v>0.23</v>
      </c>
      <c r="G74" s="12">
        <f>PRODUCT(C74:F74)</f>
        <v>0.54818652849740934</v>
      </c>
      <c r="H74" s="11"/>
      <c r="I74" s="11"/>
      <c r="J74" s="12"/>
      <c r="K74" s="11"/>
    </row>
    <row r="75" spans="1:11" x14ac:dyDescent="0.25">
      <c r="A75" s="19"/>
      <c r="B75" s="33" t="s">
        <v>70</v>
      </c>
      <c r="C75" s="26">
        <f>2*C72</f>
        <v>12</v>
      </c>
      <c r="D75" s="44">
        <f t="shared" ref="D75:E77" si="15">D72</f>
        <v>0.3</v>
      </c>
      <c r="E75" s="12">
        <f t="shared" si="15"/>
        <v>0.3</v>
      </c>
      <c r="F75" s="12">
        <f>(9.333-0.42)/3.281</f>
        <v>2.7165498323681803</v>
      </c>
      <c r="G75" s="12">
        <f>PRODUCT(C75:F75)</f>
        <v>2.9338738189576343</v>
      </c>
      <c r="H75" s="11"/>
      <c r="I75" s="11"/>
      <c r="J75" s="12"/>
      <c r="K75" s="11"/>
    </row>
    <row r="76" spans="1:11" x14ac:dyDescent="0.25">
      <c r="A76" s="19"/>
      <c r="B76" s="33" t="s">
        <v>71</v>
      </c>
      <c r="C76" s="26">
        <f>2*C73</f>
        <v>6</v>
      </c>
      <c r="D76" s="12">
        <f t="shared" si="15"/>
        <v>3.5050289545870159</v>
      </c>
      <c r="E76" s="12">
        <f t="shared" si="15"/>
        <v>0.23</v>
      </c>
      <c r="F76" s="12">
        <f>F73</f>
        <v>0.23</v>
      </c>
      <c r="G76" s="12">
        <f t="shared" ref="G76:G82" si="16">PRODUCT(C76:F76)</f>
        <v>1.1124961901859192</v>
      </c>
      <c r="H76" s="11"/>
      <c r="I76" s="11"/>
      <c r="J76" s="12"/>
      <c r="K76" s="11"/>
    </row>
    <row r="77" spans="1:11" x14ac:dyDescent="0.25">
      <c r="A77" s="19"/>
      <c r="B77" s="33"/>
      <c r="C77" s="26">
        <f>2*C74</f>
        <v>8</v>
      </c>
      <c r="D77" s="12">
        <f t="shared" si="15"/>
        <v>2.5906735751295336</v>
      </c>
      <c r="E77" s="12">
        <f t="shared" si="15"/>
        <v>0.23</v>
      </c>
      <c r="F77" s="12">
        <f>F74</f>
        <v>0.23</v>
      </c>
      <c r="G77" s="12">
        <f t="shared" si="16"/>
        <v>1.0963730569948187</v>
      </c>
      <c r="H77" s="11"/>
      <c r="I77" s="11"/>
      <c r="J77" s="12"/>
      <c r="K77" s="11"/>
    </row>
    <row r="78" spans="1:11" x14ac:dyDescent="0.25">
      <c r="A78" s="19"/>
      <c r="B78" s="33" t="s">
        <v>72</v>
      </c>
      <c r="C78" s="26">
        <f>2*1</f>
        <v>2</v>
      </c>
      <c r="D78" s="12">
        <f>21.5/3.281</f>
        <v>6.5528802194452904</v>
      </c>
      <c r="E78" s="12">
        <f>15/3.281</f>
        <v>4.5717768972874122</v>
      </c>
      <c r="F78" s="12">
        <v>0.125</v>
      </c>
      <c r="G78" s="12">
        <f t="shared" si="16"/>
        <v>7.4895765994879113</v>
      </c>
      <c r="H78" s="11"/>
      <c r="I78" s="11"/>
      <c r="J78" s="12"/>
      <c r="K78" s="11"/>
    </row>
    <row r="79" spans="1:11" x14ac:dyDescent="0.25">
      <c r="A79" s="19"/>
      <c r="B79" s="33" t="s">
        <v>76</v>
      </c>
      <c r="C79" s="26">
        <v>-1</v>
      </c>
      <c r="D79" s="12">
        <v>1.2</v>
      </c>
      <c r="E79" s="12">
        <v>1.2</v>
      </c>
      <c r="F79" s="12">
        <v>0.125</v>
      </c>
      <c r="G79" s="12">
        <f t="shared" si="16"/>
        <v>-0.18</v>
      </c>
      <c r="H79" s="11"/>
      <c r="I79" s="11"/>
      <c r="J79" s="12"/>
      <c r="K79" s="11"/>
    </row>
    <row r="80" spans="1:11" x14ac:dyDescent="0.25">
      <c r="A80" s="19"/>
      <c r="B80" s="33" t="str">
        <f>B42</f>
        <v>-For toilet</v>
      </c>
      <c r="C80" s="26">
        <f>C42</f>
        <v>2</v>
      </c>
      <c r="D80" s="12">
        <f>8.75/3.281</f>
        <v>2.6668698567509903</v>
      </c>
      <c r="E80" s="12">
        <v>0.23</v>
      </c>
      <c r="F80" s="12">
        <v>0.1</v>
      </c>
      <c r="G80" s="12">
        <f>PRODUCT(C80:F80)</f>
        <v>0.12267601341054557</v>
      </c>
      <c r="H80" s="11"/>
      <c r="I80" s="11"/>
      <c r="J80" s="12"/>
      <c r="K80" s="11"/>
    </row>
    <row r="81" spans="1:16" x14ac:dyDescent="0.25">
      <c r="A81" s="19"/>
      <c r="B81" s="33"/>
      <c r="C81" s="26">
        <f>C43</f>
        <v>3</v>
      </c>
      <c r="D81" s="12">
        <f>3.25/3.281</f>
        <v>0.99055166107893933</v>
      </c>
      <c r="E81" s="12">
        <v>0.23</v>
      </c>
      <c r="F81" s="12">
        <v>0.1</v>
      </c>
      <c r="G81" s="12">
        <f t="shared" si="16"/>
        <v>6.8348064614446827E-2</v>
      </c>
      <c r="H81" s="11"/>
      <c r="I81" s="11"/>
      <c r="J81" s="12"/>
      <c r="K81" s="11"/>
    </row>
    <row r="82" spans="1:16" x14ac:dyDescent="0.25">
      <c r="A82" s="19"/>
      <c r="B82" s="33" t="s">
        <v>108</v>
      </c>
      <c r="C82" s="26">
        <v>1</v>
      </c>
      <c r="D82" s="12">
        <f>11.75/3.281</f>
        <v>3.5812252362084727</v>
      </c>
      <c r="E82" s="12">
        <f>7.75/3.281</f>
        <v>2.3620847302651629</v>
      </c>
      <c r="F82" s="12">
        <v>0.1</v>
      </c>
      <c r="G82" s="12">
        <f t="shared" si="16"/>
        <v>0.84591574460882846</v>
      </c>
      <c r="H82" s="11"/>
      <c r="I82" s="11"/>
      <c r="J82" s="12"/>
      <c r="K82" s="11"/>
    </row>
    <row r="83" spans="1:16" ht="15" customHeight="1" x14ac:dyDescent="0.25">
      <c r="A83" s="19"/>
      <c r="B83" s="25" t="s">
        <v>16</v>
      </c>
      <c r="C83" s="26"/>
      <c r="D83" s="12"/>
      <c r="E83" s="12"/>
      <c r="F83" s="12"/>
      <c r="G83" s="24">
        <f>SUM(G69:G82)</f>
        <v>19.856485318801511</v>
      </c>
      <c r="H83" s="24" t="s">
        <v>18</v>
      </c>
      <c r="I83" s="27">
        <v>14200.82</v>
      </c>
      <c r="J83" s="8">
        <f>G83*I83</f>
        <v>281978.37384494283</v>
      </c>
      <c r="K83" s="11"/>
    </row>
    <row r="84" spans="1:16" ht="15" customHeight="1" x14ac:dyDescent="0.25">
      <c r="A84" s="20"/>
      <c r="B84" s="25" t="s">
        <v>41</v>
      </c>
      <c r="C84" s="21"/>
      <c r="D84" s="22"/>
      <c r="E84" s="23"/>
      <c r="F84" s="23"/>
      <c r="G84" s="7"/>
      <c r="H84" s="6"/>
      <c r="I84" s="7"/>
      <c r="J84" s="24">
        <f>0.13*G83*10250.02</f>
        <v>26458.818314164844</v>
      </c>
      <c r="K84" s="23"/>
    </row>
    <row r="85" spans="1:16" ht="15" customHeight="1" x14ac:dyDescent="0.25">
      <c r="A85" s="20"/>
      <c r="B85" s="25"/>
      <c r="C85" s="21"/>
      <c r="D85" s="22"/>
      <c r="E85" s="23"/>
      <c r="F85" s="23"/>
      <c r="G85" s="7"/>
      <c r="H85" s="6"/>
      <c r="I85" s="7"/>
      <c r="J85" s="24"/>
      <c r="K85" s="23"/>
    </row>
    <row r="86" spans="1:16" ht="30" x14ac:dyDescent="0.25">
      <c r="A86" s="20">
        <v>9</v>
      </c>
      <c r="B86" s="28" t="s">
        <v>32</v>
      </c>
      <c r="C86" s="26"/>
      <c r="D86" s="12"/>
      <c r="E86" s="12"/>
      <c r="F86" s="12"/>
      <c r="G86" s="24"/>
      <c r="H86" s="19"/>
      <c r="I86" s="24"/>
      <c r="J86" s="24"/>
      <c r="K86" s="23"/>
    </row>
    <row r="87" spans="1:16" x14ac:dyDescent="0.25">
      <c r="A87" s="19"/>
      <c r="B87" s="33" t="s">
        <v>57</v>
      </c>
      <c r="C87" s="26">
        <f>6</f>
        <v>6</v>
      </c>
      <c r="D87" s="12">
        <f>4*1.5</f>
        <v>6</v>
      </c>
      <c r="E87" s="12"/>
      <c r="F87" s="12">
        <f>0.23</f>
        <v>0.23</v>
      </c>
      <c r="G87" s="12">
        <f t="shared" ref="G87:G97" si="17">PRODUCT(C87:F87)</f>
        <v>8.2800000000000011</v>
      </c>
      <c r="H87" s="11"/>
      <c r="I87" s="11"/>
      <c r="J87" s="12"/>
      <c r="K87" s="11"/>
    </row>
    <row r="88" spans="1:16" x14ac:dyDescent="0.25">
      <c r="A88" s="19"/>
      <c r="B88" s="33" t="str">
        <f>B72</f>
        <v>-Neck Column upto plinth level</v>
      </c>
      <c r="C88" s="26">
        <v>6</v>
      </c>
      <c r="D88" s="12">
        <f>0.3*4</f>
        <v>1.2</v>
      </c>
      <c r="E88" s="12"/>
      <c r="F88" s="12">
        <f>F72</f>
        <v>1.5</v>
      </c>
      <c r="G88" s="12">
        <f>PRODUCT(C88:F88)</f>
        <v>10.799999999999999</v>
      </c>
      <c r="H88" s="11"/>
      <c r="I88" s="11"/>
      <c r="J88" s="12"/>
      <c r="K88" s="11"/>
    </row>
    <row r="89" spans="1:16" ht="30" x14ac:dyDescent="0.25">
      <c r="A89" s="19"/>
      <c r="B89" s="43" t="s">
        <v>65</v>
      </c>
      <c r="C89" s="26">
        <f>C73</f>
        <v>3</v>
      </c>
      <c r="D89" s="12">
        <f>D73</f>
        <v>3.5050289545870159</v>
      </c>
      <c r="E89" s="12">
        <f>0.23*2</f>
        <v>0.46</v>
      </c>
      <c r="F89" s="12"/>
      <c r="G89" s="12">
        <f t="shared" si="17"/>
        <v>4.8369399573300829</v>
      </c>
      <c r="H89" s="11"/>
      <c r="I89" s="11"/>
      <c r="J89" s="12"/>
      <c r="K89" s="11"/>
    </row>
    <row r="90" spans="1:16" x14ac:dyDescent="0.25">
      <c r="A90" s="19"/>
      <c r="B90" s="32"/>
      <c r="C90" s="26">
        <f>C74</f>
        <v>4</v>
      </c>
      <c r="D90" s="12">
        <f>D74</f>
        <v>2.5906735751295336</v>
      </c>
      <c r="E90" s="12">
        <f>0.23*2</f>
        <v>0.46</v>
      </c>
      <c r="F90" s="12"/>
      <c r="G90" s="12">
        <f t="shared" si="17"/>
        <v>4.766839378238342</v>
      </c>
      <c r="H90" s="11"/>
      <c r="I90" s="11"/>
      <c r="J90" s="12"/>
      <c r="K90" s="11"/>
    </row>
    <row r="91" spans="1:16" x14ac:dyDescent="0.25">
      <c r="A91" s="19"/>
      <c r="B91" s="32" t="str">
        <f>B75</f>
        <v>-Ground &amp; 1st floor column</v>
      </c>
      <c r="C91" s="26">
        <f>2*C75</f>
        <v>24</v>
      </c>
      <c r="D91" s="12">
        <f>D88</f>
        <v>1.2</v>
      </c>
      <c r="E91" s="12"/>
      <c r="F91" s="12">
        <f>F75</f>
        <v>2.7165498323681803</v>
      </c>
      <c r="G91" s="12">
        <f t="shared" si="17"/>
        <v>78.236635172203577</v>
      </c>
      <c r="H91" s="11"/>
      <c r="I91" s="11"/>
      <c r="J91" s="12"/>
      <c r="K91" s="11"/>
    </row>
    <row r="92" spans="1:16" x14ac:dyDescent="0.25">
      <c r="A92" s="19"/>
      <c r="B92" s="32" t="str">
        <f>B76</f>
        <v>-1st &amp; 2nd floor beam</v>
      </c>
      <c r="C92" s="26">
        <f>2*C89</f>
        <v>6</v>
      </c>
      <c r="D92" s="12">
        <f>D89</f>
        <v>3.5050289545870159</v>
      </c>
      <c r="E92" s="12">
        <f>E89</f>
        <v>0.46</v>
      </c>
      <c r="F92" s="12"/>
      <c r="G92" s="12">
        <f t="shared" si="17"/>
        <v>9.6738799146601657</v>
      </c>
      <c r="H92" s="11"/>
      <c r="I92" s="11"/>
      <c r="J92" s="12"/>
      <c r="K92" s="11"/>
    </row>
    <row r="93" spans="1:16" x14ac:dyDescent="0.25">
      <c r="A93" s="19"/>
      <c r="B93" s="32"/>
      <c r="C93" s="26">
        <f>2*C90</f>
        <v>8</v>
      </c>
      <c r="D93" s="12">
        <f>D90</f>
        <v>2.5906735751295336</v>
      </c>
      <c r="E93" s="12">
        <f>E90</f>
        <v>0.46</v>
      </c>
      <c r="F93" s="12"/>
      <c r="G93" s="12">
        <f t="shared" si="17"/>
        <v>9.5336787564766841</v>
      </c>
      <c r="H93" s="11"/>
      <c r="I93" s="11"/>
      <c r="J93" s="12"/>
      <c r="K93" s="11"/>
    </row>
    <row r="94" spans="1:16" x14ac:dyDescent="0.25">
      <c r="A94" s="19"/>
      <c r="B94" s="32" t="str">
        <f>B78</f>
        <v>-1st &amp; 2nd floor slab</v>
      </c>
      <c r="C94" s="26">
        <f>2*C78</f>
        <v>4</v>
      </c>
      <c r="D94" s="12">
        <f>D78</f>
        <v>6.5528802194452904</v>
      </c>
      <c r="E94" s="12">
        <f>E78</f>
        <v>4.5717768972874122</v>
      </c>
      <c r="F94" s="12"/>
      <c r="G94" s="12">
        <f t="shared" si="17"/>
        <v>119.83322559180658</v>
      </c>
      <c r="H94" s="11"/>
      <c r="I94" s="11"/>
      <c r="J94" s="12"/>
      <c r="K94" s="11"/>
      <c r="N94">
        <f>G94*I98</f>
        <v>108565.307389409</v>
      </c>
      <c r="P94">
        <f>2*D94*E94*I98</f>
        <v>54282.653694704502</v>
      </c>
    </row>
    <row r="95" spans="1:16" x14ac:dyDescent="0.25">
      <c r="A95" s="19"/>
      <c r="B95" s="32" t="str">
        <f>B79</f>
        <v>-Deduction for opening</v>
      </c>
      <c r="C95" s="26">
        <f>C79</f>
        <v>-1</v>
      </c>
      <c r="D95" s="12">
        <f>D79</f>
        <v>1.2</v>
      </c>
      <c r="E95" s="12">
        <f>E79</f>
        <v>1.2</v>
      </c>
      <c r="F95" s="12"/>
      <c r="G95" s="12">
        <f t="shared" si="17"/>
        <v>-1.44</v>
      </c>
      <c r="H95" s="11"/>
      <c r="I95" s="11"/>
      <c r="J95" s="12"/>
      <c r="K95" s="11"/>
    </row>
    <row r="96" spans="1:16" x14ac:dyDescent="0.25">
      <c r="A96" s="19"/>
      <c r="B96" s="32" t="str">
        <f>B82</f>
        <v>-toilet slab</v>
      </c>
      <c r="C96" s="26">
        <f>C82</f>
        <v>1</v>
      </c>
      <c r="D96" s="12">
        <f>D82</f>
        <v>3.5812252362084727</v>
      </c>
      <c r="E96" s="12">
        <f>E82</f>
        <v>2.3620847302651629</v>
      </c>
      <c r="F96" s="12"/>
      <c r="G96" s="12">
        <f t="shared" si="17"/>
        <v>8.4591574460882839</v>
      </c>
      <c r="H96" s="11"/>
      <c r="I96" s="11"/>
      <c r="J96" s="12"/>
      <c r="K96" s="11"/>
    </row>
    <row r="97" spans="1:11" x14ac:dyDescent="0.25">
      <c r="A97" s="19"/>
      <c r="B97" s="33" t="s">
        <v>109</v>
      </c>
      <c r="C97" s="26">
        <v>-1</v>
      </c>
      <c r="D97" s="12">
        <f>(8.75*2+3.25*3)/3.281</f>
        <v>8.3053946967387979</v>
      </c>
      <c r="E97" s="12">
        <v>0.23</v>
      </c>
      <c r="F97" s="12"/>
      <c r="G97" s="12">
        <f t="shared" si="17"/>
        <v>-1.9102407802499235</v>
      </c>
      <c r="H97" s="11"/>
      <c r="I97" s="11"/>
      <c r="J97" s="12"/>
      <c r="K97" s="11"/>
    </row>
    <row r="98" spans="1:11" ht="15" customHeight="1" x14ac:dyDescent="0.25">
      <c r="A98" s="19"/>
      <c r="B98" s="25" t="s">
        <v>16</v>
      </c>
      <c r="C98" s="26"/>
      <c r="D98" s="12"/>
      <c r="E98" s="12"/>
      <c r="F98" s="12"/>
      <c r="G98" s="24">
        <f>SUM(G87:G97)</f>
        <v>251.07011543655381</v>
      </c>
      <c r="H98" s="24" t="s">
        <v>23</v>
      </c>
      <c r="I98" s="27">
        <v>905.97</v>
      </c>
      <c r="J98" s="8">
        <f>G98*I98</f>
        <v>227461.99248205466</v>
      </c>
      <c r="K98" s="11"/>
    </row>
    <row r="99" spans="1:11" ht="15" customHeight="1" x14ac:dyDescent="0.25">
      <c r="A99" s="20"/>
      <c r="B99" s="25" t="s">
        <v>30</v>
      </c>
      <c r="C99" s="21"/>
      <c r="D99" s="22"/>
      <c r="E99" s="23"/>
      <c r="F99" s="23"/>
      <c r="G99" s="7"/>
      <c r="H99" s="6"/>
      <c r="I99" s="7"/>
      <c r="J99" s="24">
        <f>0.13*G98*46827.87/100</f>
        <v>15284.202344512316</v>
      </c>
      <c r="K99" s="23"/>
    </row>
    <row r="100" spans="1:11" ht="15" customHeight="1" x14ac:dyDescent="0.25">
      <c r="A100" s="20"/>
      <c r="B100" s="25"/>
      <c r="C100" s="21"/>
      <c r="D100" s="22"/>
      <c r="E100" s="23"/>
      <c r="F100" s="23"/>
      <c r="G100" s="7"/>
      <c r="H100" s="6"/>
      <c r="I100" s="7"/>
      <c r="J100" s="24"/>
      <c r="K100" s="23"/>
    </row>
    <row r="101" spans="1:11" ht="45" x14ac:dyDescent="0.25">
      <c r="A101" s="20">
        <v>10</v>
      </c>
      <c r="B101" s="28" t="s">
        <v>33</v>
      </c>
      <c r="C101" s="26" t="s">
        <v>8</v>
      </c>
      <c r="D101" s="30" t="s">
        <v>22</v>
      </c>
      <c r="E101" s="30" t="s">
        <v>34</v>
      </c>
      <c r="F101" s="30" t="s">
        <v>35</v>
      </c>
      <c r="G101" s="30" t="s">
        <v>36</v>
      </c>
      <c r="H101" s="19"/>
      <c r="I101" s="24"/>
      <c r="J101" s="24"/>
      <c r="K101" s="23"/>
    </row>
    <row r="102" spans="1:11" ht="15" customHeight="1" x14ac:dyDescent="0.25">
      <c r="A102" s="20"/>
      <c r="B102" s="25" t="s">
        <v>57</v>
      </c>
      <c r="C102" s="21">
        <f>(TRUNC((D103)/0.15,0)+1)</f>
        <v>10</v>
      </c>
      <c r="D102" s="12">
        <f>1.5-0.1</f>
        <v>1.4</v>
      </c>
      <c r="E102" s="12">
        <f>12*12/162</f>
        <v>0.88888888888888884</v>
      </c>
      <c r="F102" s="12">
        <f t="shared" ref="F102:F113" si="18">PRODUCT(C102:E102)</f>
        <v>12.444444444444443</v>
      </c>
      <c r="G102" s="29">
        <f t="shared" ref="G102:G124" si="19">F102/1000</f>
        <v>1.2444444444444442E-2</v>
      </c>
      <c r="H102" s="6"/>
      <c r="I102" s="7"/>
      <c r="J102" s="24"/>
      <c r="K102" s="23"/>
    </row>
    <row r="103" spans="1:11" ht="15" customHeight="1" x14ac:dyDescent="0.25">
      <c r="A103" s="20"/>
      <c r="B103" s="25"/>
      <c r="C103" s="21">
        <f>(TRUNC((D102)/0.15,0)+1)</f>
        <v>10</v>
      </c>
      <c r="D103" s="12">
        <f>1.5-0.1</f>
        <v>1.4</v>
      </c>
      <c r="E103" s="12">
        <f>12*12/162</f>
        <v>0.88888888888888884</v>
      </c>
      <c r="F103" s="12">
        <f t="shared" si="18"/>
        <v>12.444444444444443</v>
      </c>
      <c r="G103" s="29">
        <f t="shared" si="19"/>
        <v>1.2444444444444442E-2</v>
      </c>
      <c r="H103" s="6"/>
      <c r="I103" s="7"/>
      <c r="J103" s="24"/>
      <c r="K103" s="23"/>
    </row>
    <row r="104" spans="1:11" ht="15" customHeight="1" x14ac:dyDescent="0.25">
      <c r="A104" s="20"/>
      <c r="B104" s="25" t="str">
        <f>B88</f>
        <v>-Neck Column upto plinth level</v>
      </c>
      <c r="C104" s="21">
        <f>6*4</f>
        <v>24</v>
      </c>
      <c r="D104" s="12">
        <f>((F88)+(16*60)/1000)</f>
        <v>2.46</v>
      </c>
      <c r="E104" s="12">
        <f>16*16/162</f>
        <v>1.5802469135802468</v>
      </c>
      <c r="F104" s="12">
        <f t="shared" si="18"/>
        <v>93.297777777777767</v>
      </c>
      <c r="G104" s="29">
        <f t="shared" si="19"/>
        <v>9.3297777777777771E-2</v>
      </c>
      <c r="H104" s="6"/>
      <c r="I104" s="7"/>
      <c r="J104" s="24"/>
      <c r="K104" s="23"/>
    </row>
    <row r="105" spans="1:11" ht="15" customHeight="1" x14ac:dyDescent="0.25">
      <c r="A105" s="20"/>
      <c r="B105" s="25"/>
      <c r="C105" s="21">
        <f>6*4</f>
        <v>24</v>
      </c>
      <c r="D105" s="12">
        <f>((F88)+(12*60)/1000)</f>
        <v>2.2199999999999998</v>
      </c>
      <c r="E105" s="12">
        <f>12*12/162</f>
        <v>0.88888888888888884</v>
      </c>
      <c r="F105" s="12">
        <f t="shared" si="18"/>
        <v>47.359999999999992</v>
      </c>
      <c r="G105" s="29">
        <f t="shared" si="19"/>
        <v>4.7359999999999992E-2</v>
      </c>
      <c r="H105" s="6"/>
      <c r="I105" s="7"/>
      <c r="J105" s="24"/>
      <c r="K105" s="23"/>
    </row>
    <row r="106" spans="1:11" ht="15" customHeight="1" x14ac:dyDescent="0.25">
      <c r="A106" s="20"/>
      <c r="B106" s="25" t="s">
        <v>59</v>
      </c>
      <c r="C106" s="21">
        <f>6*TRUNC((F72+(F69-0.05))/0.333,0)</f>
        <v>30</v>
      </c>
      <c r="D106" s="12">
        <f>(0.75*4+0.17*2)/3.281</f>
        <v>1.0179823224626636</v>
      </c>
      <c r="E106" s="12">
        <f>8*8/162</f>
        <v>0.39506172839506171</v>
      </c>
      <c r="F106" s="12">
        <f t="shared" si="18"/>
        <v>12.064975673631567</v>
      </c>
      <c r="G106" s="29">
        <f t="shared" si="19"/>
        <v>1.2064975673631568E-2</v>
      </c>
      <c r="H106" s="6"/>
      <c r="I106" s="7"/>
      <c r="J106" s="24"/>
      <c r="K106" s="23"/>
    </row>
    <row r="107" spans="1:11" ht="15" customHeight="1" x14ac:dyDescent="0.25">
      <c r="A107" s="20"/>
      <c r="B107" s="25"/>
      <c r="C107" s="21">
        <f>6*TRUNC((F72+(F69-0.05))/0.333,0)</f>
        <v>30</v>
      </c>
      <c r="D107" s="12">
        <f>(0.5*4+0.17*2)/3.281</f>
        <v>0.71319719597683628</v>
      </c>
      <c r="E107" s="12">
        <f>8*8/162</f>
        <v>0.39506172839506171</v>
      </c>
      <c r="F107" s="12">
        <f t="shared" si="18"/>
        <v>8.4527075078736154</v>
      </c>
      <c r="G107" s="29">
        <f t="shared" si="19"/>
        <v>8.452707507873615E-3</v>
      </c>
      <c r="H107" s="6"/>
      <c r="I107" s="7"/>
      <c r="J107" s="24"/>
      <c r="K107" s="23"/>
    </row>
    <row r="108" spans="1:11" ht="15" customHeight="1" x14ac:dyDescent="0.25">
      <c r="A108" s="20"/>
      <c r="B108" s="25" t="s">
        <v>60</v>
      </c>
      <c r="C108" s="21">
        <f>2*(4)</f>
        <v>8</v>
      </c>
      <c r="D108" s="12">
        <f>(18+(0.75+0.583)*2)/3.281</f>
        <v>6.2986894239561106</v>
      </c>
      <c r="E108" s="12">
        <f>12*12/162</f>
        <v>0.88888888888888884</v>
      </c>
      <c r="F108" s="12">
        <f t="shared" si="18"/>
        <v>44.790680348132341</v>
      </c>
      <c r="G108" s="29">
        <f t="shared" si="19"/>
        <v>4.4790680348132342E-2</v>
      </c>
      <c r="H108" s="6"/>
      <c r="I108" s="7"/>
      <c r="J108" s="24"/>
      <c r="K108" s="23"/>
    </row>
    <row r="109" spans="1:11" ht="15" customHeight="1" x14ac:dyDescent="0.25">
      <c r="A109" s="20"/>
      <c r="B109" s="25"/>
      <c r="C109" s="21">
        <f>C89*(4)</f>
        <v>12</v>
      </c>
      <c r="D109" s="12">
        <f>(11.5+(0.75+0.583)*2)/3.281</f>
        <v>4.3175861017982324</v>
      </c>
      <c r="E109" s="12">
        <f>12*12/162</f>
        <v>0.88888888888888884</v>
      </c>
      <c r="F109" s="12">
        <f t="shared" si="18"/>
        <v>46.054251752514475</v>
      </c>
      <c r="G109" s="29">
        <f t="shared" si="19"/>
        <v>4.6054251752514472E-2</v>
      </c>
      <c r="H109" s="6"/>
      <c r="I109" s="7"/>
      <c r="J109" s="24"/>
      <c r="K109" s="23"/>
    </row>
    <row r="110" spans="1:11" ht="15" customHeight="1" x14ac:dyDescent="0.25">
      <c r="A110" s="20"/>
      <c r="B110" s="25" t="s">
        <v>59</v>
      </c>
      <c r="C110" s="21">
        <f>C89*(TRUNC((11.5/2)/0.5,0)+TRUNC((11.5/2)/0.333,0))</f>
        <v>84</v>
      </c>
      <c r="D110" s="12">
        <f>(0.583*4+0.17*2)/3.281</f>
        <v>0.81438585797013097</v>
      </c>
      <c r="E110" s="12">
        <f>8*8/162</f>
        <v>0.39506172839506171</v>
      </c>
      <c r="F110" s="12">
        <f t="shared" si="18"/>
        <v>27.025545508934716</v>
      </c>
      <c r="G110" s="29">
        <f t="shared" si="19"/>
        <v>2.7025545508934715E-2</v>
      </c>
      <c r="H110" s="6"/>
      <c r="I110" s="7"/>
      <c r="J110" s="24"/>
      <c r="K110" s="23"/>
    </row>
    <row r="111" spans="1:11" ht="15" customHeight="1" x14ac:dyDescent="0.25">
      <c r="A111" s="20"/>
      <c r="B111" s="25"/>
      <c r="C111" s="21">
        <f>C90*(TRUNC((8.5/2)/0.5,0)+TRUNC((8.5/2)/0.333,0))</f>
        <v>80</v>
      </c>
      <c r="D111" s="12">
        <f>(0.583*4+0.17*2)/3.281</f>
        <v>0.81438585797013097</v>
      </c>
      <c r="E111" s="12">
        <f>8*8/162</f>
        <v>0.39506172839506171</v>
      </c>
      <c r="F111" s="12">
        <f t="shared" si="18"/>
        <v>25.738614770414014</v>
      </c>
      <c r="G111" s="29">
        <f t="shared" si="19"/>
        <v>2.5738614770414014E-2</v>
      </c>
      <c r="H111" s="6"/>
      <c r="I111" s="7"/>
      <c r="J111" s="24"/>
      <c r="K111" s="23"/>
    </row>
    <row r="112" spans="1:11" ht="15" customHeight="1" x14ac:dyDescent="0.25">
      <c r="A112" s="20"/>
      <c r="B112" s="25" t="str">
        <f>B91</f>
        <v>-Ground &amp; 1st floor column</v>
      </c>
      <c r="C112" s="21">
        <f>2*C104</f>
        <v>48</v>
      </c>
      <c r="D112" s="12">
        <f>F91+0.125</f>
        <v>2.8415498323681803</v>
      </c>
      <c r="E112" s="12">
        <f>E104</f>
        <v>1.5802469135802468</v>
      </c>
      <c r="F112" s="12">
        <f t="shared" si="18"/>
        <v>215.53681691444567</v>
      </c>
      <c r="G112" s="29">
        <f t="shared" si="19"/>
        <v>0.21553681691444568</v>
      </c>
      <c r="H112" s="6"/>
      <c r="I112" s="7"/>
      <c r="J112" s="24"/>
      <c r="K112" s="23"/>
    </row>
    <row r="113" spans="1:14" ht="15" customHeight="1" x14ac:dyDescent="0.25">
      <c r="A113" s="20"/>
      <c r="B113" s="25"/>
      <c r="C113" s="21">
        <f>2*C105</f>
        <v>48</v>
      </c>
      <c r="D113" s="12">
        <f>F91+0.125</f>
        <v>2.8415498323681803</v>
      </c>
      <c r="E113" s="12">
        <f>E105</f>
        <v>0.88888888888888884</v>
      </c>
      <c r="F113" s="12">
        <f t="shared" si="18"/>
        <v>121.23945951437568</v>
      </c>
      <c r="G113" s="29">
        <f t="shared" si="19"/>
        <v>0.12123945951437567</v>
      </c>
      <c r="H113" s="6"/>
      <c r="I113" s="7"/>
      <c r="J113" s="24"/>
      <c r="K113" s="23"/>
    </row>
    <row r="114" spans="1:14" ht="15" customHeight="1" x14ac:dyDescent="0.25">
      <c r="A114" s="20"/>
      <c r="B114" s="25" t="str">
        <f>B106</f>
        <v>-Stirrups</v>
      </c>
      <c r="C114" s="21">
        <f>2*C91*(TRUNC((7.833/2)/0.5,0)+TRUNC((7.833/2)/0.333,0))</f>
        <v>864</v>
      </c>
      <c r="D114" s="12">
        <f>(0.75*4+0.17*2)/3.281</f>
        <v>1.0179823224626636</v>
      </c>
      <c r="E114" s="12">
        <f>8*8/162</f>
        <v>0.39506172839506171</v>
      </c>
      <c r="F114" s="12">
        <f t="shared" ref="F114:F117" si="20">PRODUCT(C114:E114)</f>
        <v>347.47129940058915</v>
      </c>
      <c r="G114" s="29">
        <f t="shared" si="19"/>
        <v>0.34747129940058913</v>
      </c>
      <c r="H114" s="6"/>
      <c r="I114" s="7"/>
      <c r="J114" s="24"/>
      <c r="K114" s="23"/>
    </row>
    <row r="115" spans="1:14" ht="15" customHeight="1" x14ac:dyDescent="0.25">
      <c r="A115" s="20"/>
      <c r="B115" s="25"/>
      <c r="C115" s="21">
        <f>2*C91*(TRUNC((7.833/2)/0.5,0)+TRUNC((7.833/2)/0.333,0))</f>
        <v>864</v>
      </c>
      <c r="D115" s="12">
        <f>(0.5*4+0.17*2)/3.281</f>
        <v>0.71319719597683628</v>
      </c>
      <c r="E115" s="12">
        <f>8*8/162</f>
        <v>0.39506172839506171</v>
      </c>
      <c r="F115" s="12">
        <f t="shared" si="20"/>
        <v>243.4379762267601</v>
      </c>
      <c r="G115" s="29">
        <f t="shared" si="19"/>
        <v>0.24343797622676011</v>
      </c>
      <c r="H115" s="6"/>
      <c r="I115" s="7"/>
      <c r="J115" s="24"/>
      <c r="K115" s="23"/>
    </row>
    <row r="116" spans="1:14" ht="15" customHeight="1" x14ac:dyDescent="0.25">
      <c r="A116" s="20"/>
      <c r="B116" s="25" t="str">
        <f>B92</f>
        <v>-1st &amp; 2nd floor beam</v>
      </c>
      <c r="C116" s="21">
        <f>2*2*(5)</f>
        <v>20</v>
      </c>
      <c r="D116" s="12">
        <f>(18+(0.75+0.583)*2)/3.281</f>
        <v>6.2986894239561106</v>
      </c>
      <c r="E116" s="12">
        <f>12*12/162</f>
        <v>0.88888888888888884</v>
      </c>
      <c r="F116" s="12">
        <f t="shared" si="20"/>
        <v>111.97670087033086</v>
      </c>
      <c r="G116" s="29">
        <f t="shared" si="19"/>
        <v>0.11197670087033086</v>
      </c>
      <c r="H116" s="6"/>
      <c r="I116" s="7"/>
      <c r="J116" s="24"/>
      <c r="K116" s="23"/>
    </row>
    <row r="117" spans="1:14" ht="15" customHeight="1" x14ac:dyDescent="0.25">
      <c r="A117" s="20"/>
      <c r="B117" s="25"/>
      <c r="C117" s="21">
        <f>2*C89*(5)</f>
        <v>30</v>
      </c>
      <c r="D117" s="12">
        <f>(11.5+(0.75+0.583)*2)/3.281</f>
        <v>4.3175861017982324</v>
      </c>
      <c r="E117" s="12">
        <f>12*12/162</f>
        <v>0.88888888888888884</v>
      </c>
      <c r="F117" s="12">
        <f t="shared" si="20"/>
        <v>115.13562938128621</v>
      </c>
      <c r="G117" s="29">
        <f t="shared" si="19"/>
        <v>0.11513562938128621</v>
      </c>
      <c r="H117" s="6"/>
      <c r="I117" s="7"/>
      <c r="J117" s="24"/>
      <c r="K117" s="23"/>
    </row>
    <row r="118" spans="1:14" ht="15" customHeight="1" x14ac:dyDescent="0.25">
      <c r="A118" s="20"/>
      <c r="B118" s="25" t="s">
        <v>66</v>
      </c>
      <c r="C118" s="21">
        <f>2*2</f>
        <v>4</v>
      </c>
      <c r="D118" s="12">
        <f>4.833/3.281</f>
        <v>1.4730265163060043</v>
      </c>
      <c r="E118" s="12">
        <f t="shared" ref="E118:E120" si="21">12*12/162</f>
        <v>0.88888888888888884</v>
      </c>
      <c r="F118" s="12">
        <f t="shared" ref="F118:F124" si="22">PRODUCT(C118:E118)</f>
        <v>5.2374276135324598</v>
      </c>
      <c r="G118" s="46">
        <f>F118/1000</f>
        <v>5.2374276135324594E-3</v>
      </c>
      <c r="H118" s="6"/>
      <c r="I118" s="7"/>
      <c r="J118" s="24"/>
      <c r="K118" s="23"/>
    </row>
    <row r="119" spans="1:14" ht="15" customHeight="1" x14ac:dyDescent="0.25">
      <c r="A119" s="20"/>
      <c r="B119" s="25"/>
      <c r="C119" s="21">
        <f>2*4</f>
        <v>8</v>
      </c>
      <c r="D119" s="12">
        <f>(2.42+0.75+0.583)/3.281</f>
        <v>1.1438585797013106</v>
      </c>
      <c r="E119" s="12">
        <f t="shared" si="21"/>
        <v>0.88888888888888884</v>
      </c>
      <c r="F119" s="12">
        <f t="shared" si="22"/>
        <v>8.1341054556537635</v>
      </c>
      <c r="G119" s="46">
        <f t="shared" si="19"/>
        <v>8.1341054556537638E-3</v>
      </c>
      <c r="H119" s="6"/>
      <c r="I119" s="7"/>
      <c r="J119" s="24"/>
      <c r="K119" s="23"/>
    </row>
    <row r="120" spans="1:14" ht="15" customHeight="1" x14ac:dyDescent="0.25">
      <c r="A120" s="20"/>
      <c r="B120" s="25"/>
      <c r="C120" s="21">
        <f>2*2</f>
        <v>4</v>
      </c>
      <c r="D120" s="12">
        <f>(3.17+0.75+0.583)/3.281</f>
        <v>1.3724474245656813</v>
      </c>
      <c r="E120" s="12">
        <f t="shared" si="21"/>
        <v>0.88888888888888884</v>
      </c>
      <c r="F120" s="12">
        <f t="shared" si="22"/>
        <v>4.8798130651224216</v>
      </c>
      <c r="G120" s="46">
        <f t="shared" si="19"/>
        <v>4.8798130651224216E-3</v>
      </c>
      <c r="H120" s="6"/>
      <c r="I120" s="7"/>
      <c r="J120" s="24"/>
      <c r="K120" s="23"/>
    </row>
    <row r="121" spans="1:14" ht="15" customHeight="1" x14ac:dyDescent="0.25">
      <c r="A121" s="20"/>
      <c r="B121" s="25" t="s">
        <v>59</v>
      </c>
      <c r="C121" s="21">
        <f>2*C89*(TRUNC((11.5/2)/0.5,0)+TRUNC((11.5/2)/0.333,0))</f>
        <v>168</v>
      </c>
      <c r="D121" s="12">
        <f>(0.583*4+0.17*2)/3.281</f>
        <v>0.81438585797013097</v>
      </c>
      <c r="E121" s="12">
        <f>8*8/162</f>
        <v>0.39506172839506171</v>
      </c>
      <c r="F121" s="12">
        <f t="shared" si="22"/>
        <v>54.051091017869432</v>
      </c>
      <c r="G121" s="29">
        <f t="shared" si="19"/>
        <v>5.4051091017869431E-2</v>
      </c>
      <c r="H121" s="6"/>
      <c r="I121" s="7"/>
      <c r="J121" s="24"/>
      <c r="K121" s="23"/>
    </row>
    <row r="122" spans="1:14" ht="15" customHeight="1" x14ac:dyDescent="0.25">
      <c r="A122" s="20"/>
      <c r="B122" s="25"/>
      <c r="C122" s="21">
        <f>2*C90*(TRUNC((8.5/2)/0.5,0)+TRUNC((8.5/2)/0.333,0))</f>
        <v>160</v>
      </c>
      <c r="D122" s="12">
        <f>(0.583*4+0.17*2)/3.281</f>
        <v>0.81438585797013097</v>
      </c>
      <c r="E122" s="12">
        <f>8*8/162</f>
        <v>0.39506172839506171</v>
      </c>
      <c r="F122" s="12">
        <f t="shared" ref="F122" si="23">PRODUCT(C122:E122)</f>
        <v>51.477229540828027</v>
      </c>
      <c r="G122" s="29">
        <f t="shared" ref="G122" si="24">F122/1000</f>
        <v>5.1477229540828028E-2</v>
      </c>
      <c r="H122" s="6"/>
      <c r="I122" s="7"/>
      <c r="J122" s="24"/>
      <c r="K122" s="23"/>
    </row>
    <row r="123" spans="1:14" ht="15" customHeight="1" x14ac:dyDescent="0.25">
      <c r="A123" s="20"/>
      <c r="B123" s="25" t="str">
        <f>B94</f>
        <v>-1st &amp; 2nd floor slab</v>
      </c>
      <c r="C123" s="21"/>
      <c r="D123" s="12"/>
      <c r="E123" s="12"/>
      <c r="F123" s="12"/>
      <c r="G123" s="29"/>
      <c r="H123" s="6"/>
      <c r="I123" s="7"/>
      <c r="J123" s="24"/>
      <c r="K123" s="23"/>
    </row>
    <row r="124" spans="1:14" ht="15" customHeight="1" x14ac:dyDescent="0.25">
      <c r="A124" s="20"/>
      <c r="B124" s="25" t="s">
        <v>67</v>
      </c>
      <c r="C124" s="21">
        <f>2*(TRUNC((13/3.281)/0.15,0)+1)</f>
        <v>54</v>
      </c>
      <c r="D124" s="12">
        <f>21.17/3.281</f>
        <v>6.4523011277049687</v>
      </c>
      <c r="E124" s="12">
        <f t="shared" ref="E124:E133" si="25">8*8/162</f>
        <v>0.39506172839506171</v>
      </c>
      <c r="F124" s="12">
        <f t="shared" si="22"/>
        <v>137.64909072437266</v>
      </c>
      <c r="G124" s="46">
        <f t="shared" si="19"/>
        <v>0.13764909072437265</v>
      </c>
      <c r="H124" s="6"/>
      <c r="I124" s="7"/>
      <c r="J124" s="24"/>
      <c r="K124" s="23"/>
    </row>
    <row r="125" spans="1:14" ht="15" customHeight="1" x14ac:dyDescent="0.25">
      <c r="A125" s="20"/>
      <c r="B125" s="25"/>
      <c r="C125" s="21">
        <f>2*(TRUNC((19/3.281)/0.15,0)+1)</f>
        <v>78</v>
      </c>
      <c r="D125" s="12">
        <f>14.667/3.281</f>
        <v>4.4702834501676314</v>
      </c>
      <c r="E125" s="12">
        <f t="shared" si="25"/>
        <v>0.39506172839506171</v>
      </c>
      <c r="F125" s="12">
        <f t="shared" ref="F125" si="26">PRODUCT(C125:E125)</f>
        <v>137.75095668664699</v>
      </c>
      <c r="G125" s="46">
        <f t="shared" ref="G125" si="27">F125/1000</f>
        <v>0.137750956686647</v>
      </c>
      <c r="H125" s="6"/>
      <c r="I125" s="7"/>
      <c r="J125" s="24"/>
      <c r="K125" s="23"/>
    </row>
    <row r="126" spans="1:14" ht="15" customHeight="1" x14ac:dyDescent="0.25">
      <c r="A126" s="20"/>
      <c r="B126" s="45" t="s">
        <v>68</v>
      </c>
      <c r="C126" s="47">
        <f>2*13*1</f>
        <v>26</v>
      </c>
      <c r="D126" s="48">
        <f>2.75/3.281</f>
        <v>0.8381590978360256</v>
      </c>
      <c r="E126" s="48">
        <f t="shared" si="25"/>
        <v>0.39506172839506171</v>
      </c>
      <c r="F126" s="48">
        <f t="shared" ref="F126" si="28">PRODUCT(C126:E126)</f>
        <v>8.6092391283897935</v>
      </c>
      <c r="G126" s="49">
        <f t="shared" ref="G126" si="29">F126/1000</f>
        <v>8.609239128389793E-3</v>
      </c>
      <c r="H126" s="6"/>
      <c r="I126" s="7"/>
      <c r="J126" s="24"/>
      <c r="K126" s="23"/>
    </row>
    <row r="127" spans="1:14" ht="15" customHeight="1" x14ac:dyDescent="0.25">
      <c r="A127" s="20"/>
      <c r="B127" s="25"/>
      <c r="C127" s="47">
        <f>2*13*1</f>
        <v>26</v>
      </c>
      <c r="D127" s="48">
        <f>4.833/3.281</f>
        <v>1.4730265163060043</v>
      </c>
      <c r="E127" s="48">
        <f t="shared" si="25"/>
        <v>0.39506172839506171</v>
      </c>
      <c r="F127" s="48">
        <f t="shared" ref="F127" si="30">PRODUCT(C127:E127)</f>
        <v>15.130346439093772</v>
      </c>
      <c r="G127" s="49">
        <f t="shared" ref="G127" si="31">F127/1000</f>
        <v>1.5130346439093773E-2</v>
      </c>
      <c r="H127" s="6"/>
      <c r="I127" s="7"/>
      <c r="J127" s="24"/>
      <c r="K127" s="23"/>
    </row>
    <row r="128" spans="1:14" ht="15" customHeight="1" x14ac:dyDescent="0.25">
      <c r="A128" s="20"/>
      <c r="B128" s="25"/>
      <c r="C128" s="47">
        <f>2*13*1</f>
        <v>26</v>
      </c>
      <c r="D128" s="48">
        <f>4.25/3.281</f>
        <v>1.2953367875647668</v>
      </c>
      <c r="E128" s="48">
        <f t="shared" si="25"/>
        <v>0.39506172839506171</v>
      </c>
      <c r="F128" s="48">
        <f t="shared" ref="F128" si="32">PRODUCT(C128:E128)</f>
        <v>13.305187743875134</v>
      </c>
      <c r="G128" s="49">
        <f t="shared" ref="G128" si="33">F128/1000</f>
        <v>1.3305187743875135E-2</v>
      </c>
      <c r="H128" s="6"/>
      <c r="I128" s="7"/>
      <c r="J128" s="24"/>
      <c r="K128" s="23"/>
      <c r="M128" s="63">
        <f>SUM(G124:G133)</f>
        <v>0.49644398388025329</v>
      </c>
      <c r="N128">
        <f>M128/2</f>
        <v>0.24822199194012665</v>
      </c>
    </row>
    <row r="129" spans="1:11" ht="15" customHeight="1" x14ac:dyDescent="0.25">
      <c r="A129" s="20"/>
      <c r="B129" s="25"/>
      <c r="C129" s="21">
        <f>2*2*10</f>
        <v>40</v>
      </c>
      <c r="D129" s="12">
        <f>3.5/3.281</f>
        <v>1.0667479427003961</v>
      </c>
      <c r="E129" s="48">
        <f t="shared" si="25"/>
        <v>0.39506172839506171</v>
      </c>
      <c r="F129" s="48">
        <f>PRODUCT(C129:E129)</f>
        <v>16.85725144020379</v>
      </c>
      <c r="G129" s="49">
        <f>F129/1000</f>
        <v>1.685725144020379E-2</v>
      </c>
      <c r="H129" s="6"/>
      <c r="I129" s="7"/>
      <c r="J129" s="24"/>
      <c r="K129" s="23"/>
    </row>
    <row r="130" spans="1:11" ht="15" customHeight="1" x14ac:dyDescent="0.25">
      <c r="A130" s="20"/>
      <c r="B130" s="25"/>
      <c r="C130" s="21">
        <f>2*2*10</f>
        <v>40</v>
      </c>
      <c r="D130" s="12">
        <f>5/3.281</f>
        <v>1.5239256324291375</v>
      </c>
      <c r="E130" s="48">
        <f t="shared" si="25"/>
        <v>0.39506172839506171</v>
      </c>
      <c r="F130" s="48">
        <f>PRODUCT(C130:E130)</f>
        <v>24.081787771719704</v>
      </c>
      <c r="G130" s="49">
        <f>F130/1000</f>
        <v>2.4081787771719702E-2</v>
      </c>
      <c r="H130" s="6"/>
      <c r="I130" s="7"/>
      <c r="J130" s="24"/>
      <c r="K130" s="23"/>
    </row>
    <row r="131" spans="1:11" ht="15" customHeight="1" x14ac:dyDescent="0.25">
      <c r="A131" s="20"/>
      <c r="B131" s="45" t="s">
        <v>69</v>
      </c>
      <c r="C131" s="47">
        <f>2*(9*2+3)</f>
        <v>42</v>
      </c>
      <c r="D131" s="48">
        <f>D125</f>
        <v>4.4702834501676314</v>
      </c>
      <c r="E131" s="48">
        <f t="shared" si="25"/>
        <v>0.39506172839506171</v>
      </c>
      <c r="F131" s="48">
        <f t="shared" ref="F131" si="34">PRODUCT(C131:E131)</f>
        <v>74.173592062040697</v>
      </c>
      <c r="G131" s="49">
        <f t="shared" ref="G131" si="35">F131/1000</f>
        <v>7.4173592062040702E-2</v>
      </c>
      <c r="H131" s="6"/>
      <c r="I131" s="7"/>
      <c r="J131" s="24"/>
      <c r="K131" s="23"/>
    </row>
    <row r="132" spans="1:11" ht="15" customHeight="1" x14ac:dyDescent="0.25">
      <c r="A132" s="20"/>
      <c r="B132" s="45"/>
      <c r="C132" s="47">
        <f>2*(6+6+3)</f>
        <v>30</v>
      </c>
      <c r="D132" s="48">
        <f>D124</f>
        <v>6.4523011277049687</v>
      </c>
      <c r="E132" s="48">
        <f t="shared" si="25"/>
        <v>0.39506172839506171</v>
      </c>
      <c r="F132" s="48">
        <f t="shared" ref="F132" si="36">PRODUCT(C132:E132)</f>
        <v>76.471717069095916</v>
      </c>
      <c r="G132" s="49">
        <f t="shared" ref="G132" si="37">F132/1000</f>
        <v>7.6471717069095918E-2</v>
      </c>
      <c r="H132" s="6"/>
      <c r="I132" s="7"/>
      <c r="J132" s="24"/>
      <c r="K132" s="23"/>
    </row>
    <row r="133" spans="1:11" ht="15" customHeight="1" x14ac:dyDescent="0.25">
      <c r="A133" s="20"/>
      <c r="B133" s="45" t="str">
        <f>B95</f>
        <v>-Deduction for opening</v>
      </c>
      <c r="C133" s="47">
        <f>2*(-8)</f>
        <v>-16</v>
      </c>
      <c r="D133" s="48">
        <f>D95</f>
        <v>1.2</v>
      </c>
      <c r="E133" s="48">
        <f t="shared" si="25"/>
        <v>0.39506172839506171</v>
      </c>
      <c r="F133" s="48">
        <f t="shared" ref="F133:F134" si="38">PRODUCT(C133:E133)</f>
        <v>-7.5851851851851846</v>
      </c>
      <c r="G133" s="49">
        <f t="shared" ref="G133:G134" si="39">F133/1000</f>
        <v>-7.5851851851851844E-3</v>
      </c>
      <c r="H133" s="6"/>
      <c r="I133" s="7"/>
      <c r="J133" s="24"/>
      <c r="K133" s="23"/>
    </row>
    <row r="134" spans="1:11" x14ac:dyDescent="0.25">
      <c r="A134" s="19"/>
      <c r="B134" s="32" t="str">
        <f>B80</f>
        <v>-For toilet</v>
      </c>
      <c r="C134" s="26">
        <f>2*C80</f>
        <v>4</v>
      </c>
      <c r="D134" s="12">
        <f>D80</f>
        <v>2.6668698567509903</v>
      </c>
      <c r="E134" s="12">
        <f>12*12/162</f>
        <v>0.88888888888888884</v>
      </c>
      <c r="F134" s="12">
        <f t="shared" si="38"/>
        <v>9.4822039351146312</v>
      </c>
      <c r="G134" s="12">
        <f t="shared" si="39"/>
        <v>9.4822039351146314E-3</v>
      </c>
      <c r="H134" s="11"/>
      <c r="I134" s="11"/>
      <c r="J134" s="12"/>
      <c r="K134" s="11"/>
    </row>
    <row r="135" spans="1:11" x14ac:dyDescent="0.25">
      <c r="A135" s="19"/>
      <c r="B135" s="32"/>
      <c r="C135" s="26">
        <f>2*C81</f>
        <v>6</v>
      </c>
      <c r="D135" s="12">
        <f>4.75/3.281</f>
        <v>1.4477293508076805</v>
      </c>
      <c r="E135" s="12">
        <f>12*12/162</f>
        <v>0.88888888888888884</v>
      </c>
      <c r="F135" s="12">
        <f t="shared" ref="F135:F136" si="40">PRODUCT(C135:E135)</f>
        <v>7.7212232043076288</v>
      </c>
      <c r="G135" s="12">
        <f t="shared" ref="G135:G136" si="41">F135/1000</f>
        <v>7.7212232043076291E-3</v>
      </c>
      <c r="H135" s="11"/>
      <c r="I135" s="11"/>
      <c r="J135" s="12"/>
      <c r="K135" s="11"/>
    </row>
    <row r="136" spans="1:11" x14ac:dyDescent="0.25">
      <c r="A136" s="19"/>
      <c r="B136" s="33" t="s">
        <v>59</v>
      </c>
      <c r="C136" s="26">
        <f>C80*TRUNC(8.75/0.333,0)+C81*TRUNC(3.25/0.333,0)</f>
        <v>79</v>
      </c>
      <c r="D136" s="12">
        <f>(0.833/3.281)</f>
        <v>0.25388601036269426</v>
      </c>
      <c r="E136" s="48">
        <f t="shared" ref="E136" si="42">8*8/162</f>
        <v>0.39506172839506171</v>
      </c>
      <c r="F136" s="12">
        <f t="shared" si="40"/>
        <v>7.923751039467791</v>
      </c>
      <c r="G136" s="12">
        <f t="shared" si="41"/>
        <v>7.9237510394677916E-3</v>
      </c>
      <c r="H136" s="11"/>
      <c r="I136" s="11"/>
      <c r="J136" s="12"/>
      <c r="K136" s="11"/>
    </row>
    <row r="137" spans="1:11" x14ac:dyDescent="0.25">
      <c r="A137" s="19"/>
      <c r="B137" s="33" t="str">
        <f>B96</f>
        <v>-toilet slab</v>
      </c>
      <c r="C137" s="26">
        <f>TRUNC((D138-0.1)/0.15,0)</f>
        <v>15</v>
      </c>
      <c r="D137" s="12">
        <f>D96</f>
        <v>3.5812252362084727</v>
      </c>
      <c r="E137" s="48">
        <f>10*10/162</f>
        <v>0.61728395061728392</v>
      </c>
      <c r="F137" s="12">
        <f t="shared" ref="F137:F138" si="43">PRODUCT(C137:E137)</f>
        <v>33.159492927856228</v>
      </c>
      <c r="G137" s="12">
        <f t="shared" ref="G137:G138" si="44">F137/1000</f>
        <v>3.3159492927856228E-2</v>
      </c>
      <c r="H137" s="11"/>
      <c r="I137" s="11"/>
      <c r="J137" s="12"/>
      <c r="K137" s="11"/>
    </row>
    <row r="138" spans="1:11" x14ac:dyDescent="0.25">
      <c r="A138" s="19"/>
      <c r="B138" s="33"/>
      <c r="C138" s="26">
        <f>TRUNC((D137-0.1)/0.15,0)</f>
        <v>23</v>
      </c>
      <c r="D138" s="12">
        <f>E96</f>
        <v>2.3620847302651629</v>
      </c>
      <c r="E138" s="48">
        <f>10*10/162</f>
        <v>0.61728395061728392</v>
      </c>
      <c r="F138" s="12">
        <f t="shared" si="43"/>
        <v>33.535770861789345</v>
      </c>
      <c r="G138" s="12">
        <f t="shared" si="44"/>
        <v>3.3535770861789348E-2</v>
      </c>
      <c r="H138" s="11"/>
      <c r="I138" s="11"/>
      <c r="J138" s="12"/>
      <c r="K138" s="11"/>
    </row>
    <row r="139" spans="1:11" ht="15" customHeight="1" x14ac:dyDescent="0.25">
      <c r="A139" s="19"/>
      <c r="B139" s="25" t="s">
        <v>16</v>
      </c>
      <c r="C139" s="26"/>
      <c r="D139" s="12"/>
      <c r="E139" s="12"/>
      <c r="F139" s="12"/>
      <c r="G139" s="24">
        <f>SUM(G102:G138)</f>
        <v>2.1965174170777506</v>
      </c>
      <c r="H139" s="24" t="s">
        <v>37</v>
      </c>
      <c r="I139" s="27">
        <v>130210</v>
      </c>
      <c r="J139" s="8">
        <f>G139*I139</f>
        <v>286008.53287769388</v>
      </c>
      <c r="K139" s="11"/>
    </row>
    <row r="140" spans="1:11" ht="15" customHeight="1" x14ac:dyDescent="0.25">
      <c r="A140" s="20"/>
      <c r="B140" s="25" t="s">
        <v>30</v>
      </c>
      <c r="C140" s="21"/>
      <c r="D140" s="22"/>
      <c r="E140" s="23"/>
      <c r="F140" s="23"/>
      <c r="G140" s="7"/>
      <c r="H140" s="6"/>
      <c r="I140" s="7"/>
      <c r="J140" s="24">
        <f>0.13*G139*105010</f>
        <v>29985.318215753494</v>
      </c>
      <c r="K140" s="23"/>
    </row>
    <row r="141" spans="1:11" ht="15" customHeight="1" x14ac:dyDescent="0.25">
      <c r="A141" s="20"/>
      <c r="B141" s="25"/>
      <c r="C141" s="21"/>
      <c r="D141" s="22"/>
      <c r="E141" s="23"/>
      <c r="F141" s="23"/>
      <c r="G141" s="7"/>
      <c r="H141" s="6"/>
      <c r="I141" s="7"/>
      <c r="J141" s="24"/>
      <c r="K141" s="23"/>
    </row>
    <row r="142" spans="1:11" ht="75" x14ac:dyDescent="0.25">
      <c r="A142" s="20">
        <v>11</v>
      </c>
      <c r="B142" s="28" t="s">
        <v>77</v>
      </c>
      <c r="C142" s="21"/>
      <c r="D142" s="22"/>
      <c r="E142" s="23"/>
      <c r="F142" s="23"/>
      <c r="G142" s="7"/>
      <c r="H142" s="6"/>
      <c r="I142" s="7"/>
      <c r="J142" s="24"/>
      <c r="K142" s="23"/>
    </row>
    <row r="143" spans="1:11" ht="15" hidden="1" customHeight="1" x14ac:dyDescent="0.25">
      <c r="A143" s="20"/>
      <c r="C143" s="21">
        <f>0*1</f>
        <v>0</v>
      </c>
      <c r="D143" s="22">
        <f>D26</f>
        <v>3.5050289545870159</v>
      </c>
      <c r="E143" s="23">
        <f>F59</f>
        <v>2.4900944833892105</v>
      </c>
      <c r="F143" s="23"/>
      <c r="G143" s="12">
        <f t="shared" ref="G143:G144" si="45">PRODUCT(C143:F143)</f>
        <v>0</v>
      </c>
      <c r="H143" s="6"/>
      <c r="I143" s="7"/>
      <c r="J143" s="24"/>
      <c r="K143" s="23"/>
    </row>
    <row r="144" spans="1:11" ht="15" customHeight="1" x14ac:dyDescent="0.25">
      <c r="A144" s="20"/>
      <c r="B144" s="25" t="s">
        <v>78</v>
      </c>
      <c r="C144" s="21">
        <v>2</v>
      </c>
      <c r="D144" s="22">
        <f>E26</f>
        <v>2.5906735751295336</v>
      </c>
      <c r="E144" s="23">
        <f>F60</f>
        <v>2.4900944833892105</v>
      </c>
      <c r="F144" s="23"/>
      <c r="G144" s="12">
        <f t="shared" si="45"/>
        <v>12.90204395538451</v>
      </c>
      <c r="H144" s="6"/>
      <c r="I144" s="7"/>
      <c r="J144" s="24"/>
      <c r="K144" s="23"/>
    </row>
    <row r="145" spans="1:11" ht="15" customHeight="1" x14ac:dyDescent="0.25">
      <c r="A145" s="19"/>
      <c r="B145" s="25" t="s">
        <v>16</v>
      </c>
      <c r="C145" s="26"/>
      <c r="D145" s="12"/>
      <c r="E145" s="12"/>
      <c r="F145" s="12"/>
      <c r="G145" s="24">
        <f>SUM(G143:G144)</f>
        <v>12.90204395538451</v>
      </c>
      <c r="H145" s="24" t="s">
        <v>23</v>
      </c>
      <c r="I145" s="27">
        <v>2292.9</v>
      </c>
      <c r="J145" s="8">
        <f>G145*I145</f>
        <v>29583.096585301144</v>
      </c>
      <c r="K145" s="11"/>
    </row>
    <row r="146" spans="1:11" ht="15" customHeight="1" x14ac:dyDescent="0.25">
      <c r="A146" s="20"/>
      <c r="B146" s="25" t="s">
        <v>30</v>
      </c>
      <c r="C146" s="21"/>
      <c r="D146" s="22"/>
      <c r="E146" s="23"/>
      <c r="F146" s="23"/>
      <c r="G146" s="7"/>
      <c r="H146" s="6"/>
      <c r="I146" s="7"/>
      <c r="J146" s="24">
        <f>0.13*G145*21548.96/10</f>
        <v>3614.3331784666939</v>
      </c>
      <c r="K146" s="23"/>
    </row>
    <row r="147" spans="1:11" ht="15" customHeight="1" x14ac:dyDescent="0.25">
      <c r="A147" s="20"/>
      <c r="B147" s="25"/>
      <c r="C147" s="21"/>
      <c r="D147" s="22"/>
      <c r="E147" s="23"/>
      <c r="F147" s="23"/>
      <c r="G147" s="7"/>
      <c r="H147" s="6"/>
      <c r="I147" s="7"/>
      <c r="J147" s="24"/>
      <c r="K147" s="23"/>
    </row>
    <row r="148" spans="1:11" ht="30" x14ac:dyDescent="0.25">
      <c r="A148" s="20">
        <v>12</v>
      </c>
      <c r="B148" s="28" t="s">
        <v>105</v>
      </c>
      <c r="C148" s="21"/>
      <c r="D148" s="22"/>
      <c r="E148" s="23"/>
      <c r="F148" s="23"/>
      <c r="G148" s="7"/>
      <c r="H148" s="6"/>
      <c r="I148" s="7"/>
      <c r="J148" s="24"/>
      <c r="K148" s="23"/>
    </row>
    <row r="149" spans="1:11" ht="15" customHeight="1" x14ac:dyDescent="0.25">
      <c r="A149" s="20"/>
      <c r="B149" s="25" t="s">
        <v>78</v>
      </c>
      <c r="C149" s="21">
        <v>1</v>
      </c>
      <c r="D149" s="22">
        <f>D26</f>
        <v>3.5050289545870159</v>
      </c>
      <c r="E149" s="23">
        <f>F59</f>
        <v>2.4900944833892105</v>
      </c>
      <c r="F149" s="23"/>
      <c r="G149" s="12">
        <f t="shared" ref="G149" si="46">PRODUCT(C149:F149)</f>
        <v>8.7278532639365807</v>
      </c>
      <c r="H149" s="6"/>
      <c r="I149" s="7"/>
      <c r="J149" s="24"/>
      <c r="K149" s="23"/>
    </row>
    <row r="150" spans="1:11" ht="15" customHeight="1" x14ac:dyDescent="0.25">
      <c r="A150" s="19"/>
      <c r="B150" s="25" t="s">
        <v>16</v>
      </c>
      <c r="C150" s="26"/>
      <c r="D150" s="12"/>
      <c r="E150" s="12"/>
      <c r="F150" s="12"/>
      <c r="G150" s="24">
        <f>SUM(G149:G149)</f>
        <v>8.7278532639365807</v>
      </c>
      <c r="H150" s="24" t="s">
        <v>23</v>
      </c>
      <c r="I150" s="27">
        <v>6391.43</v>
      </c>
      <c r="J150" s="8">
        <f>G150*I150</f>
        <v>55783.463186722183</v>
      </c>
      <c r="K150" s="11"/>
    </row>
    <row r="151" spans="1:11" ht="15" customHeight="1" x14ac:dyDescent="0.25">
      <c r="A151" s="20"/>
      <c r="B151" s="25" t="s">
        <v>30</v>
      </c>
      <c r="C151" s="21"/>
      <c r="D151" s="22"/>
      <c r="E151" s="23"/>
      <c r="F151" s="23"/>
      <c r="G151" s="7"/>
      <c r="H151" s="6"/>
      <c r="I151" s="7"/>
      <c r="J151" s="24">
        <f>0.13*J150</f>
        <v>7251.8502142738844</v>
      </c>
      <c r="K151" s="23"/>
    </row>
    <row r="152" spans="1:11" ht="15" customHeight="1" x14ac:dyDescent="0.25">
      <c r="A152" s="20"/>
      <c r="B152" s="53"/>
      <c r="C152" s="21"/>
      <c r="D152" s="22"/>
      <c r="E152" s="23"/>
      <c r="F152" s="23"/>
      <c r="G152" s="7"/>
      <c r="H152" s="6"/>
      <c r="I152" s="7"/>
      <c r="J152" s="24"/>
      <c r="K152" s="23"/>
    </row>
    <row r="153" spans="1:11" ht="47.25" x14ac:dyDescent="0.25">
      <c r="A153" s="20">
        <v>13</v>
      </c>
      <c r="B153" s="50" t="s">
        <v>79</v>
      </c>
      <c r="C153" s="21"/>
      <c r="D153" s="22"/>
      <c r="E153" s="23"/>
      <c r="F153" s="23"/>
      <c r="G153" s="7"/>
      <c r="H153" s="6"/>
      <c r="I153" s="7"/>
      <c r="J153" s="24"/>
      <c r="K153" s="23"/>
    </row>
    <row r="154" spans="1:11" ht="15" customHeight="1" x14ac:dyDescent="0.25">
      <c r="A154" s="20"/>
      <c r="B154" s="25" t="s">
        <v>80</v>
      </c>
      <c r="C154" s="21">
        <v>3</v>
      </c>
      <c r="D154" s="22">
        <v>1.2</v>
      </c>
      <c r="E154" s="23">
        <v>1.2</v>
      </c>
      <c r="F154" s="23"/>
      <c r="G154" s="12">
        <f t="shared" ref="G154" si="47">PRODUCT(C154:F154)</f>
        <v>4.3199999999999994</v>
      </c>
      <c r="H154" s="6"/>
      <c r="I154" s="7"/>
      <c r="J154" s="24"/>
      <c r="K154" s="23"/>
    </row>
    <row r="155" spans="1:11" ht="15" customHeight="1" x14ac:dyDescent="0.25">
      <c r="A155" s="19"/>
      <c r="B155" s="25" t="s">
        <v>16</v>
      </c>
      <c r="C155" s="26"/>
      <c r="D155" s="12"/>
      <c r="E155" s="12"/>
      <c r="F155" s="12"/>
      <c r="G155" s="24">
        <f>SUM(G153:G154)</f>
        <v>4.3199999999999994</v>
      </c>
      <c r="H155" s="24" t="s">
        <v>23</v>
      </c>
      <c r="I155" s="27">
        <v>6997</v>
      </c>
      <c r="J155" s="8">
        <f>G155*I155</f>
        <v>30227.039999999997</v>
      </c>
      <c r="K155" s="11"/>
    </row>
    <row r="156" spans="1:11" ht="15" customHeight="1" x14ac:dyDescent="0.25">
      <c r="A156" s="20"/>
      <c r="B156" s="25" t="s">
        <v>30</v>
      </c>
      <c r="C156" s="21"/>
      <c r="D156" s="22"/>
      <c r="E156" s="23"/>
      <c r="F156" s="23"/>
      <c r="G156" s="7"/>
      <c r="H156" s="6"/>
      <c r="I156" s="7"/>
      <c r="J156" s="24">
        <f>0.13*J155</f>
        <v>3929.5151999999998</v>
      </c>
      <c r="K156" s="23"/>
    </row>
    <row r="157" spans="1:11" ht="15" customHeight="1" x14ac:dyDescent="0.25">
      <c r="A157" s="20"/>
      <c r="B157" s="25"/>
      <c r="C157" s="21"/>
      <c r="D157" s="22"/>
      <c r="E157" s="23"/>
      <c r="F157" s="23"/>
      <c r="G157" s="7"/>
      <c r="H157" s="6"/>
      <c r="I157" s="7"/>
      <c r="J157" s="24"/>
      <c r="K157" s="23"/>
    </row>
    <row r="158" spans="1:11" ht="63" x14ac:dyDescent="0.25">
      <c r="A158" s="20">
        <v>14</v>
      </c>
      <c r="B158" s="50" t="s">
        <v>107</v>
      </c>
      <c r="C158" s="21"/>
      <c r="D158" s="22"/>
      <c r="E158" s="23"/>
      <c r="F158" s="23"/>
      <c r="G158" s="7"/>
      <c r="H158" s="6"/>
      <c r="I158" s="7"/>
      <c r="J158" s="24"/>
      <c r="K158" s="23"/>
    </row>
    <row r="159" spans="1:11" ht="15.75" x14ac:dyDescent="0.25">
      <c r="A159" s="20"/>
      <c r="B159" s="54" t="str">
        <f>B134</f>
        <v>-For toilet</v>
      </c>
      <c r="C159" s="21">
        <f>2</f>
        <v>2</v>
      </c>
      <c r="D159" s="22">
        <v>0.75</v>
      </c>
      <c r="E159" s="23"/>
      <c r="F159" s="23">
        <v>1.8</v>
      </c>
      <c r="G159" s="12">
        <f t="shared" ref="G159" si="48">PRODUCT(C159:F159)</f>
        <v>2.7</v>
      </c>
      <c r="H159" s="6"/>
      <c r="I159" s="7"/>
      <c r="J159" s="24"/>
      <c r="K159" s="23"/>
    </row>
    <row r="160" spans="1:11" ht="15" customHeight="1" x14ac:dyDescent="0.25">
      <c r="A160" s="19"/>
      <c r="B160" s="25" t="s">
        <v>16</v>
      </c>
      <c r="C160" s="26"/>
      <c r="D160" s="12"/>
      <c r="E160" s="12"/>
      <c r="F160" s="12"/>
      <c r="G160" s="24">
        <f>SUM(G158:G159)</f>
        <v>2.7</v>
      </c>
      <c r="H160" s="24" t="s">
        <v>23</v>
      </c>
      <c r="I160" s="27">
        <v>8744</v>
      </c>
      <c r="J160" s="8">
        <f>G160*I160</f>
        <v>23608.800000000003</v>
      </c>
      <c r="K160" s="11"/>
    </row>
    <row r="161" spans="1:11" ht="15" customHeight="1" x14ac:dyDescent="0.25">
      <c r="A161" s="20"/>
      <c r="B161" s="25" t="s">
        <v>30</v>
      </c>
      <c r="C161" s="21"/>
      <c r="D161" s="22"/>
      <c r="E161" s="23"/>
      <c r="F161" s="23"/>
      <c r="G161" s="7"/>
      <c r="H161" s="6"/>
      <c r="I161" s="7"/>
      <c r="J161" s="24">
        <f>0.13*J160</f>
        <v>3069.1440000000007</v>
      </c>
      <c r="K161" s="23"/>
    </row>
    <row r="162" spans="1:11" ht="15.75" x14ac:dyDescent="0.25">
      <c r="A162" s="20"/>
      <c r="B162" s="50"/>
      <c r="C162" s="21"/>
      <c r="D162" s="22"/>
      <c r="E162" s="23"/>
      <c r="F162" s="23"/>
      <c r="G162" s="7"/>
      <c r="H162" s="6"/>
      <c r="I162" s="7"/>
      <c r="J162" s="24"/>
      <c r="K162" s="23"/>
    </row>
    <row r="163" spans="1:11" ht="30" x14ac:dyDescent="0.25">
      <c r="A163" s="20">
        <v>15</v>
      </c>
      <c r="B163" s="28" t="s">
        <v>85</v>
      </c>
      <c r="C163" s="21"/>
      <c r="D163" s="22"/>
      <c r="E163" s="23"/>
      <c r="F163" s="23"/>
      <c r="G163" s="7"/>
      <c r="H163" s="6"/>
      <c r="I163" s="7"/>
      <c r="J163" s="24"/>
      <c r="K163" s="23"/>
    </row>
    <row r="164" spans="1:11" ht="15" customHeight="1" x14ac:dyDescent="0.25">
      <c r="A164" s="20"/>
      <c r="B164" s="25" t="s">
        <v>86</v>
      </c>
      <c r="C164" s="21">
        <v>2</v>
      </c>
      <c r="D164" s="22">
        <f>18.5/3.281</f>
        <v>5.6385248399878085</v>
      </c>
      <c r="E164" s="23">
        <f>12/3.281</f>
        <v>3.6574215178299299</v>
      </c>
      <c r="F164" s="23"/>
      <c r="G164" s="12">
        <f t="shared" ref="G164:G166" si="49">PRODUCT(C164:F164)</f>
        <v>41.244924157179945</v>
      </c>
      <c r="H164" s="6"/>
      <c r="I164" s="7"/>
      <c r="J164" s="24"/>
      <c r="K164" s="23"/>
    </row>
    <row r="165" spans="1:11" ht="15" customHeight="1" x14ac:dyDescent="0.25">
      <c r="A165" s="20"/>
      <c r="B165" s="25" t="s">
        <v>98</v>
      </c>
      <c r="C165" s="21">
        <v>-1</v>
      </c>
      <c r="D165" s="22">
        <v>1.2</v>
      </c>
      <c r="E165" s="23">
        <v>1.2</v>
      </c>
      <c r="F165" s="23"/>
      <c r="G165" s="12">
        <f t="shared" si="49"/>
        <v>-1.44</v>
      </c>
      <c r="H165" s="6"/>
      <c r="I165" s="7"/>
      <c r="J165" s="24"/>
      <c r="K165" s="23"/>
    </row>
    <row r="166" spans="1:11" ht="15" customHeight="1" x14ac:dyDescent="0.25">
      <c r="A166" s="20"/>
      <c r="B166" s="25" t="s">
        <v>87</v>
      </c>
      <c r="C166" s="21">
        <v>1</v>
      </c>
      <c r="D166" s="22">
        <f>(15+20)/3.281</f>
        <v>10.667479427003961</v>
      </c>
      <c r="E166" s="23">
        <v>0.45</v>
      </c>
      <c r="F166" s="23"/>
      <c r="G166" s="12">
        <f t="shared" si="49"/>
        <v>4.8003657421517829</v>
      </c>
      <c r="H166" s="6"/>
      <c r="I166" s="7"/>
      <c r="J166" s="24"/>
      <c r="K166" s="23"/>
    </row>
    <row r="167" spans="1:11" ht="15" customHeight="1" x14ac:dyDescent="0.25">
      <c r="A167" s="19"/>
      <c r="B167" s="25" t="s">
        <v>16</v>
      </c>
      <c r="C167" s="26"/>
      <c r="D167" s="12"/>
      <c r="E167" s="12"/>
      <c r="F167" s="12"/>
      <c r="G167" s="24">
        <f>SUM(G164:G166)</f>
        <v>44.60528989933173</v>
      </c>
      <c r="H167" s="24" t="s">
        <v>23</v>
      </c>
      <c r="I167" s="27">
        <v>692.38</v>
      </c>
      <c r="J167" s="8">
        <f>G167*I167</f>
        <v>30883.810620499302</v>
      </c>
      <c r="K167" s="11"/>
    </row>
    <row r="168" spans="1:11" ht="15" customHeight="1" x14ac:dyDescent="0.25">
      <c r="A168" s="20"/>
      <c r="B168" s="25" t="s">
        <v>30</v>
      </c>
      <c r="C168" s="21"/>
      <c r="D168" s="22"/>
      <c r="E168" s="23"/>
      <c r="F168" s="23"/>
      <c r="G168" s="7"/>
      <c r="H168" s="6"/>
      <c r="I168" s="7"/>
      <c r="J168" s="24">
        <f>0.13*G167*3623.87/10</f>
        <v>2101.3690347973866</v>
      </c>
      <c r="K168" s="23"/>
    </row>
    <row r="169" spans="1:11" ht="15" customHeight="1" x14ac:dyDescent="0.25">
      <c r="A169" s="20"/>
      <c r="B169" s="25"/>
      <c r="C169" s="21"/>
      <c r="D169" s="22"/>
      <c r="E169" s="23"/>
      <c r="F169" s="23"/>
      <c r="G169" s="7"/>
      <c r="H169" s="6"/>
      <c r="I169" s="7"/>
      <c r="J169" s="24"/>
      <c r="K169" s="23"/>
    </row>
    <row r="170" spans="1:11" ht="30" x14ac:dyDescent="0.25">
      <c r="A170" s="20">
        <v>16</v>
      </c>
      <c r="B170" s="28" t="s">
        <v>88</v>
      </c>
      <c r="C170" s="21"/>
      <c r="D170" s="22"/>
      <c r="E170" s="23"/>
      <c r="F170" s="23"/>
      <c r="G170" s="7"/>
      <c r="H170" s="6"/>
      <c r="I170" s="7"/>
      <c r="J170" s="24"/>
      <c r="K170" s="23"/>
    </row>
    <row r="171" spans="1:11" ht="15" customHeight="1" x14ac:dyDescent="0.25">
      <c r="A171" s="20"/>
      <c r="B171" s="25" t="s">
        <v>89</v>
      </c>
      <c r="C171" s="21">
        <v>1</v>
      </c>
      <c r="D171" s="22"/>
      <c r="E171" s="23"/>
      <c r="F171" s="23"/>
      <c r="G171" s="22">
        <f>G167</f>
        <v>44.60528989933173</v>
      </c>
      <c r="H171" s="6"/>
      <c r="I171" s="7"/>
      <c r="J171" s="24"/>
      <c r="K171" s="23"/>
    </row>
    <row r="172" spans="1:11" ht="15" customHeight="1" x14ac:dyDescent="0.25">
      <c r="A172" s="19"/>
      <c r="B172" s="25" t="s">
        <v>16</v>
      </c>
      <c r="C172" s="26"/>
      <c r="D172" s="12"/>
      <c r="E172" s="12"/>
      <c r="F172" s="12"/>
      <c r="G172" s="24">
        <f>SUM(G171)</f>
        <v>44.60528989933173</v>
      </c>
      <c r="H172" s="24" t="s">
        <v>23</v>
      </c>
      <c r="I172" s="27">
        <v>286.77</v>
      </c>
      <c r="J172" s="8">
        <f>G172*I172</f>
        <v>12791.45898443136</v>
      </c>
      <c r="K172" s="11"/>
    </row>
    <row r="173" spans="1:11" ht="15" customHeight="1" x14ac:dyDescent="0.25">
      <c r="A173" s="20"/>
      <c r="B173" s="25" t="s">
        <v>30</v>
      </c>
      <c r="C173" s="21"/>
      <c r="D173" s="22"/>
      <c r="E173" s="23"/>
      <c r="F173" s="23"/>
      <c r="G173" s="7"/>
      <c r="H173" s="6"/>
      <c r="I173" s="7"/>
      <c r="J173" s="24">
        <f>0.13*G172*767.72/10</f>
        <v>445.17685109969443</v>
      </c>
      <c r="K173" s="23"/>
    </row>
    <row r="174" spans="1:11" ht="15" customHeight="1" x14ac:dyDescent="0.25">
      <c r="A174" s="20"/>
      <c r="B174" s="25"/>
      <c r="C174" s="21"/>
      <c r="D174" s="22"/>
      <c r="E174" s="23"/>
      <c r="F174" s="23"/>
      <c r="G174" s="7"/>
      <c r="H174" s="6"/>
      <c r="I174" s="7"/>
      <c r="J174" s="24"/>
      <c r="K174" s="23"/>
    </row>
    <row r="175" spans="1:11" ht="30" x14ac:dyDescent="0.25">
      <c r="A175" s="20">
        <v>17</v>
      </c>
      <c r="B175" s="28" t="s">
        <v>90</v>
      </c>
      <c r="C175" s="21"/>
      <c r="D175" s="22"/>
      <c r="E175" s="23"/>
      <c r="F175" s="23"/>
      <c r="G175" s="7"/>
      <c r="H175" s="6"/>
      <c r="I175" s="7"/>
      <c r="J175" s="24"/>
      <c r="K175" s="23"/>
    </row>
    <row r="176" spans="1:11" ht="15" customHeight="1" x14ac:dyDescent="0.25">
      <c r="A176" s="20"/>
      <c r="B176" s="25" t="s">
        <v>91</v>
      </c>
      <c r="C176" s="21">
        <v>1</v>
      </c>
      <c r="D176" s="22">
        <f>(20*2+13.5*2)/3.281</f>
        <v>20.42060347455044</v>
      </c>
      <c r="E176" s="23"/>
      <c r="F176" s="23">
        <f>9.333/3.281</f>
        <v>2.8445595854922279</v>
      </c>
      <c r="G176" s="12">
        <f t="shared" ref="G176:G180" si="50">PRODUCT(C176:F176)</f>
        <v>58.087623355068345</v>
      </c>
      <c r="H176" s="6"/>
      <c r="I176" s="7"/>
      <c r="J176" s="24"/>
      <c r="K176" s="23"/>
    </row>
    <row r="177" spans="1:11" ht="15" customHeight="1" x14ac:dyDescent="0.25">
      <c r="A177" s="20"/>
      <c r="B177" s="25" t="s">
        <v>92</v>
      </c>
      <c r="C177" s="21">
        <v>2</v>
      </c>
      <c r="D177" s="22">
        <f>(18.5+12)/3.281</f>
        <v>9.2959463578177388</v>
      </c>
      <c r="E177" s="23"/>
      <c r="F177" s="23">
        <f>8.17/3.281</f>
        <v>2.4900944833892105</v>
      </c>
      <c r="G177" s="12">
        <f t="shared" si="50"/>
        <v>46.295569486967949</v>
      </c>
      <c r="H177" s="6"/>
      <c r="I177" s="7"/>
      <c r="J177" s="24"/>
      <c r="K177" s="23"/>
    </row>
    <row r="178" spans="1:11" ht="15" customHeight="1" x14ac:dyDescent="0.25">
      <c r="A178" s="20"/>
      <c r="B178" s="25" t="s">
        <v>93</v>
      </c>
      <c r="C178" s="21">
        <v>1</v>
      </c>
      <c r="D178" s="22">
        <f>(20+13.5)/3.281</f>
        <v>10.21030173727522</v>
      </c>
      <c r="E178" s="23"/>
      <c r="F178" s="23">
        <f>9.333/3.281</f>
        <v>2.8445595854922279</v>
      </c>
      <c r="G178" s="12">
        <f t="shared" si="50"/>
        <v>29.043811677534173</v>
      </c>
      <c r="H178" s="6"/>
      <c r="I178" s="7"/>
      <c r="J178" s="24"/>
      <c r="K178" s="23"/>
    </row>
    <row r="179" spans="1:11" ht="15" customHeight="1" x14ac:dyDescent="0.25">
      <c r="A179" s="20"/>
      <c r="B179" s="25" t="s">
        <v>94</v>
      </c>
      <c r="C179" s="21">
        <v>1</v>
      </c>
      <c r="D179" s="22">
        <f>(18.5+12)/3.281</f>
        <v>9.2959463578177388</v>
      </c>
      <c r="E179" s="23"/>
      <c r="F179" s="23">
        <f>8.17/3.281</f>
        <v>2.4900944833892105</v>
      </c>
      <c r="G179" s="12">
        <f t="shared" si="50"/>
        <v>23.147784743483975</v>
      </c>
      <c r="H179" s="6"/>
      <c r="I179" s="7"/>
      <c r="J179" s="24"/>
      <c r="K179" s="23"/>
    </row>
    <row r="180" spans="1:11" ht="15" customHeight="1" x14ac:dyDescent="0.25">
      <c r="A180" s="20"/>
      <c r="B180" s="25" t="s">
        <v>95</v>
      </c>
      <c r="C180" s="21">
        <v>-3</v>
      </c>
      <c r="D180" s="22">
        <v>1.2</v>
      </c>
      <c r="E180" s="23"/>
      <c r="F180" s="23">
        <v>1.2</v>
      </c>
      <c r="G180" s="12">
        <f t="shared" si="50"/>
        <v>-4.3199999999999994</v>
      </c>
      <c r="H180" s="6"/>
      <c r="I180" s="7"/>
      <c r="J180" s="24"/>
      <c r="K180" s="23"/>
    </row>
    <row r="181" spans="1:11" ht="15" customHeight="1" x14ac:dyDescent="0.25">
      <c r="A181" s="19"/>
      <c r="B181" s="25" t="s">
        <v>16</v>
      </c>
      <c r="C181" s="26"/>
      <c r="D181" s="12"/>
      <c r="E181" s="12"/>
      <c r="F181" s="12"/>
      <c r="G181" s="24">
        <f>SUM(G176:G180)</f>
        <v>152.25478926305445</v>
      </c>
      <c r="H181" s="24" t="s">
        <v>23</v>
      </c>
      <c r="I181" s="27">
        <v>402.23</v>
      </c>
      <c r="J181" s="8">
        <f>G181*I181</f>
        <v>61241.443885278393</v>
      </c>
      <c r="K181" s="11"/>
    </row>
    <row r="182" spans="1:11" ht="15" customHeight="1" x14ac:dyDescent="0.25">
      <c r="A182" s="20"/>
      <c r="B182" s="25" t="s">
        <v>30</v>
      </c>
      <c r="C182" s="21"/>
      <c r="D182" s="22"/>
      <c r="E182" s="23"/>
      <c r="F182" s="23"/>
      <c r="G182" s="7"/>
      <c r="H182" s="6"/>
      <c r="I182" s="7"/>
      <c r="J182" s="24">
        <f>0.13*G181*11424.1/100</f>
        <v>2261.1861194260787</v>
      </c>
      <c r="K182" s="23"/>
    </row>
    <row r="183" spans="1:11" ht="15" customHeight="1" x14ac:dyDescent="0.25">
      <c r="A183" s="20"/>
      <c r="B183" s="25"/>
      <c r="C183" s="21"/>
      <c r="D183" s="22"/>
      <c r="E183" s="23"/>
      <c r="F183" s="23"/>
      <c r="G183" s="7"/>
      <c r="H183" s="6"/>
      <c r="I183" s="7"/>
      <c r="J183" s="24"/>
      <c r="K183" s="23"/>
    </row>
    <row r="184" spans="1:11" ht="45" x14ac:dyDescent="0.25">
      <c r="A184" s="20">
        <v>18</v>
      </c>
      <c r="B184" s="28" t="s">
        <v>96</v>
      </c>
      <c r="C184" s="21"/>
      <c r="D184" s="22"/>
      <c r="E184" s="23"/>
      <c r="F184" s="23"/>
      <c r="G184" s="7"/>
      <c r="H184" s="6"/>
      <c r="I184" s="7"/>
      <c r="J184" s="24"/>
      <c r="K184" s="23"/>
    </row>
    <row r="185" spans="1:11" ht="15" customHeight="1" x14ac:dyDescent="0.25">
      <c r="A185" s="20"/>
      <c r="B185" s="25" t="s">
        <v>97</v>
      </c>
      <c r="C185" s="21">
        <v>1</v>
      </c>
      <c r="D185" s="22"/>
      <c r="E185" s="23"/>
      <c r="F185" s="23"/>
      <c r="G185" s="22">
        <f>G181</f>
        <v>152.25478926305445</v>
      </c>
      <c r="H185" s="6"/>
      <c r="I185" s="7"/>
      <c r="J185" s="24"/>
      <c r="K185" s="23"/>
    </row>
    <row r="186" spans="1:11" ht="15" customHeight="1" x14ac:dyDescent="0.25">
      <c r="A186" s="19"/>
      <c r="B186" s="25" t="s">
        <v>16</v>
      </c>
      <c r="C186" s="26"/>
      <c r="D186" s="12"/>
      <c r="E186" s="12"/>
      <c r="F186" s="12"/>
      <c r="G186" s="24">
        <f>SUM(G185)</f>
        <v>152.25478926305445</v>
      </c>
      <c r="H186" s="24" t="s">
        <v>23</v>
      </c>
      <c r="I186" s="27">
        <v>181.8</v>
      </c>
      <c r="J186" s="8">
        <f>G186*I186</f>
        <v>27679.9206880233</v>
      </c>
      <c r="K186" s="11"/>
    </row>
    <row r="187" spans="1:11" ht="15" customHeight="1" x14ac:dyDescent="0.25">
      <c r="A187" s="20"/>
      <c r="B187" s="25" t="s">
        <v>30</v>
      </c>
      <c r="C187" s="21"/>
      <c r="D187" s="22"/>
      <c r="E187" s="23"/>
      <c r="F187" s="23"/>
      <c r="G187" s="7"/>
      <c r="H187" s="6"/>
      <c r="I187" s="7"/>
      <c r="J187" s="24">
        <f>0.13*G186*6000/100</f>
        <v>1187.5873562518248</v>
      </c>
      <c r="K187" s="23"/>
    </row>
    <row r="188" spans="1:11" ht="15" customHeight="1" x14ac:dyDescent="0.25">
      <c r="A188" s="20"/>
      <c r="B188" s="25"/>
      <c r="C188" s="21"/>
      <c r="D188" s="22"/>
      <c r="E188" s="23"/>
      <c r="F188" s="23"/>
      <c r="G188" s="7"/>
      <c r="H188" s="6"/>
      <c r="I188" s="7"/>
      <c r="J188" s="24"/>
      <c r="K188" s="23"/>
    </row>
    <row r="189" spans="1:11" ht="30" x14ac:dyDescent="0.25">
      <c r="A189" s="20">
        <v>19</v>
      </c>
      <c r="B189" s="28" t="s">
        <v>100</v>
      </c>
      <c r="C189" s="21"/>
      <c r="D189" s="22"/>
      <c r="E189" s="23"/>
      <c r="F189" s="23"/>
      <c r="G189" s="7"/>
      <c r="H189" s="6"/>
      <c r="I189" s="7"/>
      <c r="J189" s="24"/>
      <c r="K189" s="23"/>
    </row>
    <row r="190" spans="1:11" ht="15" customHeight="1" x14ac:dyDescent="0.25">
      <c r="A190" s="20"/>
      <c r="B190" s="25" t="s">
        <v>101</v>
      </c>
      <c r="C190" s="21">
        <v>2</v>
      </c>
      <c r="D190" s="22">
        <f>(21.5+15)/3.281</f>
        <v>11.124657116732703</v>
      </c>
      <c r="E190" s="23"/>
      <c r="F190" s="23"/>
      <c r="G190" s="12">
        <f t="shared" ref="G190" si="51">PRODUCT(C190:F190)</f>
        <v>22.249314233465405</v>
      </c>
      <c r="H190" s="6"/>
      <c r="I190" s="7"/>
      <c r="J190" s="24"/>
      <c r="K190" s="23"/>
    </row>
    <row r="191" spans="1:11" ht="15" customHeight="1" x14ac:dyDescent="0.25">
      <c r="A191" s="19"/>
      <c r="B191" s="25" t="s">
        <v>16</v>
      </c>
      <c r="C191" s="26"/>
      <c r="D191" s="12"/>
      <c r="E191" s="12"/>
      <c r="F191" s="12"/>
      <c r="G191" s="24">
        <f>SUM(G190)</f>
        <v>22.249314233465405</v>
      </c>
      <c r="H191" s="24" t="s">
        <v>23</v>
      </c>
      <c r="I191" s="27">
        <v>150.04</v>
      </c>
      <c r="J191" s="8">
        <f>G191*I191</f>
        <v>3338.2871075891494</v>
      </c>
      <c r="K191" s="11"/>
    </row>
    <row r="192" spans="1:11" ht="15" customHeight="1" x14ac:dyDescent="0.25">
      <c r="A192" s="20"/>
      <c r="B192" s="25" t="s">
        <v>30</v>
      </c>
      <c r="C192" s="21"/>
      <c r="D192" s="22"/>
      <c r="E192" s="23"/>
      <c r="F192" s="23"/>
      <c r="G192" s="7"/>
      <c r="H192" s="6"/>
      <c r="I192" s="7"/>
      <c r="J192" s="24">
        <f>0.13*G191*111.05</f>
        <v>321.20222493142336</v>
      </c>
      <c r="K192" s="23"/>
    </row>
    <row r="193" spans="1:11" ht="15" customHeight="1" x14ac:dyDescent="0.25">
      <c r="A193" s="20"/>
      <c r="B193" s="25"/>
      <c r="C193" s="21"/>
      <c r="D193" s="22"/>
      <c r="E193" s="23"/>
      <c r="F193" s="23"/>
      <c r="G193" s="7"/>
      <c r="H193" s="6"/>
      <c r="I193" s="7"/>
      <c r="J193" s="24"/>
      <c r="K193" s="23"/>
    </row>
    <row r="194" spans="1:11" ht="150" x14ac:dyDescent="0.25">
      <c r="A194" s="20">
        <v>20</v>
      </c>
      <c r="B194" s="28" t="s">
        <v>102</v>
      </c>
      <c r="C194" s="21"/>
      <c r="D194" s="22"/>
      <c r="E194" s="23"/>
      <c r="F194" s="23"/>
      <c r="G194" s="7"/>
      <c r="H194" s="6"/>
      <c r="I194" s="7"/>
      <c r="J194" s="24"/>
      <c r="K194" s="23"/>
    </row>
    <row r="195" spans="1:11" ht="15" customHeight="1" x14ac:dyDescent="0.25">
      <c r="A195" s="20"/>
      <c r="B195" s="25" t="str">
        <f>B55</f>
        <v>-Extending compound</v>
      </c>
      <c r="C195" s="26">
        <f t="shared" ref="C195:D195" si="52">C55</f>
        <v>1</v>
      </c>
      <c r="D195" s="22">
        <f t="shared" si="52"/>
        <v>16.5</v>
      </c>
      <c r="E195" s="23"/>
      <c r="F195" s="23">
        <v>1.2</v>
      </c>
      <c r="G195" s="29">
        <f>PRODUCT(C195:F195)</f>
        <v>19.8</v>
      </c>
      <c r="H195" s="6"/>
      <c r="I195" s="7"/>
      <c r="J195" s="24"/>
      <c r="K195" s="23"/>
    </row>
    <row r="196" spans="1:11" ht="15" customHeight="1" x14ac:dyDescent="0.25">
      <c r="A196" s="19"/>
      <c r="B196" s="25" t="s">
        <v>16</v>
      </c>
      <c r="C196" s="26"/>
      <c r="D196" s="12"/>
      <c r="E196" s="12"/>
      <c r="F196" s="12"/>
      <c r="G196" s="24">
        <f>SUM(G195)</f>
        <v>19.8</v>
      </c>
      <c r="H196" s="24" t="s">
        <v>23</v>
      </c>
      <c r="I196" s="27">
        <f>32484.18/10</f>
        <v>3248.4180000000001</v>
      </c>
      <c r="J196" s="8">
        <f>G196*I196</f>
        <v>64318.676400000004</v>
      </c>
      <c r="K196" s="11"/>
    </row>
    <row r="197" spans="1:11" ht="15" customHeight="1" x14ac:dyDescent="0.25">
      <c r="A197" s="20"/>
      <c r="B197" s="25" t="s">
        <v>30</v>
      </c>
      <c r="C197" s="21"/>
      <c r="D197" s="22"/>
      <c r="E197" s="23"/>
      <c r="F197" s="23"/>
      <c r="G197" s="7"/>
      <c r="H197" s="6"/>
      <c r="I197" s="7"/>
      <c r="J197" s="24">
        <f>0.13*G196*17029.72/10</f>
        <v>4383.4499280000009</v>
      </c>
      <c r="K197" s="23"/>
    </row>
    <row r="198" spans="1:11" ht="15" customHeight="1" x14ac:dyDescent="0.25">
      <c r="A198" s="20"/>
      <c r="B198" s="25"/>
      <c r="C198" s="21"/>
      <c r="D198" s="22"/>
      <c r="E198" s="23"/>
      <c r="F198" s="23"/>
      <c r="G198" s="7"/>
      <c r="H198" s="6"/>
      <c r="I198" s="7"/>
      <c r="J198" s="24"/>
      <c r="K198" s="23"/>
    </row>
    <row r="199" spans="1:11" ht="15" customHeight="1" x14ac:dyDescent="0.25">
      <c r="A199" s="20">
        <v>21</v>
      </c>
      <c r="B199" s="51" t="s">
        <v>112</v>
      </c>
      <c r="C199" s="26">
        <v>1</v>
      </c>
      <c r="D199" s="12"/>
      <c r="E199" s="12"/>
      <c r="F199" s="12"/>
      <c r="G199" s="24">
        <f>PRODUCT(C199:F199)</f>
        <v>1</v>
      </c>
      <c r="H199" s="19" t="s">
        <v>20</v>
      </c>
      <c r="I199" s="24">
        <v>15000</v>
      </c>
      <c r="J199" s="24">
        <f>G199*I199</f>
        <v>15000</v>
      </c>
      <c r="K199" s="23"/>
    </row>
    <row r="200" spans="1:11" ht="15" customHeight="1" x14ac:dyDescent="0.25">
      <c r="A200" s="20"/>
      <c r="B200" s="51"/>
      <c r="C200" s="26"/>
      <c r="D200" s="12"/>
      <c r="E200" s="12"/>
      <c r="F200" s="12"/>
      <c r="G200" s="24"/>
      <c r="H200" s="19"/>
      <c r="I200" s="24"/>
      <c r="J200" s="24"/>
      <c r="K200" s="23"/>
    </row>
    <row r="201" spans="1:11" ht="15" customHeight="1" x14ac:dyDescent="0.25">
      <c r="A201" s="20">
        <v>21</v>
      </c>
      <c r="B201" s="51" t="s">
        <v>114</v>
      </c>
      <c r="C201" s="26">
        <v>1</v>
      </c>
      <c r="D201" s="12"/>
      <c r="E201" s="12"/>
      <c r="F201" s="12"/>
      <c r="G201" s="24">
        <f>PRODUCT(C201:F201)</f>
        <v>1</v>
      </c>
      <c r="H201" s="19" t="s">
        <v>20</v>
      </c>
      <c r="I201" s="24">
        <v>15000</v>
      </c>
      <c r="J201" s="24">
        <f>G201*I201</f>
        <v>15000</v>
      </c>
      <c r="K201" s="23"/>
    </row>
    <row r="202" spans="1:11" ht="15" customHeight="1" x14ac:dyDescent="0.25">
      <c r="A202" s="20"/>
      <c r="B202" s="25" t="s">
        <v>113</v>
      </c>
      <c r="C202" s="21"/>
      <c r="D202" s="22"/>
      <c r="E202" s="23"/>
      <c r="F202" s="23"/>
      <c r="G202" s="7"/>
      <c r="H202" s="6"/>
      <c r="I202" s="7"/>
      <c r="J202" s="24"/>
      <c r="K202" s="23"/>
    </row>
    <row r="203" spans="1:11" x14ac:dyDescent="0.25">
      <c r="A203" s="19">
        <v>22</v>
      </c>
      <c r="B203" s="10" t="s">
        <v>19</v>
      </c>
      <c r="C203" s="26">
        <v>1</v>
      </c>
      <c r="D203" s="12"/>
      <c r="E203" s="12"/>
      <c r="F203" s="12"/>
      <c r="G203" s="24">
        <f>PRODUCT(C203:F203)</f>
        <v>1</v>
      </c>
      <c r="H203" s="19" t="s">
        <v>20</v>
      </c>
      <c r="I203" s="24">
        <v>1000</v>
      </c>
      <c r="J203" s="24">
        <f>G203*I203</f>
        <v>1000</v>
      </c>
      <c r="K203" s="11"/>
    </row>
    <row r="204" spans="1:11" x14ac:dyDescent="0.25">
      <c r="A204" s="19"/>
      <c r="B204" s="34" t="s">
        <v>21</v>
      </c>
      <c r="C204" s="26"/>
      <c r="D204" s="12"/>
      <c r="E204" s="12"/>
      <c r="F204" s="12"/>
      <c r="G204" s="12"/>
      <c r="H204" s="11"/>
      <c r="I204" s="12"/>
      <c r="J204" s="24">
        <f>SUM(J9:J203)</f>
        <v>1814101.8833050309</v>
      </c>
      <c r="K204" s="11"/>
    </row>
    <row r="206" spans="1:11" s="9" customFormat="1" x14ac:dyDescent="0.25">
      <c r="B206" s="11" t="s">
        <v>24</v>
      </c>
      <c r="C206" s="219">
        <f>J204</f>
        <v>1814101.8833050309</v>
      </c>
      <c r="D206" s="220"/>
      <c r="E206" s="12">
        <v>100</v>
      </c>
      <c r="F206" s="13"/>
      <c r="G206" s="14"/>
      <c r="H206" s="13"/>
      <c r="I206" s="15"/>
      <c r="J206" s="16"/>
      <c r="K206" s="17"/>
    </row>
    <row r="207" spans="1:11" x14ac:dyDescent="0.25">
      <c r="A207" s="18"/>
      <c r="B207" s="11" t="s">
        <v>25</v>
      </c>
      <c r="C207" s="222">
        <v>1600000</v>
      </c>
      <c r="D207" s="223"/>
      <c r="E207" s="12"/>
      <c r="G207" s="18"/>
      <c r="H207" s="18"/>
      <c r="I207" s="18"/>
      <c r="J207" s="52"/>
    </row>
    <row r="208" spans="1:11" x14ac:dyDescent="0.25">
      <c r="A208" s="18"/>
      <c r="B208" s="11" t="s">
        <v>26</v>
      </c>
      <c r="C208" s="222">
        <f>C207-C210-C211</f>
        <v>1520000</v>
      </c>
      <c r="D208" s="223"/>
      <c r="E208" s="12">
        <f>C208/C206*100</f>
        <v>83.788017309743381</v>
      </c>
      <c r="G208" s="18"/>
      <c r="H208" s="18"/>
      <c r="I208" s="18"/>
      <c r="J208" s="18"/>
    </row>
    <row r="209" spans="1:10" x14ac:dyDescent="0.25">
      <c r="A209" s="18"/>
      <c r="B209" s="11" t="s">
        <v>27</v>
      </c>
      <c r="C209" s="224">
        <f>C206-C208</f>
        <v>294101.88330503087</v>
      </c>
      <c r="D209" s="224"/>
      <c r="E209" s="12">
        <f>100-E208</f>
        <v>16.211982690256619</v>
      </c>
      <c r="G209" s="18"/>
      <c r="H209" s="18"/>
      <c r="I209" s="18"/>
    </row>
    <row r="210" spans="1:10" x14ac:dyDescent="0.25">
      <c r="A210" s="18"/>
      <c r="B210" s="11" t="s">
        <v>28</v>
      </c>
      <c r="C210" s="219">
        <f>C207*0.03</f>
        <v>48000</v>
      </c>
      <c r="D210" s="220"/>
      <c r="E210" s="12">
        <v>3</v>
      </c>
      <c r="G210" s="18"/>
      <c r="H210" s="18"/>
      <c r="I210" s="18"/>
      <c r="J210" s="18"/>
    </row>
    <row r="211" spans="1:10" x14ac:dyDescent="0.25">
      <c r="A211" s="18"/>
      <c r="B211" s="11" t="s">
        <v>29</v>
      </c>
      <c r="C211" s="219">
        <f>C207*0.02</f>
        <v>32000</v>
      </c>
      <c r="D211" s="220"/>
      <c r="E211" s="12">
        <v>2</v>
      </c>
      <c r="G211" s="18"/>
      <c r="H211" s="18"/>
      <c r="I211" s="18"/>
      <c r="J211" s="18"/>
    </row>
    <row r="218" spans="1:10" x14ac:dyDescent="0.25">
      <c r="J218" s="18">
        <f>J201+J160+J161+(SUM(G134:G138))*I139+(SUM(G96:G97))*I98+(SUM(G80:G82))*I83+(SUM(G62:G64))*I65+(SUM(G42:G43))*I44+(SUM(G27:G28))*I29+(SUM(G13:G14))*I15+J150+J151+2*D94*E94*I98</f>
        <v>254617.92684532629</v>
      </c>
    </row>
  </sheetData>
  <mergeCells count="15">
    <mergeCell ref="C210:D210"/>
    <mergeCell ref="C211:D211"/>
    <mergeCell ref="A7:F7"/>
    <mergeCell ref="H7:K7"/>
    <mergeCell ref="C206:D206"/>
    <mergeCell ref="C207:D207"/>
    <mergeCell ref="C208:D208"/>
    <mergeCell ref="C209:D209"/>
    <mergeCell ref="A6:F6"/>
    <mergeCell ref="H6:K6"/>
    <mergeCell ref="A1:K1"/>
    <mergeCell ref="A2:K2"/>
    <mergeCell ref="A3:K3"/>
    <mergeCell ref="A4:K4"/>
    <mergeCell ref="A5:K5"/>
  </mergeCells>
  <pageMargins left="0.7" right="0.7" top="0.75" bottom="0.75" header="0.3" footer="0.3"/>
  <pageSetup paperSize="9" scale="70" orientation="portrait" r:id="rId1"/>
  <headerFooter>
    <oddFooter>&amp;LPrepared By:
Kristal Suwal&amp;CChecked By:
Er. Milan Phuyal&amp;RApproved By:
Er. Prakash Singh Saud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63"/>
  <sheetViews>
    <sheetView topLeftCell="A330" zoomScale="89" zoomScaleNormal="89" workbookViewId="0">
      <selection activeCell="J335" sqref="J335"/>
    </sheetView>
  </sheetViews>
  <sheetFormatPr defaultRowHeight="15" x14ac:dyDescent="0.25"/>
  <cols>
    <col min="1" max="1" width="4.42578125" customWidth="1"/>
    <col min="2" max="2" width="31.28515625" customWidth="1"/>
    <col min="3" max="3" width="5.5703125" customWidth="1"/>
    <col min="4" max="4" width="9.140625" bestFit="1" customWidth="1"/>
    <col min="5" max="5" width="7.85546875" customWidth="1"/>
    <col min="6" max="6" width="8.28515625" customWidth="1"/>
    <col min="7" max="7" width="10.42578125" customWidth="1"/>
    <col min="8" max="8" width="5.28515625" bestFit="1" customWidth="1"/>
    <col min="9" max="9" width="10.7109375" bestFit="1" customWidth="1"/>
    <col min="10" max="10" width="12.28515625" bestFit="1" customWidth="1"/>
    <col min="11" max="11" width="9.140625" customWidth="1"/>
    <col min="13" max="13" width="11" bestFit="1" customWidth="1"/>
    <col min="14" max="14" width="9.5703125" bestFit="1" customWidth="1"/>
  </cols>
  <sheetData>
    <row r="1" spans="1:11" x14ac:dyDescent="0.25">
      <c r="A1" s="215" t="s">
        <v>0</v>
      </c>
      <c r="B1" s="215"/>
      <c r="C1" s="215"/>
      <c r="D1" s="215"/>
      <c r="E1" s="215"/>
      <c r="F1" s="215"/>
      <c r="G1" s="215"/>
      <c r="H1" s="215"/>
      <c r="I1" s="215"/>
      <c r="J1" s="215"/>
      <c r="K1" s="215"/>
    </row>
    <row r="2" spans="1:11" ht="22.5" x14ac:dyDescent="0.25">
      <c r="A2" s="216" t="s">
        <v>1</v>
      </c>
      <c r="B2" s="216"/>
      <c r="C2" s="216"/>
      <c r="D2" s="216"/>
      <c r="E2" s="216"/>
      <c r="F2" s="216"/>
      <c r="G2" s="216"/>
      <c r="H2" s="216"/>
      <c r="I2" s="216"/>
      <c r="J2" s="216"/>
      <c r="K2" s="216"/>
    </row>
    <row r="3" spans="1:11" x14ac:dyDescent="0.25">
      <c r="A3" s="217" t="s">
        <v>2</v>
      </c>
      <c r="B3" s="217"/>
      <c r="C3" s="217"/>
      <c r="D3" s="217"/>
      <c r="E3" s="217"/>
      <c r="F3" s="217"/>
      <c r="G3" s="217"/>
      <c r="H3" s="217"/>
      <c r="I3" s="217"/>
      <c r="J3" s="217"/>
      <c r="K3" s="217"/>
    </row>
    <row r="4" spans="1:11" x14ac:dyDescent="0.25">
      <c r="A4" s="217" t="s">
        <v>3</v>
      </c>
      <c r="B4" s="217"/>
      <c r="C4" s="217"/>
      <c r="D4" s="217"/>
      <c r="E4" s="217"/>
      <c r="F4" s="217"/>
      <c r="G4" s="217"/>
      <c r="H4" s="217"/>
      <c r="I4" s="217"/>
      <c r="J4" s="217"/>
      <c r="K4" s="217"/>
    </row>
    <row r="5" spans="1:11" ht="18.75" x14ac:dyDescent="0.3">
      <c r="A5" s="218" t="s">
        <v>4</v>
      </c>
      <c r="B5" s="218"/>
      <c r="C5" s="218"/>
      <c r="D5" s="218"/>
      <c r="E5" s="218"/>
      <c r="F5" s="218"/>
      <c r="G5" s="218"/>
      <c r="H5" s="218"/>
      <c r="I5" s="218"/>
      <c r="J5" s="218"/>
      <c r="K5" s="218"/>
    </row>
    <row r="6" spans="1:11" ht="15.75" x14ac:dyDescent="0.25">
      <c r="A6" s="213" t="s">
        <v>111</v>
      </c>
      <c r="B6" s="213"/>
      <c r="C6" s="213"/>
      <c r="D6" s="213"/>
      <c r="E6" s="213"/>
      <c r="F6" s="213"/>
      <c r="G6" s="1"/>
      <c r="H6" s="214" t="s">
        <v>42</v>
      </c>
      <c r="I6" s="214"/>
      <c r="J6" s="214"/>
      <c r="K6" s="214"/>
    </row>
    <row r="7" spans="1:11" ht="15.75" x14ac:dyDescent="0.25">
      <c r="A7" s="221" t="s">
        <v>5</v>
      </c>
      <c r="B7" s="221"/>
      <c r="C7" s="221"/>
      <c r="D7" s="221"/>
      <c r="E7" s="221"/>
      <c r="F7" s="221"/>
      <c r="G7" s="2"/>
      <c r="H7" s="214" t="s">
        <v>261</v>
      </c>
      <c r="I7" s="214"/>
      <c r="J7" s="214"/>
      <c r="K7" s="214"/>
    </row>
    <row r="8" spans="1:11" ht="15" customHeight="1" x14ac:dyDescent="0.25">
      <c r="A8" s="184" t="s">
        <v>6</v>
      </c>
      <c r="B8" s="185" t="s">
        <v>7</v>
      </c>
      <c r="C8" s="186" t="s">
        <v>8</v>
      </c>
      <c r="D8" s="187" t="s">
        <v>9</v>
      </c>
      <c r="E8" s="187" t="s">
        <v>10</v>
      </c>
      <c r="F8" s="187" t="s">
        <v>11</v>
      </c>
      <c r="G8" s="187" t="s">
        <v>12</v>
      </c>
      <c r="H8" s="186" t="s">
        <v>13</v>
      </c>
      <c r="I8" s="187" t="s">
        <v>14</v>
      </c>
      <c r="J8" s="187" t="s">
        <v>15</v>
      </c>
      <c r="K8" s="185" t="s">
        <v>38</v>
      </c>
    </row>
    <row r="9" spans="1:11" ht="31.5" x14ac:dyDescent="0.25">
      <c r="A9" s="182">
        <v>1</v>
      </c>
      <c r="B9" s="124" t="s">
        <v>62</v>
      </c>
      <c r="C9" s="178"/>
      <c r="D9" s="178"/>
      <c r="E9" s="178"/>
      <c r="F9" s="178"/>
      <c r="G9" s="178"/>
      <c r="H9" s="178"/>
      <c r="I9" s="178"/>
      <c r="J9" s="152"/>
      <c r="K9" s="178"/>
    </row>
    <row r="10" spans="1:11" x14ac:dyDescent="0.25">
      <c r="A10" s="182"/>
      <c r="B10" s="173" t="s">
        <v>57</v>
      </c>
      <c r="C10" s="151">
        <v>6</v>
      </c>
      <c r="D10" s="152">
        <v>1.5</v>
      </c>
      <c r="E10" s="152">
        <v>1.5</v>
      </c>
      <c r="F10" s="152">
        <v>1.5</v>
      </c>
      <c r="G10" s="152">
        <f>PRODUCT(C10:F10)</f>
        <v>20.25</v>
      </c>
      <c r="H10" s="178"/>
      <c r="I10" s="178"/>
      <c r="J10" s="152"/>
      <c r="K10" s="178"/>
    </row>
    <row r="11" spans="1:11" x14ac:dyDescent="0.25">
      <c r="A11" s="182"/>
      <c r="B11" s="173" t="s">
        <v>61</v>
      </c>
      <c r="C11" s="151">
        <v>3</v>
      </c>
      <c r="D11" s="152">
        <f>3</f>
        <v>3</v>
      </c>
      <c r="E11" s="152">
        <v>0.23</v>
      </c>
      <c r="F11" s="152">
        <v>0.45687800000000001</v>
      </c>
      <c r="G11" s="152">
        <f t="shared" ref="G11:G18" si="0">PRODUCT(C11:F11)</f>
        <v>0.94573746000000014</v>
      </c>
      <c r="H11" s="178"/>
      <c r="I11" s="178"/>
      <c r="J11" s="152"/>
      <c r="K11" s="178"/>
    </row>
    <row r="12" spans="1:11" x14ac:dyDescent="0.25">
      <c r="A12" s="182"/>
      <c r="B12" s="173"/>
      <c r="C12" s="151">
        <v>4</v>
      </c>
      <c r="D12" s="152">
        <f>8.5/3.281</f>
        <v>2.5906735751295336</v>
      </c>
      <c r="E12" s="152">
        <v>0.23</v>
      </c>
      <c r="F12" s="152">
        <v>0.45689999999999997</v>
      </c>
      <c r="G12" s="152">
        <f t="shared" si="0"/>
        <v>1.0889844559585491</v>
      </c>
      <c r="H12" s="178"/>
      <c r="I12" s="178"/>
      <c r="J12" s="152"/>
      <c r="K12" s="178"/>
    </row>
    <row r="13" spans="1:11" x14ac:dyDescent="0.25">
      <c r="A13" s="182"/>
      <c r="B13" s="173" t="s">
        <v>149</v>
      </c>
      <c r="C13" s="151">
        <v>1</v>
      </c>
      <c r="D13" s="152">
        <f>(2.34+1.4)/2</f>
        <v>1.8699999999999999</v>
      </c>
      <c r="E13" s="152">
        <f>12/3.281</f>
        <v>3.6574215178299299</v>
      </c>
      <c r="F13" s="152">
        <v>0.125</v>
      </c>
      <c r="G13" s="152">
        <f t="shared" si="0"/>
        <v>0.85492227979274604</v>
      </c>
      <c r="H13" s="178"/>
      <c r="I13" s="178"/>
      <c r="J13" s="152"/>
      <c r="K13" s="178"/>
    </row>
    <row r="14" spans="1:11" x14ac:dyDescent="0.25">
      <c r="A14" s="182"/>
      <c r="B14" s="173"/>
      <c r="C14" s="151">
        <v>1</v>
      </c>
      <c r="D14" s="152">
        <v>7.5</v>
      </c>
      <c r="E14" s="152">
        <v>1.1499999999999999</v>
      </c>
      <c r="F14" s="152">
        <v>0.125</v>
      </c>
      <c r="G14" s="152">
        <f t="shared" si="0"/>
        <v>1.078125</v>
      </c>
      <c r="H14" s="178"/>
      <c r="I14" s="178"/>
      <c r="J14" s="152"/>
      <c r="K14" s="178"/>
    </row>
    <row r="15" spans="1:11" x14ac:dyDescent="0.25">
      <c r="A15" s="182"/>
      <c r="B15" s="173"/>
      <c r="C15" s="151">
        <v>1</v>
      </c>
      <c r="D15" s="152">
        <v>1.6</v>
      </c>
      <c r="E15" s="152">
        <v>1.55</v>
      </c>
      <c r="F15" s="152">
        <v>0.125</v>
      </c>
      <c r="G15" s="152">
        <f t="shared" si="0"/>
        <v>0.31000000000000005</v>
      </c>
      <c r="H15" s="178"/>
      <c r="I15" s="178"/>
      <c r="J15" s="152"/>
      <c r="K15" s="178"/>
    </row>
    <row r="16" spans="1:11" x14ac:dyDescent="0.25">
      <c r="A16" s="182"/>
      <c r="B16" s="173" t="s">
        <v>150</v>
      </c>
      <c r="C16" s="151">
        <v>1</v>
      </c>
      <c r="D16" s="152">
        <f>7+10/3.281</f>
        <v>10.047851264858275</v>
      </c>
      <c r="E16" s="152">
        <v>0.4</v>
      </c>
      <c r="F16" s="152">
        <v>0.1</v>
      </c>
      <c r="G16" s="152">
        <f t="shared" si="0"/>
        <v>0.40191405059433105</v>
      </c>
      <c r="H16" s="178"/>
      <c r="I16" s="178"/>
      <c r="J16" s="152"/>
      <c r="K16" s="178"/>
    </row>
    <row r="17" spans="1:11" x14ac:dyDescent="0.25">
      <c r="A17" s="182"/>
      <c r="B17" s="173" t="s">
        <v>103</v>
      </c>
      <c r="C17" s="151">
        <v>2</v>
      </c>
      <c r="D17" s="152">
        <f>9/3.281</f>
        <v>2.7430661383724475</v>
      </c>
      <c r="E17" s="152">
        <v>0.3</v>
      </c>
      <c r="F17" s="152">
        <v>0.75</v>
      </c>
      <c r="G17" s="152">
        <f t="shared" si="0"/>
        <v>1.2343797622676014</v>
      </c>
      <c r="H17" s="178"/>
      <c r="I17" s="178"/>
      <c r="J17" s="152"/>
      <c r="K17" s="178"/>
    </row>
    <row r="18" spans="1:11" x14ac:dyDescent="0.25">
      <c r="A18" s="182"/>
      <c r="B18" s="173"/>
      <c r="C18" s="151">
        <v>3</v>
      </c>
      <c r="D18" s="152">
        <f>3/3.281</f>
        <v>0.91435537945748246</v>
      </c>
      <c r="E18" s="152">
        <v>0.3</v>
      </c>
      <c r="F18" s="152">
        <v>0.75</v>
      </c>
      <c r="G18" s="152">
        <f t="shared" si="0"/>
        <v>0.61718988113380069</v>
      </c>
      <c r="H18" s="178"/>
      <c r="I18" s="178"/>
      <c r="J18" s="152"/>
      <c r="K18" s="178"/>
    </row>
    <row r="19" spans="1:11" x14ac:dyDescent="0.25">
      <c r="A19" s="182"/>
      <c r="B19" s="179" t="s">
        <v>16</v>
      </c>
      <c r="C19" s="151"/>
      <c r="D19" s="152"/>
      <c r="E19" s="152"/>
      <c r="F19" s="152"/>
      <c r="G19" s="153">
        <f>SUM(G10:G18)</f>
        <v>26.781252889747027</v>
      </c>
      <c r="H19" s="6" t="s">
        <v>18</v>
      </c>
      <c r="I19" s="7">
        <v>648.9</v>
      </c>
      <c r="J19" s="153">
        <f>G19*I19</f>
        <v>17378.355000156844</v>
      </c>
      <c r="K19" s="178"/>
    </row>
    <row r="20" spans="1:11" x14ac:dyDescent="0.25">
      <c r="A20" s="182"/>
      <c r="B20" s="178"/>
      <c r="C20" s="151"/>
      <c r="D20" s="152"/>
      <c r="E20" s="152"/>
      <c r="F20" s="152"/>
      <c r="G20" s="152"/>
      <c r="H20" s="178"/>
      <c r="I20" s="152"/>
      <c r="J20" s="152"/>
      <c r="K20" s="178"/>
    </row>
    <row r="21" spans="1:11" ht="31.5" x14ac:dyDescent="0.25">
      <c r="A21" s="182">
        <v>2</v>
      </c>
      <c r="B21" s="124" t="s">
        <v>83</v>
      </c>
      <c r="C21" s="151"/>
      <c r="D21" s="152"/>
      <c r="E21" s="152"/>
      <c r="F21" s="152"/>
      <c r="G21" s="152"/>
      <c r="H21" s="178"/>
      <c r="I21" s="152"/>
      <c r="J21" s="152"/>
      <c r="K21" s="178"/>
    </row>
    <row r="22" spans="1:11" x14ac:dyDescent="0.25">
      <c r="A22" s="182"/>
      <c r="B22" s="173" t="s">
        <v>84</v>
      </c>
      <c r="C22" s="151">
        <v>1</v>
      </c>
      <c r="D22" s="152">
        <f>17/3.281</f>
        <v>5.1813471502590671</v>
      </c>
      <c r="E22" s="152">
        <f>15/3.281</f>
        <v>4.5717768972874122</v>
      </c>
      <c r="F22" s="152">
        <f>3/12/3.281</f>
        <v>7.6196281621456863E-2</v>
      </c>
      <c r="G22" s="152">
        <f t="shared" ref="G22" si="1">PRODUCT(C22:F22)</f>
        <v>1.804934714902497</v>
      </c>
      <c r="H22" s="178"/>
      <c r="I22" s="152"/>
      <c r="J22" s="152"/>
      <c r="K22" s="178"/>
    </row>
    <row r="23" spans="1:11" x14ac:dyDescent="0.25">
      <c r="A23" s="182"/>
      <c r="B23" s="179" t="s">
        <v>16</v>
      </c>
      <c r="C23" s="151"/>
      <c r="D23" s="152"/>
      <c r="E23" s="152"/>
      <c r="F23" s="152"/>
      <c r="G23" s="153">
        <f>SUM(G22)</f>
        <v>1.804934714902497</v>
      </c>
      <c r="H23" s="6" t="s">
        <v>18</v>
      </c>
      <c r="I23" s="7">
        <v>3600</v>
      </c>
      <c r="J23" s="153">
        <f>G23*I23</f>
        <v>6497.7649736489893</v>
      </c>
      <c r="K23" s="178"/>
    </row>
    <row r="24" spans="1:11" x14ac:dyDescent="0.25">
      <c r="A24" s="182"/>
      <c r="B24" s="178"/>
      <c r="C24" s="151"/>
      <c r="D24" s="152"/>
      <c r="E24" s="152"/>
      <c r="F24" s="152"/>
      <c r="G24" s="152"/>
      <c r="H24" s="178"/>
      <c r="I24" s="152"/>
      <c r="J24" s="152"/>
      <c r="K24" s="178"/>
    </row>
    <row r="25" spans="1:11" ht="15.75" x14ac:dyDescent="0.25">
      <c r="A25" s="182">
        <v>3</v>
      </c>
      <c r="B25" s="124" t="s">
        <v>104</v>
      </c>
      <c r="C25" s="151"/>
      <c r="D25" s="152"/>
      <c r="E25" s="152"/>
      <c r="F25" s="152"/>
      <c r="G25" s="152"/>
      <c r="H25" s="178"/>
      <c r="I25" s="152"/>
      <c r="J25" s="152"/>
      <c r="K25" s="178"/>
    </row>
    <row r="26" spans="1:11" hidden="1" x14ac:dyDescent="0.25">
      <c r="A26" s="182"/>
      <c r="B26" s="173" t="str">
        <f>B48</f>
        <v>-Extending compound</v>
      </c>
      <c r="C26" s="151">
        <v>0</v>
      </c>
      <c r="D26" s="152">
        <f>D48</f>
        <v>15.389999999999999</v>
      </c>
      <c r="E26" s="152">
        <f>E48</f>
        <v>0.11</v>
      </c>
      <c r="F26" s="152">
        <v>0.15</v>
      </c>
      <c r="G26" s="152">
        <f>PRODUCT(C26:F26)</f>
        <v>0</v>
      </c>
      <c r="H26" s="178"/>
      <c r="I26" s="178"/>
      <c r="J26" s="152"/>
      <c r="K26" s="178"/>
    </row>
    <row r="27" spans="1:11" x14ac:dyDescent="0.25">
      <c r="A27" s="182"/>
      <c r="B27" s="173" t="s">
        <v>57</v>
      </c>
      <c r="C27" s="151">
        <f t="shared" ref="C27:E29" si="2">C10</f>
        <v>6</v>
      </c>
      <c r="D27" s="152">
        <f t="shared" si="2"/>
        <v>1.5</v>
      </c>
      <c r="E27" s="152">
        <f t="shared" si="2"/>
        <v>1.5</v>
      </c>
      <c r="F27" s="152"/>
      <c r="G27" s="152">
        <f>PRODUCT(C27:F27)</f>
        <v>13.5</v>
      </c>
      <c r="H27" s="178"/>
      <c r="I27" s="178"/>
      <c r="J27" s="152"/>
      <c r="K27" s="178"/>
    </row>
    <row r="28" spans="1:11" x14ac:dyDescent="0.25">
      <c r="A28" s="182"/>
      <c r="B28" s="173" t="s">
        <v>61</v>
      </c>
      <c r="C28" s="151">
        <f t="shared" si="2"/>
        <v>3</v>
      </c>
      <c r="D28" s="152">
        <f t="shared" si="2"/>
        <v>3</v>
      </c>
      <c r="E28" s="152">
        <f t="shared" si="2"/>
        <v>0.23</v>
      </c>
      <c r="F28" s="152"/>
      <c r="G28" s="152">
        <f t="shared" ref="G28:G35" si="3">PRODUCT(C28:F28)</f>
        <v>2.0700000000000003</v>
      </c>
      <c r="H28" s="178"/>
      <c r="I28" s="178"/>
      <c r="J28" s="152"/>
      <c r="K28" s="178"/>
    </row>
    <row r="29" spans="1:11" x14ac:dyDescent="0.25">
      <c r="A29" s="182"/>
      <c r="B29" s="173"/>
      <c r="C29" s="151">
        <f t="shared" si="2"/>
        <v>4</v>
      </c>
      <c r="D29" s="152">
        <f t="shared" si="2"/>
        <v>2.5906735751295336</v>
      </c>
      <c r="E29" s="152">
        <f t="shared" si="2"/>
        <v>0.23</v>
      </c>
      <c r="F29" s="152"/>
      <c r="G29" s="152">
        <f t="shared" si="3"/>
        <v>2.383419689119171</v>
      </c>
      <c r="H29" s="178"/>
      <c r="I29" s="178"/>
      <c r="J29" s="152"/>
      <c r="K29" s="178"/>
    </row>
    <row r="30" spans="1:11" x14ac:dyDescent="0.25">
      <c r="A30" s="182"/>
      <c r="B30" s="173" t="s">
        <v>63</v>
      </c>
      <c r="C30" s="151">
        <v>2</v>
      </c>
      <c r="D30" s="152">
        <f>2.975+0.075*2</f>
        <v>3.125</v>
      </c>
      <c r="E30" s="152">
        <f>2.595+0.075*2</f>
        <v>2.7450000000000001</v>
      </c>
      <c r="F30" s="152"/>
      <c r="G30" s="152">
        <f t="shared" si="3"/>
        <v>17.15625</v>
      </c>
      <c r="H30" s="178"/>
      <c r="I30" s="178"/>
      <c r="J30" s="152"/>
      <c r="K30" s="178"/>
    </row>
    <row r="31" spans="1:11" x14ac:dyDescent="0.25">
      <c r="A31" s="182"/>
      <c r="B31" s="173" t="s">
        <v>149</v>
      </c>
      <c r="C31" s="151">
        <f t="shared" ref="C31:E33" si="4">C13</f>
        <v>1</v>
      </c>
      <c r="D31" s="152">
        <f t="shared" si="4"/>
        <v>1.8699999999999999</v>
      </c>
      <c r="E31" s="152">
        <f t="shared" si="4"/>
        <v>3.6574215178299299</v>
      </c>
      <c r="F31" s="152"/>
      <c r="G31" s="152">
        <f t="shared" si="3"/>
        <v>6.8393782383419683</v>
      </c>
      <c r="H31" s="178"/>
      <c r="I31" s="178"/>
      <c r="J31" s="152"/>
      <c r="K31" s="178"/>
    </row>
    <row r="32" spans="1:11" x14ac:dyDescent="0.25">
      <c r="A32" s="182"/>
      <c r="B32" s="173"/>
      <c r="C32" s="151">
        <f t="shared" si="4"/>
        <v>1</v>
      </c>
      <c r="D32" s="152">
        <f t="shared" si="4"/>
        <v>7.5</v>
      </c>
      <c r="E32" s="152">
        <f t="shared" si="4"/>
        <v>1.1499999999999999</v>
      </c>
      <c r="F32" s="152"/>
      <c r="G32" s="152">
        <f t="shared" si="3"/>
        <v>8.625</v>
      </c>
      <c r="H32" s="178"/>
      <c r="I32" s="178"/>
      <c r="J32" s="152"/>
      <c r="K32" s="178"/>
    </row>
    <row r="33" spans="1:11" x14ac:dyDescent="0.25">
      <c r="A33" s="182"/>
      <c r="B33" s="173"/>
      <c r="C33" s="151">
        <f t="shared" si="4"/>
        <v>1</v>
      </c>
      <c r="D33" s="152">
        <f t="shared" si="4"/>
        <v>1.6</v>
      </c>
      <c r="E33" s="152">
        <f t="shared" si="4"/>
        <v>1.55</v>
      </c>
      <c r="F33" s="152"/>
      <c r="G33" s="152">
        <f t="shared" si="3"/>
        <v>2.4800000000000004</v>
      </c>
      <c r="H33" s="178"/>
      <c r="I33" s="178"/>
      <c r="J33" s="152"/>
      <c r="K33" s="178"/>
    </row>
    <row r="34" spans="1:11" x14ac:dyDescent="0.25">
      <c r="A34" s="182"/>
      <c r="B34" s="173" t="s">
        <v>151</v>
      </c>
      <c r="C34" s="151">
        <v>1</v>
      </c>
      <c r="D34" s="152">
        <f>3+0.75-0.23</f>
        <v>3.52</v>
      </c>
      <c r="E34" s="152">
        <v>0.23</v>
      </c>
      <c r="F34" s="152"/>
      <c r="G34" s="152">
        <f t="shared" si="3"/>
        <v>0.80959999999999999</v>
      </c>
      <c r="H34" s="178"/>
      <c r="I34" s="178"/>
      <c r="J34" s="152"/>
      <c r="K34" s="178"/>
    </row>
    <row r="35" spans="1:11" x14ac:dyDescent="0.25">
      <c r="A35" s="182"/>
      <c r="B35" s="173" t="str">
        <f>B51</f>
        <v>-compound base</v>
      </c>
      <c r="C35" s="151">
        <v>1</v>
      </c>
      <c r="D35" s="152">
        <f>D51</f>
        <v>14.369999999999997</v>
      </c>
      <c r="E35" s="152">
        <f>E51</f>
        <v>0.75</v>
      </c>
      <c r="F35" s="152"/>
      <c r="G35" s="152">
        <f t="shared" si="3"/>
        <v>10.777499999999998</v>
      </c>
      <c r="H35" s="178"/>
      <c r="I35" s="178"/>
      <c r="J35" s="152"/>
      <c r="K35" s="178"/>
    </row>
    <row r="36" spans="1:11" x14ac:dyDescent="0.25">
      <c r="A36" s="182"/>
      <c r="B36" s="173" t="s">
        <v>152</v>
      </c>
      <c r="C36" s="151">
        <v>1</v>
      </c>
      <c r="D36" s="152">
        <f>9/3.281</f>
        <v>2.7430661383724475</v>
      </c>
      <c r="E36" s="152">
        <v>0.4</v>
      </c>
      <c r="F36" s="152"/>
      <c r="G36" s="152">
        <f>PRODUCT(C36:F36)</f>
        <v>1.097226455348979</v>
      </c>
      <c r="H36" s="178"/>
      <c r="I36" s="178"/>
      <c r="J36" s="152"/>
      <c r="K36" s="178"/>
    </row>
    <row r="37" spans="1:11" x14ac:dyDescent="0.25">
      <c r="A37" s="182"/>
      <c r="B37" s="173" t="s">
        <v>103</v>
      </c>
      <c r="C37" s="151">
        <v>2</v>
      </c>
      <c r="D37" s="152">
        <v>2.7430661383724475</v>
      </c>
      <c r="E37" s="152">
        <v>0.3</v>
      </c>
      <c r="F37" s="152"/>
      <c r="G37" s="152">
        <f t="shared" ref="G37:G38" si="5">PRODUCT(C37:F37)</f>
        <v>1.6458396830234685</v>
      </c>
      <c r="H37" s="178"/>
      <c r="I37" s="178"/>
      <c r="J37" s="152"/>
      <c r="K37" s="178"/>
    </row>
    <row r="38" spans="1:11" x14ac:dyDescent="0.25">
      <c r="A38" s="182"/>
      <c r="B38" s="173"/>
      <c r="C38" s="151">
        <v>3</v>
      </c>
      <c r="D38" s="152">
        <v>0.91435537945748246</v>
      </c>
      <c r="E38" s="152">
        <v>0.3</v>
      </c>
      <c r="F38" s="152"/>
      <c r="G38" s="152">
        <f t="shared" si="5"/>
        <v>0.82291984151173425</v>
      </c>
      <c r="H38" s="178"/>
      <c r="I38" s="178"/>
      <c r="J38" s="152"/>
      <c r="K38" s="178"/>
    </row>
    <row r="39" spans="1:11" x14ac:dyDescent="0.25">
      <c r="A39" s="182"/>
      <c r="B39" s="179" t="s">
        <v>16</v>
      </c>
      <c r="C39" s="151"/>
      <c r="D39" s="152"/>
      <c r="E39" s="152"/>
      <c r="F39" s="152"/>
      <c r="G39" s="153">
        <f>SUM(G26:G38)</f>
        <v>68.207133907345323</v>
      </c>
      <c r="H39" s="6" t="s">
        <v>23</v>
      </c>
      <c r="I39" s="6">
        <f>1500/10</f>
        <v>150</v>
      </c>
      <c r="J39" s="154">
        <f>G39*I39</f>
        <v>10231.070086101798</v>
      </c>
      <c r="K39" s="178"/>
    </row>
    <row r="40" spans="1:11" x14ac:dyDescent="0.25">
      <c r="A40" s="182"/>
      <c r="B40" s="179" t="s">
        <v>17</v>
      </c>
      <c r="C40" s="151"/>
      <c r="D40" s="152"/>
      <c r="E40" s="152"/>
      <c r="F40" s="152"/>
      <c r="G40" s="152"/>
      <c r="H40" s="6"/>
      <c r="I40" s="152"/>
      <c r="J40" s="154">
        <f>0.13*G39*(8353.81)/10</f>
        <v>7407.2626849847638</v>
      </c>
      <c r="K40" s="178"/>
    </row>
    <row r="41" spans="1:11" x14ac:dyDescent="0.25">
      <c r="A41" s="182"/>
      <c r="B41" s="178"/>
      <c r="C41" s="151"/>
      <c r="D41" s="152"/>
      <c r="E41" s="152"/>
      <c r="F41" s="152"/>
      <c r="G41" s="152"/>
      <c r="H41" s="178"/>
      <c r="I41" s="152"/>
      <c r="J41" s="152"/>
      <c r="K41" s="178"/>
    </row>
    <row r="42" spans="1:11" ht="78" customHeight="1" x14ac:dyDescent="0.25">
      <c r="A42" s="182">
        <v>4</v>
      </c>
      <c r="B42" s="124" t="s">
        <v>99</v>
      </c>
      <c r="C42" s="151"/>
      <c r="D42" s="152"/>
      <c r="E42" s="152"/>
      <c r="F42" s="152"/>
      <c r="G42" s="151"/>
      <c r="H42" s="178"/>
      <c r="I42" s="152"/>
      <c r="J42" s="152"/>
      <c r="K42" s="225" t="s">
        <v>154</v>
      </c>
    </row>
    <row r="43" spans="1:11" x14ac:dyDescent="0.25">
      <c r="A43" s="182"/>
      <c r="B43" s="173" t="s">
        <v>153</v>
      </c>
      <c r="C43" s="177">
        <v>0.5</v>
      </c>
      <c r="D43" s="152">
        <f>G10</f>
        <v>20.25</v>
      </c>
      <c r="E43" s="152"/>
      <c r="F43" s="152"/>
      <c r="G43" s="152">
        <f>PRODUCT(C43:F43)</f>
        <v>10.125</v>
      </c>
      <c r="H43" s="178"/>
      <c r="I43" s="152"/>
      <c r="J43" s="152"/>
      <c r="K43" s="225"/>
    </row>
    <row r="44" spans="1:11" x14ac:dyDescent="0.25">
      <c r="A44" s="182"/>
      <c r="B44" s="179" t="str">
        <f>B48</f>
        <v>-Extending compound</v>
      </c>
      <c r="C44" s="151">
        <v>1</v>
      </c>
      <c r="D44" s="152">
        <f>D66</f>
        <v>14.5</v>
      </c>
      <c r="E44" s="152">
        <v>0.9</v>
      </c>
      <c r="F44" s="152">
        <v>0.3</v>
      </c>
      <c r="G44" s="152">
        <f>PRODUCT(C44:F44)</f>
        <v>3.915</v>
      </c>
      <c r="H44" s="178"/>
      <c r="I44" s="152"/>
      <c r="J44" s="152"/>
      <c r="K44" s="178"/>
    </row>
    <row r="45" spans="1:11" x14ac:dyDescent="0.25">
      <c r="A45" s="182"/>
      <c r="B45" s="179" t="s">
        <v>16</v>
      </c>
      <c r="C45" s="151"/>
      <c r="D45" s="152"/>
      <c r="E45" s="152"/>
      <c r="F45" s="152"/>
      <c r="G45" s="153">
        <f>SUM(G43:G44)</f>
        <v>14.04</v>
      </c>
      <c r="H45" s="6" t="s">
        <v>18</v>
      </c>
      <c r="I45" s="6">
        <v>451.4</v>
      </c>
      <c r="J45" s="154">
        <f>G45*I45</f>
        <v>6337.655999999999</v>
      </c>
      <c r="K45" s="178"/>
    </row>
    <row r="46" spans="1:11" x14ac:dyDescent="0.25">
      <c r="A46" s="182"/>
      <c r="B46" s="178"/>
      <c r="C46" s="151"/>
      <c r="D46" s="152"/>
      <c r="E46" s="152"/>
      <c r="F46" s="152"/>
      <c r="G46" s="152"/>
      <c r="H46" s="178"/>
      <c r="I46" s="152"/>
      <c r="J46" s="152"/>
      <c r="K46" s="178"/>
    </row>
    <row r="47" spans="1:11" s="9" customFormat="1" ht="30" x14ac:dyDescent="0.25">
      <c r="A47" s="182">
        <v>5</v>
      </c>
      <c r="B47" s="139" t="s">
        <v>40</v>
      </c>
      <c r="C47" s="151"/>
      <c r="D47" s="152"/>
      <c r="E47" s="152"/>
      <c r="F47" s="152"/>
      <c r="G47" s="152"/>
      <c r="H47" s="178"/>
      <c r="I47" s="152"/>
      <c r="J47" s="152"/>
      <c r="K47" s="178"/>
    </row>
    <row r="48" spans="1:11" x14ac:dyDescent="0.25">
      <c r="A48" s="182"/>
      <c r="B48" s="173" t="str">
        <f>B73</f>
        <v>-Extending compound</v>
      </c>
      <c r="C48" s="151">
        <f>C73</f>
        <v>1</v>
      </c>
      <c r="D48" s="152">
        <f>3+7.17+4.8+1-0.23+0.75-0.2-0.9</f>
        <v>15.389999999999999</v>
      </c>
      <c r="E48" s="152">
        <v>0.11</v>
      </c>
      <c r="F48" s="152">
        <v>0.05</v>
      </c>
      <c r="G48" s="152">
        <f t="shared" ref="G48:G61" si="6">PRODUCT(C48:F48)</f>
        <v>8.4644999999999998E-2</v>
      </c>
      <c r="H48" s="178"/>
      <c r="I48" s="178"/>
      <c r="J48" s="152"/>
      <c r="K48" s="178"/>
    </row>
    <row r="49" spans="1:11" x14ac:dyDescent="0.25">
      <c r="A49" s="182"/>
      <c r="B49" s="173"/>
      <c r="C49" s="151">
        <v>11</v>
      </c>
      <c r="D49" s="152">
        <v>0.23</v>
      </c>
      <c r="E49" s="152">
        <v>0.11</v>
      </c>
      <c r="F49" s="152">
        <v>0.05</v>
      </c>
      <c r="G49" s="152">
        <f t="shared" si="6"/>
        <v>1.3915000000000004E-2</v>
      </c>
      <c r="H49" s="178"/>
      <c r="I49" s="178"/>
      <c r="J49" s="152"/>
      <c r="K49" s="178"/>
    </row>
    <row r="50" spans="1:11" x14ac:dyDescent="0.25">
      <c r="A50" s="182"/>
      <c r="B50" s="212" t="s">
        <v>275</v>
      </c>
      <c r="C50" s="151">
        <v>-2</v>
      </c>
      <c r="D50">
        <v>0.65</v>
      </c>
      <c r="E50" s="152">
        <v>0.65</v>
      </c>
      <c r="F50" s="152">
        <v>7.4999999999999997E-2</v>
      </c>
      <c r="G50" s="152">
        <f t="shared" si="6"/>
        <v>-6.3375000000000001E-2</v>
      </c>
      <c r="H50" s="178"/>
      <c r="I50" s="178"/>
      <c r="J50" s="152"/>
      <c r="K50" s="178"/>
    </row>
    <row r="51" spans="1:11" x14ac:dyDescent="0.25">
      <c r="A51" s="182"/>
      <c r="B51" s="173" t="s">
        <v>156</v>
      </c>
      <c r="C51" s="151">
        <v>1</v>
      </c>
      <c r="D51" s="152">
        <f>3+7.17+4.8-0.23-0.23-0.14</f>
        <v>14.369999999999997</v>
      </c>
      <c r="E51" s="152">
        <v>0.75</v>
      </c>
      <c r="F51" s="152">
        <v>0.05</v>
      </c>
      <c r="G51" s="152">
        <f t="shared" si="6"/>
        <v>0.53887499999999988</v>
      </c>
      <c r="H51" s="178"/>
      <c r="I51" s="178"/>
      <c r="J51" s="152"/>
      <c r="K51" s="178"/>
    </row>
    <row r="52" spans="1:11" x14ac:dyDescent="0.25">
      <c r="A52" s="182"/>
      <c r="B52" s="173" t="s">
        <v>57</v>
      </c>
      <c r="C52" s="151">
        <f>C27</f>
        <v>6</v>
      </c>
      <c r="D52" s="152">
        <f>D27</f>
        <v>1.5</v>
      </c>
      <c r="E52" s="152">
        <f>E27</f>
        <v>1.5</v>
      </c>
      <c r="F52" s="152">
        <v>0.05</v>
      </c>
      <c r="G52" s="152">
        <f t="shared" si="6"/>
        <v>0.67500000000000004</v>
      </c>
      <c r="H52" s="178"/>
      <c r="I52" s="178"/>
      <c r="J52" s="152"/>
      <c r="K52" s="178"/>
    </row>
    <row r="53" spans="1:11" x14ac:dyDescent="0.25">
      <c r="A53" s="182"/>
      <c r="B53" s="173" t="s">
        <v>63</v>
      </c>
      <c r="C53" s="151">
        <v>1</v>
      </c>
      <c r="D53" s="152">
        <f>2.975+0.075*2</f>
        <v>3.125</v>
      </c>
      <c r="E53" s="152">
        <f>2.595+0.075*2</f>
        <v>2.7450000000000001</v>
      </c>
      <c r="F53" s="152">
        <v>7.4999999999999997E-2</v>
      </c>
      <c r="G53" s="152">
        <f t="shared" si="6"/>
        <v>0.64335937499999996</v>
      </c>
      <c r="H53" s="178"/>
      <c r="I53" s="178"/>
      <c r="J53" s="152"/>
      <c r="K53" s="178"/>
    </row>
    <row r="54" spans="1:11" x14ac:dyDescent="0.25">
      <c r="A54" s="182"/>
      <c r="B54" s="173"/>
      <c r="C54" s="151">
        <v>1</v>
      </c>
      <c r="D54" s="152">
        <f>2.975+0.075*2</f>
        <v>3.125</v>
      </c>
      <c r="E54" s="152">
        <f>2.595+0.075*2</f>
        <v>2.7450000000000001</v>
      </c>
      <c r="F54" s="152">
        <v>7.4999999999999997E-2</v>
      </c>
      <c r="G54" s="152">
        <f t="shared" si="6"/>
        <v>0.64335937499999996</v>
      </c>
      <c r="H54" s="178"/>
      <c r="I54" s="178"/>
      <c r="J54" s="152"/>
      <c r="K54" s="178"/>
    </row>
    <row r="55" spans="1:11" x14ac:dyDescent="0.25">
      <c r="A55" s="182"/>
      <c r="B55" s="173" t="str">
        <f>B31</f>
        <v>-New path</v>
      </c>
      <c r="C55" s="151">
        <f>C31</f>
        <v>1</v>
      </c>
      <c r="D55" s="152">
        <f>D31</f>
        <v>1.8699999999999999</v>
      </c>
      <c r="E55" s="152">
        <f>E31</f>
        <v>3.6574215178299299</v>
      </c>
      <c r="F55" s="152">
        <f>2.25/12/3.281</f>
        <v>5.7147211216092654E-2</v>
      </c>
      <c r="G55" s="152">
        <f t="shared" si="6"/>
        <v>0.39085139277327613</v>
      </c>
      <c r="H55" s="178"/>
      <c r="I55" s="178"/>
      <c r="J55" s="152"/>
      <c r="K55" s="178"/>
    </row>
    <row r="56" spans="1:11" x14ac:dyDescent="0.25">
      <c r="A56" s="182"/>
      <c r="B56" s="173"/>
      <c r="C56" s="151">
        <f t="shared" ref="C56:E57" si="7">C32</f>
        <v>1</v>
      </c>
      <c r="D56" s="152">
        <f t="shared" si="7"/>
        <v>7.5</v>
      </c>
      <c r="E56" s="152">
        <f t="shared" si="7"/>
        <v>1.1499999999999999</v>
      </c>
      <c r="F56" s="152">
        <f>2.25/12/3.281</f>
        <v>5.7147211216092654E-2</v>
      </c>
      <c r="G56" s="152">
        <f t="shared" si="6"/>
        <v>0.49289469673879915</v>
      </c>
      <c r="H56" s="178"/>
      <c r="I56" s="178"/>
      <c r="J56" s="152"/>
      <c r="K56" s="178"/>
    </row>
    <row r="57" spans="1:11" x14ac:dyDescent="0.25">
      <c r="A57" s="182"/>
      <c r="B57" s="173"/>
      <c r="C57" s="151">
        <f t="shared" si="7"/>
        <v>1</v>
      </c>
      <c r="D57" s="152">
        <f t="shared" si="7"/>
        <v>1.6</v>
      </c>
      <c r="E57" s="152">
        <f t="shared" si="7"/>
        <v>1.55</v>
      </c>
      <c r="F57" s="152">
        <v>0.05</v>
      </c>
      <c r="G57" s="152">
        <f t="shared" si="6"/>
        <v>0.12400000000000003</v>
      </c>
      <c r="H57" s="178"/>
      <c r="I57" s="178"/>
      <c r="J57" s="152"/>
      <c r="K57" s="178"/>
    </row>
    <row r="58" spans="1:11" x14ac:dyDescent="0.25">
      <c r="A58" s="182"/>
      <c r="B58" s="173" t="str">
        <f>B16</f>
        <v>-drain</v>
      </c>
      <c r="C58" s="151">
        <f>C16</f>
        <v>1</v>
      </c>
      <c r="D58" s="152">
        <f>D16-0.052</f>
        <v>9.9958512648582758</v>
      </c>
      <c r="E58" s="152">
        <f>E16</f>
        <v>0.4</v>
      </c>
      <c r="F58" s="152">
        <v>0.05</v>
      </c>
      <c r="G58" s="152">
        <f t="shared" si="6"/>
        <v>0.19991702529716554</v>
      </c>
      <c r="H58" s="178"/>
      <c r="I58" s="178"/>
      <c r="J58" s="152"/>
      <c r="K58" s="178"/>
    </row>
    <row r="59" spans="1:11" x14ac:dyDescent="0.25">
      <c r="A59" s="182"/>
      <c r="B59" s="173" t="s">
        <v>159</v>
      </c>
      <c r="C59" s="151">
        <v>1</v>
      </c>
      <c r="D59" s="152">
        <f>6.21+1.27+0.6</f>
        <v>8.08</v>
      </c>
      <c r="E59" s="152">
        <v>0.3</v>
      </c>
      <c r="F59" s="152">
        <v>0.05</v>
      </c>
      <c r="G59" s="152">
        <f t="shared" si="6"/>
        <v>0.1212</v>
      </c>
      <c r="H59" s="178"/>
      <c r="I59" s="178"/>
      <c r="J59" s="152"/>
      <c r="K59" s="178"/>
    </row>
    <row r="60" spans="1:11" x14ac:dyDescent="0.25">
      <c r="A60" s="182"/>
      <c r="B60" s="173" t="s">
        <v>103</v>
      </c>
      <c r="C60" s="151">
        <v>2</v>
      </c>
      <c r="D60" s="152">
        <v>2.7430661383724475</v>
      </c>
      <c r="E60" s="152">
        <v>0.3</v>
      </c>
      <c r="F60" s="152">
        <v>0.05</v>
      </c>
      <c r="G60" s="152">
        <f t="shared" si="6"/>
        <v>8.2291984151173433E-2</v>
      </c>
      <c r="H60" s="178"/>
      <c r="I60" s="178"/>
      <c r="J60" s="152"/>
      <c r="K60" s="178"/>
    </row>
    <row r="61" spans="1:11" x14ac:dyDescent="0.25">
      <c r="A61" s="182"/>
      <c r="B61" s="173"/>
      <c r="C61" s="151">
        <v>3</v>
      </c>
      <c r="D61" s="152">
        <v>0.91444000000000003</v>
      </c>
      <c r="E61" s="152">
        <v>0.3</v>
      </c>
      <c r="F61" s="152">
        <v>0.05</v>
      </c>
      <c r="G61" s="152">
        <f t="shared" si="6"/>
        <v>4.1149800000000007E-2</v>
      </c>
      <c r="H61" s="178"/>
      <c r="I61" s="178"/>
      <c r="J61" s="152"/>
      <c r="K61" s="178"/>
    </row>
    <row r="62" spans="1:11" x14ac:dyDescent="0.25">
      <c r="A62" s="182"/>
      <c r="B62" s="179" t="s">
        <v>16</v>
      </c>
      <c r="C62" s="151"/>
      <c r="D62" s="152"/>
      <c r="E62" s="152"/>
      <c r="F62" s="152"/>
      <c r="G62" s="153">
        <f>SUM(G48:G61)</f>
        <v>3.9880836489604143</v>
      </c>
      <c r="H62" s="182" t="s">
        <v>18</v>
      </c>
      <c r="I62" s="6">
        <v>13509.07</v>
      </c>
      <c r="J62" s="154">
        <f>G62*I62</f>
        <v>53875.301179661663</v>
      </c>
      <c r="K62" s="178"/>
    </row>
    <row r="63" spans="1:11" x14ac:dyDescent="0.25">
      <c r="A63" s="182"/>
      <c r="B63" s="179" t="s">
        <v>17</v>
      </c>
      <c r="C63" s="151"/>
      <c r="D63" s="152"/>
      <c r="E63" s="152"/>
      <c r="F63" s="152"/>
      <c r="G63" s="152"/>
      <c r="H63" s="178"/>
      <c r="I63" s="152"/>
      <c r="J63" s="154">
        <f>0.13*G62*(8709.07)</f>
        <v>4515.2249564047179</v>
      </c>
      <c r="K63" s="178"/>
    </row>
    <row r="64" spans="1:11" x14ac:dyDescent="0.25">
      <c r="A64" s="182"/>
      <c r="B64" s="179"/>
      <c r="C64" s="151"/>
      <c r="D64" s="152"/>
      <c r="E64" s="152"/>
      <c r="F64" s="152"/>
      <c r="G64" s="152"/>
      <c r="H64" s="178"/>
      <c r="I64" s="152"/>
      <c r="J64" s="154"/>
      <c r="K64" s="178"/>
    </row>
    <row r="65" spans="1:17" ht="45" x14ac:dyDescent="0.25">
      <c r="A65" s="20">
        <v>6</v>
      </c>
      <c r="B65" s="139" t="s">
        <v>81</v>
      </c>
      <c r="C65" s="21"/>
      <c r="D65" s="22"/>
      <c r="E65" s="23"/>
      <c r="F65" s="23"/>
      <c r="G65" s="7"/>
      <c r="H65" s="6"/>
      <c r="I65" s="7"/>
      <c r="J65" s="153"/>
      <c r="K65" s="23"/>
    </row>
    <row r="66" spans="1:17" x14ac:dyDescent="0.25">
      <c r="A66" s="182"/>
      <c r="B66" s="150" t="str">
        <f>B73</f>
        <v>-Extending compound</v>
      </c>
      <c r="C66" s="151">
        <v>1</v>
      </c>
      <c r="D66" s="152">
        <v>14.5</v>
      </c>
      <c r="E66" s="152">
        <f>0.23/2</f>
        <v>0.115</v>
      </c>
      <c r="F66" s="152">
        <v>2</v>
      </c>
      <c r="G66" s="152">
        <f>PRODUCT(C66:F66)</f>
        <v>3.335</v>
      </c>
      <c r="H66" s="178"/>
      <c r="I66" s="152"/>
      <c r="J66" s="154"/>
      <c r="K66" s="178"/>
      <c r="M66">
        <f>1+7.12+4.83-0.115+2.8+0.9</f>
        <v>16.535</v>
      </c>
      <c r="N66">
        <f>3+7.17+4.8-0.35</f>
        <v>14.62</v>
      </c>
    </row>
    <row r="67" spans="1:17" x14ac:dyDescent="0.25">
      <c r="A67" s="182"/>
      <c r="B67" s="150"/>
      <c r="C67" s="151">
        <v>9</v>
      </c>
      <c r="D67" s="152">
        <v>0.23</v>
      </c>
      <c r="E67" s="152">
        <f>0.23/2</f>
        <v>0.115</v>
      </c>
      <c r="F67" s="152">
        <v>2</v>
      </c>
      <c r="G67" s="152">
        <f>PRODUCT(C67:F67)</f>
        <v>0.47610000000000008</v>
      </c>
      <c r="H67" s="178"/>
      <c r="I67" s="152"/>
      <c r="J67" s="154"/>
      <c r="K67" s="178"/>
    </row>
    <row r="68" spans="1:17" x14ac:dyDescent="0.25">
      <c r="A68" s="182"/>
      <c r="B68" s="150" t="s">
        <v>82</v>
      </c>
      <c r="C68" s="151">
        <v>2</v>
      </c>
      <c r="D68" s="152">
        <f>17.667/3.281</f>
        <v>5.3846388296251142</v>
      </c>
      <c r="E68" s="152">
        <v>0.23</v>
      </c>
      <c r="F68" s="152">
        <f>5.667/3.281</f>
        <v>1.7272173117951843</v>
      </c>
      <c r="G68" s="152">
        <f>PRODUCT(C68:F68)</f>
        <v>4.2782030459748066</v>
      </c>
      <c r="H68" s="178"/>
      <c r="I68" s="152"/>
      <c r="J68" s="154"/>
      <c r="K68" s="178"/>
    </row>
    <row r="69" spans="1:17" x14ac:dyDescent="0.25">
      <c r="A69" s="182"/>
      <c r="B69" s="150"/>
      <c r="C69" s="151">
        <v>2</v>
      </c>
      <c r="D69" s="152">
        <f>10.25/3.281</f>
        <v>3.1240475464797317</v>
      </c>
      <c r="E69" s="152">
        <v>0.23</v>
      </c>
      <c r="F69" s="152">
        <f>5.667/3.281</f>
        <v>1.7272173117951843</v>
      </c>
      <c r="G69" s="152">
        <f>PRODUCT(C69:F69)</f>
        <v>2.4821181423694894</v>
      </c>
      <c r="H69" s="178"/>
      <c r="I69" s="152"/>
      <c r="J69" s="154"/>
      <c r="K69" s="178"/>
    </row>
    <row r="70" spans="1:17" ht="15" customHeight="1" x14ac:dyDescent="0.25">
      <c r="A70" s="182"/>
      <c r="B70" s="150" t="s">
        <v>16</v>
      </c>
      <c r="C70" s="151"/>
      <c r="D70" s="152"/>
      <c r="E70" s="152"/>
      <c r="F70" s="152"/>
      <c r="G70" s="153">
        <f>SUM(G66:G69)</f>
        <v>10.571421188344296</v>
      </c>
      <c r="H70" s="153" t="s">
        <v>18</v>
      </c>
      <c r="I70" s="6">
        <v>1908</v>
      </c>
      <c r="J70" s="154">
        <f>G70*I70</f>
        <v>20170.271627360915</v>
      </c>
      <c r="K70" s="178"/>
    </row>
    <row r="71" spans="1:17" ht="15" customHeight="1" x14ac:dyDescent="0.25">
      <c r="A71" s="20"/>
      <c r="B71" s="150"/>
      <c r="C71" s="21"/>
      <c r="D71" s="22"/>
      <c r="E71" s="23"/>
      <c r="F71" s="23"/>
      <c r="G71" s="7"/>
      <c r="H71" s="6"/>
      <c r="I71" s="7"/>
      <c r="J71" s="153"/>
      <c r="K71" s="23"/>
    </row>
    <row r="72" spans="1:17" ht="30" x14ac:dyDescent="0.25">
      <c r="A72" s="182">
        <v>7</v>
      </c>
      <c r="B72" s="139" t="s">
        <v>39</v>
      </c>
      <c r="C72" s="151"/>
      <c r="D72" s="152"/>
      <c r="E72" s="152"/>
      <c r="F72" s="152"/>
      <c r="G72" s="152"/>
      <c r="H72" s="178"/>
      <c r="I72" s="152"/>
      <c r="J72" s="154"/>
      <c r="K72" s="178"/>
    </row>
    <row r="73" spans="1:17" x14ac:dyDescent="0.25">
      <c r="A73" s="182"/>
      <c r="B73" s="150" t="s">
        <v>74</v>
      </c>
      <c r="C73" s="151">
        <v>1</v>
      </c>
      <c r="D73" s="180">
        <f>1.03+0.1+6.9+4.65+(13-12.68)</f>
        <v>13.000000000000002</v>
      </c>
      <c r="E73" s="180">
        <v>0.11</v>
      </c>
      <c r="F73" s="181">
        <v>1</v>
      </c>
      <c r="G73" s="152">
        <f t="shared" ref="G73:G87" si="8">PRODUCT(C73:F73)</f>
        <v>1.4300000000000002</v>
      </c>
      <c r="H73" s="178"/>
      <c r="I73" s="152"/>
      <c r="J73" s="154"/>
      <c r="K73" s="178"/>
      <c r="N73">
        <f>1.03+0.1+6.9+4.65</f>
        <v>12.680000000000001</v>
      </c>
      <c r="O73">
        <v>0.11</v>
      </c>
      <c r="P73">
        <f>1-0.025</f>
        <v>0.97499999999999998</v>
      </c>
      <c r="Q73" s="48">
        <f>PRODUCT(L73:P73)</f>
        <v>1.3599300000000003</v>
      </c>
    </row>
    <row r="74" spans="1:17" x14ac:dyDescent="0.25">
      <c r="A74" s="182"/>
      <c r="B74" s="150"/>
      <c r="C74" s="151">
        <v>1</v>
      </c>
      <c r="D74" s="180">
        <f>3+0.62</f>
        <v>3.62</v>
      </c>
      <c r="E74" s="180">
        <v>0.11</v>
      </c>
      <c r="F74" s="181">
        <v>1</v>
      </c>
      <c r="G74" s="152">
        <f t="shared" si="8"/>
        <v>0.3982</v>
      </c>
      <c r="H74" s="178"/>
      <c r="I74" s="152"/>
      <c r="J74" s="154"/>
      <c r="K74" s="178"/>
      <c r="N74">
        <f>3+0.62</f>
        <v>3.62</v>
      </c>
      <c r="O74">
        <v>0.11</v>
      </c>
      <c r="P74">
        <f>1.27-0.025</f>
        <v>1.2450000000000001</v>
      </c>
      <c r="Q74" s="48">
        <f t="shared" ref="Q74:Q97" si="9">PRODUCT(L74:P74)</f>
        <v>0.49575900000000006</v>
      </c>
    </row>
    <row r="75" spans="1:17" x14ac:dyDescent="0.25">
      <c r="A75" s="182"/>
      <c r="B75" s="150" t="s">
        <v>157</v>
      </c>
      <c r="C75" s="151">
        <v>1</v>
      </c>
      <c r="D75" s="180">
        <f>0.23+0.1</f>
        <v>0.33</v>
      </c>
      <c r="E75" s="180">
        <v>0.11</v>
      </c>
      <c r="F75" s="181">
        <v>1</v>
      </c>
      <c r="G75" s="152">
        <f t="shared" si="8"/>
        <v>3.6299999999999999E-2</v>
      </c>
      <c r="H75" s="178"/>
      <c r="I75" s="152"/>
      <c r="J75" s="154"/>
      <c r="K75" s="178"/>
      <c r="N75">
        <f>0.23+0.1</f>
        <v>0.33</v>
      </c>
      <c r="O75">
        <v>0.11</v>
      </c>
      <c r="P75">
        <f>1.27-0.025</f>
        <v>1.2450000000000001</v>
      </c>
      <c r="Q75" s="48">
        <f t="shared" si="9"/>
        <v>4.5193500000000005E-2</v>
      </c>
    </row>
    <row r="76" spans="1:17" x14ac:dyDescent="0.25">
      <c r="A76" s="182"/>
      <c r="B76" s="150" t="s">
        <v>157</v>
      </c>
      <c r="C76" s="151">
        <v>1</v>
      </c>
      <c r="D76" s="180">
        <f>7*0.23</f>
        <v>1.61</v>
      </c>
      <c r="E76" s="180">
        <v>0.11</v>
      </c>
      <c r="F76" s="181">
        <v>1</v>
      </c>
      <c r="G76" s="152">
        <f t="shared" si="8"/>
        <v>0.17710000000000001</v>
      </c>
      <c r="H76" s="178"/>
      <c r="I76" s="152"/>
      <c r="J76" s="154"/>
      <c r="K76" s="178"/>
      <c r="N76">
        <f>7*0.23</f>
        <v>1.61</v>
      </c>
      <c r="O76">
        <v>0.11</v>
      </c>
      <c r="P76">
        <f>1-0.025</f>
        <v>0.97499999999999998</v>
      </c>
      <c r="Q76" s="48">
        <f t="shared" si="9"/>
        <v>0.17267250000000001</v>
      </c>
    </row>
    <row r="77" spans="1:17" x14ac:dyDescent="0.25">
      <c r="A77" s="182"/>
      <c r="B77" s="150" t="s">
        <v>158</v>
      </c>
      <c r="C77" s="151">
        <v>1</v>
      </c>
      <c r="D77" s="180">
        <f>1.03+0.1+6.9+4.65+3+0.62</f>
        <v>16.3</v>
      </c>
      <c r="E77" s="180">
        <v>0.23</v>
      </c>
      <c r="F77" s="181">
        <v>0.5</v>
      </c>
      <c r="G77" s="152">
        <f t="shared" si="8"/>
        <v>1.8745000000000001</v>
      </c>
      <c r="H77" s="178"/>
      <c r="I77" s="152"/>
      <c r="J77" s="154"/>
      <c r="K77" s="178"/>
      <c r="N77">
        <f>1.03+0.1+6.9+4.65+3+0.62</f>
        <v>16.3</v>
      </c>
      <c r="O77">
        <v>0.23</v>
      </c>
      <c r="P77">
        <v>0.4</v>
      </c>
      <c r="Q77" s="48">
        <f t="shared" si="9"/>
        <v>1.4996</v>
      </c>
    </row>
    <row r="78" spans="1:17" x14ac:dyDescent="0.25">
      <c r="A78" s="182"/>
      <c r="B78" s="150" t="s">
        <v>159</v>
      </c>
      <c r="C78" s="151">
        <v>1</v>
      </c>
      <c r="D78" s="181">
        <f>1.6+6.45</f>
        <v>8.0500000000000007</v>
      </c>
      <c r="E78" s="180">
        <v>0.23</v>
      </c>
      <c r="F78" s="181">
        <v>0.5</v>
      </c>
      <c r="G78" s="152">
        <f t="shared" si="8"/>
        <v>0.92575000000000007</v>
      </c>
      <c r="H78" s="178"/>
      <c r="I78" s="152"/>
      <c r="J78" s="154"/>
      <c r="K78" s="178"/>
      <c r="N78" s="44">
        <f>1.6+6.45</f>
        <v>8.0500000000000007</v>
      </c>
      <c r="O78">
        <f>0.28-0.025</f>
        <v>0.255</v>
      </c>
      <c r="P78">
        <v>0.4</v>
      </c>
      <c r="Q78" s="48">
        <f t="shared" si="9"/>
        <v>0.82110000000000005</v>
      </c>
    </row>
    <row r="79" spans="1:17" x14ac:dyDescent="0.25">
      <c r="A79" s="182"/>
      <c r="B79" s="179" t="s">
        <v>58</v>
      </c>
      <c r="C79" s="151">
        <v>1</v>
      </c>
      <c r="D79" s="180">
        <f>2.6+2.6+2.595+2.595</f>
        <v>10.39</v>
      </c>
      <c r="E79" s="180">
        <v>0.23</v>
      </c>
      <c r="F79" s="181">
        <v>0.4</v>
      </c>
      <c r="G79" s="152">
        <f t="shared" si="8"/>
        <v>0.95588000000000017</v>
      </c>
      <c r="H79" s="178"/>
      <c r="I79" s="178"/>
      <c r="J79" s="152"/>
      <c r="K79" s="178"/>
      <c r="N79">
        <f>2.6+2.6+2.595+2.595</f>
        <v>10.39</v>
      </c>
      <c r="O79">
        <v>0.23</v>
      </c>
      <c r="P79">
        <v>0.4</v>
      </c>
      <c r="Q79" s="48">
        <f t="shared" si="9"/>
        <v>0.95588000000000017</v>
      </c>
    </row>
    <row r="80" spans="1:17" x14ac:dyDescent="0.25">
      <c r="A80" s="182"/>
      <c r="B80" s="179"/>
      <c r="C80" s="151">
        <v>1</v>
      </c>
      <c r="D80" s="180">
        <f>2.99+3</f>
        <v>5.99</v>
      </c>
      <c r="E80" s="180">
        <v>0.23</v>
      </c>
      <c r="F80" s="181">
        <v>0.4</v>
      </c>
      <c r="G80" s="152">
        <f t="shared" si="8"/>
        <v>0.55108000000000013</v>
      </c>
      <c r="H80" s="178"/>
      <c r="I80" s="178"/>
      <c r="J80" s="152"/>
      <c r="K80" s="178"/>
      <c r="N80">
        <f>2.99+3</f>
        <v>5.99</v>
      </c>
      <c r="O80">
        <v>0.23</v>
      </c>
      <c r="P80">
        <v>0.4</v>
      </c>
      <c r="Q80" s="48">
        <f t="shared" si="9"/>
        <v>0.55108000000000013</v>
      </c>
    </row>
    <row r="81" spans="1:19" x14ac:dyDescent="0.25">
      <c r="A81" s="182"/>
      <c r="B81" s="173" t="s">
        <v>161</v>
      </c>
      <c r="C81" s="151">
        <v>2</v>
      </c>
      <c r="D81" s="152">
        <f>(2.6)</f>
        <v>2.6</v>
      </c>
      <c r="E81" s="152">
        <v>0.11</v>
      </c>
      <c r="F81" s="152">
        <v>2.42</v>
      </c>
      <c r="G81" s="152">
        <f t="shared" si="8"/>
        <v>1.3842400000000001</v>
      </c>
      <c r="H81" s="178"/>
      <c r="I81" s="178"/>
      <c r="J81" s="152"/>
      <c r="K81" s="178"/>
      <c r="N81">
        <f>2*(2.6)</f>
        <v>5.2</v>
      </c>
      <c r="O81">
        <v>0.23</v>
      </c>
      <c r="P81">
        <v>2.37</v>
      </c>
      <c r="Q81" s="48">
        <f t="shared" si="9"/>
        <v>2.8345200000000004</v>
      </c>
    </row>
    <row r="82" spans="1:19" x14ac:dyDescent="0.25">
      <c r="A82" s="182"/>
      <c r="B82" s="173"/>
      <c r="C82" s="151">
        <v>1</v>
      </c>
      <c r="D82" s="152">
        <v>3</v>
      </c>
      <c r="E82" s="152">
        <v>0.11</v>
      </c>
      <c r="F82" s="152">
        <v>2.42</v>
      </c>
      <c r="G82" s="152">
        <f t="shared" si="8"/>
        <v>0.79859999999999998</v>
      </c>
      <c r="H82" s="178"/>
      <c r="I82" s="178"/>
      <c r="J82" s="152"/>
      <c r="K82" s="178"/>
      <c r="N82">
        <v>3</v>
      </c>
      <c r="O82">
        <v>0.23</v>
      </c>
      <c r="P82">
        <v>2.37</v>
      </c>
      <c r="Q82" s="48">
        <f t="shared" si="9"/>
        <v>1.6353000000000002</v>
      </c>
      <c r="S82">
        <f>4/12/3.2808</f>
        <v>0.10160123547102332</v>
      </c>
    </row>
    <row r="83" spans="1:19" x14ac:dyDescent="0.25">
      <c r="A83" s="182"/>
      <c r="B83" s="173"/>
      <c r="C83" s="151">
        <v>1</v>
      </c>
      <c r="D83" s="152">
        <v>1.7</v>
      </c>
      <c r="E83" s="180">
        <v>0.11</v>
      </c>
      <c r="F83" s="152">
        <v>2.42</v>
      </c>
      <c r="G83" s="152">
        <f t="shared" si="8"/>
        <v>0.45254</v>
      </c>
      <c r="H83" s="178"/>
      <c r="I83" s="178"/>
      <c r="J83" s="152"/>
      <c r="K83" s="178"/>
      <c r="N83">
        <v>1.7</v>
      </c>
      <c r="O83">
        <v>0.11</v>
      </c>
      <c r="P83">
        <v>2.37</v>
      </c>
      <c r="Q83" s="48">
        <f t="shared" si="9"/>
        <v>0.44319000000000003</v>
      </c>
    </row>
    <row r="84" spans="1:19" x14ac:dyDescent="0.25">
      <c r="A84" s="182"/>
      <c r="B84" s="173"/>
      <c r="C84" s="151">
        <v>1</v>
      </c>
      <c r="D84" s="152">
        <f>(0.45+0.6)/2</f>
        <v>0.52500000000000002</v>
      </c>
      <c r="E84" s="180">
        <v>0.1</v>
      </c>
      <c r="F84" s="152">
        <v>2.42</v>
      </c>
      <c r="G84" s="152">
        <f t="shared" si="8"/>
        <v>0.12705</v>
      </c>
      <c r="H84" s="178"/>
      <c r="I84" s="178"/>
      <c r="J84" s="152"/>
      <c r="K84" s="178"/>
      <c r="N84">
        <f>1.05/2</f>
        <v>0.52500000000000002</v>
      </c>
      <c r="O84">
        <v>0.11</v>
      </c>
      <c r="P84">
        <v>2.2999999999999998</v>
      </c>
      <c r="Q84" s="48">
        <f t="shared" si="9"/>
        <v>0.132825</v>
      </c>
    </row>
    <row r="85" spans="1:19" x14ac:dyDescent="0.25">
      <c r="A85" s="182"/>
      <c r="B85" s="173" t="s">
        <v>103</v>
      </c>
      <c r="C85" s="151">
        <v>2</v>
      </c>
      <c r="D85" s="152">
        <v>2.7430661383724475</v>
      </c>
      <c r="E85" s="152">
        <v>0.23</v>
      </c>
      <c r="F85" s="152">
        <v>2.4382810118866196</v>
      </c>
      <c r="G85" s="152">
        <f t="shared" si="8"/>
        <v>3.076648396589639</v>
      </c>
      <c r="H85" s="178"/>
      <c r="I85" s="178"/>
      <c r="J85" s="152"/>
      <c r="K85" s="178"/>
    </row>
    <row r="86" spans="1:19" x14ac:dyDescent="0.25">
      <c r="A86" s="182"/>
      <c r="B86" s="173"/>
      <c r="C86" s="151">
        <v>3</v>
      </c>
      <c r="D86" s="152">
        <v>0.91435537945748246</v>
      </c>
      <c r="E86" s="152">
        <v>0.23</v>
      </c>
      <c r="F86" s="152">
        <v>2.4382810118866196</v>
      </c>
      <c r="G86" s="152">
        <f t="shared" si="8"/>
        <v>1.5383241982948195</v>
      </c>
      <c r="H86" s="178"/>
      <c r="I86" s="178"/>
      <c r="J86" s="152"/>
      <c r="K86" s="178"/>
    </row>
    <row r="87" spans="1:19" x14ac:dyDescent="0.25">
      <c r="A87" s="182"/>
      <c r="B87" s="173" t="s">
        <v>106</v>
      </c>
      <c r="C87" s="151">
        <v>-2</v>
      </c>
      <c r="D87" s="152">
        <v>0.76196281621456874</v>
      </c>
      <c r="E87" s="180">
        <v>0.23</v>
      </c>
      <c r="F87" s="152">
        <v>1.83</v>
      </c>
      <c r="G87" s="152">
        <f t="shared" si="8"/>
        <v>-0.64142029868942396</v>
      </c>
      <c r="H87" s="178"/>
      <c r="I87" s="178"/>
      <c r="J87" s="152"/>
      <c r="K87" s="178"/>
    </row>
    <row r="88" spans="1:19" x14ac:dyDescent="0.25">
      <c r="A88" s="182"/>
      <c r="B88" s="179" t="s">
        <v>16</v>
      </c>
      <c r="C88" s="151"/>
      <c r="D88" s="152"/>
      <c r="E88" s="152"/>
      <c r="F88" s="152"/>
      <c r="G88" s="153">
        <f>SUM(G73:G87)</f>
        <v>13.084792296195038</v>
      </c>
      <c r="H88" s="182" t="s">
        <v>18</v>
      </c>
      <c r="I88" s="6">
        <v>14520.78</v>
      </c>
      <c r="J88" s="154">
        <f>G88*I88</f>
        <v>190001.390278743</v>
      </c>
      <c r="K88" s="178"/>
    </row>
    <row r="89" spans="1:19" x14ac:dyDescent="0.25">
      <c r="A89" s="182"/>
      <c r="B89" s="179" t="s">
        <v>17</v>
      </c>
      <c r="C89" s="151"/>
      <c r="D89" s="152"/>
      <c r="E89" s="152"/>
      <c r="F89" s="152"/>
      <c r="G89" s="152"/>
      <c r="H89" s="178"/>
      <c r="I89" s="152"/>
      <c r="J89" s="154">
        <f>0.13*G88*(10555.39)</f>
        <v>17954.961148193441</v>
      </c>
      <c r="K89" s="178"/>
    </row>
    <row r="90" spans="1:19" x14ac:dyDescent="0.25">
      <c r="A90" s="182"/>
      <c r="B90" s="173"/>
      <c r="C90" s="151"/>
      <c r="D90" s="152"/>
      <c r="E90" s="180"/>
      <c r="F90" s="180"/>
      <c r="G90" s="152"/>
      <c r="H90" s="178"/>
      <c r="I90" s="178"/>
      <c r="J90" s="152"/>
      <c r="K90" s="178"/>
      <c r="Q90" s="48"/>
    </row>
    <row r="91" spans="1:19" ht="30" x14ac:dyDescent="0.25">
      <c r="A91" s="182">
        <v>8</v>
      </c>
      <c r="B91" s="139" t="s">
        <v>239</v>
      </c>
      <c r="C91" s="151"/>
      <c r="D91" s="152"/>
      <c r="E91" s="180"/>
      <c r="F91" s="180"/>
      <c r="G91" s="152"/>
      <c r="H91" s="178"/>
      <c r="I91" s="178"/>
      <c r="J91" s="152"/>
      <c r="K91" s="178"/>
      <c r="Q91" s="48"/>
    </row>
    <row r="92" spans="1:19" x14ac:dyDescent="0.25">
      <c r="A92" s="182"/>
      <c r="B92" s="173" t="s">
        <v>160</v>
      </c>
      <c r="C92" s="151">
        <v>2</v>
      </c>
      <c r="D92" s="152">
        <v>2.94</v>
      </c>
      <c r="E92" s="152">
        <v>0.23</v>
      </c>
      <c r="F92" s="152">
        <v>2.2200000000000002</v>
      </c>
      <c r="G92" s="152">
        <f t="shared" ref="G92:G93" si="10">PRODUCT(C92:F92)</f>
        <v>3.0023280000000003</v>
      </c>
      <c r="H92" s="178"/>
      <c r="I92" s="178"/>
      <c r="J92" s="152"/>
      <c r="K92" s="178"/>
      <c r="N92">
        <f>2*2.94</f>
        <v>5.88</v>
      </c>
      <c r="O92">
        <v>0.23</v>
      </c>
      <c r="P92">
        <v>2.42</v>
      </c>
      <c r="Q92" s="48">
        <f t="shared" si="9"/>
        <v>3.2728079999999999</v>
      </c>
      <c r="S92">
        <f>2.42-0.23</f>
        <v>2.19</v>
      </c>
    </row>
    <row r="93" spans="1:19" x14ac:dyDescent="0.25">
      <c r="A93" s="182"/>
      <c r="B93" s="173"/>
      <c r="C93" s="151">
        <v>2</v>
      </c>
      <c r="D93" s="152">
        <v>2.5350000000000001</v>
      </c>
      <c r="E93" s="152">
        <v>0.23</v>
      </c>
      <c r="F93" s="152">
        <v>2.2200000000000002</v>
      </c>
      <c r="G93" s="152">
        <f t="shared" si="10"/>
        <v>2.5887420000000003</v>
      </c>
      <c r="H93" s="178"/>
      <c r="I93" s="178"/>
      <c r="J93" s="152"/>
      <c r="K93" s="178"/>
      <c r="N93">
        <f>2*2.535</f>
        <v>5.07</v>
      </c>
      <c r="O93">
        <v>0.23</v>
      </c>
      <c r="P93">
        <v>2.42</v>
      </c>
      <c r="Q93" s="48">
        <f t="shared" si="9"/>
        <v>2.8219620000000001</v>
      </c>
    </row>
    <row r="94" spans="1:19" x14ac:dyDescent="0.25">
      <c r="A94" s="182"/>
      <c r="B94" s="180"/>
      <c r="C94" s="151">
        <v>2</v>
      </c>
      <c r="D94" s="152">
        <v>2.59</v>
      </c>
      <c r="E94" s="152">
        <v>0.23</v>
      </c>
      <c r="F94" s="152">
        <v>2.2200000000000002</v>
      </c>
      <c r="G94" s="152">
        <f>PRODUCT(C94:F94)</f>
        <v>2.6449080000000005</v>
      </c>
      <c r="H94" s="178"/>
      <c r="I94" s="178"/>
      <c r="J94" s="152"/>
      <c r="K94" s="178"/>
      <c r="N94">
        <f>2*2.595</f>
        <v>5.19</v>
      </c>
      <c r="O94">
        <v>0.23</v>
      </c>
      <c r="P94">
        <v>2.42</v>
      </c>
      <c r="Q94" s="48">
        <f t="shared" si="9"/>
        <v>2.8887540000000005</v>
      </c>
    </row>
    <row r="95" spans="1:19" x14ac:dyDescent="0.25">
      <c r="A95" s="182"/>
      <c r="B95" s="173" t="s">
        <v>75</v>
      </c>
      <c r="C95" s="151">
        <v>-1</v>
      </c>
      <c r="D95" s="152">
        <v>1.375</v>
      </c>
      <c r="E95" s="152">
        <v>0.23</v>
      </c>
      <c r="F95" s="152">
        <v>1.1890000000000001</v>
      </c>
      <c r="G95" s="152">
        <f>PRODUCT(C95:F95)</f>
        <v>-0.37602125000000003</v>
      </c>
      <c r="H95" s="178"/>
      <c r="I95" s="178"/>
      <c r="J95" s="152"/>
      <c r="K95" s="178"/>
      <c r="N95">
        <f>4.48+4.49-0.075</f>
        <v>8.8950000000000014</v>
      </c>
      <c r="O95">
        <v>0.11</v>
      </c>
      <c r="P95">
        <v>0.15</v>
      </c>
      <c r="Q95" s="48">
        <f t="shared" si="9"/>
        <v>0.14676750000000002</v>
      </c>
    </row>
    <row r="96" spans="1:19" x14ac:dyDescent="0.25">
      <c r="A96" s="182"/>
      <c r="B96" s="173" t="s">
        <v>75</v>
      </c>
      <c r="C96" s="151">
        <v>-1</v>
      </c>
      <c r="D96" s="152">
        <v>1.41</v>
      </c>
      <c r="E96" s="152">
        <v>0.23</v>
      </c>
      <c r="F96" s="152">
        <v>1.1890000000000001</v>
      </c>
      <c r="G96" s="152">
        <f t="shared" ref="G96" si="11">PRODUCT(C96:F96)</f>
        <v>-0.38559270000000001</v>
      </c>
      <c r="H96" s="178"/>
      <c r="I96" s="178"/>
      <c r="J96" s="152"/>
      <c r="K96" s="178"/>
      <c r="N96">
        <f>6.67*2-0.075*2</f>
        <v>13.19</v>
      </c>
      <c r="O96">
        <v>0.11</v>
      </c>
      <c r="P96">
        <v>0.15</v>
      </c>
      <c r="Q96" s="48">
        <f t="shared" si="9"/>
        <v>0.21763499999999997</v>
      </c>
    </row>
    <row r="97" spans="1:18" x14ac:dyDescent="0.25">
      <c r="A97" s="182"/>
      <c r="B97" s="173" t="s">
        <v>75</v>
      </c>
      <c r="C97" s="151">
        <v>-1</v>
      </c>
      <c r="D97" s="152">
        <v>1.54</v>
      </c>
      <c r="E97" s="152">
        <v>0.23</v>
      </c>
      <c r="F97" s="152">
        <v>1.1890000000000001</v>
      </c>
      <c r="G97" s="152">
        <f>PRODUCT(C97:F97)</f>
        <v>-0.42114380000000001</v>
      </c>
      <c r="H97" s="178"/>
      <c r="I97" s="178"/>
      <c r="J97" s="152"/>
      <c r="K97" s="178"/>
      <c r="N97">
        <f>1.14*2+0.96*2-0.075*2</f>
        <v>4.0499999999999989</v>
      </c>
      <c r="O97">
        <v>0.11</v>
      </c>
      <c r="P97">
        <v>0.15</v>
      </c>
      <c r="Q97" s="48">
        <f t="shared" si="9"/>
        <v>6.6824999999999982E-2</v>
      </c>
    </row>
    <row r="98" spans="1:18" x14ac:dyDescent="0.25">
      <c r="A98" s="182"/>
      <c r="B98" s="173" t="s">
        <v>162</v>
      </c>
      <c r="C98" s="151">
        <v>1</v>
      </c>
      <c r="D98" s="152">
        <f>6.67*2-0.075*2+4.48+4.49-0.075+1.14+0.96-0.075</f>
        <v>24.110000000000007</v>
      </c>
      <c r="E98" s="152">
        <v>0.11</v>
      </c>
      <c r="F98" s="152">
        <v>0.1</v>
      </c>
      <c r="G98" s="152">
        <f>PRODUCT(C98:F98)</f>
        <v>0.26521000000000011</v>
      </c>
      <c r="H98" s="178"/>
      <c r="I98" s="178"/>
      <c r="J98" s="152"/>
      <c r="K98" s="178"/>
      <c r="Q98" s="44">
        <f>SUM(Q73:Q97)</f>
        <v>20.361801500000002</v>
      </c>
      <c r="R98" s="44">
        <f>Q98+G95+G96+G97</f>
        <v>19.179043750000002</v>
      </c>
    </row>
    <row r="99" spans="1:18" x14ac:dyDescent="0.25">
      <c r="A99" s="182"/>
      <c r="B99" s="179" t="s">
        <v>16</v>
      </c>
      <c r="C99" s="151"/>
      <c r="D99" s="152"/>
      <c r="E99" s="152"/>
      <c r="F99" s="152"/>
      <c r="G99" s="153">
        <f>SUM(G92:G98)</f>
        <v>7.3184302500000005</v>
      </c>
      <c r="H99" s="182" t="s">
        <v>18</v>
      </c>
      <c r="I99" s="6">
        <v>14984.29</v>
      </c>
      <c r="J99" s="154">
        <f>G99*I99</f>
        <v>109661.48121077252</v>
      </c>
      <c r="K99" s="178"/>
    </row>
    <row r="100" spans="1:18" x14ac:dyDescent="0.25">
      <c r="A100" s="182"/>
      <c r="B100" s="179" t="s">
        <v>17</v>
      </c>
      <c r="C100" s="151"/>
      <c r="D100" s="152"/>
      <c r="E100" s="152"/>
      <c r="F100" s="152"/>
      <c r="G100" s="152"/>
      <c r="H100" s="178"/>
      <c r="I100" s="152"/>
      <c r="J100" s="154">
        <f>0.13*G99*(10555.39)</f>
        <v>10042.355111951176</v>
      </c>
      <c r="K100" s="178"/>
      <c r="N100" s="44">
        <f>SUM(J88:J100)</f>
        <v>327660.18774966017</v>
      </c>
    </row>
    <row r="101" spans="1:18" x14ac:dyDescent="0.25">
      <c r="A101" s="182"/>
      <c r="B101" s="180"/>
      <c r="C101" s="180"/>
      <c r="D101" s="180"/>
      <c r="E101" s="180"/>
      <c r="F101" s="180"/>
      <c r="G101" s="180"/>
      <c r="H101" s="180"/>
      <c r="I101" s="180"/>
      <c r="J101" s="180"/>
      <c r="K101" s="178"/>
    </row>
    <row r="102" spans="1:18" s="9" customFormat="1" ht="33.75" x14ac:dyDescent="0.25">
      <c r="A102" s="20">
        <v>9</v>
      </c>
      <c r="B102" s="139" t="s">
        <v>248</v>
      </c>
      <c r="C102" s="21"/>
      <c r="D102" s="22"/>
      <c r="E102" s="23"/>
      <c r="F102" s="23"/>
      <c r="G102" s="7"/>
      <c r="H102" s="6"/>
      <c r="I102" s="7"/>
      <c r="J102" s="153"/>
      <c r="K102" s="23"/>
    </row>
    <row r="103" spans="1:18" x14ac:dyDescent="0.25">
      <c r="A103" s="182"/>
      <c r="B103" s="173" t="s">
        <v>57</v>
      </c>
      <c r="C103" s="180"/>
      <c r="D103" s="180"/>
      <c r="E103" s="180"/>
      <c r="F103" s="180"/>
      <c r="G103" s="180"/>
      <c r="H103" s="178"/>
      <c r="I103" s="178"/>
      <c r="J103" s="152"/>
      <c r="K103" s="178"/>
      <c r="M103">
        <f>0.4*3.281</f>
        <v>1.3124000000000002</v>
      </c>
    </row>
    <row r="104" spans="1:18" x14ac:dyDescent="0.25">
      <c r="A104" s="182"/>
      <c r="B104" s="173" t="s">
        <v>134</v>
      </c>
      <c r="C104" s="151">
        <f>C52</f>
        <v>6</v>
      </c>
      <c r="D104" s="152">
        <v>1.5</v>
      </c>
      <c r="E104" s="152">
        <v>1.5</v>
      </c>
      <c r="F104" s="152">
        <v>0.23</v>
      </c>
      <c r="G104" s="152">
        <f t="shared" ref="G104" si="12">PRODUCT(C104:F104)</f>
        <v>3.105</v>
      </c>
      <c r="H104" s="178"/>
      <c r="I104" s="178"/>
      <c r="J104" s="152"/>
      <c r="K104" s="178"/>
    </row>
    <row r="105" spans="1:18" x14ac:dyDescent="0.25">
      <c r="A105" s="182"/>
      <c r="B105" s="173" t="s">
        <v>135</v>
      </c>
      <c r="C105" s="226">
        <v>4</v>
      </c>
      <c r="D105" s="152">
        <v>0.4</v>
      </c>
      <c r="E105" s="152">
        <v>0.4</v>
      </c>
      <c r="F105" s="227">
        <v>0.23</v>
      </c>
      <c r="G105" s="152">
        <f>C105*((F105/3)*((D105*E105)+(D106*E106)+SQRT((D105*E105)*(D106*E106))))</f>
        <v>0.55506666666666682</v>
      </c>
      <c r="H105" s="178"/>
      <c r="I105" s="178"/>
      <c r="J105" s="152"/>
      <c r="K105" s="178"/>
      <c r="M105" s="44"/>
    </row>
    <row r="106" spans="1:18" x14ac:dyDescent="0.25">
      <c r="A106" s="182"/>
      <c r="B106" s="173"/>
      <c r="C106" s="226"/>
      <c r="D106" s="152">
        <v>1.1000000000000001</v>
      </c>
      <c r="E106" s="152">
        <v>1.1000000000000001</v>
      </c>
      <c r="F106" s="227"/>
      <c r="G106" s="152"/>
      <c r="H106" s="178"/>
      <c r="I106" s="178"/>
      <c r="J106" s="152"/>
      <c r="K106" s="178"/>
    </row>
    <row r="107" spans="1:18" x14ac:dyDescent="0.25">
      <c r="A107" s="182"/>
      <c r="B107" s="173" t="s">
        <v>136</v>
      </c>
      <c r="C107" s="226">
        <v>1</v>
      </c>
      <c r="D107" s="152">
        <v>0.4</v>
      </c>
      <c r="E107" s="152">
        <v>0.4</v>
      </c>
      <c r="F107" s="227">
        <v>0.23</v>
      </c>
      <c r="G107" s="152">
        <f>C107*((F107/3)*((D107*E107)+(D108*E108)+SQRT((D107*E107)*(D108*E108))))</f>
        <v>0.15857199961217766</v>
      </c>
      <c r="H107" s="178"/>
      <c r="I107" s="178"/>
      <c r="J107" s="152"/>
      <c r="K107" s="178"/>
    </row>
    <row r="108" spans="1:18" x14ac:dyDescent="0.25">
      <c r="A108" s="182"/>
      <c r="B108" s="173"/>
      <c r="C108" s="226"/>
      <c r="D108" s="152">
        <v>1.1000000000000001</v>
      </c>
      <c r="E108" s="152">
        <v>1.3</v>
      </c>
      <c r="F108" s="227"/>
      <c r="G108" s="152"/>
      <c r="H108" s="178"/>
      <c r="I108" s="178"/>
      <c r="J108" s="152"/>
      <c r="K108" s="178"/>
    </row>
    <row r="109" spans="1:18" x14ac:dyDescent="0.25">
      <c r="A109" s="182"/>
      <c r="B109" s="173" t="s">
        <v>137</v>
      </c>
      <c r="C109" s="226">
        <v>1</v>
      </c>
      <c r="D109" s="152">
        <v>0.4</v>
      </c>
      <c r="E109" s="152">
        <v>0.4</v>
      </c>
      <c r="F109" s="227">
        <v>0.23</v>
      </c>
      <c r="G109" s="152">
        <f>C109*((F109/3)*((D109*E109)+(D110*E110)+SQRT((D109*E109)*(D110*E110))))</f>
        <v>0.21792500000000004</v>
      </c>
      <c r="H109" s="178"/>
      <c r="I109" s="178"/>
      <c r="J109" s="152"/>
      <c r="K109" s="178"/>
    </row>
    <row r="110" spans="1:18" x14ac:dyDescent="0.25">
      <c r="A110" s="182"/>
      <c r="B110" s="173"/>
      <c r="C110" s="226"/>
      <c r="D110" s="152">
        <v>1.45</v>
      </c>
      <c r="E110" s="152">
        <v>1.45</v>
      </c>
      <c r="F110" s="227"/>
      <c r="G110" s="152"/>
      <c r="H110" s="178"/>
      <c r="I110" s="178"/>
      <c r="J110" s="152"/>
      <c r="K110" s="178"/>
      <c r="M110" s="44">
        <f>SUM(G104:G109)</f>
        <v>4.0365636662788447</v>
      </c>
      <c r="N110" s="44">
        <f>SUM(estimate!G69:G71)</f>
        <v>4.4527912069510363</v>
      </c>
      <c r="O110">
        <f>1.5-0.5-0.23</f>
        <v>0.77</v>
      </c>
    </row>
    <row r="111" spans="1:18" x14ac:dyDescent="0.25">
      <c r="A111" s="182"/>
      <c r="B111" s="173" t="s">
        <v>64</v>
      </c>
      <c r="C111" s="151">
        <v>3</v>
      </c>
      <c r="D111" s="152">
        <f>0.3</f>
        <v>0.3</v>
      </c>
      <c r="E111" s="152">
        <v>0.3</v>
      </c>
      <c r="F111" s="152">
        <f>1.5-F104-F105-F113</f>
        <v>0.81</v>
      </c>
      <c r="G111" s="152">
        <f t="shared" ref="G111:G127" si="13">PRODUCT(C111:F111)</f>
        <v>0.21869999999999998</v>
      </c>
      <c r="H111" s="178"/>
      <c r="I111" s="178"/>
      <c r="J111" s="152"/>
      <c r="K111" s="178"/>
      <c r="M111">
        <f>F111*3.281</f>
        <v>2.6576100000000005</v>
      </c>
    </row>
    <row r="112" spans="1:18" x14ac:dyDescent="0.25">
      <c r="A112" s="182"/>
      <c r="B112" s="173"/>
      <c r="C112" s="151">
        <v>3</v>
      </c>
      <c r="D112" s="152">
        <f>0.3</f>
        <v>0.3</v>
      </c>
      <c r="E112" s="152">
        <v>0.3</v>
      </c>
      <c r="F112" s="152">
        <f>0.4+0.23</f>
        <v>0.63</v>
      </c>
      <c r="G112" s="152">
        <f t="shared" si="13"/>
        <v>0.17009999999999997</v>
      </c>
      <c r="H112" s="178"/>
      <c r="I112" s="178"/>
      <c r="J112" s="152"/>
      <c r="K112" s="178"/>
    </row>
    <row r="113" spans="1:16" x14ac:dyDescent="0.25">
      <c r="A113" s="182"/>
      <c r="B113" s="173" t="s">
        <v>138</v>
      </c>
      <c r="C113" s="151">
        <v>2</v>
      </c>
      <c r="D113" s="152">
        <v>3.61</v>
      </c>
      <c r="E113" s="152">
        <v>0.23</v>
      </c>
      <c r="F113" s="152">
        <v>0.23</v>
      </c>
      <c r="G113" s="152">
        <f t="shared" si="13"/>
        <v>0.38193800000000006</v>
      </c>
      <c r="H113" s="178"/>
      <c r="I113" s="178"/>
      <c r="J113" s="152"/>
      <c r="K113" s="178"/>
      <c r="N113">
        <f>0.33+1.71+1.27+0.34</f>
        <v>3.65</v>
      </c>
    </row>
    <row r="114" spans="1:16" x14ac:dyDescent="0.25">
      <c r="A114" s="182"/>
      <c r="B114" s="173"/>
      <c r="C114" s="151">
        <v>4</v>
      </c>
      <c r="D114" s="152">
        <v>2.59</v>
      </c>
      <c r="E114" s="152">
        <v>0.23</v>
      </c>
      <c r="F114" s="152">
        <v>0.23</v>
      </c>
      <c r="G114" s="152">
        <f t="shared" si="13"/>
        <v>0.54804399999999998</v>
      </c>
      <c r="H114" s="178"/>
      <c r="I114" s="178"/>
      <c r="J114" s="152"/>
      <c r="K114" s="178"/>
    </row>
    <row r="115" spans="1:16" x14ac:dyDescent="0.25">
      <c r="A115" s="182"/>
      <c r="B115" s="173" t="s">
        <v>139</v>
      </c>
      <c r="C115" s="151">
        <v>3</v>
      </c>
      <c r="D115" s="152">
        <v>3.61</v>
      </c>
      <c r="E115" s="152">
        <v>0.23</v>
      </c>
      <c r="F115" s="152">
        <v>0.23</v>
      </c>
      <c r="G115" s="152">
        <f t="shared" si="13"/>
        <v>0.57290700000000006</v>
      </c>
      <c r="H115" s="178"/>
      <c r="I115" s="178"/>
      <c r="J115" s="152"/>
      <c r="K115" s="178"/>
    </row>
    <row r="116" spans="1:16" x14ac:dyDescent="0.25">
      <c r="A116" s="182"/>
      <c r="B116" s="173"/>
      <c r="C116" s="151">
        <v>4</v>
      </c>
      <c r="D116" s="152">
        <v>2.59</v>
      </c>
      <c r="E116" s="152">
        <v>0.23</v>
      </c>
      <c r="F116" s="152">
        <v>0.23</v>
      </c>
      <c r="G116" s="152">
        <f t="shared" si="13"/>
        <v>0.54804399999999998</v>
      </c>
      <c r="H116" s="178"/>
      <c r="I116" s="178"/>
      <c r="J116" s="152"/>
      <c r="K116" s="178"/>
    </row>
    <row r="117" spans="1:16" x14ac:dyDescent="0.25">
      <c r="A117" s="182"/>
      <c r="B117" s="173" t="s">
        <v>140</v>
      </c>
      <c r="C117" s="151">
        <v>6</v>
      </c>
      <c r="D117" s="181">
        <v>0.3</v>
      </c>
      <c r="E117" s="152">
        <v>0.3</v>
      </c>
      <c r="F117" s="152">
        <v>2.66</v>
      </c>
      <c r="G117" s="152">
        <f t="shared" si="13"/>
        <v>1.4363999999999999</v>
      </c>
      <c r="H117" s="178"/>
      <c r="I117" s="178"/>
      <c r="J117" s="152"/>
      <c r="K117" s="178"/>
      <c r="P117">
        <f>8.917/3.281</f>
        <v>2.7177689728741234</v>
      </c>
    </row>
    <row r="118" spans="1:16" x14ac:dyDescent="0.25">
      <c r="A118" s="182"/>
      <c r="B118" s="173" t="s">
        <v>141</v>
      </c>
      <c r="C118" s="151">
        <v>6</v>
      </c>
      <c r="D118" s="181">
        <v>0.3</v>
      </c>
      <c r="E118" s="152">
        <v>0.3</v>
      </c>
      <c r="F118" s="152">
        <v>2.4500000000000002</v>
      </c>
      <c r="G118" s="152">
        <f t="shared" si="13"/>
        <v>1.323</v>
      </c>
      <c r="H118" s="178"/>
      <c r="I118" s="178"/>
      <c r="J118" s="152"/>
      <c r="K118" s="178"/>
    </row>
    <row r="119" spans="1:16" x14ac:dyDescent="0.25">
      <c r="A119" s="182"/>
      <c r="B119" s="173" t="s">
        <v>71</v>
      </c>
      <c r="C119" s="151">
        <f>2*4</f>
        <v>8</v>
      </c>
      <c r="D119" s="152">
        <v>2.57</v>
      </c>
      <c r="E119" s="152">
        <v>0.23</v>
      </c>
      <c r="F119" s="152">
        <v>0.23</v>
      </c>
      <c r="G119" s="152">
        <f t="shared" si="13"/>
        <v>1.0876239999999999</v>
      </c>
      <c r="H119" s="178"/>
      <c r="I119" s="178"/>
      <c r="J119" s="152"/>
      <c r="K119" s="178"/>
    </row>
    <row r="120" spans="1:16" x14ac:dyDescent="0.25">
      <c r="A120" s="182"/>
      <c r="B120" s="173"/>
      <c r="C120" s="151">
        <f>2*3</f>
        <v>6</v>
      </c>
      <c r="D120" s="152">
        <v>2.9750000000000001</v>
      </c>
      <c r="E120" s="152">
        <v>0.23</v>
      </c>
      <c r="F120" s="152">
        <v>0.23</v>
      </c>
      <c r="G120" s="152">
        <f t="shared" si="13"/>
        <v>0.94426500000000002</v>
      </c>
      <c r="H120" s="178"/>
      <c r="I120" s="178"/>
      <c r="J120" s="152"/>
      <c r="K120" s="178"/>
    </row>
    <row r="121" spans="1:16" x14ac:dyDescent="0.25">
      <c r="A121" s="182"/>
      <c r="B121" s="173" t="s">
        <v>142</v>
      </c>
      <c r="C121" s="151">
        <v>1</v>
      </c>
      <c r="D121" s="152">
        <f>6.62-0.075</f>
        <v>6.5449999999999999</v>
      </c>
      <c r="E121" s="152">
        <f>(4.15+4.135)/2-0.075</f>
        <v>4.0674999999999999</v>
      </c>
      <c r="F121" s="152">
        <v>0.125</v>
      </c>
      <c r="G121" s="152">
        <f t="shared" si="13"/>
        <v>3.3277234375</v>
      </c>
      <c r="H121" s="178"/>
      <c r="I121" s="178"/>
      <c r="J121" s="152"/>
      <c r="K121" s="178"/>
    </row>
    <row r="122" spans="1:16" x14ac:dyDescent="0.25">
      <c r="A122" s="182"/>
      <c r="B122" s="173" t="s">
        <v>76</v>
      </c>
      <c r="C122" s="151">
        <v>-1</v>
      </c>
      <c r="D122" s="152">
        <v>1.08</v>
      </c>
      <c r="E122" s="152">
        <f>2.5/3.281</f>
        <v>0.76196281621456874</v>
      </c>
      <c r="F122" s="152">
        <v>0.125</v>
      </c>
      <c r="G122" s="152">
        <f t="shared" si="13"/>
        <v>-0.10286498018896678</v>
      </c>
      <c r="H122" s="178"/>
      <c r="I122" s="178"/>
      <c r="J122" s="152"/>
      <c r="K122" s="178"/>
    </row>
    <row r="123" spans="1:16" x14ac:dyDescent="0.25">
      <c r="A123" s="182"/>
      <c r="B123" s="173" t="s">
        <v>143</v>
      </c>
      <c r="C123" s="151">
        <v>1</v>
      </c>
      <c r="D123" s="152">
        <v>6.9</v>
      </c>
      <c r="E123" s="152">
        <f>4.45-0.025</f>
        <v>4.4249999999999998</v>
      </c>
      <c r="F123" s="152">
        <v>0.125</v>
      </c>
      <c r="G123" s="152">
        <f t="shared" si="13"/>
        <v>3.8165624999999999</v>
      </c>
      <c r="H123" s="178"/>
      <c r="I123" s="178"/>
      <c r="J123" s="152"/>
      <c r="K123" s="178"/>
    </row>
    <row r="124" spans="1:16" x14ac:dyDescent="0.25">
      <c r="A124" s="182"/>
      <c r="B124" s="173" t="s">
        <v>76</v>
      </c>
      <c r="C124" s="151">
        <v>-1</v>
      </c>
      <c r="D124" s="152">
        <v>0.93</v>
      </c>
      <c r="E124" s="152">
        <v>0.76</v>
      </c>
      <c r="F124" s="152">
        <v>0.125</v>
      </c>
      <c r="G124" s="152">
        <f t="shared" si="13"/>
        <v>-8.8350000000000012E-2</v>
      </c>
      <c r="H124" s="178"/>
      <c r="I124" s="178"/>
      <c r="J124" s="152"/>
      <c r="K124" s="178"/>
      <c r="M124" s="172">
        <v>17107.900000000001</v>
      </c>
      <c r="N124">
        <f>M124*G128</f>
        <v>329457.03424235043</v>
      </c>
      <c r="O124" s="44">
        <f>N124-J128</f>
        <v>0</v>
      </c>
    </row>
    <row r="125" spans="1:16" x14ac:dyDescent="0.25">
      <c r="A125" s="182"/>
      <c r="B125" s="173" t="s">
        <v>103</v>
      </c>
      <c r="C125" s="151">
        <v>2</v>
      </c>
      <c r="D125" s="152">
        <v>2.6668698567509903</v>
      </c>
      <c r="E125" s="152">
        <v>0.23</v>
      </c>
      <c r="F125" s="152">
        <v>0.1</v>
      </c>
      <c r="G125" s="152">
        <f t="shared" si="13"/>
        <v>0.12267601341054557</v>
      </c>
      <c r="H125" s="178"/>
      <c r="I125" s="178"/>
      <c r="J125" s="152"/>
      <c r="K125" s="178"/>
    </row>
    <row r="126" spans="1:16" x14ac:dyDescent="0.25">
      <c r="A126" s="182"/>
      <c r="B126" s="173"/>
      <c r="C126" s="151">
        <v>3</v>
      </c>
      <c r="D126" s="152">
        <v>0.99055166107893933</v>
      </c>
      <c r="E126" s="152">
        <v>0.23</v>
      </c>
      <c r="F126" s="152">
        <v>0.1</v>
      </c>
      <c r="G126" s="152">
        <f t="shared" si="13"/>
        <v>6.8348064614446827E-2</v>
      </c>
      <c r="H126" s="178"/>
      <c r="I126" s="178"/>
      <c r="J126" s="152"/>
      <c r="K126" s="178"/>
    </row>
    <row r="127" spans="1:16" x14ac:dyDescent="0.25">
      <c r="A127" s="182"/>
      <c r="B127" s="173" t="s">
        <v>108</v>
      </c>
      <c r="C127" s="151">
        <v>1</v>
      </c>
      <c r="D127" s="152">
        <v>3.5812252362084727</v>
      </c>
      <c r="E127" s="152">
        <v>2.3620847302651629</v>
      </c>
      <c r="F127" s="152">
        <v>0.1</v>
      </c>
      <c r="G127" s="152">
        <f t="shared" si="13"/>
        <v>0.84591574460882846</v>
      </c>
      <c r="H127" s="178"/>
      <c r="I127" s="178"/>
      <c r="J127" s="152"/>
      <c r="K127" s="178"/>
    </row>
    <row r="128" spans="1:16" ht="15" customHeight="1" x14ac:dyDescent="0.25">
      <c r="A128" s="182"/>
      <c r="B128" s="150" t="s">
        <v>16</v>
      </c>
      <c r="C128" s="151"/>
      <c r="D128" s="152"/>
      <c r="E128" s="152"/>
      <c r="F128" s="152"/>
      <c r="G128" s="153">
        <f>SUM(G104:G127)</f>
        <v>19.257596446223697</v>
      </c>
      <c r="H128" s="153" t="s">
        <v>18</v>
      </c>
      <c r="I128" s="6">
        <v>17107.900000000001</v>
      </c>
      <c r="J128" s="154">
        <f>G128*I128</f>
        <v>329457.03424235043</v>
      </c>
      <c r="K128" s="178"/>
      <c r="N128" s="172">
        <f>9847.9*0.13*G128</f>
        <v>24654.094925559628</v>
      </c>
    </row>
    <row r="129" spans="1:11" ht="15" customHeight="1" x14ac:dyDescent="0.25">
      <c r="A129" s="20"/>
      <c r="B129" s="150" t="s">
        <v>41</v>
      </c>
      <c r="C129" s="21"/>
      <c r="D129" s="22"/>
      <c r="E129" s="23"/>
      <c r="F129" s="23"/>
      <c r="G129" s="7"/>
      <c r="H129" s="6"/>
      <c r="I129" s="7"/>
      <c r="J129" s="153">
        <f>0.13*G128*9847.9</f>
        <v>24654.094925559624</v>
      </c>
      <c r="K129" s="23"/>
    </row>
    <row r="130" spans="1:11" ht="15" customHeight="1" x14ac:dyDescent="0.25">
      <c r="A130" s="20"/>
      <c r="B130" s="150"/>
      <c r="C130" s="21"/>
      <c r="D130" s="22"/>
      <c r="E130" s="23"/>
      <c r="F130" s="23"/>
      <c r="G130" s="7"/>
      <c r="H130" s="6"/>
      <c r="I130" s="7"/>
      <c r="J130" s="153"/>
      <c r="K130" s="23"/>
    </row>
    <row r="131" spans="1:11" ht="30" x14ac:dyDescent="0.25">
      <c r="A131" s="20">
        <v>10</v>
      </c>
      <c r="B131" s="139" t="s">
        <v>32</v>
      </c>
      <c r="C131" s="151"/>
      <c r="D131" s="152"/>
      <c r="E131" s="152"/>
      <c r="F131" s="152"/>
      <c r="G131" s="153"/>
      <c r="H131" s="182"/>
      <c r="I131" s="153"/>
      <c r="J131" s="153"/>
      <c r="K131" s="23"/>
    </row>
    <row r="132" spans="1:11" x14ac:dyDescent="0.25">
      <c r="A132" s="182"/>
      <c r="B132" s="173" t="s">
        <v>64</v>
      </c>
      <c r="C132" s="151">
        <v>3</v>
      </c>
      <c r="D132" s="152">
        <f>0.3*4</f>
        <v>1.2</v>
      </c>
      <c r="E132" s="152"/>
      <c r="F132" s="152">
        <v>0.77</v>
      </c>
      <c r="G132" s="152">
        <f>PRODUCT(C132:F132)</f>
        <v>2.7719999999999998</v>
      </c>
      <c r="H132" s="178"/>
      <c r="I132" s="178"/>
      <c r="J132" s="152"/>
      <c r="K132" s="178"/>
    </row>
    <row r="133" spans="1:11" x14ac:dyDescent="0.25">
      <c r="A133" s="182"/>
      <c r="B133" s="173"/>
      <c r="C133" s="151">
        <v>3</v>
      </c>
      <c r="D133" s="152">
        <f>0.3*4</f>
        <v>1.2</v>
      </c>
      <c r="E133" s="152"/>
      <c r="F133" s="152">
        <v>0.4</v>
      </c>
      <c r="G133" s="152">
        <f>PRODUCT(C133:F133)</f>
        <v>1.44</v>
      </c>
      <c r="H133" s="178"/>
      <c r="I133" s="178"/>
      <c r="J133" s="152"/>
      <c r="K133" s="178"/>
    </row>
    <row r="134" spans="1:11" x14ac:dyDescent="0.25">
      <c r="A134" s="182"/>
      <c r="B134" s="150" t="s">
        <v>138</v>
      </c>
      <c r="C134" s="151">
        <f t="shared" ref="C134:D137" si="14">C113</f>
        <v>2</v>
      </c>
      <c r="D134" s="152">
        <f t="shared" si="14"/>
        <v>3.61</v>
      </c>
      <c r="E134" s="152"/>
      <c r="F134" s="152">
        <f>F113*2</f>
        <v>0.46</v>
      </c>
      <c r="G134" s="152">
        <f t="shared" ref="G134:G141" si="15">PRODUCT(C134:F134)</f>
        <v>3.3212000000000002</v>
      </c>
      <c r="H134" s="178"/>
      <c r="I134" s="178"/>
      <c r="J134" s="152"/>
      <c r="K134" s="178"/>
    </row>
    <row r="135" spans="1:11" x14ac:dyDescent="0.25">
      <c r="A135" s="182"/>
      <c r="B135" s="179"/>
      <c r="C135" s="151">
        <f t="shared" si="14"/>
        <v>4</v>
      </c>
      <c r="D135" s="152">
        <f t="shared" si="14"/>
        <v>2.59</v>
      </c>
      <c r="E135" s="152"/>
      <c r="F135" s="152">
        <f>F114*2</f>
        <v>0.46</v>
      </c>
      <c r="G135" s="152">
        <f t="shared" si="15"/>
        <v>4.7656000000000001</v>
      </c>
      <c r="H135" s="178"/>
      <c r="I135" s="178"/>
      <c r="J135" s="152"/>
      <c r="K135" s="178"/>
    </row>
    <row r="136" spans="1:11" x14ac:dyDescent="0.25">
      <c r="A136" s="182"/>
      <c r="B136" s="179" t="s">
        <v>139</v>
      </c>
      <c r="C136" s="151">
        <f t="shared" si="14"/>
        <v>3</v>
      </c>
      <c r="D136" s="152">
        <f t="shared" si="14"/>
        <v>3.61</v>
      </c>
      <c r="E136" s="152"/>
      <c r="F136" s="152">
        <f>F115*2</f>
        <v>0.46</v>
      </c>
      <c r="G136" s="152">
        <f t="shared" si="15"/>
        <v>4.9818000000000007</v>
      </c>
      <c r="H136" s="178"/>
      <c r="I136" s="178"/>
      <c r="J136" s="152"/>
      <c r="K136" s="178"/>
    </row>
    <row r="137" spans="1:11" x14ac:dyDescent="0.25">
      <c r="A137" s="182"/>
      <c r="B137" s="179"/>
      <c r="C137" s="151">
        <f t="shared" si="14"/>
        <v>4</v>
      </c>
      <c r="D137" s="152">
        <f t="shared" si="14"/>
        <v>2.59</v>
      </c>
      <c r="E137" s="152"/>
      <c r="F137" s="152">
        <f>F116*2</f>
        <v>0.46</v>
      </c>
      <c r="G137" s="152">
        <f t="shared" si="15"/>
        <v>4.7656000000000001</v>
      </c>
      <c r="H137" s="178"/>
      <c r="I137" s="178"/>
      <c r="J137" s="152"/>
      <c r="K137" s="178"/>
    </row>
    <row r="138" spans="1:11" x14ac:dyDescent="0.25">
      <c r="A138" s="182"/>
      <c r="B138" s="179" t="s">
        <v>140</v>
      </c>
      <c r="C138" s="151">
        <f t="shared" ref="C138:C145" si="16">C117</f>
        <v>6</v>
      </c>
      <c r="D138" s="152">
        <f>D117*4</f>
        <v>1.2</v>
      </c>
      <c r="E138" s="152"/>
      <c r="F138" s="152">
        <f>F117</f>
        <v>2.66</v>
      </c>
      <c r="G138" s="152">
        <f t="shared" si="15"/>
        <v>19.151999999999997</v>
      </c>
      <c r="H138" s="178"/>
      <c r="I138" s="178"/>
      <c r="J138" s="152"/>
      <c r="K138" s="178"/>
    </row>
    <row r="139" spans="1:11" x14ac:dyDescent="0.25">
      <c r="A139" s="182"/>
      <c r="B139" s="179" t="s">
        <v>141</v>
      </c>
      <c r="C139" s="151">
        <f t="shared" si="16"/>
        <v>6</v>
      </c>
      <c r="D139" s="152">
        <f>D118*4</f>
        <v>1.2</v>
      </c>
      <c r="E139" s="152"/>
      <c r="F139" s="152">
        <f>F118</f>
        <v>2.4500000000000002</v>
      </c>
      <c r="G139" s="152">
        <f t="shared" si="15"/>
        <v>17.64</v>
      </c>
      <c r="H139" s="178"/>
      <c r="I139" s="178"/>
      <c r="J139" s="152"/>
      <c r="K139" s="178"/>
    </row>
    <row r="140" spans="1:11" x14ac:dyDescent="0.25">
      <c r="A140" s="182"/>
      <c r="B140" s="179" t="s">
        <v>71</v>
      </c>
      <c r="C140" s="151">
        <f t="shared" si="16"/>
        <v>8</v>
      </c>
      <c r="D140" s="152">
        <f t="shared" ref="D140:D145" si="17">D119</f>
        <v>2.57</v>
      </c>
      <c r="E140" s="152"/>
      <c r="F140" s="152">
        <f>F119*2</f>
        <v>0.46</v>
      </c>
      <c r="G140" s="152">
        <f t="shared" si="15"/>
        <v>9.4575999999999993</v>
      </c>
      <c r="H140" s="178"/>
      <c r="I140" s="178"/>
      <c r="J140" s="152"/>
      <c r="K140" s="178"/>
    </row>
    <row r="141" spans="1:11" x14ac:dyDescent="0.25">
      <c r="A141" s="182"/>
      <c r="B141" s="179"/>
      <c r="C141" s="151">
        <f t="shared" si="16"/>
        <v>6</v>
      </c>
      <c r="D141" s="152">
        <f t="shared" si="17"/>
        <v>2.9750000000000001</v>
      </c>
      <c r="E141" s="152"/>
      <c r="F141" s="152">
        <f>F120*2</f>
        <v>0.46</v>
      </c>
      <c r="G141" s="152">
        <f t="shared" si="15"/>
        <v>8.2110000000000003</v>
      </c>
      <c r="H141" s="178"/>
      <c r="I141" s="178"/>
      <c r="J141" s="152"/>
      <c r="K141" s="178"/>
    </row>
    <row r="142" spans="1:11" x14ac:dyDescent="0.25">
      <c r="A142" s="182"/>
      <c r="B142" s="179" t="s">
        <v>142</v>
      </c>
      <c r="C142" s="151">
        <f t="shared" si="16"/>
        <v>1</v>
      </c>
      <c r="D142" s="152">
        <f t="shared" si="17"/>
        <v>6.5449999999999999</v>
      </c>
      <c r="E142" s="152">
        <f>E121</f>
        <v>4.0674999999999999</v>
      </c>
      <c r="F142" s="152"/>
      <c r="G142" s="152">
        <f>PRODUCT(C142:F142)</f>
        <v>26.6217875</v>
      </c>
      <c r="H142" s="178"/>
      <c r="I142" s="178"/>
      <c r="J142" s="152"/>
      <c r="K142" s="178"/>
    </row>
    <row r="143" spans="1:11" x14ac:dyDescent="0.25">
      <c r="A143" s="182"/>
      <c r="B143" s="179" t="s">
        <v>76</v>
      </c>
      <c r="C143" s="151">
        <f t="shared" si="16"/>
        <v>-1</v>
      </c>
      <c r="D143" s="152">
        <f t="shared" si="17"/>
        <v>1.08</v>
      </c>
      <c r="E143" s="152">
        <f>E122</f>
        <v>0.76196281621456874</v>
      </c>
      <c r="F143" s="152"/>
      <c r="G143" s="152">
        <f>PRODUCT(C143:F143)</f>
        <v>-0.82291984151173425</v>
      </c>
      <c r="H143" s="178"/>
      <c r="I143" s="178"/>
      <c r="J143" s="152"/>
      <c r="K143" s="178"/>
    </row>
    <row r="144" spans="1:11" x14ac:dyDescent="0.25">
      <c r="A144" s="182"/>
      <c r="B144" s="179" t="s">
        <v>143</v>
      </c>
      <c r="C144" s="151">
        <f t="shared" si="16"/>
        <v>1</v>
      </c>
      <c r="D144" s="152">
        <f t="shared" si="17"/>
        <v>6.9</v>
      </c>
      <c r="E144" s="152">
        <f>E123</f>
        <v>4.4249999999999998</v>
      </c>
      <c r="F144" s="152"/>
      <c r="G144" s="152">
        <f>PRODUCT(C144:F144)</f>
        <v>30.532499999999999</v>
      </c>
      <c r="H144" s="178"/>
      <c r="I144" s="178"/>
      <c r="J144" s="152"/>
      <c r="K144" s="178"/>
    </row>
    <row r="145" spans="1:15" x14ac:dyDescent="0.25">
      <c r="A145" s="182"/>
      <c r="B145" s="173" t="s">
        <v>76</v>
      </c>
      <c r="C145" s="151">
        <f t="shared" si="16"/>
        <v>-1</v>
      </c>
      <c r="D145" s="152">
        <f t="shared" si="17"/>
        <v>0.93</v>
      </c>
      <c r="E145" s="152">
        <f>E124</f>
        <v>0.76</v>
      </c>
      <c r="F145" s="152"/>
      <c r="G145" s="152">
        <f>PRODUCT(C145:F145)</f>
        <v>-0.70680000000000009</v>
      </c>
      <c r="H145" s="178"/>
      <c r="I145" s="178"/>
      <c r="J145" s="152"/>
      <c r="K145" s="178"/>
    </row>
    <row r="146" spans="1:15" x14ac:dyDescent="0.25">
      <c r="A146" s="182"/>
      <c r="B146" s="179" t="s">
        <v>108</v>
      </c>
      <c r="C146" s="151">
        <v>1</v>
      </c>
      <c r="D146" s="152">
        <v>3.5812252362084727</v>
      </c>
      <c r="E146" s="152">
        <v>2.3620847302651629</v>
      </c>
      <c r="F146" s="152"/>
      <c r="G146" s="152">
        <f t="shared" ref="G146:G147" si="18">PRODUCT(C146:F146)</f>
        <v>8.4591574460882839</v>
      </c>
      <c r="H146" s="178"/>
      <c r="I146" s="178"/>
      <c r="J146" s="152"/>
      <c r="K146" s="178"/>
    </row>
    <row r="147" spans="1:15" x14ac:dyDescent="0.25">
      <c r="A147" s="182"/>
      <c r="B147" s="173" t="s">
        <v>109</v>
      </c>
      <c r="C147" s="151">
        <v>-1</v>
      </c>
      <c r="D147" s="152">
        <v>8.3053946967387979</v>
      </c>
      <c r="E147" s="152">
        <v>0.23</v>
      </c>
      <c r="F147" s="152"/>
      <c r="G147" s="152">
        <f t="shared" si="18"/>
        <v>-1.9102407802499235</v>
      </c>
      <c r="H147" s="178"/>
      <c r="I147" s="178"/>
      <c r="J147" s="152"/>
      <c r="K147" s="178"/>
    </row>
    <row r="148" spans="1:15" ht="15" customHeight="1" x14ac:dyDescent="0.25">
      <c r="A148" s="182"/>
      <c r="B148" s="150" t="s">
        <v>16</v>
      </c>
      <c r="C148" s="151"/>
      <c r="D148" s="152"/>
      <c r="E148" s="152"/>
      <c r="F148" s="152"/>
      <c r="G148" s="153">
        <f>SUM(G132:G147)</f>
        <v>138.68028432432664</v>
      </c>
      <c r="H148" s="153" t="s">
        <v>23</v>
      </c>
      <c r="I148" s="6">
        <v>905.97</v>
      </c>
      <c r="J148" s="154">
        <f>G148*I148</f>
        <v>125640.17718931021</v>
      </c>
      <c r="K148" s="178"/>
    </row>
    <row r="149" spans="1:15" ht="15" customHeight="1" x14ac:dyDescent="0.25">
      <c r="A149" s="20"/>
      <c r="B149" s="150" t="s">
        <v>30</v>
      </c>
      <c r="C149" s="21"/>
      <c r="D149" s="22"/>
      <c r="E149" s="23"/>
      <c r="F149" s="23"/>
      <c r="G149" s="7"/>
      <c r="H149" s="6"/>
      <c r="I149" s="7"/>
      <c r="J149" s="153">
        <f>0.13*G148*46827.87/100</f>
        <v>8442.3330236733873</v>
      </c>
      <c r="K149" s="23"/>
    </row>
    <row r="150" spans="1:15" ht="15" customHeight="1" x14ac:dyDescent="0.25">
      <c r="A150" s="20"/>
      <c r="B150" s="150"/>
      <c r="C150" s="21"/>
      <c r="D150" s="22"/>
      <c r="E150" s="23"/>
      <c r="F150" s="23"/>
      <c r="G150" s="7"/>
      <c r="H150" s="6"/>
      <c r="I150" s="7"/>
      <c r="J150" s="153"/>
      <c r="K150" s="23"/>
    </row>
    <row r="151" spans="1:15" ht="45" x14ac:dyDescent="0.25">
      <c r="A151" s="20">
        <v>11</v>
      </c>
      <c r="B151" s="139" t="s">
        <v>33</v>
      </c>
      <c r="C151" s="151" t="s">
        <v>8</v>
      </c>
      <c r="D151" s="188" t="s">
        <v>22</v>
      </c>
      <c r="E151" s="188" t="s">
        <v>34</v>
      </c>
      <c r="F151" s="188" t="s">
        <v>35</v>
      </c>
      <c r="G151" s="188" t="s">
        <v>36</v>
      </c>
      <c r="H151" s="182"/>
      <c r="I151" s="153"/>
      <c r="J151" s="153"/>
      <c r="K151" s="23"/>
    </row>
    <row r="152" spans="1:15" ht="15" customHeight="1" x14ac:dyDescent="0.25">
      <c r="A152" s="20"/>
      <c r="B152" s="150" t="s">
        <v>57</v>
      </c>
      <c r="C152" s="21">
        <v>10</v>
      </c>
      <c r="D152" s="152">
        <f>1.5-0.1</f>
        <v>1.4</v>
      </c>
      <c r="E152" s="152">
        <f>12*12/162</f>
        <v>0.88888888888888884</v>
      </c>
      <c r="F152" s="152">
        <f t="shared" ref="F152:F185" si="19">PRODUCT(C152:E152)</f>
        <v>12.444444444444443</v>
      </c>
      <c r="G152" s="152">
        <f t="shared" ref="G152:G185" si="20">F152/1000</f>
        <v>1.2444444444444442E-2</v>
      </c>
      <c r="H152" s="6"/>
      <c r="I152" s="7"/>
      <c r="J152" s="153"/>
      <c r="K152" s="23"/>
    </row>
    <row r="153" spans="1:15" ht="15" customHeight="1" x14ac:dyDescent="0.25">
      <c r="A153" s="20"/>
      <c r="B153" s="150"/>
      <c r="C153" s="21">
        <v>10</v>
      </c>
      <c r="D153" s="152">
        <f>1.5-0.1</f>
        <v>1.4</v>
      </c>
      <c r="E153" s="152">
        <f>12*12/162</f>
        <v>0.88888888888888884</v>
      </c>
      <c r="F153" s="152">
        <f t="shared" si="19"/>
        <v>12.444444444444443</v>
      </c>
      <c r="G153" s="152">
        <f t="shared" si="20"/>
        <v>1.2444444444444442E-2</v>
      </c>
      <c r="H153" s="6"/>
      <c r="I153" s="7"/>
      <c r="J153" s="153"/>
      <c r="K153" s="23"/>
    </row>
    <row r="154" spans="1:15" ht="15" customHeight="1" x14ac:dyDescent="0.25">
      <c r="A154" s="20"/>
      <c r="B154" s="150" t="s">
        <v>169</v>
      </c>
      <c r="C154" s="21">
        <f>3*4</f>
        <v>12</v>
      </c>
      <c r="D154" s="152">
        <f>1.5+1.5/3.281+2.69+0.125+2.45+0.125</f>
        <v>7.3471776897287411</v>
      </c>
      <c r="E154" s="152">
        <f>16*16/162</f>
        <v>1.5802469135802468</v>
      </c>
      <c r="F154" s="152">
        <f t="shared" si="19"/>
        <v>139.3242584126339</v>
      </c>
      <c r="G154" s="152">
        <f t="shared" si="20"/>
        <v>0.13932425841263391</v>
      </c>
      <c r="H154" s="6"/>
      <c r="I154" s="7"/>
      <c r="J154" s="153"/>
      <c r="K154" s="23"/>
    </row>
    <row r="155" spans="1:15" ht="15" customHeight="1" x14ac:dyDescent="0.25">
      <c r="A155" s="20"/>
      <c r="B155" s="150"/>
      <c r="C155" s="21">
        <f>3*4</f>
        <v>12</v>
      </c>
      <c r="D155" s="152">
        <f>1.5+1.5/3.281+2.69+0.125+2.45+0.125</f>
        <v>7.3471776897287411</v>
      </c>
      <c r="E155" s="152">
        <f>12*12/162</f>
        <v>0.88888888888888884</v>
      </c>
      <c r="F155" s="152">
        <f t="shared" si="19"/>
        <v>78.369895357106557</v>
      </c>
      <c r="G155" s="152">
        <f t="shared" si="20"/>
        <v>7.8369895357106562E-2</v>
      </c>
      <c r="H155" s="6"/>
      <c r="I155" s="7"/>
      <c r="J155" s="153"/>
      <c r="K155" s="23"/>
    </row>
    <row r="156" spans="1:15" ht="15" customHeight="1" x14ac:dyDescent="0.25">
      <c r="A156" s="20"/>
      <c r="B156" s="150" t="s">
        <v>59</v>
      </c>
      <c r="C156" s="21">
        <f>3*(15+19+19)</f>
        <v>159</v>
      </c>
      <c r="D156" s="152">
        <f>(0.75*4+0.17*2)/3.281</f>
        <v>1.0179823224626636</v>
      </c>
      <c r="E156" s="152">
        <f>8*8/162</f>
        <v>0.39506172839506171</v>
      </c>
      <c r="F156" s="152">
        <f t="shared" si="19"/>
        <v>63.944371070247307</v>
      </c>
      <c r="G156" s="152">
        <f t="shared" si="20"/>
        <v>6.3944371070247308E-2</v>
      </c>
      <c r="H156" s="6"/>
      <c r="I156" s="7"/>
      <c r="J156" s="153"/>
      <c r="K156" s="23"/>
      <c r="N156">
        <f>C157/6</f>
        <v>26.5</v>
      </c>
      <c r="O156">
        <f>N156-31</f>
        <v>-4.5</v>
      </c>
    </row>
    <row r="157" spans="1:15" ht="15" customHeight="1" x14ac:dyDescent="0.25">
      <c r="A157" s="20"/>
      <c r="B157" s="150"/>
      <c r="C157" s="21">
        <f>3*(15+19+19)</f>
        <v>159</v>
      </c>
      <c r="D157" s="152">
        <f>(0.5*4+0.17*2)/3.281</f>
        <v>0.71319719597683628</v>
      </c>
      <c r="E157" s="152">
        <f>8*8/162</f>
        <v>0.39506172839506171</v>
      </c>
      <c r="F157" s="152">
        <f t="shared" si="19"/>
        <v>44.799349791730158</v>
      </c>
      <c r="G157" s="152">
        <f t="shared" si="20"/>
        <v>4.4799349791730156E-2</v>
      </c>
      <c r="H157" s="6"/>
      <c r="I157" s="7"/>
      <c r="J157" s="153"/>
      <c r="K157" s="23"/>
    </row>
    <row r="158" spans="1:15" ht="15" customHeight="1" x14ac:dyDescent="0.25">
      <c r="A158" s="20"/>
      <c r="B158" s="150" t="s">
        <v>169</v>
      </c>
      <c r="C158" s="21">
        <f>3*4</f>
        <v>12</v>
      </c>
      <c r="D158" s="152">
        <f>0.45+1.5/3.281+2.69+0.125+2.45+0.125</f>
        <v>6.2971776897287413</v>
      </c>
      <c r="E158" s="152">
        <f>16*16/162</f>
        <v>1.5802469135802468</v>
      </c>
      <c r="F158" s="152">
        <f t="shared" si="19"/>
        <v>119.41314730152278</v>
      </c>
      <c r="G158" s="152">
        <f t="shared" si="20"/>
        <v>0.11941314730152279</v>
      </c>
      <c r="H158" s="6"/>
      <c r="I158" s="7"/>
      <c r="J158" s="153"/>
      <c r="K158" s="23"/>
    </row>
    <row r="159" spans="1:15" ht="15" customHeight="1" x14ac:dyDescent="0.25">
      <c r="A159" s="20"/>
      <c r="B159" s="150"/>
      <c r="C159" s="21">
        <f>3*4</f>
        <v>12</v>
      </c>
      <c r="D159" s="152">
        <f>0.45+1.5/3.281+2.69+0.125+2.45+0.125</f>
        <v>6.2971776897287413</v>
      </c>
      <c r="E159" s="152">
        <f>12*12/162</f>
        <v>0.88888888888888884</v>
      </c>
      <c r="F159" s="152">
        <f t="shared" si="19"/>
        <v>67.169895357106569</v>
      </c>
      <c r="G159" s="152">
        <f t="shared" si="20"/>
        <v>6.7169895357106574E-2</v>
      </c>
      <c r="H159" s="6"/>
      <c r="I159" s="7"/>
      <c r="J159" s="153"/>
      <c r="K159" s="23"/>
    </row>
    <row r="160" spans="1:15" ht="15" customHeight="1" x14ac:dyDescent="0.25">
      <c r="A160" s="20"/>
      <c r="B160" s="150" t="s">
        <v>59</v>
      </c>
      <c r="C160" s="21">
        <f>3*(5+19+19)</f>
        <v>129</v>
      </c>
      <c r="D160" s="152">
        <f>(0.75*4+0.17*2)/3.281</f>
        <v>1.0179823224626636</v>
      </c>
      <c r="E160" s="152">
        <f>8*8/162</f>
        <v>0.39506172839506171</v>
      </c>
      <c r="F160" s="152">
        <f t="shared" si="19"/>
        <v>51.879395396615749</v>
      </c>
      <c r="G160" s="152">
        <f t="shared" si="20"/>
        <v>5.1879395396615749E-2</v>
      </c>
      <c r="H160" s="6"/>
      <c r="I160" s="7"/>
      <c r="J160" s="153"/>
      <c r="K160" s="23"/>
      <c r="N160">
        <f>C161/6</f>
        <v>21.5</v>
      </c>
      <c r="O160">
        <f>N160-31</f>
        <v>-9.5</v>
      </c>
    </row>
    <row r="161" spans="1:15" ht="15" customHeight="1" x14ac:dyDescent="0.25">
      <c r="A161" s="20"/>
      <c r="B161" s="150"/>
      <c r="C161" s="21">
        <f>3*(5+19+19)</f>
        <v>129</v>
      </c>
      <c r="D161" s="152">
        <f>(0.5*4+0.17*2)/3.281</f>
        <v>0.71319719597683628</v>
      </c>
      <c r="E161" s="152">
        <f>8*8/162</f>
        <v>0.39506172839506171</v>
      </c>
      <c r="F161" s="152">
        <f t="shared" si="19"/>
        <v>36.346642283856539</v>
      </c>
      <c r="G161" s="152">
        <f t="shared" si="20"/>
        <v>3.6346642283856541E-2</v>
      </c>
      <c r="H161" s="6"/>
      <c r="I161" s="7"/>
      <c r="J161" s="153"/>
      <c r="K161" s="23"/>
    </row>
    <row r="162" spans="1:15" ht="15" customHeight="1" x14ac:dyDescent="0.25">
      <c r="A162" s="20"/>
      <c r="B162" s="150" t="s">
        <v>166</v>
      </c>
      <c r="C162" s="21">
        <f>2*(4)</f>
        <v>8</v>
      </c>
      <c r="D162" s="152">
        <f>(19.75+(0.75*2))/3.281</f>
        <v>6.4766839378238341</v>
      </c>
      <c r="E162" s="152">
        <f>12*12/162</f>
        <v>0.88888888888888884</v>
      </c>
      <c r="F162" s="152">
        <f t="shared" si="19"/>
        <v>46.056419113413931</v>
      </c>
      <c r="G162" s="152">
        <f t="shared" si="20"/>
        <v>4.6056419113413932E-2</v>
      </c>
      <c r="H162" s="6"/>
      <c r="I162" s="7"/>
      <c r="J162" s="153"/>
      <c r="K162" s="23"/>
    </row>
    <row r="163" spans="1:15" ht="15" customHeight="1" x14ac:dyDescent="0.25">
      <c r="A163" s="20"/>
      <c r="B163" s="150" t="s">
        <v>59</v>
      </c>
      <c r="C163" s="21">
        <f>(19+19)*2</f>
        <v>76</v>
      </c>
      <c r="D163" s="152">
        <f>(0.583*4+0.17*2)/3.281</f>
        <v>0.81438585797013097</v>
      </c>
      <c r="E163" s="152">
        <f>8*8/162</f>
        <v>0.39506172839506171</v>
      </c>
      <c r="F163" s="152">
        <f>PRODUCT(C163:E163)</f>
        <v>24.451684031893311</v>
      </c>
      <c r="G163" s="152">
        <f>F163/1000</f>
        <v>2.4451684031893312E-2</v>
      </c>
      <c r="H163" s="6"/>
      <c r="I163" s="7"/>
      <c r="J163" s="153"/>
      <c r="K163" s="23"/>
    </row>
    <row r="164" spans="1:15" ht="15" customHeight="1" x14ac:dyDescent="0.25">
      <c r="A164" s="20"/>
      <c r="B164" s="150" t="s">
        <v>166</v>
      </c>
      <c r="C164" s="21">
        <f>4*2</f>
        <v>8</v>
      </c>
      <c r="D164" s="152">
        <f>(11.583+(0.75*2))/3.281</f>
        <v>3.9875038098140809</v>
      </c>
      <c r="E164" s="152">
        <f>12*12/162</f>
        <v>0.88888888888888884</v>
      </c>
      <c r="F164" s="152">
        <f t="shared" si="19"/>
        <v>28.355582647566795</v>
      </c>
      <c r="G164" s="152">
        <f t="shared" si="20"/>
        <v>2.8355582647566796E-2</v>
      </c>
      <c r="H164" s="6"/>
      <c r="I164" s="7"/>
      <c r="J164" s="153"/>
      <c r="K164" s="23"/>
      <c r="N164">
        <f>4/0.127</f>
        <v>31.496062992125985</v>
      </c>
      <c r="O164">
        <f>9.75/0.42</f>
        <v>23.214285714285715</v>
      </c>
    </row>
    <row r="165" spans="1:15" ht="15" customHeight="1" x14ac:dyDescent="0.25">
      <c r="A165" s="20"/>
      <c r="B165" s="150" t="s">
        <v>59</v>
      </c>
      <c r="C165" s="21">
        <f>(23)*2</f>
        <v>46</v>
      </c>
      <c r="D165" s="152">
        <f>(0.583*4+0.17*2)/3.281</f>
        <v>0.81438585797013097</v>
      </c>
      <c r="E165" s="152">
        <f>8*8/162</f>
        <v>0.39506172839506171</v>
      </c>
      <c r="F165" s="152">
        <f t="shared" si="19"/>
        <v>14.799703492988058</v>
      </c>
      <c r="G165" s="152">
        <f t="shared" si="20"/>
        <v>1.4799703492988059E-2</v>
      </c>
      <c r="H165" s="6"/>
      <c r="I165" s="7"/>
      <c r="J165" s="153"/>
      <c r="K165" s="23"/>
    </row>
    <row r="166" spans="1:15" ht="15" customHeight="1" x14ac:dyDescent="0.25">
      <c r="A166" s="20"/>
      <c r="B166" s="150" t="s">
        <v>167</v>
      </c>
      <c r="C166" s="21">
        <f>2*(4)</f>
        <v>8</v>
      </c>
      <c r="D166" s="152">
        <f>(19.75+(0.75*2))/3.281</f>
        <v>6.4766839378238341</v>
      </c>
      <c r="E166" s="152">
        <f>12*12/162</f>
        <v>0.88888888888888884</v>
      </c>
      <c r="F166" s="152">
        <f t="shared" si="19"/>
        <v>46.056419113413931</v>
      </c>
      <c r="G166" s="152">
        <f t="shared" si="20"/>
        <v>4.6056419113413932E-2</v>
      </c>
      <c r="H166" s="6"/>
      <c r="I166" s="7"/>
      <c r="J166" s="153"/>
      <c r="K166" s="23"/>
      <c r="N166">
        <f>17/0.42</f>
        <v>40.476190476190474</v>
      </c>
    </row>
    <row r="167" spans="1:15" ht="15" customHeight="1" x14ac:dyDescent="0.25">
      <c r="A167" s="20"/>
      <c r="B167" s="150" t="s">
        <v>59</v>
      </c>
      <c r="C167" s="21">
        <f>(19+20)*2</f>
        <v>78</v>
      </c>
      <c r="D167" s="152">
        <f>(0.583*4+0.17*2)/3.281</f>
        <v>0.81438585797013097</v>
      </c>
      <c r="E167" s="152">
        <f>8*8/162</f>
        <v>0.39506172839506171</v>
      </c>
      <c r="F167" s="152">
        <f>PRODUCT(C167:E167)</f>
        <v>25.095149401153666</v>
      </c>
      <c r="G167" s="152">
        <f>F167/1000</f>
        <v>2.5095149401153666E-2</v>
      </c>
      <c r="H167" s="6"/>
      <c r="I167" s="7"/>
      <c r="J167" s="153"/>
      <c r="K167" s="23"/>
    </row>
    <row r="168" spans="1:15" ht="15" customHeight="1" x14ac:dyDescent="0.25">
      <c r="A168" s="20"/>
      <c r="B168" s="150" t="s">
        <v>167</v>
      </c>
      <c r="C168" s="21">
        <f>4*3</f>
        <v>12</v>
      </c>
      <c r="D168" s="152">
        <f>(11.583+(0.75*2))/3.281</f>
        <v>3.9875038098140809</v>
      </c>
      <c r="E168" s="152">
        <f>12*12/162</f>
        <v>0.88888888888888884</v>
      </c>
      <c r="F168" s="152">
        <f t="shared" ref="F168:F170" si="21">PRODUCT(C168:E168)</f>
        <v>42.533373971350194</v>
      </c>
      <c r="G168" s="152">
        <f t="shared" ref="G168:G170" si="22">F168/1000</f>
        <v>4.2533373971350194E-2</v>
      </c>
      <c r="H168" s="6"/>
      <c r="I168" s="7"/>
      <c r="J168" s="153"/>
      <c r="K168" s="23"/>
      <c r="N168">
        <f>4/0.127</f>
        <v>31.496062992125985</v>
      </c>
      <c r="O168">
        <f>9.75/0.42</f>
        <v>23.214285714285715</v>
      </c>
    </row>
    <row r="169" spans="1:15" ht="15" customHeight="1" x14ac:dyDescent="0.25">
      <c r="A169" s="20"/>
      <c r="B169" s="150" t="s">
        <v>59</v>
      </c>
      <c r="C169" s="21">
        <f>(23)*3</f>
        <v>69</v>
      </c>
      <c r="D169" s="152">
        <f>(0.583*4+0.17*2)/3.281</f>
        <v>0.81438585797013097</v>
      </c>
      <c r="E169" s="152">
        <f>8*8/162</f>
        <v>0.39506172839506171</v>
      </c>
      <c r="F169" s="152">
        <f t="shared" si="21"/>
        <v>22.199555239482088</v>
      </c>
      <c r="G169" s="152">
        <f t="shared" si="22"/>
        <v>2.2199555239482086E-2</v>
      </c>
      <c r="H169" s="6"/>
      <c r="I169" s="7"/>
      <c r="J169" s="153"/>
      <c r="K169" s="23"/>
    </row>
    <row r="170" spans="1:15" ht="15" customHeight="1" x14ac:dyDescent="0.25">
      <c r="A170" s="20"/>
      <c r="B170" s="150" t="s">
        <v>71</v>
      </c>
      <c r="C170" s="21">
        <f>2*2*(5)</f>
        <v>20</v>
      </c>
      <c r="D170" s="152">
        <f>(19.75+(0.42*2))/3.281</f>
        <v>6.2755257543431879</v>
      </c>
      <c r="E170" s="152">
        <f>12*12/162</f>
        <v>0.88888888888888884</v>
      </c>
      <c r="F170" s="152">
        <f t="shared" si="21"/>
        <v>111.56490229943445</v>
      </c>
      <c r="G170" s="152">
        <f t="shared" si="22"/>
        <v>0.11156490229943446</v>
      </c>
      <c r="H170" s="6"/>
      <c r="I170" s="7"/>
      <c r="J170" s="153"/>
      <c r="K170" s="23"/>
    </row>
    <row r="171" spans="1:15" ht="15" customHeight="1" x14ac:dyDescent="0.25">
      <c r="A171" s="20"/>
      <c r="B171" s="150" t="s">
        <v>59</v>
      </c>
      <c r="C171" s="21">
        <f>(19+20)*2*2</f>
        <v>156</v>
      </c>
      <c r="D171" s="152">
        <f>(0.583*4+0.17*2)/3.281</f>
        <v>0.81438585797013097</v>
      </c>
      <c r="E171" s="152">
        <f>8*8/162</f>
        <v>0.39506172839506171</v>
      </c>
      <c r="F171" s="152">
        <f>PRODUCT(C171:E171)</f>
        <v>50.190298802307332</v>
      </c>
      <c r="G171" s="152">
        <f>F171/1000</f>
        <v>5.0190298802307333E-2</v>
      </c>
      <c r="H171" s="6"/>
      <c r="I171" s="7"/>
      <c r="J171" s="153"/>
      <c r="K171" s="23"/>
    </row>
    <row r="172" spans="1:15" ht="15" customHeight="1" x14ac:dyDescent="0.25">
      <c r="A172" s="20"/>
      <c r="B172" s="150" t="s">
        <v>71</v>
      </c>
      <c r="C172" s="21">
        <f>5*3*2</f>
        <v>30</v>
      </c>
      <c r="D172" s="152">
        <f>(11.583+(0.42*2))/3.281</f>
        <v>3.7863456263334347</v>
      </c>
      <c r="E172" s="152">
        <f>12*12/162</f>
        <v>0.88888888888888884</v>
      </c>
      <c r="F172" s="152">
        <f t="shared" ref="F172:F173" si="23">PRODUCT(C172:E172)</f>
        <v>100.96921670222491</v>
      </c>
      <c r="G172" s="152">
        <f t="shared" ref="G172:G173" si="24">F172/1000</f>
        <v>0.10096921670222492</v>
      </c>
      <c r="H172" s="6"/>
      <c r="I172" s="7"/>
      <c r="J172" s="153"/>
      <c r="K172" s="23"/>
    </row>
    <row r="173" spans="1:15" ht="15" customHeight="1" x14ac:dyDescent="0.25">
      <c r="A173" s="20"/>
      <c r="B173" s="150" t="s">
        <v>59</v>
      </c>
      <c r="C173" s="21">
        <f>(23)*3*2</f>
        <v>138</v>
      </c>
      <c r="D173" s="152">
        <f>(0.583*4+0.17*2)/3.281</f>
        <v>0.81438585797013097</v>
      </c>
      <c r="E173" s="152">
        <f>8*8/162</f>
        <v>0.39506172839506171</v>
      </c>
      <c r="F173" s="152">
        <f t="shared" si="23"/>
        <v>44.399110478964175</v>
      </c>
      <c r="G173" s="152">
        <f t="shared" si="24"/>
        <v>4.4399110478964172E-2</v>
      </c>
      <c r="H173" s="6"/>
      <c r="I173" s="7"/>
      <c r="J173" s="153"/>
      <c r="K173" s="23"/>
    </row>
    <row r="174" spans="1:15" ht="15" customHeight="1" x14ac:dyDescent="0.25">
      <c r="A174" s="20"/>
      <c r="B174" s="150" t="s">
        <v>66</v>
      </c>
      <c r="C174" s="21">
        <f>3*6</f>
        <v>18</v>
      </c>
      <c r="D174" s="152">
        <f>5.667/3.281</f>
        <v>1.7272173117951843</v>
      </c>
      <c r="E174" s="152">
        <f t="shared" ref="E174:E176" si="25">12*12/162</f>
        <v>0.88888888888888884</v>
      </c>
      <c r="F174" s="152">
        <f>PRODUCT(C174:E174)</f>
        <v>27.635476988722949</v>
      </c>
      <c r="G174" s="183">
        <f>F174/1000</f>
        <v>2.763547698872295E-2</v>
      </c>
      <c r="H174" s="6"/>
      <c r="I174" s="7"/>
      <c r="J174" s="153"/>
      <c r="K174" s="23"/>
      <c r="O174">
        <f>3.5/3.281</f>
        <v>1.0667479427003961</v>
      </c>
    </row>
    <row r="175" spans="1:15" ht="15" customHeight="1" x14ac:dyDescent="0.25">
      <c r="A175" s="20"/>
      <c r="B175" s="150"/>
      <c r="C175" s="21">
        <f>2*3</f>
        <v>6</v>
      </c>
      <c r="D175" s="152">
        <f>7.5/3.281</f>
        <v>2.2858884486437061</v>
      </c>
      <c r="E175" s="152">
        <f t="shared" si="25"/>
        <v>0.88888888888888884</v>
      </c>
      <c r="F175" s="152">
        <f>PRODUCT(C175:E175)</f>
        <v>12.191405059433098</v>
      </c>
      <c r="G175" s="183">
        <f>F175/1000</f>
        <v>1.2191405059433098E-2</v>
      </c>
      <c r="H175" s="6"/>
      <c r="I175" s="7"/>
      <c r="J175" s="153"/>
      <c r="K175" s="23"/>
    </row>
    <row r="176" spans="1:15" ht="15" customHeight="1" x14ac:dyDescent="0.25">
      <c r="A176" s="20"/>
      <c r="B176" s="150"/>
      <c r="C176" s="21">
        <f>3*4</f>
        <v>12</v>
      </c>
      <c r="D176" s="152">
        <f>5.5/3.281</f>
        <v>1.6763181956720512</v>
      </c>
      <c r="E176" s="152">
        <f t="shared" si="25"/>
        <v>0.88888888888888884</v>
      </c>
      <c r="F176" s="152">
        <f>PRODUCT(C176:E176)</f>
        <v>17.880727420501877</v>
      </c>
      <c r="G176" s="183">
        <f>F176/1000</f>
        <v>1.7880727420501875E-2</v>
      </c>
      <c r="H176" s="6"/>
      <c r="I176" s="7"/>
      <c r="J176" s="153"/>
      <c r="K176" s="23"/>
    </row>
    <row r="177" spans="1:17" ht="15" customHeight="1" x14ac:dyDescent="0.25">
      <c r="A177" s="20"/>
      <c r="B177" s="150"/>
      <c r="C177" s="21">
        <v>2</v>
      </c>
      <c r="D177" s="152">
        <f>(19.75+(0.42*2))/3.281</f>
        <v>6.2755257543431879</v>
      </c>
      <c r="E177" s="152">
        <f>12*12/162</f>
        <v>0.88888888888888884</v>
      </c>
      <c r="F177" s="152">
        <f t="shared" ref="F177:F178" si="26">PRODUCT(C177:E177)</f>
        <v>11.156490229943445</v>
      </c>
      <c r="G177" s="152">
        <f t="shared" ref="G177:G178" si="27">F177/1000</f>
        <v>1.1156490229943446E-2</v>
      </c>
      <c r="H177" s="6"/>
      <c r="I177" s="7"/>
      <c r="J177" s="153"/>
      <c r="K177" s="23"/>
    </row>
    <row r="178" spans="1:17" ht="15" customHeight="1" x14ac:dyDescent="0.25">
      <c r="A178" s="20"/>
      <c r="B178" s="150"/>
      <c r="C178" s="21">
        <v>3</v>
      </c>
      <c r="D178" s="152">
        <f>(11.583+(0.42*2))/3.281</f>
        <v>3.7863456263334347</v>
      </c>
      <c r="E178" s="152">
        <f>12*12/162</f>
        <v>0.88888888888888884</v>
      </c>
      <c r="F178" s="152">
        <f t="shared" si="26"/>
        <v>10.096921670222491</v>
      </c>
      <c r="G178" s="152">
        <f t="shared" si="27"/>
        <v>1.009692167022249E-2</v>
      </c>
      <c r="H178" s="6"/>
      <c r="I178" s="7"/>
      <c r="J178" s="153"/>
      <c r="K178" s="23"/>
    </row>
    <row r="179" spans="1:17" ht="15" customHeight="1" x14ac:dyDescent="0.25">
      <c r="A179" s="20"/>
      <c r="B179" s="150" t="s">
        <v>142</v>
      </c>
      <c r="C179" s="21"/>
      <c r="D179" s="152"/>
      <c r="E179" s="152"/>
      <c r="F179" s="152"/>
      <c r="G179" s="152"/>
      <c r="H179" s="6"/>
      <c r="I179" s="7"/>
      <c r="J179" s="153"/>
      <c r="K179" s="23"/>
    </row>
    <row r="180" spans="1:17" ht="15" customHeight="1" x14ac:dyDescent="0.25">
      <c r="A180" s="20"/>
      <c r="B180" s="150" t="s">
        <v>163</v>
      </c>
      <c r="C180" s="21">
        <v>25</v>
      </c>
      <c r="D180" s="152">
        <f>12.75/3.281</f>
        <v>3.8860103626943006</v>
      </c>
      <c r="E180" s="152">
        <f t="shared" ref="E180:E193" si="28">8*8/162</f>
        <v>0.39506172839506171</v>
      </c>
      <c r="F180" s="152">
        <f t="shared" si="19"/>
        <v>38.380349261178274</v>
      </c>
      <c r="G180" s="183">
        <f t="shared" si="20"/>
        <v>3.8380349261178275E-2</v>
      </c>
      <c r="H180" s="6"/>
      <c r="I180" s="7"/>
      <c r="J180" s="153"/>
      <c r="K180" s="23"/>
    </row>
    <row r="181" spans="1:17" ht="15" customHeight="1" x14ac:dyDescent="0.25">
      <c r="A181" s="20"/>
      <c r="B181" s="150"/>
      <c r="C181" s="21">
        <v>7</v>
      </c>
      <c r="D181" s="152">
        <f>8.5/3.281</f>
        <v>2.5906735751295336</v>
      </c>
      <c r="E181" s="152">
        <f t="shared" si="28"/>
        <v>0.39506172839506171</v>
      </c>
      <c r="F181" s="152">
        <f t="shared" si="19"/>
        <v>7.1643318620866117</v>
      </c>
      <c r="G181" s="183">
        <f t="shared" si="20"/>
        <v>7.1643318620866116E-3</v>
      </c>
      <c r="H181" s="6"/>
      <c r="I181" s="7"/>
      <c r="J181" s="153"/>
      <c r="K181" s="23"/>
    </row>
    <row r="182" spans="1:17" ht="15" customHeight="1" x14ac:dyDescent="0.25">
      <c r="A182" s="20"/>
      <c r="B182" s="150"/>
      <c r="C182" s="21">
        <v>7</v>
      </c>
      <c r="D182" s="152">
        <f>5.5/3.281</f>
        <v>1.6763181956720512</v>
      </c>
      <c r="E182" s="152">
        <f t="shared" si="28"/>
        <v>0.39506172839506171</v>
      </c>
      <c r="F182" s="152">
        <f t="shared" si="19"/>
        <v>4.6357441460560427</v>
      </c>
      <c r="G182" s="183">
        <f t="shared" si="20"/>
        <v>4.6357441460560429E-3</v>
      </c>
      <c r="H182" s="6"/>
      <c r="I182" s="7"/>
      <c r="J182" s="153"/>
      <c r="K182" s="23"/>
    </row>
    <row r="183" spans="1:17" ht="15" customHeight="1" x14ac:dyDescent="0.25">
      <c r="A183" s="20"/>
      <c r="B183" s="150" t="s">
        <v>164</v>
      </c>
      <c r="C183" s="21">
        <v>10</v>
      </c>
      <c r="D183" s="152">
        <f>21.25/3.281</f>
        <v>6.4766839378238341</v>
      </c>
      <c r="E183" s="152">
        <f t="shared" si="28"/>
        <v>0.39506172839506171</v>
      </c>
      <c r="F183" s="152">
        <f t="shared" si="19"/>
        <v>25.586899507452184</v>
      </c>
      <c r="G183" s="183">
        <f t="shared" si="20"/>
        <v>2.5586899507452184E-2</v>
      </c>
      <c r="H183" s="6"/>
      <c r="I183" s="7"/>
      <c r="J183" s="153"/>
      <c r="K183" s="23"/>
    </row>
    <row r="184" spans="1:17" ht="15" customHeight="1" x14ac:dyDescent="0.25">
      <c r="A184" s="20"/>
      <c r="B184" s="150"/>
      <c r="C184" s="21">
        <v>5</v>
      </c>
      <c r="D184" s="152">
        <f>17.5/3.281</f>
        <v>5.3337397135019806</v>
      </c>
      <c r="E184" s="152">
        <f t="shared" si="28"/>
        <v>0.39506172839506171</v>
      </c>
      <c r="F184" s="152">
        <f t="shared" si="19"/>
        <v>10.535782150127369</v>
      </c>
      <c r="G184" s="183">
        <f t="shared" si="20"/>
        <v>1.0535782150127369E-2</v>
      </c>
      <c r="H184" s="6"/>
      <c r="I184" s="7"/>
      <c r="J184" s="153"/>
      <c r="K184" s="23"/>
    </row>
    <row r="185" spans="1:17" ht="15" customHeight="1" x14ac:dyDescent="0.25">
      <c r="A185" s="20"/>
      <c r="B185" s="150"/>
      <c r="C185" s="21">
        <v>5</v>
      </c>
      <c r="D185" s="152">
        <f>16.583/3.281</f>
        <v>5.0542517525144763</v>
      </c>
      <c r="E185" s="152">
        <f t="shared" si="28"/>
        <v>0.39506172839506171</v>
      </c>
      <c r="F185" s="152">
        <f t="shared" si="19"/>
        <v>9.983707165460693</v>
      </c>
      <c r="G185" s="183">
        <f t="shared" si="20"/>
        <v>9.9837071654606934E-3</v>
      </c>
      <c r="H185" s="6"/>
      <c r="I185" s="7"/>
      <c r="J185" s="153"/>
      <c r="K185" s="23"/>
      <c r="O185" s="63">
        <f>SUM(G180:G193)</f>
        <v>0.18649779312991746</v>
      </c>
      <c r="P185" s="63">
        <f>SUM(G195:G206)</f>
        <v>0.25246864664115498</v>
      </c>
      <c r="Q185" s="63">
        <f>SUM(O185:P185)</f>
        <v>0.43896643977107241</v>
      </c>
    </row>
    <row r="186" spans="1:17" ht="15" customHeight="1" x14ac:dyDescent="0.25">
      <c r="A186" s="20"/>
      <c r="B186" s="173" t="s">
        <v>165</v>
      </c>
      <c r="C186" s="21">
        <v>20</v>
      </c>
      <c r="D186" s="152">
        <f>12.75/3.281</f>
        <v>3.8860103626943006</v>
      </c>
      <c r="E186" s="152">
        <f t="shared" si="28"/>
        <v>0.39506172839506171</v>
      </c>
      <c r="F186" s="152">
        <f>PRODUCT(C186:E186)</f>
        <v>30.704279408942622</v>
      </c>
      <c r="G186" s="183">
        <f>F186/1000</f>
        <v>3.070427940894262E-2</v>
      </c>
      <c r="H186" s="6"/>
      <c r="I186" s="7"/>
      <c r="J186" s="153"/>
      <c r="K186" s="23"/>
    </row>
    <row r="187" spans="1:17" ht="15" customHeight="1" x14ac:dyDescent="0.25">
      <c r="A187" s="20"/>
      <c r="B187" s="150"/>
      <c r="C187" s="21">
        <v>7</v>
      </c>
      <c r="D187" s="152">
        <f>9.5/3.281</f>
        <v>2.895458701615361</v>
      </c>
      <c r="E187" s="152">
        <f t="shared" si="28"/>
        <v>0.39506172839506171</v>
      </c>
      <c r="F187" s="152">
        <f>PRODUCT(C187:E187)</f>
        <v>8.0071944340967995</v>
      </c>
      <c r="G187" s="183">
        <f>F187/1000</f>
        <v>8.0071944340967989E-3</v>
      </c>
      <c r="H187" s="6"/>
      <c r="I187" s="7"/>
      <c r="J187" s="153"/>
      <c r="K187" s="23"/>
    </row>
    <row r="188" spans="1:17" ht="15" customHeight="1" x14ac:dyDescent="0.25">
      <c r="A188" s="20"/>
      <c r="B188" s="150" t="s">
        <v>69</v>
      </c>
      <c r="C188" s="21">
        <v>12</v>
      </c>
      <c r="D188" s="152">
        <f>4.17/3.281</f>
        <v>1.2709539774459007</v>
      </c>
      <c r="E188" s="152">
        <f t="shared" si="28"/>
        <v>0.39506172839506171</v>
      </c>
      <c r="F188" s="152">
        <f t="shared" ref="F188:F193" si="29">PRODUCT(C188:E188)</f>
        <v>6.0252633004842693</v>
      </c>
      <c r="G188" s="183">
        <f t="shared" ref="G188:G193" si="30">F188/1000</f>
        <v>6.0252633004842689E-3</v>
      </c>
      <c r="H188" s="6"/>
      <c r="I188" s="7"/>
      <c r="J188" s="153"/>
      <c r="K188" s="23"/>
    </row>
    <row r="189" spans="1:17" ht="15" customHeight="1" x14ac:dyDescent="0.25">
      <c r="A189" s="20"/>
      <c r="B189" s="150"/>
      <c r="C189" s="21">
        <v>12</v>
      </c>
      <c r="D189" s="152">
        <f>3/3.281</f>
        <v>0.91435537945748246</v>
      </c>
      <c r="E189" s="152">
        <f t="shared" si="28"/>
        <v>0.39506172839506171</v>
      </c>
      <c r="F189" s="152">
        <f t="shared" si="29"/>
        <v>4.3347217989095466</v>
      </c>
      <c r="G189" s="183">
        <f t="shared" si="30"/>
        <v>4.3347217989095467E-3</v>
      </c>
      <c r="H189" s="6"/>
      <c r="I189" s="7"/>
      <c r="J189" s="153"/>
      <c r="K189" s="23"/>
    </row>
    <row r="190" spans="1:17" ht="15" customHeight="1" x14ac:dyDescent="0.25">
      <c r="A190" s="20"/>
      <c r="B190" s="150" t="s">
        <v>76</v>
      </c>
      <c r="C190" s="21">
        <v>6</v>
      </c>
      <c r="D190" s="152">
        <f>21.25/3.281</f>
        <v>6.4766839378238341</v>
      </c>
      <c r="E190" s="152">
        <f t="shared" si="28"/>
        <v>0.39506172839506171</v>
      </c>
      <c r="F190" s="152">
        <f t="shared" si="29"/>
        <v>15.352139704471309</v>
      </c>
      <c r="G190" s="183">
        <f t="shared" si="30"/>
        <v>1.5352139704471308E-2</v>
      </c>
      <c r="H190" s="6"/>
      <c r="I190" s="7"/>
      <c r="J190" s="153"/>
      <c r="K190" s="23"/>
    </row>
    <row r="191" spans="1:17" ht="15" customHeight="1" x14ac:dyDescent="0.25">
      <c r="A191" s="20"/>
      <c r="B191" s="150"/>
      <c r="C191" s="21">
        <v>9</v>
      </c>
      <c r="D191" s="152">
        <f>12.5/3.281</f>
        <v>3.8098140810728434</v>
      </c>
      <c r="E191" s="152">
        <f t="shared" si="28"/>
        <v>0.39506172839506171</v>
      </c>
      <c r="F191" s="152">
        <f t="shared" si="29"/>
        <v>13.546005621592331</v>
      </c>
      <c r="G191" s="183">
        <f t="shared" si="30"/>
        <v>1.3546005621592331E-2</v>
      </c>
      <c r="H191" s="6"/>
      <c r="I191" s="7"/>
      <c r="J191" s="153"/>
      <c r="K191" s="23"/>
    </row>
    <row r="192" spans="1:17" ht="15" customHeight="1" x14ac:dyDescent="0.25">
      <c r="A192" s="20"/>
      <c r="B192" s="150"/>
      <c r="C192" s="21">
        <v>5</v>
      </c>
      <c r="D192" s="152">
        <f>16.583/3.281</f>
        <v>5.0542517525144763</v>
      </c>
      <c r="E192" s="152">
        <f t="shared" si="28"/>
        <v>0.39506172839506171</v>
      </c>
      <c r="F192" s="152">
        <f t="shared" si="29"/>
        <v>9.983707165460693</v>
      </c>
      <c r="G192" s="183">
        <f t="shared" si="30"/>
        <v>9.9837071654606934E-3</v>
      </c>
      <c r="H192" s="6"/>
      <c r="I192" s="7"/>
      <c r="J192" s="153"/>
      <c r="K192" s="23"/>
    </row>
    <row r="193" spans="1:13" ht="15" customHeight="1" x14ac:dyDescent="0.25">
      <c r="A193" s="20"/>
      <c r="B193" s="150"/>
      <c r="C193" s="21">
        <v>5</v>
      </c>
      <c r="D193" s="152">
        <f>3.75/3.281</f>
        <v>1.1429442243218531</v>
      </c>
      <c r="E193" s="152">
        <f t="shared" si="28"/>
        <v>0.39506172839506171</v>
      </c>
      <c r="F193" s="152">
        <f t="shared" si="29"/>
        <v>2.2576676035987222</v>
      </c>
      <c r="G193" s="183">
        <f t="shared" si="30"/>
        <v>2.2576676035987223E-3</v>
      </c>
      <c r="H193" s="6"/>
      <c r="I193" s="7"/>
      <c r="J193" s="153"/>
      <c r="K193" s="23"/>
    </row>
    <row r="194" spans="1:13" x14ac:dyDescent="0.25">
      <c r="A194" s="182"/>
      <c r="B194" s="173" t="s">
        <v>143</v>
      </c>
      <c r="C194" s="151"/>
      <c r="D194" s="152"/>
      <c r="E194" s="152"/>
      <c r="F194" s="152"/>
      <c r="G194" s="152"/>
      <c r="H194" s="178"/>
      <c r="I194" s="178"/>
      <c r="J194" s="152"/>
      <c r="K194" s="178"/>
    </row>
    <row r="195" spans="1:13" x14ac:dyDescent="0.25">
      <c r="A195" s="182"/>
      <c r="B195" s="173" t="s">
        <v>163</v>
      </c>
      <c r="C195" s="151">
        <v>35</v>
      </c>
      <c r="D195" s="152">
        <f>14/3.281</f>
        <v>4.2669917708015843</v>
      </c>
      <c r="E195" s="152">
        <f t="shared" ref="E195:E202" si="31">8*8/162</f>
        <v>0.39506172839506171</v>
      </c>
      <c r="F195" s="152">
        <f t="shared" ref="F195:F211" si="32">PRODUCT(C195:E195)</f>
        <v>59.00038004071326</v>
      </c>
      <c r="G195" s="183">
        <f t="shared" ref="G195:G205" si="33">F195/1000</f>
        <v>5.9000380040713257E-2</v>
      </c>
      <c r="H195" s="178"/>
      <c r="I195" s="178"/>
      <c r="J195" s="152"/>
      <c r="K195" s="178"/>
    </row>
    <row r="196" spans="1:13" x14ac:dyDescent="0.25">
      <c r="A196" s="182"/>
      <c r="B196" s="173"/>
      <c r="C196" s="151">
        <v>6</v>
      </c>
      <c r="D196" s="152">
        <f>9.5/3.281</f>
        <v>2.895458701615361</v>
      </c>
      <c r="E196" s="152">
        <f t="shared" si="31"/>
        <v>0.39506172839506171</v>
      </c>
      <c r="F196" s="152">
        <f t="shared" si="32"/>
        <v>6.8633095149401147</v>
      </c>
      <c r="G196" s="183">
        <f t="shared" si="33"/>
        <v>6.8633095149401146E-3</v>
      </c>
      <c r="H196" s="178"/>
      <c r="I196" s="178"/>
      <c r="J196" s="152"/>
      <c r="K196" s="178"/>
    </row>
    <row r="197" spans="1:13" x14ac:dyDescent="0.25">
      <c r="A197" s="182"/>
      <c r="B197" s="173" t="s">
        <v>164</v>
      </c>
      <c r="C197" s="151">
        <v>21</v>
      </c>
      <c r="D197" s="152">
        <f>22.17/3.281</f>
        <v>6.7570862541907957</v>
      </c>
      <c r="E197" s="152">
        <f t="shared" si="31"/>
        <v>0.39506172839506171</v>
      </c>
      <c r="F197" s="152">
        <f t="shared" si="32"/>
        <v>56.058789664397707</v>
      </c>
      <c r="G197" s="183">
        <f t="shared" si="33"/>
        <v>5.6058789664397708E-2</v>
      </c>
      <c r="H197" s="178"/>
      <c r="I197" s="178"/>
      <c r="J197" s="152"/>
      <c r="K197" s="178"/>
    </row>
    <row r="198" spans="1:13" x14ac:dyDescent="0.25">
      <c r="A198" s="182"/>
      <c r="B198" s="173"/>
      <c r="C198" s="151">
        <v>5</v>
      </c>
      <c r="D198" s="152">
        <f>17.583/3.281</f>
        <v>5.3590368790003042</v>
      </c>
      <c r="E198" s="152">
        <f t="shared" si="31"/>
        <v>0.39506172839506171</v>
      </c>
      <c r="F198" s="152">
        <f t="shared" si="32"/>
        <v>10.585751859753687</v>
      </c>
      <c r="G198" s="183">
        <f t="shared" si="33"/>
        <v>1.0585751859753688E-2</v>
      </c>
      <c r="H198" s="178"/>
      <c r="I198" s="178"/>
      <c r="J198" s="152"/>
      <c r="K198" s="178"/>
      <c r="M198" s="63"/>
    </row>
    <row r="199" spans="1:13" x14ac:dyDescent="0.25">
      <c r="A199" s="182"/>
      <c r="B199" s="173" t="s">
        <v>165</v>
      </c>
      <c r="C199" s="151">
        <v>26</v>
      </c>
      <c r="D199" s="152">
        <f>14/3.281</f>
        <v>4.2669917708015843</v>
      </c>
      <c r="E199" s="152">
        <f t="shared" si="31"/>
        <v>0.39506172839506171</v>
      </c>
      <c r="F199" s="152">
        <f t="shared" si="32"/>
        <v>43.828853744529852</v>
      </c>
      <c r="G199" s="183">
        <f t="shared" si="33"/>
        <v>4.3828853744529848E-2</v>
      </c>
      <c r="H199" s="178"/>
      <c r="I199" s="178"/>
      <c r="J199" s="152"/>
      <c r="K199" s="178"/>
      <c r="M199" s="63">
        <f>SUM(G195:G206)</f>
        <v>0.25246864664115498</v>
      </c>
    </row>
    <row r="200" spans="1:13" x14ac:dyDescent="0.25">
      <c r="A200" s="182"/>
      <c r="B200" s="173"/>
      <c r="C200" s="151">
        <v>9</v>
      </c>
      <c r="D200" s="152">
        <f>4.333/3.281</f>
        <v>1.3206339530630906</v>
      </c>
      <c r="E200" s="152">
        <f t="shared" si="31"/>
        <v>0.39506172839506171</v>
      </c>
      <c r="F200" s="152">
        <f t="shared" si="32"/>
        <v>4.6955873886687662</v>
      </c>
      <c r="G200" s="183">
        <f t="shared" si="33"/>
        <v>4.6955873886687666E-3</v>
      </c>
      <c r="H200" s="178"/>
      <c r="I200" s="178"/>
      <c r="J200" s="152"/>
      <c r="K200" s="178"/>
    </row>
    <row r="201" spans="1:13" x14ac:dyDescent="0.25">
      <c r="A201" s="182"/>
      <c r="B201" s="173"/>
      <c r="C201" s="151">
        <v>9</v>
      </c>
      <c r="D201" s="152">
        <f>4/3.281</f>
        <v>1.2191405059433098</v>
      </c>
      <c r="E201" s="152">
        <f t="shared" si="31"/>
        <v>0.39506172839506171</v>
      </c>
      <c r="F201" s="152">
        <f t="shared" si="32"/>
        <v>4.3347217989095457</v>
      </c>
      <c r="G201" s="183">
        <f t="shared" si="33"/>
        <v>4.3347217989095459E-3</v>
      </c>
      <c r="H201" s="178"/>
      <c r="I201" s="178"/>
      <c r="J201" s="152"/>
      <c r="K201" s="178"/>
    </row>
    <row r="202" spans="1:13" x14ac:dyDescent="0.25">
      <c r="A202" s="182"/>
      <c r="B202" s="173"/>
      <c r="C202" s="151">
        <v>6</v>
      </c>
      <c r="D202" s="152">
        <f>9.5/3.281</f>
        <v>2.895458701615361</v>
      </c>
      <c r="E202" s="152">
        <f t="shared" si="31"/>
        <v>0.39506172839506171</v>
      </c>
      <c r="F202" s="152">
        <f t="shared" si="32"/>
        <v>6.8633095149401147</v>
      </c>
      <c r="G202" s="183">
        <f t="shared" si="33"/>
        <v>6.8633095149401146E-3</v>
      </c>
      <c r="H202" s="178"/>
      <c r="I202" s="178"/>
      <c r="J202" s="152"/>
      <c r="K202" s="178"/>
    </row>
    <row r="203" spans="1:13" x14ac:dyDescent="0.25">
      <c r="A203" s="182"/>
      <c r="B203" s="173" t="s">
        <v>164</v>
      </c>
      <c r="C203" s="151">
        <v>10</v>
      </c>
      <c r="D203" s="152">
        <f>22.17/3.281</f>
        <v>6.7570862541907957</v>
      </c>
      <c r="E203" s="152">
        <f>8*8/162</f>
        <v>0.39506172839506171</v>
      </c>
      <c r="F203" s="152">
        <f t="shared" si="32"/>
        <v>26.69466174495129</v>
      </c>
      <c r="G203" s="183">
        <f t="shared" si="33"/>
        <v>2.669466174495129E-2</v>
      </c>
      <c r="H203" s="178"/>
      <c r="I203" s="178"/>
      <c r="J203" s="152"/>
      <c r="K203" s="178"/>
    </row>
    <row r="204" spans="1:13" x14ac:dyDescent="0.25">
      <c r="A204" s="182"/>
      <c r="B204" s="173"/>
      <c r="C204" s="151">
        <v>5</v>
      </c>
      <c r="D204" s="152">
        <f>17.583/3.281</f>
        <v>5.3590368790003042</v>
      </c>
      <c r="E204" s="152">
        <f>8*8/162</f>
        <v>0.39506172839506171</v>
      </c>
      <c r="F204" s="152">
        <f t="shared" si="32"/>
        <v>10.585751859753687</v>
      </c>
      <c r="G204" s="183">
        <f t="shared" si="33"/>
        <v>1.0585751859753688E-2</v>
      </c>
      <c r="H204" s="178"/>
      <c r="I204" s="178"/>
      <c r="J204" s="152"/>
      <c r="K204" s="178"/>
    </row>
    <row r="205" spans="1:13" x14ac:dyDescent="0.25">
      <c r="A205" s="182"/>
      <c r="B205" s="173"/>
      <c r="C205" s="151">
        <v>11</v>
      </c>
      <c r="D205" s="152">
        <f>13/3.281</f>
        <v>3.9622066443157573</v>
      </c>
      <c r="E205" s="152">
        <f t="shared" ref="E205:E206" si="34">8*8/162</f>
        <v>0.39506172839506171</v>
      </c>
      <c r="F205" s="152">
        <f t="shared" si="32"/>
        <v>17.218478256779584</v>
      </c>
      <c r="G205" s="183">
        <f t="shared" si="33"/>
        <v>1.7218478256779583E-2</v>
      </c>
      <c r="H205" s="178"/>
      <c r="I205" s="178"/>
      <c r="J205" s="152"/>
      <c r="K205" s="178"/>
    </row>
    <row r="206" spans="1:13" x14ac:dyDescent="0.25">
      <c r="A206" s="182"/>
      <c r="B206" s="173"/>
      <c r="C206" s="151">
        <v>11</v>
      </c>
      <c r="D206" s="152">
        <f>4.333/3.281</f>
        <v>1.3206339530630906</v>
      </c>
      <c r="E206" s="152">
        <f t="shared" si="34"/>
        <v>0.39506172839506171</v>
      </c>
      <c r="F206" s="152">
        <f t="shared" si="32"/>
        <v>5.7390512528173812</v>
      </c>
      <c r="G206" s="183">
        <f>F206/1000</f>
        <v>5.739051252817381E-3</v>
      </c>
      <c r="H206" s="178"/>
      <c r="I206" s="178"/>
      <c r="J206" s="152"/>
      <c r="K206" s="178"/>
    </row>
    <row r="207" spans="1:13" x14ac:dyDescent="0.25">
      <c r="A207" s="182"/>
      <c r="B207" s="179" t="s">
        <v>103</v>
      </c>
      <c r="C207" s="151">
        <v>4</v>
      </c>
      <c r="D207" s="152">
        <v>2.6668698567509903</v>
      </c>
      <c r="E207" s="152">
        <v>0.88888888888888884</v>
      </c>
      <c r="F207" s="152">
        <f t="shared" si="32"/>
        <v>9.4822039351146312</v>
      </c>
      <c r="G207" s="183">
        <f t="shared" ref="G207:G210" si="35">F207/1000</f>
        <v>9.4822039351146314E-3</v>
      </c>
      <c r="H207" s="178"/>
      <c r="I207" s="178"/>
      <c r="J207" s="152"/>
      <c r="K207" s="178"/>
    </row>
    <row r="208" spans="1:13" x14ac:dyDescent="0.25">
      <c r="A208" s="182"/>
      <c r="B208" s="179"/>
      <c r="C208" s="151">
        <v>6</v>
      </c>
      <c r="D208" s="152">
        <v>1.4477293508076805</v>
      </c>
      <c r="E208" s="152">
        <v>0.88888888888888884</v>
      </c>
      <c r="F208" s="152">
        <f>PRODUCT(C208:E208)</f>
        <v>7.7212232043076288</v>
      </c>
      <c r="G208" s="183">
        <f t="shared" si="35"/>
        <v>7.7212232043076291E-3</v>
      </c>
      <c r="H208" s="178"/>
      <c r="I208" s="178"/>
      <c r="J208" s="152"/>
      <c r="K208" s="178"/>
    </row>
    <row r="209" spans="1:19" x14ac:dyDescent="0.25">
      <c r="A209" s="182"/>
      <c r="B209" s="173" t="s">
        <v>59</v>
      </c>
      <c r="C209" s="151">
        <v>79</v>
      </c>
      <c r="D209" s="152">
        <v>0.25388601036269426</v>
      </c>
      <c r="E209" s="152">
        <v>0.39506172839506171</v>
      </c>
      <c r="F209" s="152">
        <f>PRODUCT(C209:E209)</f>
        <v>7.923751039467791</v>
      </c>
      <c r="G209" s="183">
        <f t="shared" si="35"/>
        <v>7.9237510394677916E-3</v>
      </c>
      <c r="H209" s="178"/>
      <c r="I209" s="178"/>
      <c r="J209" s="152"/>
      <c r="K209" s="178"/>
    </row>
    <row r="210" spans="1:19" x14ac:dyDescent="0.25">
      <c r="A210" s="182"/>
      <c r="B210" s="173" t="s">
        <v>108</v>
      </c>
      <c r="C210" s="151">
        <v>15</v>
      </c>
      <c r="D210" s="152">
        <v>3.5812252362084727</v>
      </c>
      <c r="E210" s="152">
        <v>0.61728395061728392</v>
      </c>
      <c r="F210" s="152">
        <f t="shared" si="32"/>
        <v>33.159492927856228</v>
      </c>
      <c r="G210" s="183">
        <f t="shared" si="35"/>
        <v>3.3159492927856228E-2</v>
      </c>
      <c r="H210" s="178"/>
      <c r="I210" s="178"/>
      <c r="J210" s="152"/>
      <c r="K210" s="178"/>
    </row>
    <row r="211" spans="1:19" x14ac:dyDescent="0.25">
      <c r="A211" s="182"/>
      <c r="B211" s="173"/>
      <c r="C211" s="151">
        <v>23</v>
      </c>
      <c r="D211" s="152">
        <v>2.3620847302651629</v>
      </c>
      <c r="E211" s="152">
        <v>0.61728395061728392</v>
      </c>
      <c r="F211" s="152">
        <f t="shared" si="32"/>
        <v>33.535770861789345</v>
      </c>
      <c r="G211" s="183">
        <f>F211/1000</f>
        <v>3.3535770861789348E-2</v>
      </c>
      <c r="H211" s="178"/>
      <c r="I211" s="178"/>
      <c r="J211" s="152"/>
      <c r="K211" s="178"/>
    </row>
    <row r="212" spans="1:19" ht="15" customHeight="1" x14ac:dyDescent="0.25">
      <c r="A212" s="182"/>
      <c r="B212" s="150" t="s">
        <v>16</v>
      </c>
      <c r="C212" s="151"/>
      <c r="D212" s="152"/>
      <c r="E212" s="152"/>
      <c r="F212" s="152"/>
      <c r="G212" s="153">
        <f>SUM(G152:G211)</f>
        <v>1.7925571622623344</v>
      </c>
      <c r="H212" s="153" t="s">
        <v>37</v>
      </c>
      <c r="I212" s="6">
        <v>130210</v>
      </c>
      <c r="J212" s="154">
        <f>G212*I212</f>
        <v>233408.86809817856</v>
      </c>
      <c r="K212" s="178"/>
    </row>
    <row r="213" spans="1:19" ht="15" customHeight="1" x14ac:dyDescent="0.25">
      <c r="A213" s="20"/>
      <c r="B213" s="150" t="s">
        <v>30</v>
      </c>
      <c r="C213" s="21"/>
      <c r="D213" s="22"/>
      <c r="E213" s="23"/>
      <c r="F213" s="23"/>
      <c r="G213" s="7"/>
      <c r="H213" s="6"/>
      <c r="I213" s="7"/>
      <c r="J213" s="153">
        <f>0.13*G212*105010</f>
        <v>24470.735589191809</v>
      </c>
      <c r="K213" s="23"/>
    </row>
    <row r="214" spans="1:19" ht="15" customHeight="1" x14ac:dyDescent="0.25">
      <c r="A214" s="20"/>
      <c r="B214" s="150"/>
      <c r="C214" s="21"/>
      <c r="D214" s="22"/>
      <c r="E214" s="23"/>
      <c r="F214" s="23"/>
      <c r="G214" s="7"/>
      <c r="H214" s="6"/>
      <c r="I214" s="7"/>
      <c r="J214" s="153"/>
      <c r="K214" s="23"/>
      <c r="M214" s="64"/>
      <c r="N214" s="64"/>
      <c r="O214" s="64"/>
      <c r="P214" s="64"/>
      <c r="Q214" s="64"/>
      <c r="R214" s="64"/>
      <c r="S214" s="64"/>
    </row>
    <row r="215" spans="1:19" ht="45" x14ac:dyDescent="0.25">
      <c r="A215" s="20">
        <v>12</v>
      </c>
      <c r="B215" s="139" t="s">
        <v>174</v>
      </c>
      <c r="C215" s="21" t="s">
        <v>8</v>
      </c>
      <c r="D215" s="205" t="s">
        <v>22</v>
      </c>
      <c r="E215" s="204" t="s">
        <v>263</v>
      </c>
      <c r="F215" s="23"/>
      <c r="G215" s="7"/>
      <c r="H215" s="6"/>
      <c r="I215" s="7"/>
      <c r="J215" s="153"/>
      <c r="K215" s="23"/>
    </row>
    <row r="216" spans="1:19" ht="15" customHeight="1" x14ac:dyDescent="0.25">
      <c r="A216" s="20"/>
      <c r="B216" s="150" t="s">
        <v>253</v>
      </c>
      <c r="C216" s="21">
        <v>6</v>
      </c>
      <c r="D216" s="22">
        <v>1.52</v>
      </c>
      <c r="E216" s="23">
        <v>0.77</v>
      </c>
      <c r="F216" s="23"/>
      <c r="G216" s="152">
        <f t="shared" ref="G216:G241" si="36">PRODUCT(C216:F216)</f>
        <v>7.0224000000000011</v>
      </c>
      <c r="H216" s="6"/>
      <c r="I216" s="7"/>
      <c r="J216" s="153"/>
      <c r="K216" s="228" t="s">
        <v>208</v>
      </c>
    </row>
    <row r="217" spans="1:19" ht="15" customHeight="1" x14ac:dyDescent="0.25">
      <c r="A217" s="20"/>
      <c r="B217" s="150"/>
      <c r="C217" s="21">
        <v>12</v>
      </c>
      <c r="D217" s="22">
        <v>2.145</v>
      </c>
      <c r="E217" s="23">
        <v>0.77</v>
      </c>
      <c r="F217" s="23"/>
      <c r="G217" s="152">
        <f t="shared" si="36"/>
        <v>19.819800000000001</v>
      </c>
      <c r="H217" s="6"/>
      <c r="I217" s="7"/>
      <c r="J217" s="153"/>
      <c r="K217" s="228"/>
    </row>
    <row r="218" spans="1:19" ht="15" customHeight="1" x14ac:dyDescent="0.25">
      <c r="A218" s="20"/>
      <c r="B218" s="150" t="s">
        <v>254</v>
      </c>
      <c r="C218" s="21">
        <v>2</v>
      </c>
      <c r="D218" s="22">
        <v>1.52</v>
      </c>
      <c r="E218" s="23">
        <v>1.17</v>
      </c>
      <c r="F218" s="23"/>
      <c r="G218" s="152">
        <f t="shared" si="36"/>
        <v>3.5568</v>
      </c>
      <c r="H218" s="6"/>
      <c r="I218" s="7"/>
      <c r="J218" s="153"/>
      <c r="K218" s="228"/>
    </row>
    <row r="219" spans="1:19" ht="15" customHeight="1" x14ac:dyDescent="0.25">
      <c r="A219" s="20"/>
      <c r="B219" s="150"/>
      <c r="C219" s="21">
        <v>2</v>
      </c>
      <c r="D219" s="22">
        <v>2.145</v>
      </c>
      <c r="E219" s="23">
        <v>1.17</v>
      </c>
      <c r="F219" s="23"/>
      <c r="G219" s="152">
        <f t="shared" si="36"/>
        <v>5.0192999999999994</v>
      </c>
      <c r="H219" s="6"/>
      <c r="I219" s="7"/>
      <c r="J219" s="153"/>
      <c r="K219" s="228"/>
    </row>
    <row r="220" spans="1:19" ht="15" customHeight="1" x14ac:dyDescent="0.25">
      <c r="A220" s="20"/>
      <c r="B220" s="150"/>
      <c r="C220" s="21">
        <v>6</v>
      </c>
      <c r="D220" s="22">
        <v>1.2749999999999999</v>
      </c>
      <c r="E220" s="23">
        <v>0.77</v>
      </c>
      <c r="F220" s="23"/>
      <c r="G220" s="152">
        <f t="shared" si="36"/>
        <v>5.8904999999999994</v>
      </c>
      <c r="H220" s="6"/>
      <c r="I220" s="7"/>
      <c r="J220" s="153"/>
      <c r="K220" s="175"/>
    </row>
    <row r="221" spans="1:19" ht="15" customHeight="1" x14ac:dyDescent="0.25">
      <c r="A221" s="20"/>
      <c r="B221" s="150"/>
      <c r="C221" s="21">
        <v>10</v>
      </c>
      <c r="D221" s="22">
        <v>2.3849999999999998</v>
      </c>
      <c r="E221" s="23">
        <v>0.77</v>
      </c>
      <c r="F221" s="23"/>
      <c r="G221" s="152">
        <f t="shared" si="36"/>
        <v>18.3645</v>
      </c>
      <c r="H221" s="6"/>
      <c r="I221" s="7"/>
      <c r="J221" s="153"/>
      <c r="K221" s="229" t="s">
        <v>209</v>
      </c>
    </row>
    <row r="222" spans="1:19" ht="15" customHeight="1" x14ac:dyDescent="0.25">
      <c r="A222" s="20"/>
      <c r="B222" s="150"/>
      <c r="C222" s="21">
        <v>2</v>
      </c>
      <c r="D222" s="22">
        <v>1.2749999999999999</v>
      </c>
      <c r="E222" s="23">
        <v>1.17</v>
      </c>
      <c r="F222" s="23"/>
      <c r="G222" s="152">
        <f t="shared" si="36"/>
        <v>2.9834999999999998</v>
      </c>
      <c r="H222" s="6"/>
      <c r="I222" s="7"/>
      <c r="J222" s="153"/>
      <c r="K222" s="229"/>
    </row>
    <row r="223" spans="1:19" ht="15" customHeight="1" x14ac:dyDescent="0.25">
      <c r="A223" s="20"/>
      <c r="B223" s="150"/>
      <c r="C223" s="21">
        <v>2</v>
      </c>
      <c r="D223" s="22">
        <v>2.3849999999999998</v>
      </c>
      <c r="E223" s="23">
        <v>1.17</v>
      </c>
      <c r="F223" s="23"/>
      <c r="G223" s="152">
        <f t="shared" si="36"/>
        <v>5.5808999999999989</v>
      </c>
      <c r="H223" s="6"/>
      <c r="I223" s="7"/>
      <c r="J223" s="153"/>
      <c r="K223" s="229"/>
    </row>
    <row r="224" spans="1:19" ht="15" customHeight="1" x14ac:dyDescent="0.25">
      <c r="A224" s="20"/>
      <c r="B224" s="150"/>
      <c r="C224" s="21">
        <v>6</v>
      </c>
      <c r="D224" s="22">
        <v>1.2649999999999999</v>
      </c>
      <c r="E224" s="23">
        <v>0.77</v>
      </c>
      <c r="F224" s="23"/>
      <c r="G224" s="152">
        <f t="shared" si="36"/>
        <v>5.8442999999999996</v>
      </c>
      <c r="H224" s="6"/>
      <c r="I224" s="7"/>
      <c r="J224" s="153"/>
      <c r="K224" s="229"/>
    </row>
    <row r="225" spans="1:14" ht="15" customHeight="1" x14ac:dyDescent="0.25">
      <c r="A225" s="20"/>
      <c r="B225" s="150"/>
      <c r="C225" s="21">
        <v>10</v>
      </c>
      <c r="D225" s="22">
        <v>2.36</v>
      </c>
      <c r="E225" s="23">
        <v>0.77</v>
      </c>
      <c r="F225" s="23"/>
      <c r="G225" s="152">
        <f t="shared" si="36"/>
        <v>18.171999999999997</v>
      </c>
      <c r="H225" s="6"/>
      <c r="I225" s="7"/>
      <c r="J225" s="153"/>
      <c r="K225" s="229"/>
    </row>
    <row r="226" spans="1:14" ht="15" customHeight="1" x14ac:dyDescent="0.25">
      <c r="A226" s="20"/>
      <c r="B226" s="150"/>
      <c r="C226" s="21">
        <v>2</v>
      </c>
      <c r="D226" s="22">
        <v>1.2649999999999999</v>
      </c>
      <c r="E226" s="23">
        <v>1.17</v>
      </c>
      <c r="F226" s="23"/>
      <c r="G226" s="152">
        <f t="shared" si="36"/>
        <v>2.9600999999999997</v>
      </c>
      <c r="H226" s="6"/>
      <c r="I226" s="7"/>
      <c r="J226" s="153"/>
      <c r="K226" s="229"/>
    </row>
    <row r="227" spans="1:14" ht="15" customHeight="1" x14ac:dyDescent="0.25">
      <c r="A227" s="20"/>
      <c r="B227" s="150"/>
      <c r="C227" s="21">
        <v>2</v>
      </c>
      <c r="D227" s="22">
        <v>2.36</v>
      </c>
      <c r="E227" s="23">
        <v>1.17</v>
      </c>
      <c r="F227" s="23"/>
      <c r="G227" s="152">
        <f t="shared" si="36"/>
        <v>5.5223999999999993</v>
      </c>
      <c r="H227" s="6"/>
      <c r="I227" s="7"/>
      <c r="J227" s="153"/>
      <c r="K227" s="228" t="s">
        <v>210</v>
      </c>
    </row>
    <row r="228" spans="1:14" ht="15" customHeight="1" x14ac:dyDescent="0.25">
      <c r="A228" s="20"/>
      <c r="B228" s="150"/>
      <c r="C228" s="21">
        <v>6</v>
      </c>
      <c r="D228" s="22">
        <v>2.57</v>
      </c>
      <c r="E228" s="23">
        <v>0.77</v>
      </c>
      <c r="F228" s="23"/>
      <c r="G228" s="152">
        <f t="shared" si="36"/>
        <v>11.873399999999998</v>
      </c>
      <c r="H228" s="6"/>
      <c r="I228" s="7"/>
      <c r="J228" s="153"/>
      <c r="K228" s="228"/>
    </row>
    <row r="229" spans="1:14" ht="15" customHeight="1" x14ac:dyDescent="0.25">
      <c r="A229" s="20"/>
      <c r="B229" s="150"/>
      <c r="C229" s="21">
        <v>22</v>
      </c>
      <c r="D229" s="22">
        <v>2.39</v>
      </c>
      <c r="E229" s="23">
        <v>0.77</v>
      </c>
      <c r="F229" s="23"/>
      <c r="G229" s="152">
        <f t="shared" si="36"/>
        <v>40.486600000000003</v>
      </c>
      <c r="H229" s="6"/>
      <c r="I229" s="7"/>
      <c r="J229" s="153"/>
      <c r="K229" s="228"/>
    </row>
    <row r="230" spans="1:14" ht="15" customHeight="1" x14ac:dyDescent="0.25">
      <c r="A230" s="20"/>
      <c r="B230" s="150"/>
      <c r="C230" s="21">
        <v>2</v>
      </c>
      <c r="D230" s="22">
        <v>2.39</v>
      </c>
      <c r="E230" s="23">
        <v>1.17</v>
      </c>
      <c r="F230" s="23"/>
      <c r="G230" s="152">
        <f t="shared" si="36"/>
        <v>5.5926</v>
      </c>
      <c r="H230" s="6"/>
      <c r="I230" s="7"/>
      <c r="J230" s="153"/>
      <c r="K230" s="228"/>
    </row>
    <row r="231" spans="1:14" ht="15" customHeight="1" x14ac:dyDescent="0.25">
      <c r="A231" s="20"/>
      <c r="B231" s="150"/>
      <c r="C231" s="21">
        <v>2</v>
      </c>
      <c r="D231" s="22">
        <v>2.57</v>
      </c>
      <c r="E231" s="23">
        <v>1.17</v>
      </c>
      <c r="F231" s="23"/>
      <c r="G231" s="152">
        <f t="shared" si="36"/>
        <v>6.0137999999999989</v>
      </c>
      <c r="H231" s="6"/>
      <c r="I231" s="7"/>
      <c r="J231" s="153"/>
      <c r="K231" s="228"/>
    </row>
    <row r="232" spans="1:14" ht="15" customHeight="1" x14ac:dyDescent="0.25">
      <c r="A232" s="20"/>
      <c r="B232" s="150"/>
      <c r="C232" s="21">
        <f>1</f>
        <v>1</v>
      </c>
      <c r="D232" s="22">
        <v>2.36</v>
      </c>
      <c r="E232" s="23">
        <v>1.17</v>
      </c>
      <c r="F232" s="23"/>
      <c r="G232" s="152">
        <f t="shared" si="36"/>
        <v>2.7611999999999997</v>
      </c>
      <c r="H232" s="6"/>
      <c r="I232" s="7"/>
      <c r="J232" s="153"/>
      <c r="K232" s="23"/>
    </row>
    <row r="233" spans="1:14" ht="15" customHeight="1" x14ac:dyDescent="0.25">
      <c r="A233" s="20"/>
      <c r="B233" s="150"/>
      <c r="C233" s="21">
        <v>10</v>
      </c>
      <c r="D233" s="22">
        <v>0.30499999999999999</v>
      </c>
      <c r="E233" s="23">
        <v>0.77</v>
      </c>
      <c r="F233" s="23"/>
      <c r="G233" s="152">
        <f t="shared" si="36"/>
        <v>2.3485</v>
      </c>
      <c r="H233" s="6"/>
      <c r="I233" s="7"/>
      <c r="J233" s="153"/>
      <c r="K233" s="23"/>
    </row>
    <row r="234" spans="1:14" ht="15" customHeight="1" x14ac:dyDescent="0.25">
      <c r="A234" s="20"/>
      <c r="B234" s="150"/>
      <c r="C234" s="21">
        <v>2</v>
      </c>
      <c r="D234" s="22">
        <f>0.305</f>
        <v>0.30499999999999999</v>
      </c>
      <c r="E234" s="23">
        <v>1.17</v>
      </c>
      <c r="F234" s="23"/>
      <c r="G234" s="152">
        <f t="shared" si="36"/>
        <v>0.71369999999999989</v>
      </c>
      <c r="H234" s="6"/>
      <c r="I234" s="7"/>
      <c r="J234" s="153"/>
      <c r="K234" s="23"/>
    </row>
    <row r="235" spans="1:14" ht="15" customHeight="1" x14ac:dyDescent="0.25">
      <c r="A235" s="20"/>
      <c r="B235" s="150"/>
      <c r="C235" s="21">
        <v>2</v>
      </c>
      <c r="D235" s="22">
        <v>1.3049999999999999</v>
      </c>
      <c r="E235" s="23">
        <v>1.17</v>
      </c>
      <c r="F235" s="23"/>
      <c r="G235" s="152">
        <f t="shared" si="36"/>
        <v>3.0536999999999996</v>
      </c>
      <c r="H235" s="6"/>
      <c r="I235" s="7"/>
      <c r="J235" s="153"/>
      <c r="K235" s="23"/>
      <c r="N235">
        <f>0.02+0.003*1*7850</f>
        <v>23.57</v>
      </c>
    </row>
    <row r="236" spans="1:14" ht="15" customHeight="1" x14ac:dyDescent="0.25">
      <c r="A236" s="20"/>
      <c r="B236" s="150" t="s">
        <v>212</v>
      </c>
      <c r="C236" s="21">
        <v>2</v>
      </c>
      <c r="D236" s="22">
        <v>1.05</v>
      </c>
      <c r="E236" s="23">
        <v>0.47</v>
      </c>
      <c r="F236" s="23"/>
      <c r="G236" s="152">
        <f t="shared" si="36"/>
        <v>0.98699999999999999</v>
      </c>
      <c r="H236" s="6"/>
      <c r="I236" s="7"/>
      <c r="J236" s="153"/>
      <c r="K236" s="23"/>
    </row>
    <row r="237" spans="1:14" ht="15" customHeight="1" x14ac:dyDescent="0.25">
      <c r="A237" s="20"/>
      <c r="B237" s="180"/>
      <c r="C237" s="21">
        <v>2</v>
      </c>
      <c r="D237" s="22">
        <v>1.18</v>
      </c>
      <c r="E237" s="23">
        <v>0.47</v>
      </c>
      <c r="F237" s="23"/>
      <c r="G237" s="152">
        <f t="shared" si="36"/>
        <v>1.1092</v>
      </c>
      <c r="H237" s="6"/>
      <c r="I237" s="7"/>
      <c r="J237" s="153"/>
      <c r="K237" s="23"/>
    </row>
    <row r="238" spans="1:14" ht="15" customHeight="1" x14ac:dyDescent="0.25">
      <c r="A238" s="20"/>
      <c r="B238" s="150" t="s">
        <v>211</v>
      </c>
      <c r="C238" s="21">
        <v>2</v>
      </c>
      <c r="D238" s="22">
        <v>1.05</v>
      </c>
      <c r="E238" s="23">
        <v>1.17</v>
      </c>
      <c r="F238" s="23"/>
      <c r="G238" s="152">
        <f t="shared" si="36"/>
        <v>2.4569999999999999</v>
      </c>
      <c r="H238" s="6"/>
      <c r="I238" s="7"/>
      <c r="J238" s="153"/>
      <c r="K238" s="23"/>
    </row>
    <row r="239" spans="1:14" ht="15" customHeight="1" x14ac:dyDescent="0.25">
      <c r="A239" s="20"/>
      <c r="B239" s="150"/>
      <c r="C239" s="21">
        <v>2</v>
      </c>
      <c r="D239" s="22">
        <v>1.18</v>
      </c>
      <c r="E239" s="23">
        <v>1.17</v>
      </c>
      <c r="F239" s="23"/>
      <c r="G239" s="152">
        <f t="shared" si="36"/>
        <v>2.7611999999999997</v>
      </c>
      <c r="H239" s="6"/>
      <c r="I239" s="7"/>
      <c r="J239" s="153"/>
      <c r="K239" s="23"/>
    </row>
    <row r="240" spans="1:14" ht="15" customHeight="1" x14ac:dyDescent="0.25">
      <c r="A240" s="20"/>
      <c r="B240" s="173" t="s">
        <v>255</v>
      </c>
      <c r="C240" s="21">
        <v>2</v>
      </c>
      <c r="D240" s="22">
        <v>1.05</v>
      </c>
      <c r="E240" s="23">
        <f>1.26/1.4</f>
        <v>0.9</v>
      </c>
      <c r="F240" s="23"/>
      <c r="G240" s="152">
        <f t="shared" si="36"/>
        <v>1.8900000000000001</v>
      </c>
      <c r="H240" s="6"/>
      <c r="I240" s="7"/>
      <c r="J240" s="153"/>
      <c r="K240" s="23"/>
    </row>
    <row r="241" spans="1:14" ht="15" customHeight="1" x14ac:dyDescent="0.25">
      <c r="A241" s="20"/>
      <c r="B241" s="150"/>
      <c r="C241" s="21">
        <v>2</v>
      </c>
      <c r="D241" s="22">
        <v>1.18</v>
      </c>
      <c r="E241" s="23">
        <v>0.71</v>
      </c>
      <c r="F241" s="23"/>
      <c r="G241" s="152">
        <f t="shared" si="36"/>
        <v>1.6755999999999998</v>
      </c>
      <c r="H241" s="6"/>
      <c r="I241" s="7"/>
      <c r="J241" s="153"/>
      <c r="K241" s="23"/>
    </row>
    <row r="242" spans="1:14" ht="15" customHeight="1" x14ac:dyDescent="0.25">
      <c r="A242" s="20"/>
      <c r="B242" s="150" t="s">
        <v>249</v>
      </c>
      <c r="C242" s="21"/>
      <c r="D242" s="22"/>
      <c r="E242" s="23"/>
      <c r="F242" s="23"/>
      <c r="G242" s="152"/>
      <c r="H242" s="6"/>
      <c r="I242" s="7"/>
      <c r="J242" s="153"/>
      <c r="K242" s="23"/>
    </row>
    <row r="243" spans="1:14" ht="30" x14ac:dyDescent="0.25">
      <c r="A243" s="20"/>
      <c r="B243" s="150" t="s">
        <v>250</v>
      </c>
      <c r="C243" s="21">
        <v>1</v>
      </c>
      <c r="D243" s="22">
        <f>(12/3.281)*2+(10/12/3.281)*11</f>
        <v>10.108706695113279</v>
      </c>
      <c r="E243" s="23">
        <f>1.98/1.15</f>
        <v>1.7217391304347827</v>
      </c>
      <c r="F243" s="23"/>
      <c r="G243" s="152">
        <f>PRODUCT(C243:F243)</f>
        <v>17.404555875064602</v>
      </c>
      <c r="H243" s="6"/>
      <c r="I243" s="7"/>
      <c r="J243" s="153"/>
      <c r="K243" s="23"/>
    </row>
    <row r="244" spans="1:14" ht="15" customHeight="1" x14ac:dyDescent="0.25">
      <c r="A244" s="20"/>
      <c r="B244" s="150" t="s">
        <v>251</v>
      </c>
      <c r="C244" s="21"/>
      <c r="D244" s="22"/>
      <c r="E244" s="23"/>
      <c r="F244" s="23"/>
      <c r="G244" s="152"/>
      <c r="H244" s="6"/>
      <c r="I244" s="7"/>
      <c r="J244" s="153"/>
      <c r="K244" s="23"/>
    </row>
    <row r="245" spans="1:14" ht="15" customHeight="1" x14ac:dyDescent="0.25">
      <c r="A245" s="20"/>
      <c r="B245" s="150" t="s">
        <v>252</v>
      </c>
      <c r="C245" s="21">
        <v>10</v>
      </c>
      <c r="D245" s="22">
        <f>3.833/3.281</f>
        <v>1.1682413898201769</v>
      </c>
      <c r="E245" s="23">
        <v>0.47</v>
      </c>
      <c r="F245" s="23"/>
      <c r="G245" s="152">
        <f>PRODUCT(C245:F245)</f>
        <v>5.4907345321548311</v>
      </c>
      <c r="H245" s="6"/>
      <c r="I245" s="7"/>
      <c r="J245" s="153"/>
      <c r="K245" s="23"/>
      <c r="N245">
        <f>1.5/12/3.2808</f>
        <v>3.8100463301633747E-2</v>
      </c>
    </row>
    <row r="246" spans="1:14" ht="15" customHeight="1" x14ac:dyDescent="0.25">
      <c r="A246" s="20"/>
      <c r="B246" s="173" t="s">
        <v>213</v>
      </c>
      <c r="C246" s="21">
        <f>2*4</f>
        <v>8</v>
      </c>
      <c r="D246" s="22">
        <f>3.833/3.281</f>
        <v>1.1682413898201769</v>
      </c>
      <c r="E246" s="23">
        <f>1.26/1.4</f>
        <v>0.9</v>
      </c>
      <c r="F246" s="23"/>
      <c r="G246" s="152">
        <f t="shared" ref="G246:G250" si="37">PRODUCT(C246:F246)</f>
        <v>8.4113380067052734</v>
      </c>
      <c r="H246" s="6"/>
      <c r="I246" s="7"/>
      <c r="J246" s="153"/>
      <c r="K246" s="23"/>
    </row>
    <row r="247" spans="1:14" ht="15" customHeight="1" x14ac:dyDescent="0.25">
      <c r="A247" s="20"/>
      <c r="B247" s="150"/>
      <c r="C247" s="21">
        <v>4</v>
      </c>
      <c r="D247" s="22">
        <f>14/12/3.281</f>
        <v>0.35558264756679875</v>
      </c>
      <c r="E247" s="23">
        <f>1.26/1.4</f>
        <v>0.9</v>
      </c>
      <c r="F247" s="23"/>
      <c r="G247" s="152">
        <f t="shared" si="37"/>
        <v>1.2800975312404754</v>
      </c>
      <c r="H247" s="6"/>
      <c r="I247" s="7"/>
      <c r="J247" s="153"/>
      <c r="K247" s="23"/>
    </row>
    <row r="248" spans="1:14" ht="15" customHeight="1" x14ac:dyDescent="0.25">
      <c r="A248" s="20"/>
      <c r="B248" s="150" t="s">
        <v>265</v>
      </c>
      <c r="C248" s="21">
        <v>5</v>
      </c>
      <c r="D248" s="22">
        <f>3.833/3.281</f>
        <v>1.1682413898201769</v>
      </c>
      <c r="E248" s="23">
        <v>2.1</v>
      </c>
      <c r="F248" s="23"/>
      <c r="G248" s="152">
        <f t="shared" si="37"/>
        <v>12.266534593111858</v>
      </c>
      <c r="H248" s="6"/>
      <c r="I248" s="7"/>
      <c r="J248" s="153"/>
      <c r="K248" s="23"/>
    </row>
    <row r="249" spans="1:14" ht="15" customHeight="1" x14ac:dyDescent="0.25">
      <c r="A249" s="20"/>
      <c r="B249" s="150"/>
      <c r="C249" s="21">
        <v>2</v>
      </c>
      <c r="D249" s="22">
        <f>3.833/3.281</f>
        <v>1.1682413898201769</v>
      </c>
      <c r="E249" s="23">
        <v>2.1</v>
      </c>
      <c r="F249" s="23"/>
      <c r="G249" s="152">
        <f t="shared" si="37"/>
        <v>4.906613837244743</v>
      </c>
      <c r="H249" s="6"/>
      <c r="I249" s="7"/>
      <c r="J249" s="153"/>
      <c r="K249" s="23"/>
    </row>
    <row r="250" spans="1:14" ht="15" customHeight="1" x14ac:dyDescent="0.25">
      <c r="A250" s="20"/>
      <c r="B250" s="150"/>
      <c r="C250" s="21">
        <v>4</v>
      </c>
      <c r="D250" s="22">
        <f>3.5/3.281</f>
        <v>1.0667479427003961</v>
      </c>
      <c r="E250" s="23">
        <v>2.1</v>
      </c>
      <c r="F250" s="23"/>
      <c r="G250" s="152">
        <f t="shared" si="37"/>
        <v>8.9606827186833282</v>
      </c>
      <c r="H250" s="6"/>
      <c r="I250" s="7"/>
      <c r="J250" s="153"/>
      <c r="K250" s="23"/>
    </row>
    <row r="251" spans="1:14" ht="15" customHeight="1" x14ac:dyDescent="0.25">
      <c r="A251" s="182"/>
      <c r="B251" s="150" t="s">
        <v>16</v>
      </c>
      <c r="C251" s="151"/>
      <c r="D251" s="152"/>
      <c r="E251" s="152"/>
      <c r="F251" s="152"/>
      <c r="G251" s="153">
        <f>SUM(G216:G250)</f>
        <v>243.18055709420508</v>
      </c>
      <c r="H251" s="153" t="s">
        <v>175</v>
      </c>
      <c r="I251" s="6">
        <v>154</v>
      </c>
      <c r="J251" s="154">
        <f>G251*I251</f>
        <v>37449.805792507585</v>
      </c>
      <c r="K251" s="178"/>
      <c r="N251">
        <f>14.76/0.15*0.13</f>
        <v>12.792000000000002</v>
      </c>
    </row>
    <row r="252" spans="1:14" ht="15" customHeight="1" x14ac:dyDescent="0.25">
      <c r="A252" s="20"/>
      <c r="B252" s="150" t="s">
        <v>30</v>
      </c>
      <c r="C252" s="21"/>
      <c r="D252" s="22"/>
      <c r="E252" s="23"/>
      <c r="F252" s="23"/>
      <c r="G252" s="7"/>
      <c r="H252" s="6"/>
      <c r="I252" s="7"/>
      <c r="J252" s="153">
        <f>0.13*J251</f>
        <v>4868.4747530259865</v>
      </c>
      <c r="K252" s="23"/>
    </row>
    <row r="253" spans="1:14" ht="15" customHeight="1" x14ac:dyDescent="0.25">
      <c r="A253" s="20"/>
      <c r="B253" s="150"/>
      <c r="C253" s="21"/>
      <c r="D253" s="22"/>
      <c r="E253" s="23"/>
      <c r="F253" s="23"/>
      <c r="G253" s="7"/>
      <c r="H253" s="6"/>
      <c r="I253" s="7"/>
      <c r="J253" s="153"/>
      <c r="K253" s="23"/>
    </row>
    <row r="254" spans="1:14" ht="30" x14ac:dyDescent="0.25">
      <c r="A254" s="20">
        <v>13</v>
      </c>
      <c r="B254" s="139" t="s">
        <v>105</v>
      </c>
      <c r="C254" s="21"/>
      <c r="D254" s="22"/>
      <c r="E254" s="23"/>
      <c r="F254" s="23"/>
      <c r="G254" s="7"/>
      <c r="H254" s="6"/>
      <c r="I254" s="7"/>
      <c r="J254" s="153"/>
      <c r="K254" s="23"/>
    </row>
    <row r="255" spans="1:14" ht="15" customHeight="1" x14ac:dyDescent="0.25">
      <c r="A255" s="20"/>
      <c r="B255" s="150" t="s">
        <v>78</v>
      </c>
      <c r="C255" s="21">
        <f>1</f>
        <v>1</v>
      </c>
      <c r="D255" s="22">
        <f>6/3.281</f>
        <v>1.8287107589149649</v>
      </c>
      <c r="E255" s="23">
        <f>F81</f>
        <v>2.42</v>
      </c>
      <c r="F255" s="23"/>
      <c r="G255" s="152">
        <f t="shared" ref="G255" si="38">PRODUCT(C255:F255)</f>
        <v>4.4254800365742151</v>
      </c>
      <c r="H255" s="6"/>
      <c r="I255" s="7"/>
      <c r="J255" s="153"/>
      <c r="K255" s="23"/>
    </row>
    <row r="256" spans="1:14" ht="15" customHeight="1" x14ac:dyDescent="0.25">
      <c r="A256" s="182"/>
      <c r="B256" s="150" t="s">
        <v>16</v>
      </c>
      <c r="C256" s="151"/>
      <c r="D256" s="152"/>
      <c r="E256" s="152"/>
      <c r="F256" s="152"/>
      <c r="G256" s="153">
        <f>SUM(G255:G255)</f>
        <v>4.4254800365742151</v>
      </c>
      <c r="H256" s="153" t="s">
        <v>23</v>
      </c>
      <c r="I256" s="6">
        <v>6391.43</v>
      </c>
      <c r="J256" s="154">
        <f>G256*I256</f>
        <v>28285.145870161537</v>
      </c>
      <c r="K256" s="178"/>
    </row>
    <row r="257" spans="1:18" ht="15" customHeight="1" x14ac:dyDescent="0.25">
      <c r="A257" s="20"/>
      <c r="B257" s="150" t="s">
        <v>30</v>
      </c>
      <c r="C257" s="21"/>
      <c r="D257" s="22"/>
      <c r="E257" s="23"/>
      <c r="F257" s="23"/>
      <c r="G257" s="7"/>
      <c r="H257" s="6"/>
      <c r="I257" s="7"/>
      <c r="J257" s="153">
        <f>0.13*J256</f>
        <v>3677.0689631209998</v>
      </c>
      <c r="K257" s="23"/>
    </row>
    <row r="258" spans="1:18" ht="15" customHeight="1" x14ac:dyDescent="0.25">
      <c r="A258" s="20"/>
      <c r="B258" s="160"/>
      <c r="C258" s="21"/>
      <c r="D258" s="22"/>
      <c r="E258" s="23"/>
      <c r="F258" s="23"/>
      <c r="G258" s="7"/>
      <c r="H258" s="6"/>
      <c r="I258" s="7"/>
      <c r="J258" s="153"/>
      <c r="K258" s="23"/>
    </row>
    <row r="259" spans="1:18" ht="47.25" x14ac:dyDescent="0.25">
      <c r="A259" s="20">
        <v>14</v>
      </c>
      <c r="B259" s="161" t="s">
        <v>79</v>
      </c>
      <c r="C259" s="21"/>
      <c r="D259" s="22"/>
      <c r="E259" s="23"/>
      <c r="F259" s="23"/>
      <c r="G259" s="7"/>
      <c r="H259" s="6"/>
      <c r="I259" s="7"/>
      <c r="J259" s="153"/>
      <c r="K259" s="23"/>
    </row>
    <row r="260" spans="1:18" ht="15" customHeight="1" x14ac:dyDescent="0.25">
      <c r="A260" s="20"/>
      <c r="B260" s="150" t="s">
        <v>80</v>
      </c>
      <c r="C260" s="21">
        <v>1</v>
      </c>
      <c r="D260" s="22">
        <v>1.8</v>
      </c>
      <c r="E260" s="23"/>
      <c r="F260" s="23">
        <v>1.19</v>
      </c>
      <c r="G260" s="152">
        <f t="shared" ref="G260:G262" si="39">PRODUCT(C260:F260)</f>
        <v>2.1419999999999999</v>
      </c>
      <c r="H260" s="6"/>
      <c r="I260" s="7"/>
      <c r="J260" s="153"/>
      <c r="K260" s="23"/>
    </row>
    <row r="261" spans="1:18" ht="15" customHeight="1" x14ac:dyDescent="0.25">
      <c r="A261" s="20"/>
      <c r="B261" s="150"/>
      <c r="C261" s="21">
        <v>1</v>
      </c>
      <c r="D261" s="22">
        <v>1.8</v>
      </c>
      <c r="E261" s="23"/>
      <c r="F261" s="23">
        <v>1.19</v>
      </c>
      <c r="G261" s="152">
        <f t="shared" si="39"/>
        <v>2.1419999999999999</v>
      </c>
      <c r="H261" s="6"/>
      <c r="I261" s="7"/>
      <c r="J261" s="153"/>
      <c r="K261" s="23"/>
    </row>
    <row r="262" spans="1:18" ht="15" customHeight="1" x14ac:dyDescent="0.25">
      <c r="A262" s="20"/>
      <c r="B262" s="150"/>
      <c r="C262" s="151">
        <v>1</v>
      </c>
      <c r="D262" s="152">
        <v>1.8</v>
      </c>
      <c r="E262" s="152"/>
      <c r="F262" s="152">
        <v>1.19</v>
      </c>
      <c r="G262" s="152">
        <f t="shared" si="39"/>
        <v>2.1419999999999999</v>
      </c>
      <c r="H262" s="6"/>
      <c r="I262" s="7"/>
      <c r="J262" s="153"/>
      <c r="K262" s="23"/>
    </row>
    <row r="263" spans="1:18" ht="15" customHeight="1" x14ac:dyDescent="0.25">
      <c r="A263" s="182"/>
      <c r="B263" s="150" t="s">
        <v>16</v>
      </c>
      <c r="C263" s="180"/>
      <c r="D263" s="180"/>
      <c r="E263" s="180"/>
      <c r="F263" s="180"/>
      <c r="G263" s="153">
        <f>SUM(G260:G262)</f>
        <v>6.4260000000000002</v>
      </c>
      <c r="H263" s="153" t="s">
        <v>23</v>
      </c>
      <c r="I263" s="6">
        <v>6997</v>
      </c>
      <c r="J263" s="154">
        <f>G263*I263</f>
        <v>44962.722000000002</v>
      </c>
      <c r="K263" s="178"/>
    </row>
    <row r="264" spans="1:18" ht="15" customHeight="1" x14ac:dyDescent="0.25">
      <c r="A264" s="20"/>
      <c r="B264" s="150" t="s">
        <v>30</v>
      </c>
      <c r="C264" s="21"/>
      <c r="D264" s="22"/>
      <c r="E264" s="23"/>
      <c r="F264" s="23"/>
      <c r="G264" s="7"/>
      <c r="H264" s="6"/>
      <c r="I264" s="7"/>
      <c r="J264" s="153">
        <f>0.13*J263</f>
        <v>5845.1538600000003</v>
      </c>
      <c r="K264" s="23"/>
    </row>
    <row r="265" spans="1:18" ht="15" customHeight="1" x14ac:dyDescent="0.25">
      <c r="A265" s="20"/>
      <c r="B265" s="150"/>
      <c r="C265" s="21"/>
      <c r="D265" s="22"/>
      <c r="E265" s="23"/>
      <c r="F265" s="23"/>
      <c r="G265" s="7"/>
      <c r="H265" s="6"/>
      <c r="I265" s="7"/>
      <c r="J265" s="153"/>
      <c r="K265" s="23"/>
      <c r="O265">
        <f>14475.8/10</f>
        <v>1447.58</v>
      </c>
      <c r="R265">
        <f>P266*Q266*O265</f>
        <v>16539.989322766705</v>
      </c>
    </row>
    <row r="266" spans="1:18" ht="63" x14ac:dyDescent="0.25">
      <c r="A266" s="20">
        <v>15</v>
      </c>
      <c r="B266" s="161" t="s">
        <v>277</v>
      </c>
      <c r="C266" s="21"/>
      <c r="D266" s="22"/>
      <c r="E266" s="23"/>
      <c r="F266" s="23"/>
      <c r="G266" s="7"/>
      <c r="H266" s="6"/>
      <c r="I266" s="7"/>
      <c r="J266" s="153"/>
      <c r="K266" s="23"/>
      <c r="O266">
        <f>2309/1.15</f>
        <v>2007.826086956522</v>
      </c>
      <c r="P266">
        <f>((9.5+11)/2)/3.281</f>
        <v>3.1240475464797317</v>
      </c>
      <c r="Q266">
        <f>12/3.281</f>
        <v>3.6574215178299299</v>
      </c>
      <c r="R266">
        <f>Q266*P266*O266</f>
        <v>22941.337984935777</v>
      </c>
    </row>
    <row r="267" spans="1:18" ht="15.75" x14ac:dyDescent="0.25">
      <c r="A267" s="20"/>
      <c r="B267" s="189" t="s">
        <v>144</v>
      </c>
      <c r="C267" s="21">
        <v>1</v>
      </c>
      <c r="D267" s="22">
        <v>0.75</v>
      </c>
      <c r="E267" s="23"/>
      <c r="F267" s="23">
        <v>1.8</v>
      </c>
      <c r="G267" s="152">
        <f t="shared" ref="G267" si="40">PRODUCT(C267:F267)</f>
        <v>1.35</v>
      </c>
      <c r="H267" s="6"/>
      <c r="I267" s="7"/>
      <c r="J267" s="153"/>
      <c r="K267" s="23"/>
    </row>
    <row r="268" spans="1:18" ht="15" customHeight="1" x14ac:dyDescent="0.25">
      <c r="A268" s="182"/>
      <c r="B268" s="150" t="s">
        <v>16</v>
      </c>
      <c r="C268" s="151"/>
      <c r="D268" s="152"/>
      <c r="E268" s="152"/>
      <c r="F268" s="152"/>
      <c r="G268" s="153">
        <f>SUM(G266:G267)</f>
        <v>1.35</v>
      </c>
      <c r="H268" s="153" t="s">
        <v>23</v>
      </c>
      <c r="I268" s="6">
        <v>8744</v>
      </c>
      <c r="J268" s="154">
        <f>G268*I268</f>
        <v>11804.400000000001</v>
      </c>
      <c r="K268" s="178"/>
    </row>
    <row r="269" spans="1:18" ht="15" customHeight="1" x14ac:dyDescent="0.25">
      <c r="A269" s="20"/>
      <c r="B269" s="150" t="s">
        <v>30</v>
      </c>
      <c r="C269" s="21"/>
      <c r="D269" s="22"/>
      <c r="E269" s="23"/>
      <c r="F269" s="23"/>
      <c r="G269" s="7"/>
      <c r="H269" s="6"/>
      <c r="I269" s="7"/>
      <c r="J269" s="153">
        <f>0.13*J268</f>
        <v>1534.5720000000003</v>
      </c>
      <c r="K269" s="23"/>
    </row>
    <row r="270" spans="1:18" ht="15.75" x14ac:dyDescent="0.25">
      <c r="A270" s="20"/>
      <c r="B270" s="161"/>
      <c r="C270" s="21"/>
      <c r="D270" s="22"/>
      <c r="E270" s="23"/>
      <c r="F270" s="23"/>
      <c r="G270" s="7"/>
      <c r="H270" s="6"/>
      <c r="I270" s="7"/>
      <c r="J270" s="153"/>
      <c r="K270" s="23"/>
    </row>
    <row r="271" spans="1:18" ht="30" x14ac:dyDescent="0.25">
      <c r="A271" s="20">
        <v>16</v>
      </c>
      <c r="B271" s="139" t="s">
        <v>85</v>
      </c>
      <c r="C271" s="21"/>
      <c r="D271" s="22"/>
      <c r="E271" s="23"/>
      <c r="F271" s="23"/>
      <c r="G271" s="7"/>
      <c r="H271" s="6"/>
      <c r="I271" s="7"/>
      <c r="J271" s="153"/>
      <c r="K271" s="23"/>
    </row>
    <row r="272" spans="1:18" x14ac:dyDescent="0.25">
      <c r="A272" s="20"/>
      <c r="B272" s="150" t="s">
        <v>145</v>
      </c>
      <c r="C272" s="21">
        <v>1</v>
      </c>
      <c r="D272" s="22">
        <v>3.4</v>
      </c>
      <c r="E272" s="23">
        <f>2.62+0.32+2.595+0.075*2</f>
        <v>5.6850000000000005</v>
      </c>
      <c r="F272" s="23"/>
      <c r="G272" s="152">
        <f>PRODUCT(C272:F272)</f>
        <v>19.329000000000001</v>
      </c>
      <c r="H272" s="6"/>
      <c r="I272" s="7"/>
      <c r="J272" s="153"/>
      <c r="K272" s="23"/>
      <c r="M272">
        <f>2.62+0.32+2.595+0.075*2</f>
        <v>5.6850000000000005</v>
      </c>
    </row>
    <row r="273" spans="1:14" ht="15" customHeight="1" x14ac:dyDescent="0.25">
      <c r="A273" s="20"/>
      <c r="B273" s="150" t="str">
        <f>B121</f>
        <v>-1st  floor slab</v>
      </c>
      <c r="C273" s="21">
        <f>C121</f>
        <v>1</v>
      </c>
      <c r="D273" s="22">
        <f>(2.94+0.075*2+3+0.075*2)/2</f>
        <v>3.12</v>
      </c>
      <c r="E273" s="22">
        <f>6.15-0.34*2+0.075*2</f>
        <v>5.620000000000001</v>
      </c>
      <c r="F273" s="23"/>
      <c r="G273" s="152">
        <f t="shared" ref="G273:G278" si="41">PRODUCT(C273:F273)</f>
        <v>17.534400000000005</v>
      </c>
      <c r="H273" s="6"/>
      <c r="I273" s="7"/>
      <c r="J273" s="153"/>
      <c r="K273" s="23"/>
      <c r="M273">
        <f>2.575+0.34+2.57+0.075*2</f>
        <v>5.6349999999999998</v>
      </c>
    </row>
    <row r="274" spans="1:14" ht="15" customHeight="1" x14ac:dyDescent="0.25">
      <c r="A274" s="20"/>
      <c r="B274" s="150" t="str">
        <f>B122</f>
        <v>-Deduction for opening</v>
      </c>
      <c r="C274" s="21">
        <f>C122</f>
        <v>-1</v>
      </c>
      <c r="D274" s="22">
        <f t="shared" ref="D274:E276" si="42">D122</f>
        <v>1.08</v>
      </c>
      <c r="E274" s="22">
        <f t="shared" si="42"/>
        <v>0.76196281621456874</v>
      </c>
      <c r="F274" s="23"/>
      <c r="G274" s="152">
        <f t="shared" si="41"/>
        <v>-0.82291984151173425</v>
      </c>
      <c r="H274" s="6"/>
      <c r="I274" s="7"/>
      <c r="J274" s="153"/>
      <c r="K274" s="23"/>
    </row>
    <row r="275" spans="1:14" ht="15" hidden="1" customHeight="1" x14ac:dyDescent="0.25">
      <c r="A275" s="20"/>
      <c r="B275" s="150" t="str">
        <f>B123</f>
        <v>-2nd floor slab</v>
      </c>
      <c r="C275" s="21">
        <f>C123*0</f>
        <v>0</v>
      </c>
      <c r="D275" s="22">
        <f t="shared" si="42"/>
        <v>6.9</v>
      </c>
      <c r="E275" s="22">
        <f t="shared" si="42"/>
        <v>4.4249999999999998</v>
      </c>
      <c r="F275" s="23"/>
      <c r="G275" s="152">
        <f t="shared" si="41"/>
        <v>0</v>
      </c>
      <c r="H275" s="6"/>
      <c r="I275" s="7"/>
      <c r="J275" s="153"/>
      <c r="K275" s="23"/>
    </row>
    <row r="276" spans="1:14" ht="15" hidden="1" customHeight="1" x14ac:dyDescent="0.25">
      <c r="A276" s="20"/>
      <c r="B276" s="150" t="str">
        <f>B124</f>
        <v>-Deduction for opening</v>
      </c>
      <c r="C276" s="21">
        <f>C124*0</f>
        <v>0</v>
      </c>
      <c r="D276" s="22">
        <f t="shared" si="42"/>
        <v>0.93</v>
      </c>
      <c r="E276" s="22">
        <f t="shared" si="42"/>
        <v>0.76</v>
      </c>
      <c r="F276" s="23"/>
      <c r="G276" s="152">
        <f t="shared" si="41"/>
        <v>0</v>
      </c>
      <c r="H276" s="6"/>
      <c r="I276" s="7"/>
      <c r="J276" s="153"/>
      <c r="K276" s="23"/>
    </row>
    <row r="277" spans="1:14" ht="15" customHeight="1" x14ac:dyDescent="0.25">
      <c r="A277" s="20"/>
      <c r="B277" s="150" t="s">
        <v>276</v>
      </c>
      <c r="C277" s="21">
        <f>1</f>
        <v>1</v>
      </c>
      <c r="D277" s="22">
        <v>6.65</v>
      </c>
      <c r="E277" s="22">
        <v>4.2350000000000003</v>
      </c>
      <c r="F277" s="23"/>
      <c r="G277" s="152">
        <f t="shared" si="41"/>
        <v>28.162750000000003</v>
      </c>
      <c r="H277" s="6"/>
      <c r="I277" s="7"/>
      <c r="J277" s="153"/>
      <c r="K277" s="23"/>
    </row>
    <row r="278" spans="1:14" ht="15" customHeight="1" x14ac:dyDescent="0.25">
      <c r="A278" s="20"/>
      <c r="B278" s="150" t="s">
        <v>98</v>
      </c>
      <c r="C278" s="21">
        <v>-1</v>
      </c>
      <c r="D278" s="22">
        <f>(0.97+1.03)/2</f>
        <v>1</v>
      </c>
      <c r="E278" s="22">
        <v>1.1499999999999999</v>
      </c>
      <c r="F278" s="23"/>
      <c r="G278" s="152">
        <f t="shared" si="41"/>
        <v>-1.1499999999999999</v>
      </c>
      <c r="H278" s="6"/>
      <c r="I278" s="7"/>
      <c r="J278" s="153"/>
      <c r="K278" s="23"/>
    </row>
    <row r="279" spans="1:14" ht="15" customHeight="1" x14ac:dyDescent="0.25">
      <c r="A279" s="182"/>
      <c r="B279" s="150" t="s">
        <v>16</v>
      </c>
      <c r="C279" s="151"/>
      <c r="D279" s="152"/>
      <c r="E279" s="152"/>
      <c r="F279" s="152"/>
      <c r="G279" s="153">
        <f>SUM(G272:G278)</f>
        <v>63.053230158488283</v>
      </c>
      <c r="H279" s="153" t="s">
        <v>23</v>
      </c>
      <c r="I279" s="6">
        <v>692.38</v>
      </c>
      <c r="J279" s="154">
        <f>G279*I279</f>
        <v>43656.795497134117</v>
      </c>
      <c r="K279" s="178"/>
    </row>
    <row r="280" spans="1:14" ht="15" customHeight="1" x14ac:dyDescent="0.25">
      <c r="A280" s="20"/>
      <c r="B280" s="150" t="s">
        <v>30</v>
      </c>
      <c r="C280" s="21"/>
      <c r="D280" s="22"/>
      <c r="E280" s="23"/>
      <c r="F280" s="23"/>
      <c r="G280" s="7"/>
      <c r="H280" s="6"/>
      <c r="I280" s="7"/>
      <c r="J280" s="153">
        <f>0.13*G279*3623.87/10</f>
        <v>2970.4572192677324</v>
      </c>
      <c r="K280" s="23"/>
    </row>
    <row r="281" spans="1:14" ht="15" customHeight="1" x14ac:dyDescent="0.25">
      <c r="A281" s="20"/>
      <c r="B281" s="150"/>
      <c r="C281" s="21"/>
      <c r="D281" s="22"/>
      <c r="E281" s="23"/>
      <c r="F281" s="23"/>
      <c r="G281" s="7"/>
      <c r="H281" s="6"/>
      <c r="I281" s="7"/>
      <c r="J281" s="153"/>
      <c r="K281" s="23"/>
    </row>
    <row r="282" spans="1:14" ht="30" x14ac:dyDescent="0.25">
      <c r="A282" s="20">
        <v>17</v>
      </c>
      <c r="B282" s="139" t="s">
        <v>88</v>
      </c>
      <c r="C282" s="21"/>
      <c r="D282" s="22"/>
      <c r="E282" s="23"/>
      <c r="F282" s="23"/>
      <c r="G282" s="7"/>
      <c r="H282" s="6"/>
      <c r="I282" s="7"/>
      <c r="J282" s="153"/>
      <c r="K282" s="23"/>
    </row>
    <row r="283" spans="1:14" x14ac:dyDescent="0.25">
      <c r="A283" s="20"/>
      <c r="B283" s="150" t="s">
        <v>173</v>
      </c>
      <c r="C283" s="21">
        <v>1</v>
      </c>
      <c r="D283" s="22">
        <v>3.61</v>
      </c>
      <c r="E283" s="23"/>
      <c r="F283" s="23">
        <v>2.15</v>
      </c>
      <c r="G283" s="152">
        <f t="shared" ref="G283" si="43">PRODUCT(C283:F283)</f>
        <v>7.7614999999999998</v>
      </c>
      <c r="H283" s="6"/>
      <c r="I283" s="7"/>
      <c r="J283" s="153"/>
      <c r="K283" s="23"/>
      <c r="N283">
        <f>2.685*3.281</f>
        <v>8.8094850000000005</v>
      </c>
    </row>
    <row r="284" spans="1:14" ht="15" customHeight="1" x14ac:dyDescent="0.25">
      <c r="A284" s="20"/>
      <c r="B284" s="150" t="s">
        <v>89</v>
      </c>
      <c r="C284" s="21">
        <v>1</v>
      </c>
      <c r="D284" s="22"/>
      <c r="E284" s="23"/>
      <c r="F284" s="23"/>
      <c r="G284" s="22">
        <f>G279</f>
        <v>63.053230158488283</v>
      </c>
      <c r="H284" s="6"/>
      <c r="I284" s="7"/>
      <c r="J284" s="153"/>
      <c r="K284" s="23"/>
    </row>
    <row r="285" spans="1:14" ht="15" customHeight="1" x14ac:dyDescent="0.25">
      <c r="A285" s="182"/>
      <c r="B285" s="150" t="s">
        <v>16</v>
      </c>
      <c r="C285" s="151"/>
      <c r="D285" s="152"/>
      <c r="E285" s="152"/>
      <c r="F285" s="152"/>
      <c r="G285" s="153">
        <f>SUM(G283:G284)</f>
        <v>70.814730158488288</v>
      </c>
      <c r="H285" s="153" t="s">
        <v>23</v>
      </c>
      <c r="I285" s="6">
        <v>286.77</v>
      </c>
      <c r="J285" s="154">
        <f>G285*I285</f>
        <v>20307.540167549687</v>
      </c>
      <c r="K285" s="178"/>
    </row>
    <row r="286" spans="1:14" ht="15" customHeight="1" x14ac:dyDescent="0.25">
      <c r="A286" s="20"/>
      <c r="B286" s="150" t="s">
        <v>30</v>
      </c>
      <c r="C286" s="21"/>
      <c r="D286" s="22"/>
      <c r="E286" s="23"/>
      <c r="F286" s="23"/>
      <c r="G286" s="7"/>
      <c r="H286" s="6"/>
      <c r="I286" s="7"/>
      <c r="J286" s="153">
        <f>0.13*G285*767.72/10</f>
        <v>706.75650028457017</v>
      </c>
      <c r="K286" s="23"/>
    </row>
    <row r="287" spans="1:14" ht="15" customHeight="1" x14ac:dyDescent="0.25">
      <c r="A287" s="20"/>
      <c r="B287" s="150"/>
      <c r="C287" s="21"/>
      <c r="D287" s="22"/>
      <c r="E287" s="23"/>
      <c r="F287" s="23"/>
      <c r="G287" s="7"/>
      <c r="H287" s="6"/>
      <c r="I287" s="7"/>
      <c r="J287" s="153"/>
      <c r="K287" s="23"/>
    </row>
    <row r="288" spans="1:14" ht="30" x14ac:dyDescent="0.25">
      <c r="A288" s="20">
        <v>18</v>
      </c>
      <c r="B288" s="139" t="s">
        <v>90</v>
      </c>
      <c r="C288" s="21"/>
      <c r="D288" s="22"/>
      <c r="E288" s="23"/>
      <c r="F288" s="23"/>
      <c r="G288" s="7"/>
      <c r="H288" s="6"/>
      <c r="I288" s="7"/>
      <c r="J288" s="153"/>
      <c r="K288" s="23"/>
    </row>
    <row r="289" spans="1:18" ht="15" customHeight="1" x14ac:dyDescent="0.25">
      <c r="A289" s="20"/>
      <c r="B289" s="150" t="s">
        <v>78</v>
      </c>
      <c r="C289" s="21">
        <v>1</v>
      </c>
      <c r="D289" s="22">
        <f>6.21+3.42+0.23+0.33+1.71+0.33*4+0.335*4+0.33+3.42+2.595+0.32+2.62+0.075*7</f>
        <v>24.369999999999997</v>
      </c>
      <c r="E289" s="23"/>
      <c r="F289" s="23">
        <v>2.63</v>
      </c>
      <c r="G289" s="152">
        <f t="shared" ref="G289:G314" si="44">PRODUCT(C289:F289)</f>
        <v>64.093099999999993</v>
      </c>
      <c r="H289" s="6"/>
      <c r="I289" s="7"/>
      <c r="J289" s="153"/>
      <c r="K289" s="23"/>
    </row>
    <row r="290" spans="1:18" ht="15" customHeight="1" x14ac:dyDescent="0.25">
      <c r="A290" s="20"/>
      <c r="B290" s="150"/>
      <c r="C290" s="21">
        <v>1</v>
      </c>
      <c r="D290" s="22">
        <v>3.61</v>
      </c>
      <c r="E290" s="23"/>
      <c r="F290" s="23">
        <v>2.63</v>
      </c>
      <c r="G290" s="152">
        <f t="shared" si="44"/>
        <v>9.4942999999999991</v>
      </c>
      <c r="H290" s="6"/>
      <c r="I290" s="7"/>
      <c r="J290" s="153"/>
      <c r="K290" s="23"/>
    </row>
    <row r="291" spans="1:18" ht="15" customHeight="1" x14ac:dyDescent="0.25">
      <c r="A291" s="20"/>
      <c r="B291" s="150" t="s">
        <v>168</v>
      </c>
      <c r="C291" s="21">
        <v>1</v>
      </c>
      <c r="D291" s="22">
        <f>6.16*2+3.65*2</f>
        <v>19.62</v>
      </c>
      <c r="E291" s="23"/>
      <c r="F291" s="23">
        <v>2.42</v>
      </c>
      <c r="G291" s="152">
        <f t="shared" si="44"/>
        <v>47.480400000000003</v>
      </c>
      <c r="H291" s="6"/>
      <c r="I291" s="7"/>
      <c r="J291" s="153"/>
      <c r="K291" s="23"/>
    </row>
    <row r="292" spans="1:18" ht="15" customHeight="1" x14ac:dyDescent="0.25">
      <c r="A292" s="20"/>
      <c r="B292" s="150"/>
      <c r="C292" s="21">
        <v>1</v>
      </c>
      <c r="D292" s="22">
        <f>3+3+2.575+2.57+0.34+2.59+0.34+2.53+0.065*12</f>
        <v>17.725000000000001</v>
      </c>
      <c r="E292" s="23"/>
      <c r="F292" s="23">
        <v>2.42</v>
      </c>
      <c r="G292" s="152">
        <f t="shared" si="44"/>
        <v>42.894500000000001</v>
      </c>
      <c r="H292" s="6"/>
      <c r="I292" s="7"/>
      <c r="J292" s="153"/>
      <c r="K292" s="23"/>
    </row>
    <row r="293" spans="1:18" ht="15" customHeight="1" x14ac:dyDescent="0.25">
      <c r="A293" s="20"/>
      <c r="B293" s="150" t="s">
        <v>95</v>
      </c>
      <c r="C293" s="21">
        <f>-1*2</f>
        <v>-2</v>
      </c>
      <c r="D293" s="22">
        <v>1.38</v>
      </c>
      <c r="E293" s="23"/>
      <c r="F293" s="23">
        <v>1.2</v>
      </c>
      <c r="G293" s="152">
        <f t="shared" si="44"/>
        <v>-3.3119999999999998</v>
      </c>
      <c r="H293" s="6"/>
      <c r="I293" s="7"/>
      <c r="J293" s="153"/>
      <c r="K293" s="23"/>
      <c r="Q293">
        <f>3.61*3.281</f>
        <v>11.84441</v>
      </c>
      <c r="R293">
        <f>3.635*3.281</f>
        <v>11.926435</v>
      </c>
    </row>
    <row r="294" spans="1:18" ht="15" customHeight="1" x14ac:dyDescent="0.25">
      <c r="A294" s="20"/>
      <c r="B294" s="150"/>
      <c r="C294" s="21">
        <f>-1*2</f>
        <v>-2</v>
      </c>
      <c r="D294" s="22">
        <v>1.42</v>
      </c>
      <c r="E294" s="23"/>
      <c r="F294" s="23">
        <v>1.2</v>
      </c>
      <c r="G294" s="152">
        <f t="shared" si="44"/>
        <v>-3.4079999999999999</v>
      </c>
      <c r="H294" s="6"/>
      <c r="I294" s="7"/>
      <c r="J294" s="153"/>
      <c r="K294" s="23"/>
    </row>
    <row r="295" spans="1:18" ht="15" customHeight="1" x14ac:dyDescent="0.25">
      <c r="A295" s="20"/>
      <c r="B295" s="150"/>
      <c r="C295" s="21">
        <f>-1*2</f>
        <v>-2</v>
      </c>
      <c r="D295" s="22">
        <v>1.55</v>
      </c>
      <c r="E295" s="23"/>
      <c r="F295" s="23">
        <v>1.2</v>
      </c>
      <c r="G295" s="152">
        <f t="shared" si="44"/>
        <v>-3.7199999999999998</v>
      </c>
      <c r="H295" s="6"/>
      <c r="I295" s="7"/>
      <c r="J295" s="153"/>
      <c r="K295" s="23"/>
    </row>
    <row r="296" spans="1:18" ht="15" customHeight="1" x14ac:dyDescent="0.25">
      <c r="A296" s="20"/>
      <c r="B296" s="150" t="s">
        <v>244</v>
      </c>
      <c r="C296" s="21">
        <v>1</v>
      </c>
      <c r="D296" s="22">
        <f>4.48+4.49+4.48-0.23+4.49-0.23-0.05-0.1</f>
        <v>17.329999999999998</v>
      </c>
      <c r="E296" s="23"/>
      <c r="F296" s="23">
        <v>0.15</v>
      </c>
      <c r="G296" s="152">
        <f t="shared" si="44"/>
        <v>2.5994999999999995</v>
      </c>
      <c r="H296" s="6"/>
      <c r="I296" s="7"/>
      <c r="J296" s="153"/>
      <c r="K296" s="23"/>
    </row>
    <row r="297" spans="1:18" ht="15" customHeight="1" x14ac:dyDescent="0.25">
      <c r="A297" s="20"/>
      <c r="B297" s="150"/>
      <c r="C297" s="21">
        <v>1</v>
      </c>
      <c r="D297" s="22">
        <f>6.67+6.67+6.67-0.23+6.67-0.23-0.1-0.1</f>
        <v>26.019999999999992</v>
      </c>
      <c r="E297" s="23"/>
      <c r="F297" s="23">
        <v>0.15</v>
      </c>
      <c r="G297" s="152">
        <f t="shared" si="44"/>
        <v>3.9029999999999987</v>
      </c>
      <c r="H297" s="6"/>
      <c r="I297" s="7"/>
      <c r="J297" s="153"/>
      <c r="K297" s="23"/>
    </row>
    <row r="298" spans="1:18" ht="15" customHeight="1" x14ac:dyDescent="0.25">
      <c r="A298" s="20"/>
      <c r="B298" s="150"/>
      <c r="C298" s="21">
        <v>1</v>
      </c>
      <c r="D298" s="22">
        <f>1.14+0.96+0.96-0.23+1.14-0.23</f>
        <v>3.7399999999999998</v>
      </c>
      <c r="E298" s="23"/>
      <c r="F298" s="23">
        <v>0.15</v>
      </c>
      <c r="G298" s="152">
        <f t="shared" si="44"/>
        <v>0.56099999999999994</v>
      </c>
      <c r="H298" s="6"/>
      <c r="I298" s="7"/>
      <c r="J298" s="153"/>
      <c r="K298" s="23"/>
    </row>
    <row r="299" spans="1:18" ht="15" customHeight="1" x14ac:dyDescent="0.25">
      <c r="A299" s="20"/>
      <c r="B299" s="150" t="s">
        <v>170</v>
      </c>
      <c r="C299" s="21">
        <v>2</v>
      </c>
      <c r="D299" s="22">
        <v>3.8</v>
      </c>
      <c r="E299" s="23"/>
      <c r="F299" s="23">
        <v>1.31</v>
      </c>
      <c r="G299" s="152">
        <f t="shared" si="44"/>
        <v>9.9559999999999995</v>
      </c>
      <c r="H299" s="6"/>
      <c r="I299" s="7"/>
      <c r="J299" s="153"/>
      <c r="K299" s="23"/>
    </row>
    <row r="300" spans="1:18" ht="15" customHeight="1" x14ac:dyDescent="0.25">
      <c r="A300" s="20"/>
      <c r="B300" s="150"/>
      <c r="C300" s="21">
        <v>2</v>
      </c>
      <c r="D300" s="22">
        <v>3.81</v>
      </c>
      <c r="E300" s="23"/>
      <c r="F300" s="23">
        <v>1.31</v>
      </c>
      <c r="G300" s="152">
        <f t="shared" si="44"/>
        <v>9.9822000000000006</v>
      </c>
      <c r="H300" s="6"/>
      <c r="I300" s="7"/>
      <c r="J300" s="153"/>
      <c r="K300" s="23"/>
    </row>
    <row r="301" spans="1:18" ht="15" customHeight="1" x14ac:dyDescent="0.25">
      <c r="A301" s="20"/>
      <c r="B301" s="150" t="s">
        <v>76</v>
      </c>
      <c r="C301" s="21">
        <v>-1</v>
      </c>
      <c r="D301" s="22">
        <v>0.64</v>
      </c>
      <c r="E301" s="23"/>
      <c r="F301" s="23">
        <v>0.78</v>
      </c>
      <c r="G301" s="152">
        <f t="shared" si="44"/>
        <v>-0.49920000000000003</v>
      </c>
      <c r="H301" s="6"/>
      <c r="I301" s="7"/>
      <c r="J301" s="153"/>
      <c r="K301" s="23"/>
    </row>
    <row r="302" spans="1:18" ht="15" customHeight="1" x14ac:dyDescent="0.25">
      <c r="A302" s="20"/>
      <c r="B302" s="150"/>
      <c r="C302" s="21">
        <v>-1</v>
      </c>
      <c r="D302" s="22">
        <v>0.62</v>
      </c>
      <c r="E302" s="23"/>
      <c r="F302" s="23">
        <v>0.81</v>
      </c>
      <c r="G302" s="152">
        <f t="shared" si="44"/>
        <v>-0.50219999999999998</v>
      </c>
      <c r="H302" s="6"/>
      <c r="I302" s="7"/>
      <c r="J302" s="153"/>
      <c r="K302" s="23"/>
    </row>
    <row r="303" spans="1:18" ht="15" customHeight="1" x14ac:dyDescent="0.25">
      <c r="A303" s="20"/>
      <c r="B303" s="150" t="s">
        <v>171</v>
      </c>
      <c r="C303" s="21">
        <v>-1</v>
      </c>
      <c r="D303" s="22">
        <v>1.1200000000000001</v>
      </c>
      <c r="E303" s="23"/>
      <c r="F303" s="23">
        <v>1.7</v>
      </c>
      <c r="G303" s="152">
        <f t="shared" si="44"/>
        <v>-1.9040000000000001</v>
      </c>
      <c r="H303" s="6"/>
      <c r="I303" s="7"/>
      <c r="J303" s="153"/>
      <c r="K303" s="23"/>
      <c r="Q303">
        <f>0.14*10</f>
        <v>1.4000000000000001</v>
      </c>
      <c r="R303">
        <f>1.4+0.32</f>
        <v>1.72</v>
      </c>
    </row>
    <row r="304" spans="1:18" ht="15" customHeight="1" x14ac:dyDescent="0.25">
      <c r="A304" s="20"/>
      <c r="B304" s="150"/>
      <c r="C304" s="21">
        <v>-1</v>
      </c>
      <c r="D304" s="22">
        <v>0.74</v>
      </c>
      <c r="E304" s="23"/>
      <c r="F304" s="23">
        <v>0.86</v>
      </c>
      <c r="G304" s="152">
        <f t="shared" si="44"/>
        <v>-0.63639999999999997</v>
      </c>
      <c r="H304" s="6"/>
      <c r="I304" s="7"/>
      <c r="J304" s="153"/>
      <c r="K304" s="23"/>
    </row>
    <row r="305" spans="1:18" ht="15" customHeight="1" x14ac:dyDescent="0.25">
      <c r="A305" s="20"/>
      <c r="B305" s="150"/>
      <c r="C305" s="21">
        <v>-1</v>
      </c>
      <c r="D305" s="22">
        <v>0.375</v>
      </c>
      <c r="E305" s="23"/>
      <c r="F305" s="23">
        <v>0.46</v>
      </c>
      <c r="G305" s="152">
        <f t="shared" si="44"/>
        <v>-0.17250000000000001</v>
      </c>
      <c r="H305" s="6"/>
      <c r="I305" s="7"/>
      <c r="J305" s="153"/>
      <c r="K305" s="23"/>
    </row>
    <row r="306" spans="1:18" ht="15" customHeight="1" x14ac:dyDescent="0.25">
      <c r="A306" s="20"/>
      <c r="B306" s="150"/>
      <c r="C306" s="21">
        <v>-1</v>
      </c>
      <c r="D306" s="22">
        <v>0.75</v>
      </c>
      <c r="E306" s="23"/>
      <c r="F306" s="23">
        <v>0.87</v>
      </c>
      <c r="G306" s="152">
        <f t="shared" si="44"/>
        <v>-0.65249999999999997</v>
      </c>
      <c r="H306" s="6"/>
      <c r="I306" s="7"/>
      <c r="J306" s="153"/>
      <c r="K306" s="23"/>
    </row>
    <row r="307" spans="1:18" ht="15" customHeight="1" x14ac:dyDescent="0.25">
      <c r="A307" s="20"/>
      <c r="B307" s="150"/>
      <c r="C307" s="21">
        <v>-1</v>
      </c>
      <c r="D307" s="22">
        <v>0.46</v>
      </c>
      <c r="E307" s="23"/>
      <c r="F307" s="23">
        <v>0.27</v>
      </c>
      <c r="G307" s="152">
        <f t="shared" si="44"/>
        <v>-0.12420000000000002</v>
      </c>
      <c r="H307" s="6"/>
      <c r="I307" s="7"/>
      <c r="J307" s="153"/>
      <c r="K307" s="23"/>
    </row>
    <row r="308" spans="1:18" ht="15" customHeight="1" x14ac:dyDescent="0.25">
      <c r="A308" s="20"/>
      <c r="B308" s="150" t="s">
        <v>151</v>
      </c>
      <c r="C308" s="21">
        <v>1</v>
      </c>
      <c r="D308" s="22">
        <f>7.17+4.8-0.23</f>
        <v>11.739999999999998</v>
      </c>
      <c r="E308" s="23"/>
      <c r="F308" s="23">
        <v>1</v>
      </c>
      <c r="G308" s="152">
        <f t="shared" si="44"/>
        <v>11.739999999999998</v>
      </c>
      <c r="H308" s="6"/>
      <c r="I308" s="7"/>
      <c r="J308" s="153"/>
      <c r="K308" s="23"/>
    </row>
    <row r="309" spans="1:18" ht="15" customHeight="1" x14ac:dyDescent="0.25">
      <c r="A309" s="20"/>
      <c r="B309" s="150"/>
      <c r="C309" s="21">
        <v>1</v>
      </c>
      <c r="D309" s="22">
        <f>3+0.75-0.115</f>
        <v>3.6349999999999998</v>
      </c>
      <c r="E309" s="23"/>
      <c r="F309" s="23">
        <v>1.35</v>
      </c>
      <c r="G309" s="152">
        <f t="shared" si="44"/>
        <v>4.9072500000000003</v>
      </c>
      <c r="H309" s="6"/>
      <c r="I309" s="7"/>
      <c r="J309" s="153"/>
      <c r="K309" s="23"/>
    </row>
    <row r="310" spans="1:18" ht="15" customHeight="1" x14ac:dyDescent="0.25">
      <c r="A310" s="20"/>
      <c r="B310" s="150"/>
      <c r="C310" s="21">
        <v>1</v>
      </c>
      <c r="D310" s="22">
        <v>1.03</v>
      </c>
      <c r="E310" s="23"/>
      <c r="F310" s="23">
        <v>1</v>
      </c>
      <c r="G310" s="152">
        <f t="shared" si="44"/>
        <v>1.03</v>
      </c>
      <c r="H310" s="6"/>
      <c r="I310" s="7"/>
      <c r="J310" s="153"/>
      <c r="K310" s="23"/>
    </row>
    <row r="311" spans="1:18" ht="15" customHeight="1" x14ac:dyDescent="0.25">
      <c r="A311" s="20"/>
      <c r="B311" s="150"/>
      <c r="C311" s="21">
        <v>1</v>
      </c>
      <c r="D311" s="22">
        <f>17*0.13</f>
        <v>2.21</v>
      </c>
      <c r="E311" s="23"/>
      <c r="F311" s="23">
        <v>1</v>
      </c>
      <c r="G311" s="152">
        <f t="shared" si="44"/>
        <v>2.21</v>
      </c>
      <c r="H311" s="6"/>
      <c r="I311" s="7"/>
      <c r="J311" s="153"/>
      <c r="K311" s="23"/>
    </row>
    <row r="312" spans="1:18" ht="15" customHeight="1" x14ac:dyDescent="0.25">
      <c r="A312" s="20"/>
      <c r="B312" s="150"/>
      <c r="C312" s="21">
        <v>1</v>
      </c>
      <c r="D312" s="22">
        <f>5*0.13</f>
        <v>0.65</v>
      </c>
      <c r="E312" s="23"/>
      <c r="F312" s="23">
        <v>1.34</v>
      </c>
      <c r="G312" s="152">
        <f t="shared" si="44"/>
        <v>0.87100000000000011</v>
      </c>
      <c r="H312" s="6"/>
      <c r="I312" s="7"/>
      <c r="J312" s="153"/>
      <c r="K312" s="23"/>
    </row>
    <row r="313" spans="1:18" ht="15" customHeight="1" x14ac:dyDescent="0.25">
      <c r="A313" s="20"/>
      <c r="B313" s="150" t="s">
        <v>172</v>
      </c>
      <c r="C313" s="21">
        <v>1</v>
      </c>
      <c r="D313" s="22">
        <v>6.16</v>
      </c>
      <c r="E313" s="23"/>
      <c r="F313" s="23">
        <v>0.76</v>
      </c>
      <c r="G313" s="152">
        <f t="shared" si="44"/>
        <v>4.6816000000000004</v>
      </c>
      <c r="H313" s="6"/>
      <c r="I313" s="7"/>
      <c r="J313" s="153"/>
      <c r="K313" s="23"/>
    </row>
    <row r="314" spans="1:18" ht="15" customHeight="1" x14ac:dyDescent="0.25">
      <c r="A314" s="20"/>
      <c r="B314" s="150"/>
      <c r="C314" s="21">
        <v>1</v>
      </c>
      <c r="D314" s="22">
        <v>2.5</v>
      </c>
      <c r="E314" s="23"/>
      <c r="F314" s="23">
        <f>1.87+0.45</f>
        <v>2.3200000000000003</v>
      </c>
      <c r="G314" s="152">
        <f t="shared" si="44"/>
        <v>5.8000000000000007</v>
      </c>
      <c r="H314" s="6"/>
      <c r="I314" s="7"/>
      <c r="J314" s="153"/>
      <c r="K314" s="23"/>
    </row>
    <row r="315" spans="1:18" ht="15" customHeight="1" x14ac:dyDescent="0.25">
      <c r="A315" s="182"/>
      <c r="B315" s="150" t="s">
        <v>16</v>
      </c>
      <c r="C315" s="151"/>
      <c r="D315" s="152"/>
      <c r="E315" s="152"/>
      <c r="F315" s="152"/>
      <c r="G315" s="153">
        <f>SUM(G289:G314)</f>
        <v>207.27285000000003</v>
      </c>
      <c r="H315" s="153" t="s">
        <v>23</v>
      </c>
      <c r="I315" s="6">
        <v>402.23</v>
      </c>
      <c r="J315" s="154">
        <f>G315*I315</f>
        <v>83371.358455500012</v>
      </c>
      <c r="K315" s="178"/>
    </row>
    <row r="316" spans="1:18" ht="15" customHeight="1" x14ac:dyDescent="0.25">
      <c r="A316" s="20"/>
      <c r="B316" s="150" t="s">
        <v>30</v>
      </c>
      <c r="C316" s="21"/>
      <c r="D316" s="22"/>
      <c r="E316" s="23"/>
      <c r="F316" s="23"/>
      <c r="G316" s="7"/>
      <c r="H316" s="6"/>
      <c r="I316" s="7"/>
      <c r="J316" s="153">
        <f>0.13*G315*11424.1/100</f>
        <v>3078.2774953905009</v>
      </c>
      <c r="K316" s="23"/>
      <c r="P316">
        <f>115/12</f>
        <v>9.5833333333333339</v>
      </c>
    </row>
    <row r="317" spans="1:18" ht="15" customHeight="1" x14ac:dyDescent="0.25">
      <c r="A317" s="20"/>
      <c r="B317" s="150"/>
      <c r="C317" s="21"/>
      <c r="D317" s="22"/>
      <c r="E317" s="23"/>
      <c r="F317" s="23"/>
      <c r="G317" s="7"/>
      <c r="H317" s="6"/>
      <c r="I317" s="7"/>
      <c r="J317" s="153"/>
      <c r="K317" s="23"/>
      <c r="P317">
        <f>212/12</f>
        <v>17.666666666666668</v>
      </c>
      <c r="R317">
        <f>10/0.5</f>
        <v>20</v>
      </c>
    </row>
    <row r="318" spans="1:18" ht="30" x14ac:dyDescent="0.25">
      <c r="A318" s="20">
        <v>19</v>
      </c>
      <c r="B318" s="139" t="s">
        <v>240</v>
      </c>
      <c r="C318" s="21"/>
      <c r="D318" s="22"/>
      <c r="E318" s="23"/>
      <c r="F318" s="23"/>
      <c r="G318" s="7"/>
      <c r="H318" s="6"/>
      <c r="I318" s="7"/>
      <c r="J318" s="153"/>
      <c r="K318" s="23"/>
    </row>
    <row r="319" spans="1:18" ht="15" customHeight="1" x14ac:dyDescent="0.25">
      <c r="A319" s="20"/>
      <c r="B319" s="150" t="s">
        <v>264</v>
      </c>
      <c r="C319" s="21">
        <v>1</v>
      </c>
      <c r="D319" s="22">
        <f>3.15</f>
        <v>3.15</v>
      </c>
      <c r="E319" s="23">
        <f>2.62+2.6+0.075*2+0.075*2</f>
        <v>5.5200000000000014</v>
      </c>
      <c r="F319" s="23"/>
      <c r="G319" s="152">
        <f t="shared" ref="G319:G325" si="45">PRODUCT(C319:F319)</f>
        <v>17.388000000000005</v>
      </c>
      <c r="H319" s="6"/>
      <c r="I319" s="7"/>
      <c r="J319" s="153"/>
      <c r="K319" s="23"/>
      <c r="M319">
        <f>2.975+0.075*2</f>
        <v>3.125</v>
      </c>
    </row>
    <row r="320" spans="1:18" ht="15" customHeight="1" x14ac:dyDescent="0.25">
      <c r="A320" s="20"/>
      <c r="B320" s="150" t="s">
        <v>87</v>
      </c>
      <c r="C320" s="21">
        <v>2</v>
      </c>
      <c r="D320" s="22">
        <f>3.65</f>
        <v>3.65</v>
      </c>
      <c r="E320" s="23">
        <f>0.3+0.15</f>
        <v>0.44999999999999996</v>
      </c>
      <c r="F320" s="23"/>
      <c r="G320" s="152">
        <f t="shared" si="45"/>
        <v>3.2849999999999997</v>
      </c>
      <c r="H320" s="6"/>
      <c r="I320" s="7"/>
      <c r="J320" s="153"/>
      <c r="K320" s="23"/>
    </row>
    <row r="321" spans="1:15" ht="15" customHeight="1" x14ac:dyDescent="0.25">
      <c r="A321" s="20"/>
      <c r="B321" s="150"/>
      <c r="C321" s="21">
        <v>2</v>
      </c>
      <c r="D321" s="22">
        <f>6.6-0.075</f>
        <v>6.5249999999999995</v>
      </c>
      <c r="E321" s="23">
        <f>0.3+0.15-0.025</f>
        <v>0.42499999999999993</v>
      </c>
      <c r="F321" s="23"/>
      <c r="G321" s="152">
        <f t="shared" si="45"/>
        <v>5.5462499999999988</v>
      </c>
      <c r="H321" s="6"/>
      <c r="I321" s="7"/>
      <c r="J321" s="153"/>
      <c r="K321" s="23"/>
    </row>
    <row r="322" spans="1:15" ht="15" customHeight="1" x14ac:dyDescent="0.25">
      <c r="A322" s="20"/>
      <c r="B322" s="150" t="s">
        <v>241</v>
      </c>
      <c r="C322" s="21">
        <v>1</v>
      </c>
      <c r="D322" s="22">
        <f>2.535+0.075*2</f>
        <v>2.6850000000000001</v>
      </c>
      <c r="E322" s="23">
        <f>0.075*2+2.94</f>
        <v>3.09</v>
      </c>
      <c r="F322" s="23"/>
      <c r="G322" s="152">
        <f t="shared" si="45"/>
        <v>8.2966499999999996</v>
      </c>
      <c r="H322" s="6"/>
      <c r="I322" s="7"/>
      <c r="J322" s="153"/>
      <c r="K322" s="23"/>
      <c r="M322">
        <f>2.975+0.075*2</f>
        <v>3.125</v>
      </c>
    </row>
    <row r="323" spans="1:15" ht="15" customHeight="1" x14ac:dyDescent="0.25">
      <c r="A323" s="20"/>
      <c r="B323" s="150"/>
      <c r="C323" s="21">
        <v>1</v>
      </c>
      <c r="D323" s="22">
        <f>0.075*2+2.595</f>
        <v>2.7450000000000001</v>
      </c>
      <c r="E323" s="23">
        <f>0.075*2+2.94</f>
        <v>3.09</v>
      </c>
      <c r="F323" s="23"/>
      <c r="G323" s="152">
        <f t="shared" si="45"/>
        <v>8.4820499999999992</v>
      </c>
      <c r="H323" s="6"/>
      <c r="I323" s="7"/>
      <c r="J323" s="153"/>
      <c r="K323" s="23"/>
    </row>
    <row r="324" spans="1:15" ht="15" customHeight="1" x14ac:dyDescent="0.25">
      <c r="A324" s="20"/>
      <c r="B324" s="150" t="s">
        <v>87</v>
      </c>
      <c r="C324" s="21">
        <v>2</v>
      </c>
      <c r="D324" s="22">
        <f>3.63</f>
        <v>3.63</v>
      </c>
      <c r="E324" s="23">
        <f>0.3+0.4-0.025</f>
        <v>0.67499999999999993</v>
      </c>
      <c r="F324" s="23"/>
      <c r="G324" s="152">
        <f t="shared" si="45"/>
        <v>4.9004999999999992</v>
      </c>
      <c r="H324" s="6"/>
      <c r="I324" s="7"/>
      <c r="J324" s="153"/>
      <c r="K324" s="23"/>
    </row>
    <row r="325" spans="1:15" ht="15" customHeight="1" x14ac:dyDescent="0.25">
      <c r="A325" s="20"/>
      <c r="B325" s="150"/>
      <c r="C325" s="21">
        <v>2</v>
      </c>
      <c r="D325" s="22">
        <f>6.16+0.4+0.3</f>
        <v>6.86</v>
      </c>
      <c r="E325" s="23">
        <f>0.3+0.4-0.025</f>
        <v>0.67499999999999993</v>
      </c>
      <c r="F325" s="23"/>
      <c r="G325" s="152">
        <f t="shared" si="45"/>
        <v>9.2609999999999992</v>
      </c>
      <c r="H325" s="6"/>
      <c r="I325" s="7"/>
      <c r="J325" s="153"/>
      <c r="K325" s="23"/>
      <c r="M325">
        <f>6.9-0.05</f>
        <v>6.8500000000000005</v>
      </c>
    </row>
    <row r="326" spans="1:15" ht="15" customHeight="1" x14ac:dyDescent="0.25">
      <c r="A326" s="182"/>
      <c r="B326" s="150" t="s">
        <v>16</v>
      </c>
      <c r="C326" s="151"/>
      <c r="D326" s="152"/>
      <c r="E326" s="152"/>
      <c r="F326" s="152"/>
      <c r="G326" s="153">
        <f>SUM(G319:G325)</f>
        <v>57.159450000000007</v>
      </c>
      <c r="H326" s="153" t="s">
        <v>23</v>
      </c>
      <c r="I326" s="6">
        <v>277.02999999999997</v>
      </c>
      <c r="J326" s="154">
        <f>G326*I326</f>
        <v>15834.882433500001</v>
      </c>
      <c r="K326" s="178"/>
    </row>
    <row r="327" spans="1:15" ht="15" customHeight="1" x14ac:dyDescent="0.25">
      <c r="A327" s="20"/>
      <c r="B327" s="150" t="s">
        <v>30</v>
      </c>
      <c r="C327" s="21"/>
      <c r="D327" s="22"/>
      <c r="E327" s="23"/>
      <c r="F327" s="23"/>
      <c r="G327" s="7"/>
      <c r="H327" s="6"/>
      <c r="I327" s="7"/>
      <c r="J327" s="153">
        <f>0.13*G326*670.32/10</f>
        <v>498.0965928120001</v>
      </c>
      <c r="K327" s="23"/>
    </row>
    <row r="328" spans="1:15" ht="15" customHeight="1" x14ac:dyDescent="0.25">
      <c r="A328" s="20"/>
      <c r="B328" s="150"/>
      <c r="C328" s="21"/>
      <c r="D328" s="22"/>
      <c r="E328" s="23"/>
      <c r="F328" s="23"/>
      <c r="G328" s="7"/>
      <c r="H328" s="6"/>
      <c r="I328" s="7"/>
      <c r="J328" s="153"/>
      <c r="K328" s="23"/>
    </row>
    <row r="329" spans="1:15" ht="30" x14ac:dyDescent="0.25">
      <c r="A329" s="20">
        <v>20</v>
      </c>
      <c r="B329" s="139" t="s">
        <v>100</v>
      </c>
      <c r="C329" s="21"/>
      <c r="D329" s="22"/>
      <c r="E329" s="23"/>
      <c r="F329" s="23"/>
      <c r="G329" s="7"/>
      <c r="H329" s="6"/>
      <c r="I329" s="7"/>
      <c r="J329" s="153"/>
      <c r="K329" s="23"/>
      <c r="N329">
        <f>8704/16</f>
        <v>544</v>
      </c>
      <c r="O329">
        <f>4817/9</f>
        <v>535.22222222222217</v>
      </c>
    </row>
    <row r="330" spans="1:15" ht="15" customHeight="1" x14ac:dyDescent="0.25">
      <c r="A330" s="20"/>
      <c r="B330" s="150" t="s">
        <v>147</v>
      </c>
      <c r="C330" s="21">
        <v>1</v>
      </c>
      <c r="D330" s="22">
        <f>6.6*2+4.135*2</f>
        <v>21.47</v>
      </c>
      <c r="E330" s="23"/>
      <c r="F330" s="23"/>
      <c r="G330" s="152">
        <f t="shared" ref="G330:G331" si="46">PRODUCT(C330:F330)</f>
        <v>21.47</v>
      </c>
      <c r="H330" s="6"/>
      <c r="I330" s="7"/>
      <c r="J330" s="153"/>
      <c r="K330" s="23"/>
    </row>
    <row r="331" spans="1:15" ht="15" customHeight="1" x14ac:dyDescent="0.25">
      <c r="A331" s="20"/>
      <c r="B331" s="150" t="s">
        <v>146</v>
      </c>
      <c r="C331" s="21">
        <v>1</v>
      </c>
      <c r="D331" s="22">
        <f>6.915*2+4.44*2</f>
        <v>22.71</v>
      </c>
      <c r="E331" s="23"/>
      <c r="F331" s="23"/>
      <c r="G331" s="152">
        <f t="shared" si="46"/>
        <v>22.71</v>
      </c>
      <c r="H331" s="6"/>
      <c r="I331" s="7"/>
      <c r="J331" s="153"/>
      <c r="K331" s="23"/>
    </row>
    <row r="332" spans="1:15" ht="15" customHeight="1" x14ac:dyDescent="0.25">
      <c r="A332" s="182"/>
      <c r="B332" s="150" t="s">
        <v>16</v>
      </c>
      <c r="C332" s="151"/>
      <c r="D332" s="152"/>
      <c r="E332" s="152"/>
      <c r="F332" s="152"/>
      <c r="G332" s="153">
        <f>SUM(G330:G331)</f>
        <v>44.18</v>
      </c>
      <c r="H332" s="153" t="s">
        <v>148</v>
      </c>
      <c r="I332" s="6">
        <v>150.04</v>
      </c>
      <c r="J332" s="154">
        <f>G332*I332</f>
        <v>6628.7671999999993</v>
      </c>
      <c r="K332" s="178"/>
    </row>
    <row r="333" spans="1:15" ht="15" customHeight="1" x14ac:dyDescent="0.25">
      <c r="A333" s="20"/>
      <c r="B333" s="150" t="s">
        <v>30</v>
      </c>
      <c r="C333" s="21"/>
      <c r="D333" s="22"/>
      <c r="E333" s="23"/>
      <c r="F333" s="23"/>
      <c r="G333" s="7"/>
      <c r="H333" s="6"/>
      <c r="I333" s="7"/>
      <c r="J333" s="153">
        <f>0.13*G332*111.05</f>
        <v>637.80457000000001</v>
      </c>
      <c r="K333" s="23"/>
    </row>
    <row r="334" spans="1:15" ht="15" customHeight="1" x14ac:dyDescent="0.25">
      <c r="A334" s="20"/>
      <c r="B334" s="150"/>
      <c r="C334" s="21"/>
      <c r="D334" s="22"/>
      <c r="E334" s="23"/>
      <c r="F334" s="23"/>
      <c r="G334" s="7"/>
      <c r="H334" s="6"/>
      <c r="I334" s="7"/>
      <c r="J334" s="153"/>
      <c r="K334" s="23"/>
    </row>
    <row r="335" spans="1:15" ht="30" x14ac:dyDescent="0.25">
      <c r="A335" s="20">
        <v>21</v>
      </c>
      <c r="B335" s="139" t="s">
        <v>246</v>
      </c>
      <c r="C335" s="21"/>
      <c r="D335" s="22"/>
      <c r="E335" s="23"/>
      <c r="F335" s="23"/>
      <c r="G335" s="7"/>
      <c r="H335" s="6"/>
      <c r="I335" s="7"/>
      <c r="J335" s="153"/>
      <c r="K335" s="23"/>
    </row>
    <row r="336" spans="1:15" ht="15" customHeight="1" x14ac:dyDescent="0.25">
      <c r="A336" s="20"/>
      <c r="B336" s="150" t="s">
        <v>78</v>
      </c>
      <c r="C336" s="21">
        <v>1</v>
      </c>
      <c r="D336" s="22">
        <f>3.42+0.23+0.33+1.71+0.33*4+0.335*4+0.33+3.42+2.595+0.32+2.62+0.075*7</f>
        <v>18.16</v>
      </c>
      <c r="E336" s="23"/>
      <c r="F336" s="23">
        <v>2.63</v>
      </c>
      <c r="G336" s="152">
        <f t="shared" ref="G336:G381" si="47">PRODUCT(C336:F336)</f>
        <v>47.760799999999996</v>
      </c>
      <c r="H336" s="6"/>
      <c r="I336" s="7"/>
      <c r="J336" s="153"/>
      <c r="K336" s="23"/>
    </row>
    <row r="337" spans="1:18" ht="15" hidden="1" customHeight="1" x14ac:dyDescent="0.25">
      <c r="A337" s="20"/>
      <c r="B337" s="150"/>
      <c r="C337" s="21"/>
      <c r="D337" s="22"/>
      <c r="E337" s="23"/>
      <c r="F337" s="23"/>
      <c r="G337" s="152"/>
      <c r="H337" s="6"/>
      <c r="I337" s="7"/>
      <c r="J337" s="153"/>
      <c r="K337" s="23"/>
    </row>
    <row r="338" spans="1:18" ht="15" hidden="1" customHeight="1" x14ac:dyDescent="0.25">
      <c r="A338" s="20"/>
      <c r="B338" s="150"/>
      <c r="C338" s="21"/>
      <c r="D338" s="22"/>
      <c r="E338" s="23"/>
      <c r="F338" s="23"/>
      <c r="G338" s="152"/>
      <c r="H338" s="6"/>
      <c r="I338" s="7"/>
      <c r="J338" s="153"/>
      <c r="K338" s="23"/>
    </row>
    <row r="339" spans="1:18" ht="15" customHeight="1" x14ac:dyDescent="0.25">
      <c r="A339" s="20"/>
      <c r="B339" s="150" t="s">
        <v>168</v>
      </c>
      <c r="C339" s="21">
        <v>1</v>
      </c>
      <c r="D339" s="22">
        <f>6.16*2+3.65*2</f>
        <v>19.62</v>
      </c>
      <c r="E339" s="23"/>
      <c r="F339" s="23">
        <v>2.42</v>
      </c>
      <c r="G339" s="152">
        <f t="shared" si="47"/>
        <v>47.480400000000003</v>
      </c>
      <c r="H339" s="6"/>
      <c r="I339" s="7"/>
      <c r="J339" s="153"/>
      <c r="K339" s="23"/>
    </row>
    <row r="340" spans="1:18" ht="15" hidden="1" customHeight="1" x14ac:dyDescent="0.25">
      <c r="A340" s="20"/>
      <c r="B340" s="150"/>
      <c r="C340" s="21"/>
      <c r="D340" s="22"/>
      <c r="E340" s="23"/>
      <c r="F340" s="23"/>
      <c r="G340" s="152"/>
      <c r="H340" s="6"/>
      <c r="I340" s="7"/>
      <c r="J340" s="153"/>
      <c r="K340" s="23"/>
    </row>
    <row r="341" spans="1:18" ht="15" customHeight="1" x14ac:dyDescent="0.25">
      <c r="A341" s="20"/>
      <c r="B341" s="150"/>
      <c r="C341" s="21">
        <v>-1</v>
      </c>
      <c r="D341" s="22">
        <f>0.76+0.93+5</f>
        <v>6.6899999999999995</v>
      </c>
      <c r="E341" s="23"/>
      <c r="F341" s="23">
        <v>2.42</v>
      </c>
      <c r="G341" s="152">
        <f t="shared" ref="G341" si="48">PRODUCT(C341:F341)</f>
        <v>-16.189799999999998</v>
      </c>
      <c r="H341" s="6"/>
      <c r="I341" s="7"/>
      <c r="J341" s="153"/>
      <c r="K341" s="23"/>
    </row>
    <row r="342" spans="1:18" ht="15" customHeight="1" x14ac:dyDescent="0.25">
      <c r="A342" s="20"/>
      <c r="B342" s="150" t="s">
        <v>95</v>
      </c>
      <c r="C342" s="21">
        <f>-1*1</f>
        <v>-1</v>
      </c>
      <c r="D342" s="22">
        <v>1.38</v>
      </c>
      <c r="E342" s="23"/>
      <c r="F342" s="23">
        <v>1.2</v>
      </c>
      <c r="G342" s="152">
        <f t="shared" si="47"/>
        <v>-1.6559999999999999</v>
      </c>
      <c r="H342" s="6"/>
      <c r="I342" s="7"/>
      <c r="J342" s="153"/>
      <c r="K342" s="23"/>
      <c r="Q342">
        <f>3.61*3.281</f>
        <v>11.84441</v>
      </c>
      <c r="R342">
        <f>3.635*3.281</f>
        <v>11.926435</v>
      </c>
    </row>
    <row r="343" spans="1:18" ht="15" customHeight="1" x14ac:dyDescent="0.25">
      <c r="A343" s="20"/>
      <c r="B343" s="150"/>
      <c r="C343" s="21">
        <f>-1*1</f>
        <v>-1</v>
      </c>
      <c r="D343" s="22">
        <v>1.42</v>
      </c>
      <c r="E343" s="23"/>
      <c r="F343" s="23">
        <v>1.2</v>
      </c>
      <c r="G343" s="152">
        <f t="shared" si="47"/>
        <v>-1.704</v>
      </c>
      <c r="H343" s="6"/>
      <c r="I343" s="7"/>
      <c r="J343" s="153"/>
      <c r="K343" s="23"/>
    </row>
    <row r="344" spans="1:18" ht="15" customHeight="1" x14ac:dyDescent="0.25">
      <c r="A344" s="20"/>
      <c r="B344" s="150"/>
      <c r="C344" s="21">
        <f>-1*1</f>
        <v>-1</v>
      </c>
      <c r="D344" s="22">
        <v>1.55</v>
      </c>
      <c r="E344" s="23"/>
      <c r="F344" s="23">
        <v>1.2</v>
      </c>
      <c r="G344" s="152">
        <f t="shared" si="47"/>
        <v>-1.8599999999999999</v>
      </c>
      <c r="H344" s="6"/>
      <c r="I344" s="7"/>
      <c r="J344" s="153"/>
      <c r="K344" s="23"/>
    </row>
    <row r="345" spans="1:18" ht="15" hidden="1" customHeight="1" x14ac:dyDescent="0.25">
      <c r="A345" s="20"/>
      <c r="B345" s="150" t="s">
        <v>244</v>
      </c>
      <c r="C345" s="21">
        <v>0</v>
      </c>
      <c r="D345" s="22">
        <f>4.48+4.49+4.48-0.23+4.49-0.23-0.05-0.05</f>
        <v>17.38</v>
      </c>
      <c r="E345" s="23"/>
      <c r="F345" s="23">
        <v>0.15</v>
      </c>
      <c r="G345" s="152">
        <f t="shared" si="47"/>
        <v>0</v>
      </c>
      <c r="H345" s="6"/>
      <c r="I345" s="7"/>
      <c r="J345" s="153"/>
      <c r="K345" s="23"/>
    </row>
    <row r="346" spans="1:18" ht="15" hidden="1" customHeight="1" x14ac:dyDescent="0.25">
      <c r="A346" s="20"/>
      <c r="B346" s="150"/>
      <c r="C346" s="21">
        <v>0</v>
      </c>
      <c r="D346" s="22">
        <f>6.67+6.67+6.67-0.23+6.67-0.23-0.05-0.05</f>
        <v>26.119999999999994</v>
      </c>
      <c r="E346" s="23"/>
      <c r="F346" s="23">
        <v>0.15</v>
      </c>
      <c r="G346" s="152">
        <f t="shared" si="47"/>
        <v>0</v>
      </c>
      <c r="H346" s="6"/>
      <c r="I346" s="7"/>
      <c r="J346" s="153"/>
      <c r="K346" s="23"/>
    </row>
    <row r="347" spans="1:18" ht="15" hidden="1" customHeight="1" x14ac:dyDescent="0.25">
      <c r="A347" s="20"/>
      <c r="B347" s="150"/>
      <c r="C347" s="21">
        <v>0</v>
      </c>
      <c r="D347" s="22">
        <f>1.14+0.96+0.96-0.23+1.14-0.23</f>
        <v>3.7399999999999998</v>
      </c>
      <c r="E347" s="23"/>
      <c r="F347" s="23">
        <v>0.15</v>
      </c>
      <c r="G347" s="152">
        <f t="shared" si="47"/>
        <v>0</v>
      </c>
      <c r="H347" s="6"/>
      <c r="I347" s="7"/>
      <c r="J347" s="153"/>
      <c r="K347" s="23"/>
    </row>
    <row r="348" spans="1:18" ht="15" customHeight="1" x14ac:dyDescent="0.25">
      <c r="A348" s="20"/>
      <c r="B348" s="150" t="s">
        <v>247</v>
      </c>
      <c r="C348" s="21">
        <v>1</v>
      </c>
      <c r="D348" s="22">
        <f>6.6*2+4.15*2+6.9*0+4.45*0</f>
        <v>21.5</v>
      </c>
      <c r="E348" s="23"/>
      <c r="F348" s="23">
        <v>0.125</v>
      </c>
      <c r="G348" s="152">
        <f t="shared" si="47"/>
        <v>2.6875</v>
      </c>
      <c r="H348" s="6"/>
      <c r="I348" s="7"/>
      <c r="J348" s="153"/>
      <c r="K348" s="23"/>
    </row>
    <row r="349" spans="1:18" ht="15" customHeight="1" x14ac:dyDescent="0.25">
      <c r="A349" s="20"/>
      <c r="B349" s="150" t="s">
        <v>170</v>
      </c>
      <c r="C349" s="21">
        <v>2</v>
      </c>
      <c r="D349" s="22">
        <v>3.8</v>
      </c>
      <c r="E349" s="23"/>
      <c r="F349" s="23">
        <v>1.74</v>
      </c>
      <c r="G349" s="152">
        <f t="shared" si="47"/>
        <v>13.224</v>
      </c>
      <c r="H349" s="6"/>
      <c r="I349" s="7"/>
      <c r="J349" s="153"/>
      <c r="K349" s="23"/>
    </row>
    <row r="350" spans="1:18" ht="15" customHeight="1" x14ac:dyDescent="0.25">
      <c r="A350" s="20"/>
      <c r="B350" s="150"/>
      <c r="C350" s="21">
        <v>2</v>
      </c>
      <c r="D350" s="22">
        <v>3.81</v>
      </c>
      <c r="E350" s="23"/>
      <c r="F350" s="23">
        <v>1.74</v>
      </c>
      <c r="G350" s="152">
        <f t="shared" si="47"/>
        <v>13.258800000000001</v>
      </c>
      <c r="H350" s="6"/>
      <c r="I350" s="7"/>
      <c r="J350" s="153"/>
      <c r="K350" s="23"/>
    </row>
    <row r="351" spans="1:18" ht="15" customHeight="1" x14ac:dyDescent="0.25">
      <c r="A351" s="20"/>
      <c r="B351" s="150" t="s">
        <v>76</v>
      </c>
      <c r="C351" s="21">
        <v>-1</v>
      </c>
      <c r="D351" s="22">
        <v>0.64</v>
      </c>
      <c r="E351" s="23"/>
      <c r="F351" s="23">
        <v>0.78</v>
      </c>
      <c r="G351" s="152">
        <f t="shared" si="47"/>
        <v>-0.49920000000000003</v>
      </c>
      <c r="H351" s="6"/>
      <c r="I351" s="7"/>
      <c r="J351" s="153"/>
      <c r="K351" s="23"/>
    </row>
    <row r="352" spans="1:18" ht="15" customHeight="1" x14ac:dyDescent="0.25">
      <c r="A352" s="20"/>
      <c r="B352" s="150"/>
      <c r="C352" s="21">
        <v>-1</v>
      </c>
      <c r="D352" s="22">
        <v>0.62</v>
      </c>
      <c r="E352" s="23"/>
      <c r="F352" s="23">
        <v>0.81</v>
      </c>
      <c r="G352" s="152">
        <f t="shared" si="47"/>
        <v>-0.50219999999999998</v>
      </c>
      <c r="H352" s="6"/>
      <c r="I352" s="7"/>
      <c r="J352" s="153"/>
      <c r="K352" s="23"/>
    </row>
    <row r="353" spans="1:18" ht="15" customHeight="1" x14ac:dyDescent="0.25">
      <c r="A353" s="20"/>
      <c r="B353" s="150" t="s">
        <v>171</v>
      </c>
      <c r="C353" s="21">
        <v>-1</v>
      </c>
      <c r="D353" s="22">
        <v>1.1200000000000001</v>
      </c>
      <c r="E353" s="23"/>
      <c r="F353" s="23">
        <v>1.74</v>
      </c>
      <c r="G353" s="152">
        <f t="shared" si="47"/>
        <v>-1.9488000000000001</v>
      </c>
      <c r="H353" s="6"/>
      <c r="I353" s="7"/>
      <c r="J353" s="153"/>
      <c r="K353" s="23"/>
      <c r="N353" s="44">
        <f>SUM(J382:J410)</f>
        <v>58350.127730068001</v>
      </c>
      <c r="Q353">
        <f>0.14*10</f>
        <v>1.4000000000000001</v>
      </c>
      <c r="R353">
        <f>1.4+0.32</f>
        <v>1.72</v>
      </c>
    </row>
    <row r="354" spans="1:18" ht="15" customHeight="1" x14ac:dyDescent="0.25">
      <c r="A354" s="20"/>
      <c r="B354" s="150"/>
      <c r="C354" s="21">
        <v>-1</v>
      </c>
      <c r="D354" s="22">
        <v>0.74</v>
      </c>
      <c r="E354" s="23"/>
      <c r="F354" s="23">
        <v>0.86</v>
      </c>
      <c r="G354" s="152">
        <f t="shared" si="47"/>
        <v>-0.63639999999999997</v>
      </c>
      <c r="H354" s="6"/>
      <c r="I354" s="7"/>
      <c r="J354" s="153"/>
      <c r="K354" s="23"/>
    </row>
    <row r="355" spans="1:18" ht="15" customHeight="1" x14ac:dyDescent="0.25">
      <c r="A355" s="20"/>
      <c r="B355" s="150"/>
      <c r="C355" s="21">
        <v>-1</v>
      </c>
      <c r="D355" s="22">
        <v>0.375</v>
      </c>
      <c r="E355" s="23"/>
      <c r="F355" s="23">
        <v>0.45</v>
      </c>
      <c r="G355" s="152">
        <f t="shared" si="47"/>
        <v>-0.16875000000000001</v>
      </c>
      <c r="H355" s="6"/>
      <c r="I355" s="7"/>
      <c r="J355" s="153"/>
      <c r="K355" s="23"/>
    </row>
    <row r="356" spans="1:18" ht="15" customHeight="1" x14ac:dyDescent="0.25">
      <c r="A356" s="20"/>
      <c r="B356" s="150"/>
      <c r="C356" s="21">
        <v>-1</v>
      </c>
      <c r="D356" s="22">
        <v>0.74</v>
      </c>
      <c r="E356" s="23"/>
      <c r="F356" s="23">
        <v>0.87</v>
      </c>
      <c r="G356" s="152">
        <f t="shared" si="47"/>
        <v>-0.64380000000000004</v>
      </c>
      <c r="H356" s="6"/>
      <c r="I356" s="7"/>
      <c r="J356" s="153"/>
      <c r="K356" s="23"/>
    </row>
    <row r="357" spans="1:18" ht="15" customHeight="1" x14ac:dyDescent="0.25">
      <c r="A357" s="20"/>
      <c r="B357" s="150"/>
      <c r="C357" s="21">
        <v>-1</v>
      </c>
      <c r="D357" s="22">
        <v>0.45</v>
      </c>
      <c r="E357" s="23"/>
      <c r="F357" s="23">
        <v>0.27</v>
      </c>
      <c r="G357" s="152">
        <f t="shared" si="47"/>
        <v>-0.12150000000000001</v>
      </c>
      <c r="H357" s="6"/>
      <c r="I357" s="7"/>
      <c r="J357" s="153"/>
      <c r="K357" s="23"/>
    </row>
    <row r="358" spans="1:18" ht="15" customHeight="1" x14ac:dyDescent="0.25">
      <c r="A358" s="20"/>
      <c r="B358" s="150" t="s">
        <v>272</v>
      </c>
      <c r="C358" s="21">
        <v>1</v>
      </c>
      <c r="D358" s="22">
        <v>4.91</v>
      </c>
      <c r="E358" s="23"/>
      <c r="F358" s="23">
        <v>1.24</v>
      </c>
      <c r="G358" s="152">
        <f t="shared" si="47"/>
        <v>6.0884</v>
      </c>
      <c r="H358" s="6"/>
      <c r="I358" s="7"/>
      <c r="J358" s="153"/>
      <c r="K358" s="23"/>
    </row>
    <row r="359" spans="1:18" ht="15" customHeight="1" x14ac:dyDescent="0.25">
      <c r="A359" s="20"/>
      <c r="B359" s="150"/>
      <c r="C359" s="21">
        <v>1</v>
      </c>
      <c r="D359" s="22">
        <v>0.49</v>
      </c>
      <c r="E359" s="23"/>
      <c r="F359" s="23">
        <v>1.38</v>
      </c>
      <c r="G359" s="152">
        <f t="shared" si="47"/>
        <v>0.67619999999999991</v>
      </c>
      <c r="H359" s="6"/>
      <c r="I359" s="7"/>
      <c r="J359" s="153"/>
      <c r="K359" s="23"/>
    </row>
    <row r="360" spans="1:18" ht="15" customHeight="1" x14ac:dyDescent="0.25">
      <c r="A360" s="20"/>
      <c r="B360" s="150"/>
      <c r="C360" s="21">
        <v>1</v>
      </c>
      <c r="D360" s="22">
        <v>0.63</v>
      </c>
      <c r="E360" s="23"/>
      <c r="F360" s="23">
        <v>1.0900000000000001</v>
      </c>
      <c r="G360" s="152">
        <f t="shared" si="47"/>
        <v>0.68670000000000009</v>
      </c>
      <c r="H360" s="6"/>
      <c r="I360" s="7"/>
      <c r="J360" s="153"/>
      <c r="K360" s="23"/>
    </row>
    <row r="361" spans="1:18" ht="15" customHeight="1" x14ac:dyDescent="0.25">
      <c r="A361" s="20"/>
      <c r="B361" s="150"/>
      <c r="C361" s="21">
        <v>1</v>
      </c>
      <c r="D361" s="22">
        <v>0.62</v>
      </c>
      <c r="E361" s="23"/>
      <c r="F361" s="23">
        <v>1.1599999999999999</v>
      </c>
      <c r="G361" s="152">
        <f t="shared" si="47"/>
        <v>0.71919999999999995</v>
      </c>
      <c r="H361" s="6"/>
      <c r="I361" s="7"/>
      <c r="J361" s="153"/>
      <c r="K361" s="23"/>
    </row>
    <row r="362" spans="1:18" ht="15" customHeight="1" x14ac:dyDescent="0.25">
      <c r="A362" s="20"/>
      <c r="B362" s="150"/>
      <c r="C362" s="192">
        <v>0.5</v>
      </c>
      <c r="D362" s="22">
        <v>0.92</v>
      </c>
      <c r="E362" s="23"/>
      <c r="F362" s="23">
        <v>1.1200000000000001</v>
      </c>
      <c r="G362" s="152">
        <f t="shared" si="47"/>
        <v>0.5152000000000001</v>
      </c>
      <c r="H362" s="6"/>
      <c r="I362" s="7"/>
      <c r="J362" s="153"/>
      <c r="K362" s="23"/>
    </row>
    <row r="363" spans="1:18" ht="15" customHeight="1" x14ac:dyDescent="0.25">
      <c r="A363" s="20"/>
      <c r="B363" s="150"/>
      <c r="C363" s="21">
        <v>1</v>
      </c>
      <c r="D363" s="22">
        <v>0.62</v>
      </c>
      <c r="E363" s="23"/>
      <c r="F363" s="23">
        <v>1.1499999999999999</v>
      </c>
      <c r="G363" s="152">
        <f t="shared" si="47"/>
        <v>0.71299999999999997</v>
      </c>
      <c r="H363" s="6"/>
      <c r="I363" s="7"/>
      <c r="J363" s="153"/>
      <c r="K363" s="23"/>
    </row>
    <row r="364" spans="1:18" ht="15" customHeight="1" x14ac:dyDescent="0.25">
      <c r="A364" s="20"/>
      <c r="B364" s="150"/>
      <c r="C364" s="21">
        <v>1</v>
      </c>
      <c r="D364" s="22">
        <v>0.63</v>
      </c>
      <c r="E364" s="23"/>
      <c r="F364" s="23">
        <v>2.02</v>
      </c>
      <c r="G364" s="152">
        <f t="shared" si="47"/>
        <v>1.2726</v>
      </c>
      <c r="H364" s="6"/>
      <c r="I364" s="7"/>
      <c r="J364" s="153"/>
      <c r="K364" s="23"/>
    </row>
    <row r="365" spans="1:18" ht="15" customHeight="1" x14ac:dyDescent="0.25">
      <c r="A365" s="20"/>
      <c r="B365" s="150"/>
      <c r="C365" s="21">
        <v>1</v>
      </c>
      <c r="D365" s="22">
        <v>0.63</v>
      </c>
      <c r="E365" s="23"/>
      <c r="F365" s="23">
        <v>1.23</v>
      </c>
      <c r="G365" s="152">
        <f t="shared" si="47"/>
        <v>0.77490000000000003</v>
      </c>
      <c r="H365" s="6"/>
      <c r="I365" s="7"/>
      <c r="J365" s="153"/>
      <c r="K365" s="23"/>
    </row>
    <row r="366" spans="1:18" ht="15" customHeight="1" x14ac:dyDescent="0.25">
      <c r="A366" s="20"/>
      <c r="B366" s="150"/>
      <c r="C366" s="21">
        <v>1</v>
      </c>
      <c r="D366" s="22">
        <v>4.37</v>
      </c>
      <c r="E366" s="23"/>
      <c r="F366" s="23">
        <v>1.24</v>
      </c>
      <c r="G366" s="152">
        <f t="shared" si="47"/>
        <v>5.4188000000000001</v>
      </c>
      <c r="H366" s="6"/>
      <c r="I366" s="7"/>
      <c r="J366" s="153"/>
      <c r="K366" s="23"/>
    </row>
    <row r="367" spans="1:18" ht="15" customHeight="1" x14ac:dyDescent="0.25">
      <c r="A367" s="20"/>
      <c r="B367" s="150"/>
      <c r="C367" s="21">
        <v>7</v>
      </c>
      <c r="D367" s="22">
        <v>0.13</v>
      </c>
      <c r="E367" s="23"/>
      <c r="F367" s="23">
        <v>1.24</v>
      </c>
      <c r="G367" s="152">
        <f t="shared" si="47"/>
        <v>1.1284000000000001</v>
      </c>
      <c r="H367" s="6"/>
      <c r="I367" s="7"/>
      <c r="J367" s="153"/>
      <c r="K367" s="23"/>
    </row>
    <row r="368" spans="1:18" ht="15" customHeight="1" x14ac:dyDescent="0.25">
      <c r="A368" s="20"/>
      <c r="B368" s="150"/>
      <c r="C368" s="21">
        <v>1</v>
      </c>
      <c r="D368" s="22">
        <v>1.8</v>
      </c>
      <c r="E368" s="23"/>
      <c r="F368" s="23">
        <v>1.24</v>
      </c>
      <c r="G368" s="152">
        <f t="shared" si="47"/>
        <v>2.2320000000000002</v>
      </c>
      <c r="H368" s="6"/>
      <c r="I368" s="7"/>
      <c r="J368" s="153"/>
      <c r="K368" s="23"/>
    </row>
    <row r="369" spans="1:16" ht="15" customHeight="1" x14ac:dyDescent="0.25">
      <c r="A369" s="20"/>
      <c r="B369" s="150"/>
      <c r="C369" s="21">
        <v>1</v>
      </c>
      <c r="D369" s="22">
        <v>7.5</v>
      </c>
      <c r="E369" s="23"/>
      <c r="F369" s="23">
        <v>2.0750000000000002</v>
      </c>
      <c r="G369" s="152">
        <f t="shared" si="47"/>
        <v>15.562500000000002</v>
      </c>
      <c r="H369" s="6"/>
      <c r="I369" s="7"/>
      <c r="J369" s="153"/>
      <c r="K369" s="23"/>
    </row>
    <row r="370" spans="1:16" ht="15" customHeight="1" x14ac:dyDescent="0.25">
      <c r="A370" s="20"/>
      <c r="B370" s="150"/>
      <c r="C370" s="21">
        <v>1</v>
      </c>
      <c r="D370" s="22">
        <v>2.06</v>
      </c>
      <c r="E370" s="23"/>
      <c r="F370" s="23">
        <v>0.64</v>
      </c>
      <c r="G370" s="152">
        <f t="shared" si="47"/>
        <v>1.3184</v>
      </c>
      <c r="H370" s="6"/>
      <c r="I370" s="7"/>
      <c r="J370" s="153"/>
      <c r="K370" s="23"/>
    </row>
    <row r="371" spans="1:16" ht="15" customHeight="1" x14ac:dyDescent="0.25">
      <c r="A371" s="20"/>
      <c r="B371" s="150"/>
      <c r="C371" s="21">
        <v>1</v>
      </c>
      <c r="D371" s="22">
        <v>0.5</v>
      </c>
      <c r="E371" s="23"/>
      <c r="F371" s="23">
        <v>1.92</v>
      </c>
      <c r="G371" s="152">
        <f t="shared" si="47"/>
        <v>0.96</v>
      </c>
      <c r="H371" s="6"/>
      <c r="I371" s="7"/>
      <c r="J371" s="153"/>
      <c r="K371" s="23"/>
    </row>
    <row r="372" spans="1:16" ht="15" customHeight="1" x14ac:dyDescent="0.25">
      <c r="A372" s="20"/>
      <c r="B372" s="150"/>
      <c r="C372" s="21">
        <v>1</v>
      </c>
      <c r="D372" s="22">
        <v>2.75</v>
      </c>
      <c r="E372" s="23"/>
      <c r="F372" s="23">
        <v>1.92</v>
      </c>
      <c r="G372" s="152">
        <f t="shared" si="47"/>
        <v>5.2799999999999994</v>
      </c>
      <c r="H372" s="6"/>
      <c r="I372" s="7"/>
      <c r="J372" s="153"/>
      <c r="K372" s="23"/>
    </row>
    <row r="373" spans="1:16" ht="15" customHeight="1" x14ac:dyDescent="0.25">
      <c r="A373" s="20"/>
      <c r="B373" s="150"/>
      <c r="C373" s="21">
        <v>1</v>
      </c>
      <c r="D373" s="22">
        <v>0.4</v>
      </c>
      <c r="E373" s="23"/>
      <c r="F373" s="23">
        <v>1.75</v>
      </c>
      <c r="G373" s="152">
        <f t="shared" si="47"/>
        <v>0.70000000000000007</v>
      </c>
      <c r="H373" s="6"/>
      <c r="I373" s="7"/>
      <c r="J373" s="153"/>
      <c r="K373" s="23"/>
    </row>
    <row r="374" spans="1:16" ht="15" customHeight="1" x14ac:dyDescent="0.25">
      <c r="A374" s="20"/>
      <c r="B374" s="150"/>
      <c r="C374" s="21">
        <v>1</v>
      </c>
      <c r="D374" s="22">
        <f>(3.4-(0.11/2))</f>
        <v>3.3449999999999998</v>
      </c>
      <c r="E374" s="23"/>
      <c r="F374" s="23">
        <v>2.3199999999999998</v>
      </c>
      <c r="G374" s="152">
        <f t="shared" si="47"/>
        <v>7.7603999999999989</v>
      </c>
      <c r="H374" s="6"/>
      <c r="I374" s="7"/>
      <c r="J374" s="153"/>
      <c r="K374" s="23"/>
    </row>
    <row r="375" spans="1:16" ht="15" customHeight="1" x14ac:dyDescent="0.25">
      <c r="A375" s="20"/>
      <c r="B375" s="150"/>
      <c r="C375" s="21">
        <v>6</v>
      </c>
      <c r="D375" s="22">
        <v>0.13</v>
      </c>
      <c r="E375" s="23"/>
      <c r="F375" s="23">
        <v>2.3199999999999998</v>
      </c>
      <c r="G375" s="152">
        <f t="shared" si="47"/>
        <v>1.8095999999999999</v>
      </c>
      <c r="H375" s="6"/>
      <c r="I375" s="7"/>
      <c r="J375" s="153"/>
      <c r="K375" s="23"/>
    </row>
    <row r="376" spans="1:16" ht="15" customHeight="1" x14ac:dyDescent="0.25">
      <c r="A376" s="20"/>
      <c r="B376" s="150"/>
      <c r="C376" s="21">
        <v>1</v>
      </c>
      <c r="D376" s="22">
        <v>0.93</v>
      </c>
      <c r="E376" s="23"/>
      <c r="F376" s="23">
        <v>1.34</v>
      </c>
      <c r="G376" s="152">
        <f t="shared" si="47"/>
        <v>1.2462000000000002</v>
      </c>
      <c r="H376" s="6"/>
      <c r="I376" s="7"/>
      <c r="J376" s="153"/>
      <c r="K376" s="23"/>
    </row>
    <row r="377" spans="1:16" ht="15" customHeight="1" x14ac:dyDescent="0.25">
      <c r="A377" s="20"/>
      <c r="B377" s="150"/>
      <c r="C377" s="21">
        <v>1</v>
      </c>
      <c r="D377" s="22">
        <v>2.75</v>
      </c>
      <c r="E377" s="23"/>
      <c r="F377" s="23">
        <v>1.29</v>
      </c>
      <c r="G377" s="152">
        <f t="shared" si="47"/>
        <v>3.5475000000000003</v>
      </c>
      <c r="H377" s="6"/>
      <c r="I377" s="7"/>
      <c r="J377" s="153"/>
      <c r="K377" s="23"/>
    </row>
    <row r="378" spans="1:16" ht="15" customHeight="1" x14ac:dyDescent="0.25">
      <c r="A378" s="20"/>
      <c r="B378" s="150"/>
      <c r="C378" s="21">
        <v>2</v>
      </c>
      <c r="D378" s="22">
        <v>1.29</v>
      </c>
      <c r="E378" s="23"/>
      <c r="F378" s="23">
        <v>0.13</v>
      </c>
      <c r="G378" s="152">
        <f t="shared" si="47"/>
        <v>0.33540000000000003</v>
      </c>
      <c r="H378" s="6"/>
      <c r="I378" s="7"/>
      <c r="J378" s="153"/>
      <c r="K378" s="23"/>
    </row>
    <row r="379" spans="1:16" ht="15" customHeight="1" x14ac:dyDescent="0.25">
      <c r="A379" s="20"/>
      <c r="B379" s="150"/>
      <c r="C379" s="21">
        <v>1</v>
      </c>
      <c r="D379" s="22">
        <f>6.75+4.8</f>
        <v>11.55</v>
      </c>
      <c r="E379" s="23"/>
      <c r="F379" s="23">
        <v>1</v>
      </c>
      <c r="G379" s="152">
        <f t="shared" si="47"/>
        <v>11.55</v>
      </c>
      <c r="H379" s="6"/>
      <c r="I379" s="7"/>
      <c r="J379" s="153"/>
      <c r="K379" s="23"/>
    </row>
    <row r="380" spans="1:16" ht="15" customHeight="1" x14ac:dyDescent="0.25">
      <c r="A380" s="20"/>
      <c r="B380" s="150"/>
      <c r="C380" s="21">
        <v>14</v>
      </c>
      <c r="D380" s="22">
        <v>0.12</v>
      </c>
      <c r="E380" s="23"/>
      <c r="F380" s="23">
        <v>1</v>
      </c>
      <c r="G380" s="152">
        <f t="shared" si="47"/>
        <v>1.68</v>
      </c>
      <c r="H380" s="6"/>
      <c r="I380" s="7"/>
      <c r="J380" s="153"/>
      <c r="K380" s="23"/>
    </row>
    <row r="381" spans="1:16" ht="15" customHeight="1" x14ac:dyDescent="0.25">
      <c r="A381" s="20"/>
      <c r="B381" s="150"/>
      <c r="C381" s="21">
        <v>1</v>
      </c>
      <c r="D381" s="22">
        <v>0.8</v>
      </c>
      <c r="E381" s="23"/>
      <c r="F381" s="23">
        <v>1</v>
      </c>
      <c r="G381" s="152">
        <f t="shared" si="47"/>
        <v>0.8</v>
      </c>
      <c r="H381" s="6"/>
      <c r="I381" s="7"/>
      <c r="J381" s="153"/>
      <c r="K381" s="23"/>
      <c r="N381">
        <f>1.83+0.53+0.53</f>
        <v>2.8900000000000006</v>
      </c>
      <c r="O381">
        <f>1.38+0.53+1.35</f>
        <v>3.26</v>
      </c>
      <c r="P381">
        <f>2.89-0.53-0.89</f>
        <v>1.4700000000000002</v>
      </c>
    </row>
    <row r="382" spans="1:16" ht="15" customHeight="1" x14ac:dyDescent="0.25">
      <c r="A382" s="182"/>
      <c r="B382" s="150" t="s">
        <v>16</v>
      </c>
      <c r="C382" s="151"/>
      <c r="D382" s="152"/>
      <c r="E382" s="152"/>
      <c r="F382" s="152"/>
      <c r="G382" s="153">
        <f>SUM(G336:G381)</f>
        <v>171.25645</v>
      </c>
      <c r="H382" s="153" t="s">
        <v>23</v>
      </c>
      <c r="I382" s="6">
        <v>326.37</v>
      </c>
      <c r="J382" s="154">
        <f>G382*I382</f>
        <v>55892.967586500003</v>
      </c>
      <c r="K382" s="178"/>
    </row>
    <row r="383" spans="1:16" ht="15" customHeight="1" x14ac:dyDescent="0.25">
      <c r="A383" s="20"/>
      <c r="B383" s="150" t="s">
        <v>30</v>
      </c>
      <c r="C383" s="21"/>
      <c r="D383" s="22"/>
      <c r="E383" s="23"/>
      <c r="F383" s="23"/>
      <c r="G383" s="7"/>
      <c r="H383" s="6"/>
      <c r="I383" s="7"/>
      <c r="J383" s="153">
        <f>0.13*G382*11036.8/100</f>
        <v>2457.160143568</v>
      </c>
      <c r="K383" s="23"/>
    </row>
    <row r="384" spans="1:16" ht="15" customHeight="1" x14ac:dyDescent="0.25">
      <c r="A384" s="20"/>
      <c r="B384" s="150"/>
      <c r="C384" s="21"/>
      <c r="D384" s="22"/>
      <c r="E384" s="23"/>
      <c r="F384" s="23"/>
      <c r="G384" s="7"/>
      <c r="H384" s="6"/>
      <c r="I384" s="7"/>
      <c r="J384" s="153"/>
      <c r="K384" s="23"/>
    </row>
    <row r="385" spans="1:18" ht="30" hidden="1" x14ac:dyDescent="0.25">
      <c r="A385" s="20">
        <v>22</v>
      </c>
      <c r="B385" s="139" t="s">
        <v>245</v>
      </c>
      <c r="C385" s="21"/>
      <c r="D385" s="22"/>
      <c r="E385" s="23"/>
      <c r="F385" s="23"/>
      <c r="G385" s="7"/>
      <c r="H385" s="6"/>
      <c r="I385" s="7"/>
      <c r="J385" s="153"/>
      <c r="K385" s="23"/>
    </row>
    <row r="386" spans="1:18" ht="15" hidden="1" customHeight="1" x14ac:dyDescent="0.25">
      <c r="A386" s="20"/>
      <c r="C386" s="21"/>
      <c r="D386" s="22"/>
      <c r="E386" s="23"/>
      <c r="F386" s="23"/>
      <c r="G386" s="152"/>
      <c r="H386" s="6"/>
      <c r="I386" s="7"/>
      <c r="J386" s="153"/>
      <c r="K386" s="23"/>
    </row>
    <row r="387" spans="1:18" ht="15" hidden="1" customHeight="1" x14ac:dyDescent="0.25">
      <c r="A387" s="20"/>
      <c r="B387" s="150" t="s">
        <v>78</v>
      </c>
      <c r="C387" s="21">
        <v>1</v>
      </c>
      <c r="D387" s="22">
        <v>10.67</v>
      </c>
      <c r="E387" s="23"/>
      <c r="F387" s="23">
        <v>2.63</v>
      </c>
      <c r="G387" s="152">
        <f t="shared" ref="G387:G417" si="49">PRODUCT(C387:F387)</f>
        <v>28.062099999999997</v>
      </c>
      <c r="H387" s="6"/>
      <c r="I387" s="7"/>
      <c r="J387" s="153"/>
      <c r="K387" s="23"/>
      <c r="M387">
        <v>1814101.88</v>
      </c>
      <c r="O387">
        <f>43000+16000</f>
        <v>59000</v>
      </c>
      <c r="P387">
        <f>26000+21000</f>
        <v>47000</v>
      </c>
    </row>
    <row r="388" spans="1:18" ht="15" hidden="1" customHeight="1" x14ac:dyDescent="0.25">
      <c r="A388" s="20"/>
      <c r="B388" s="150"/>
      <c r="C388" s="21">
        <v>1</v>
      </c>
      <c r="D388" s="22">
        <v>6.21</v>
      </c>
      <c r="E388" s="23"/>
      <c r="F388" s="23">
        <f>F386/2</f>
        <v>0</v>
      </c>
      <c r="G388" s="152">
        <f t="shared" si="49"/>
        <v>0</v>
      </c>
      <c r="H388" s="6"/>
      <c r="I388" s="7"/>
      <c r="J388" s="153"/>
      <c r="K388" s="23"/>
    </row>
    <row r="389" spans="1:18" ht="15" hidden="1" customHeight="1" x14ac:dyDescent="0.25">
      <c r="A389" s="20"/>
      <c r="C389" s="21"/>
      <c r="D389" s="22"/>
      <c r="E389" s="23"/>
      <c r="F389" s="23"/>
      <c r="G389" s="152"/>
      <c r="H389" s="6"/>
      <c r="I389" s="7"/>
      <c r="J389" s="153"/>
      <c r="K389" s="23"/>
    </row>
    <row r="390" spans="1:18" ht="15" hidden="1" customHeight="1" x14ac:dyDescent="0.25">
      <c r="A390" s="20"/>
      <c r="B390" s="150" t="s">
        <v>168</v>
      </c>
      <c r="C390" s="21">
        <v>1</v>
      </c>
      <c r="D390" s="22">
        <f>3+3+2.575+2.57+0.34+2.59+0.34+2.53+0.065*12</f>
        <v>17.725000000000001</v>
      </c>
      <c r="E390" s="23"/>
      <c r="F390" s="23">
        <v>2.42</v>
      </c>
      <c r="G390" s="152">
        <f t="shared" si="49"/>
        <v>42.894500000000001</v>
      </c>
      <c r="H390" s="6"/>
      <c r="I390" s="7"/>
      <c r="J390" s="153"/>
      <c r="K390" s="23"/>
    </row>
    <row r="391" spans="1:18" ht="15" hidden="1" customHeight="1" x14ac:dyDescent="0.25">
      <c r="A391" s="20"/>
      <c r="B391" s="150"/>
      <c r="C391" s="21">
        <v>-1</v>
      </c>
      <c r="D391" s="22">
        <f>0.76+0.93+5</f>
        <v>6.6899999999999995</v>
      </c>
      <c r="E391" s="23"/>
      <c r="F391" s="23">
        <v>2.42</v>
      </c>
      <c r="G391" s="152">
        <f t="shared" si="49"/>
        <v>-16.189799999999998</v>
      </c>
      <c r="H391" s="6"/>
      <c r="I391" s="7"/>
      <c r="J391" s="153"/>
      <c r="K391" s="23"/>
    </row>
    <row r="392" spans="1:18" ht="15" hidden="1" customHeight="1" x14ac:dyDescent="0.25">
      <c r="A392" s="20"/>
      <c r="B392" s="150" t="s">
        <v>95</v>
      </c>
      <c r="C392" s="21">
        <f>-1*1</f>
        <v>-1</v>
      </c>
      <c r="D392" s="22">
        <v>1.38</v>
      </c>
      <c r="E392" s="23"/>
      <c r="F392" s="23">
        <v>1.2</v>
      </c>
      <c r="G392" s="152">
        <f t="shared" si="49"/>
        <v>-1.6559999999999999</v>
      </c>
      <c r="H392" s="6"/>
      <c r="I392" s="7"/>
      <c r="J392" s="153"/>
      <c r="K392" s="23"/>
      <c r="Q392">
        <f>3.61*3.281</f>
        <v>11.84441</v>
      </c>
      <c r="R392">
        <f>3.635*3.281</f>
        <v>11.926435</v>
      </c>
    </row>
    <row r="393" spans="1:18" ht="15" hidden="1" customHeight="1" x14ac:dyDescent="0.25">
      <c r="A393" s="20"/>
      <c r="B393" s="150"/>
      <c r="C393" s="21">
        <f>-1*1</f>
        <v>-1</v>
      </c>
      <c r="D393" s="22">
        <v>1.42</v>
      </c>
      <c r="E393" s="23"/>
      <c r="F393" s="23">
        <v>1.2</v>
      </c>
      <c r="G393" s="152">
        <f t="shared" si="49"/>
        <v>-1.704</v>
      </c>
      <c r="H393" s="6"/>
      <c r="I393" s="7"/>
      <c r="J393" s="153"/>
      <c r="K393" s="23"/>
    </row>
    <row r="394" spans="1:18" ht="15" hidden="1" customHeight="1" x14ac:dyDescent="0.25">
      <c r="A394" s="20"/>
      <c r="B394" s="150"/>
      <c r="C394" s="21">
        <f>-1*1</f>
        <v>-1</v>
      </c>
      <c r="D394" s="22">
        <v>1.55</v>
      </c>
      <c r="E394" s="23"/>
      <c r="F394" s="23">
        <v>1.2</v>
      </c>
      <c r="G394" s="152">
        <f t="shared" si="49"/>
        <v>-1.8599999999999999</v>
      </c>
      <c r="H394" s="6"/>
      <c r="I394" s="7"/>
      <c r="J394" s="153"/>
      <c r="K394" s="23"/>
    </row>
    <row r="395" spans="1:18" ht="15" hidden="1" customHeight="1" x14ac:dyDescent="0.25">
      <c r="A395" s="20"/>
      <c r="B395" s="150" t="s">
        <v>170</v>
      </c>
      <c r="C395" s="21">
        <v>2</v>
      </c>
      <c r="D395" s="22">
        <v>3.8</v>
      </c>
      <c r="E395" s="23"/>
      <c r="F395" s="23">
        <v>1.74</v>
      </c>
      <c r="G395" s="152">
        <f t="shared" si="49"/>
        <v>13.224</v>
      </c>
      <c r="H395" s="6"/>
      <c r="I395" s="7"/>
      <c r="J395" s="153"/>
      <c r="K395" s="23"/>
    </row>
    <row r="396" spans="1:18" ht="15" hidden="1" customHeight="1" x14ac:dyDescent="0.25">
      <c r="A396" s="20"/>
      <c r="B396" s="150"/>
      <c r="C396" s="21">
        <v>2</v>
      </c>
      <c r="D396" s="22">
        <v>3.81</v>
      </c>
      <c r="E396" s="23"/>
      <c r="F396" s="23">
        <v>1.74</v>
      </c>
      <c r="G396" s="152">
        <f t="shared" si="49"/>
        <v>13.258800000000001</v>
      </c>
      <c r="H396" s="6"/>
      <c r="I396" s="7"/>
      <c r="J396" s="153"/>
      <c r="K396" s="23"/>
    </row>
    <row r="397" spans="1:18" ht="15" hidden="1" customHeight="1" x14ac:dyDescent="0.25">
      <c r="A397" s="20"/>
      <c r="B397" s="150" t="s">
        <v>76</v>
      </c>
      <c r="C397" s="21">
        <v>-1</v>
      </c>
      <c r="D397" s="22">
        <v>0.64</v>
      </c>
      <c r="E397" s="23"/>
      <c r="F397" s="23">
        <v>0.78</v>
      </c>
      <c r="G397" s="152">
        <f t="shared" si="49"/>
        <v>-0.49920000000000003</v>
      </c>
      <c r="H397" s="6"/>
      <c r="I397" s="7"/>
      <c r="J397" s="153"/>
      <c r="K397" s="23"/>
    </row>
    <row r="398" spans="1:18" ht="15" hidden="1" customHeight="1" x14ac:dyDescent="0.25">
      <c r="A398" s="20"/>
      <c r="B398" s="150"/>
      <c r="C398" s="21">
        <v>-1</v>
      </c>
      <c r="D398" s="22">
        <v>0.62</v>
      </c>
      <c r="E398" s="23"/>
      <c r="F398" s="23">
        <v>0.81</v>
      </c>
      <c r="G398" s="152">
        <f t="shared" si="49"/>
        <v>-0.50219999999999998</v>
      </c>
      <c r="H398" s="6"/>
      <c r="I398" s="7"/>
      <c r="J398" s="153"/>
      <c r="K398" s="23"/>
    </row>
    <row r="399" spans="1:18" ht="15" hidden="1" customHeight="1" x14ac:dyDescent="0.25">
      <c r="A399" s="20"/>
      <c r="B399" s="150" t="s">
        <v>171</v>
      </c>
      <c r="C399" s="21">
        <v>-1</v>
      </c>
      <c r="D399" s="22">
        <v>1.1200000000000001</v>
      </c>
      <c r="E399" s="23"/>
      <c r="F399" s="23">
        <v>1.74</v>
      </c>
      <c r="G399" s="152">
        <f t="shared" si="49"/>
        <v>-1.9488000000000001</v>
      </c>
      <c r="H399" s="6"/>
      <c r="I399" s="7"/>
      <c r="J399" s="153"/>
      <c r="K399" s="23"/>
      <c r="N399" s="44">
        <f>SUM(J382:J419)</f>
        <v>58350.127730068001</v>
      </c>
      <c r="Q399">
        <f>0.14*10</f>
        <v>1.4000000000000001</v>
      </c>
      <c r="R399">
        <f>1.4+0.32</f>
        <v>1.72</v>
      </c>
    </row>
    <row r="400" spans="1:18" ht="15" hidden="1" customHeight="1" x14ac:dyDescent="0.25">
      <c r="A400" s="20"/>
      <c r="B400" s="150"/>
      <c r="C400" s="21">
        <v>-1</v>
      </c>
      <c r="D400" s="22">
        <v>0.74</v>
      </c>
      <c r="E400" s="23"/>
      <c r="F400" s="23">
        <v>0.86</v>
      </c>
      <c r="G400" s="152">
        <f t="shared" si="49"/>
        <v>-0.63639999999999997</v>
      </c>
      <c r="H400" s="6"/>
      <c r="I400" s="7"/>
      <c r="J400" s="153"/>
      <c r="K400" s="23"/>
    </row>
    <row r="401" spans="1:13" ht="15" hidden="1" customHeight="1" x14ac:dyDescent="0.25">
      <c r="A401" s="20"/>
      <c r="B401" s="150"/>
      <c r="C401" s="21">
        <v>-1</v>
      </c>
      <c r="D401" s="22">
        <v>0.375</v>
      </c>
      <c r="E401" s="23"/>
      <c r="F401" s="23">
        <v>0.45</v>
      </c>
      <c r="G401" s="152">
        <f t="shared" si="49"/>
        <v>-0.16875000000000001</v>
      </c>
      <c r="H401" s="6"/>
      <c r="I401" s="7"/>
      <c r="J401" s="153"/>
      <c r="K401" s="23"/>
    </row>
    <row r="402" spans="1:13" ht="15" hidden="1" customHeight="1" x14ac:dyDescent="0.25">
      <c r="A402" s="20"/>
      <c r="B402" s="150"/>
      <c r="C402" s="21">
        <v>-1</v>
      </c>
      <c r="D402" s="22">
        <v>0.74</v>
      </c>
      <c r="E402" s="23"/>
      <c r="F402" s="23">
        <v>0.87</v>
      </c>
      <c r="G402" s="152">
        <f t="shared" si="49"/>
        <v>-0.64380000000000004</v>
      </c>
      <c r="H402" s="6"/>
      <c r="I402" s="7"/>
      <c r="J402" s="153"/>
      <c r="K402" s="23"/>
    </row>
    <row r="403" spans="1:13" ht="15" hidden="1" customHeight="1" x14ac:dyDescent="0.25">
      <c r="A403" s="20"/>
      <c r="B403" s="150"/>
      <c r="C403" s="21">
        <v>-1</v>
      </c>
      <c r="D403" s="22">
        <v>0.45</v>
      </c>
      <c r="E403" s="23"/>
      <c r="F403" s="23">
        <v>0.27</v>
      </c>
      <c r="G403" s="152">
        <f t="shared" si="49"/>
        <v>-0.12150000000000001</v>
      </c>
      <c r="H403" s="6"/>
      <c r="I403" s="7"/>
      <c r="J403" s="153"/>
      <c r="K403" s="23"/>
    </row>
    <row r="404" spans="1:13" ht="15" hidden="1" customHeight="1" x14ac:dyDescent="0.25">
      <c r="A404" s="20"/>
      <c r="B404" s="150" t="s">
        <v>151</v>
      </c>
      <c r="C404" s="21">
        <v>1</v>
      </c>
      <c r="D404" s="22">
        <f>7.17+4.8-0.23</f>
        <v>11.739999999999998</v>
      </c>
      <c r="E404" s="23"/>
      <c r="F404" s="23">
        <v>1</v>
      </c>
      <c r="G404" s="152">
        <f t="shared" si="49"/>
        <v>11.739999999999998</v>
      </c>
      <c r="H404" s="6"/>
      <c r="I404" s="7"/>
      <c r="J404" s="153"/>
      <c r="K404" s="23"/>
    </row>
    <row r="405" spans="1:13" ht="15" hidden="1" customHeight="1" x14ac:dyDescent="0.25">
      <c r="A405" s="20"/>
      <c r="B405" s="150"/>
      <c r="C405" s="21">
        <v>1</v>
      </c>
      <c r="D405" s="22">
        <f>3+0.75-0.115</f>
        <v>3.6349999999999998</v>
      </c>
      <c r="E405" s="23"/>
      <c r="F405" s="23">
        <v>1.34</v>
      </c>
      <c r="G405" s="152">
        <f t="shared" si="49"/>
        <v>4.8708999999999998</v>
      </c>
      <c r="H405" s="6"/>
      <c r="I405" s="7"/>
      <c r="J405" s="153"/>
      <c r="K405" s="23"/>
    </row>
    <row r="406" spans="1:13" ht="15" hidden="1" customHeight="1" x14ac:dyDescent="0.25">
      <c r="A406" s="20"/>
      <c r="B406" s="150"/>
      <c r="C406" s="21">
        <v>1</v>
      </c>
      <c r="D406" s="22">
        <v>1.03</v>
      </c>
      <c r="E406" s="23"/>
      <c r="F406" s="23">
        <v>1</v>
      </c>
      <c r="G406" s="152">
        <f t="shared" si="49"/>
        <v>1.03</v>
      </c>
      <c r="H406" s="6"/>
      <c r="I406" s="7"/>
      <c r="J406" s="153"/>
      <c r="K406" s="23"/>
    </row>
    <row r="407" spans="1:13" ht="15" hidden="1" customHeight="1" x14ac:dyDescent="0.25">
      <c r="A407" s="20"/>
      <c r="B407" s="150"/>
      <c r="C407" s="21">
        <v>1</v>
      </c>
      <c r="D407" s="22">
        <f>17*0.13</f>
        <v>2.21</v>
      </c>
      <c r="E407" s="23"/>
      <c r="F407" s="23">
        <v>1</v>
      </c>
      <c r="G407" s="152">
        <f t="shared" si="49"/>
        <v>2.21</v>
      </c>
      <c r="H407" s="6"/>
      <c r="I407" s="7"/>
      <c r="J407" s="153"/>
      <c r="K407" s="23"/>
    </row>
    <row r="408" spans="1:13" ht="15" hidden="1" customHeight="1" x14ac:dyDescent="0.25">
      <c r="A408" s="20"/>
      <c r="B408" s="150"/>
      <c r="C408" s="21">
        <v>1</v>
      </c>
      <c r="D408" s="22">
        <f>5*0.13</f>
        <v>0.65</v>
      </c>
      <c r="E408" s="23"/>
      <c r="F408" s="23">
        <v>1.335</v>
      </c>
      <c r="G408" s="152">
        <f t="shared" si="49"/>
        <v>0.86775000000000002</v>
      </c>
      <c r="H408" s="6"/>
      <c r="I408" s="7"/>
      <c r="J408" s="153"/>
      <c r="K408" s="23"/>
    </row>
    <row r="409" spans="1:13" ht="15" hidden="1" customHeight="1" x14ac:dyDescent="0.25">
      <c r="A409" s="20"/>
      <c r="B409" s="150" t="s">
        <v>172</v>
      </c>
      <c r="C409" s="21">
        <v>1</v>
      </c>
      <c r="D409" s="22">
        <f>6.16+0.9+1</f>
        <v>8.06</v>
      </c>
      <c r="E409" s="23"/>
      <c r="F409" s="23">
        <f>0.14*10+0.23</f>
        <v>1.6300000000000001</v>
      </c>
      <c r="G409" s="152">
        <f t="shared" si="49"/>
        <v>13.137800000000002</v>
      </c>
      <c r="H409" s="6"/>
      <c r="I409" s="7"/>
      <c r="J409" s="153"/>
      <c r="K409" s="23"/>
    </row>
    <row r="410" spans="1:13" ht="15" hidden="1" customHeight="1" x14ac:dyDescent="0.25">
      <c r="A410" s="20"/>
      <c r="B410" s="150"/>
      <c r="C410" s="21">
        <v>1</v>
      </c>
      <c r="D410" s="22">
        <v>2.75</v>
      </c>
      <c r="E410" s="23"/>
      <c r="F410" s="23">
        <f>1.82</f>
        <v>1.82</v>
      </c>
      <c r="G410" s="152">
        <f t="shared" si="49"/>
        <v>5.0049999999999999</v>
      </c>
      <c r="H410" s="6"/>
      <c r="I410" s="7"/>
      <c r="J410" s="153"/>
      <c r="K410" s="23"/>
    </row>
    <row r="411" spans="1:13" ht="15" hidden="1" customHeight="1" x14ac:dyDescent="0.25">
      <c r="A411" s="20"/>
      <c r="B411" s="150"/>
      <c r="C411" s="21">
        <v>1</v>
      </c>
      <c r="D411" s="22">
        <v>0.73</v>
      </c>
      <c r="E411" s="23"/>
      <c r="F411" s="23">
        <v>1.27</v>
      </c>
      <c r="G411" s="152">
        <f t="shared" si="49"/>
        <v>0.92710000000000004</v>
      </c>
      <c r="H411" s="6"/>
      <c r="I411" s="7"/>
      <c r="J411" s="153"/>
      <c r="K411" s="23"/>
    </row>
    <row r="412" spans="1:13" ht="15" hidden="1" customHeight="1" x14ac:dyDescent="0.25">
      <c r="A412" s="20"/>
      <c r="B412" s="150"/>
      <c r="C412" s="21">
        <v>1</v>
      </c>
      <c r="D412" s="22">
        <v>1.06</v>
      </c>
      <c r="E412" s="23"/>
      <c r="F412" s="23">
        <v>0.75</v>
      </c>
      <c r="G412" s="152">
        <f t="shared" si="49"/>
        <v>0.79500000000000004</v>
      </c>
      <c r="H412" s="6"/>
      <c r="I412" s="7"/>
      <c r="J412" s="153"/>
      <c r="K412" s="23"/>
    </row>
    <row r="413" spans="1:13" ht="15" hidden="1" customHeight="1" x14ac:dyDescent="0.25">
      <c r="A413" s="20"/>
      <c r="B413" s="150"/>
      <c r="C413" s="21">
        <v>1</v>
      </c>
      <c r="D413" s="22">
        <v>0.9</v>
      </c>
      <c r="E413" s="23"/>
      <c r="F413" s="23">
        <v>0.75</v>
      </c>
      <c r="G413" s="152">
        <f t="shared" si="49"/>
        <v>0.67500000000000004</v>
      </c>
      <c r="H413" s="6"/>
      <c r="I413" s="7"/>
      <c r="J413" s="153"/>
      <c r="K413" s="23"/>
    </row>
    <row r="414" spans="1:13" ht="15" hidden="1" customHeight="1" x14ac:dyDescent="0.25">
      <c r="A414" s="20"/>
      <c r="B414" s="150"/>
      <c r="C414" s="21">
        <v>1</v>
      </c>
      <c r="D414" s="22">
        <v>3.35</v>
      </c>
      <c r="E414" s="23"/>
      <c r="F414" s="23">
        <v>1.21</v>
      </c>
      <c r="G414" s="152">
        <f t="shared" si="49"/>
        <v>4.0534999999999997</v>
      </c>
      <c r="H414" s="6"/>
      <c r="I414" s="7"/>
      <c r="J414" s="153"/>
      <c r="K414" s="23"/>
    </row>
    <row r="415" spans="1:13" ht="15" hidden="1" customHeight="1" x14ac:dyDescent="0.25">
      <c r="A415" s="20"/>
      <c r="B415" s="150"/>
      <c r="C415" s="21">
        <v>1</v>
      </c>
      <c r="D415" s="22">
        <v>2.02</v>
      </c>
      <c r="E415" s="23"/>
      <c r="F415" s="23">
        <v>0.62</v>
      </c>
      <c r="G415" s="152">
        <f t="shared" si="49"/>
        <v>1.2524</v>
      </c>
      <c r="H415" s="6"/>
      <c r="I415" s="7"/>
      <c r="J415" s="153"/>
      <c r="K415" s="23"/>
    </row>
    <row r="416" spans="1:13" ht="15" hidden="1" customHeight="1" x14ac:dyDescent="0.25">
      <c r="A416" s="20"/>
      <c r="B416" s="150"/>
      <c r="C416" s="21">
        <v>1</v>
      </c>
      <c r="D416" s="22">
        <v>1.1000000000000001</v>
      </c>
      <c r="E416" s="23"/>
      <c r="F416" s="23">
        <v>0.63</v>
      </c>
      <c r="G416" s="152">
        <f t="shared" si="49"/>
        <v>0.69300000000000006</v>
      </c>
      <c r="H416" s="6"/>
      <c r="I416" s="7"/>
      <c r="J416" s="153"/>
      <c r="K416" s="23"/>
      <c r="M416" s="44">
        <f>SUM(J382:J419)</f>
        <v>58350.127730068001</v>
      </c>
    </row>
    <row r="417" spans="1:11" ht="15" hidden="1" customHeight="1" x14ac:dyDescent="0.25">
      <c r="A417" s="20"/>
      <c r="B417" s="150"/>
      <c r="C417" s="21">
        <v>1</v>
      </c>
      <c r="D417" s="22">
        <v>4.75</v>
      </c>
      <c r="E417" s="23"/>
      <c r="F417" s="23">
        <v>1.21</v>
      </c>
      <c r="G417" s="152">
        <f t="shared" si="49"/>
        <v>5.7474999999999996</v>
      </c>
      <c r="H417" s="6"/>
      <c r="I417" s="7"/>
      <c r="J417" s="153"/>
      <c r="K417" s="23"/>
    </row>
    <row r="418" spans="1:11" ht="15" hidden="1" customHeight="1" x14ac:dyDescent="0.25">
      <c r="A418" s="182"/>
      <c r="B418" s="150" t="s">
        <v>16</v>
      </c>
      <c r="C418" s="151"/>
      <c r="D418" s="152"/>
      <c r="E418" s="152"/>
      <c r="F418" s="152"/>
      <c r="G418" s="153">
        <f>0*SUM(G387:G417)</f>
        <v>0</v>
      </c>
      <c r="H418" s="153" t="s">
        <v>23</v>
      </c>
      <c r="I418" s="6">
        <v>213.29</v>
      </c>
      <c r="J418" s="154">
        <f>G418*I418</f>
        <v>0</v>
      </c>
      <c r="K418" s="178"/>
    </row>
    <row r="419" spans="1:11" ht="15" hidden="1" customHeight="1" x14ac:dyDescent="0.25">
      <c r="A419" s="20"/>
      <c r="B419" s="150" t="s">
        <v>30</v>
      </c>
      <c r="C419" s="21"/>
      <c r="D419" s="22"/>
      <c r="E419" s="23"/>
      <c r="F419" s="23"/>
      <c r="G419" s="7"/>
      <c r="H419" s="6"/>
      <c r="I419" s="7"/>
      <c r="J419" s="153">
        <f>0.13*G418*7228.2/100</f>
        <v>0</v>
      </c>
      <c r="K419" s="23"/>
    </row>
    <row r="420" spans="1:11" ht="15" hidden="1" customHeight="1" x14ac:dyDescent="0.25">
      <c r="A420" s="20"/>
      <c r="B420" s="150"/>
      <c r="C420" s="21"/>
      <c r="D420" s="22"/>
      <c r="E420" s="23"/>
      <c r="F420" s="23"/>
      <c r="G420" s="7"/>
      <c r="H420" s="6"/>
      <c r="I420" s="7"/>
      <c r="J420" s="153"/>
      <c r="K420" s="23"/>
    </row>
    <row r="421" spans="1:11" ht="150" x14ac:dyDescent="0.25">
      <c r="A421" s="20">
        <v>22</v>
      </c>
      <c r="B421" s="139" t="s">
        <v>102</v>
      </c>
      <c r="C421" s="21"/>
      <c r="D421" s="22"/>
      <c r="E421" s="23"/>
      <c r="F421" s="23"/>
      <c r="G421" s="7"/>
      <c r="H421" s="6"/>
      <c r="I421" s="7"/>
      <c r="J421" s="153"/>
      <c r="K421" s="23"/>
    </row>
    <row r="422" spans="1:11" ht="15" customHeight="1" x14ac:dyDescent="0.25">
      <c r="A422" s="20"/>
      <c r="B422" s="150" t="str">
        <f>B73</f>
        <v>-Extending compound</v>
      </c>
      <c r="C422" s="151">
        <v>1</v>
      </c>
      <c r="D422" s="22">
        <f>1.76+6.86+6.83+0.71</f>
        <v>16.16</v>
      </c>
      <c r="E422" s="23"/>
      <c r="F422" s="23">
        <v>1.5</v>
      </c>
      <c r="G422" s="152">
        <f>PRODUCT(C422:F422)</f>
        <v>24.240000000000002</v>
      </c>
      <c r="H422" s="6"/>
      <c r="I422" s="7"/>
      <c r="J422" s="153"/>
      <c r="K422" s="23"/>
    </row>
    <row r="423" spans="1:11" ht="15" hidden="1" customHeight="1" x14ac:dyDescent="0.25">
      <c r="A423" s="20"/>
      <c r="B423" s="150"/>
      <c r="C423" s="151">
        <v>0</v>
      </c>
      <c r="D423" s="22">
        <v>1</v>
      </c>
      <c r="E423" s="23"/>
      <c r="F423" s="23">
        <f>9.75/12/3.281</f>
        <v>0.24763791526973483</v>
      </c>
      <c r="G423" s="152">
        <f>PRODUCT(C423:F423)</f>
        <v>0</v>
      </c>
      <c r="H423" s="6"/>
      <c r="I423" s="7"/>
      <c r="J423" s="153"/>
      <c r="K423" s="23"/>
    </row>
    <row r="424" spans="1:11" ht="15" customHeight="1" x14ac:dyDescent="0.25">
      <c r="A424" s="20"/>
      <c r="B424" s="150"/>
      <c r="C424" s="151">
        <v>1</v>
      </c>
      <c r="D424" s="22">
        <f>44/3.281</f>
        <v>13.41054556537641</v>
      </c>
      <c r="E424" s="23"/>
      <c r="F424" s="23">
        <v>1.5</v>
      </c>
      <c r="G424" s="152">
        <f>PRODUCT(C424:F424)</f>
        <v>20.115818348064614</v>
      </c>
      <c r="H424" s="6"/>
      <c r="I424" s="7"/>
      <c r="J424" s="153"/>
      <c r="K424" s="23"/>
    </row>
    <row r="425" spans="1:11" ht="15" customHeight="1" x14ac:dyDescent="0.25">
      <c r="A425" s="182"/>
      <c r="B425" s="150" t="s">
        <v>16</v>
      </c>
      <c r="C425" s="151"/>
      <c r="D425" s="152"/>
      <c r="E425" s="152"/>
      <c r="F425" s="152"/>
      <c r="G425" s="153">
        <f>SUM(G422:G424)</f>
        <v>44.355818348064616</v>
      </c>
      <c r="H425" s="153" t="s">
        <v>23</v>
      </c>
      <c r="I425" s="6">
        <v>3213.56</v>
      </c>
      <c r="J425" s="154">
        <f>G425*I425</f>
        <v>142540.08361060653</v>
      </c>
      <c r="K425" s="178"/>
    </row>
    <row r="426" spans="1:11" ht="15" customHeight="1" x14ac:dyDescent="0.25">
      <c r="A426" s="20"/>
      <c r="B426" s="150" t="s">
        <v>30</v>
      </c>
      <c r="C426" s="21"/>
      <c r="D426" s="22"/>
      <c r="E426" s="23"/>
      <c r="F426" s="23"/>
      <c r="G426" s="7"/>
      <c r="H426" s="6"/>
      <c r="I426" s="7"/>
      <c r="J426" s="153">
        <f>0.13*G425*1672.66/10</f>
        <v>964.49864053495889</v>
      </c>
      <c r="K426" s="23"/>
    </row>
    <row r="427" spans="1:11" ht="15" customHeight="1" x14ac:dyDescent="0.25">
      <c r="A427" s="20"/>
      <c r="B427" s="150"/>
      <c r="C427" s="21"/>
      <c r="D427" s="22"/>
      <c r="E427" s="23"/>
      <c r="F427" s="23"/>
      <c r="G427" s="7"/>
      <c r="H427" s="6"/>
      <c r="I427" s="7"/>
      <c r="J427" s="153"/>
      <c r="K427" s="23"/>
    </row>
    <row r="428" spans="1:11" ht="60" x14ac:dyDescent="0.25">
      <c r="A428" s="20">
        <v>23</v>
      </c>
      <c r="B428" s="139" t="s">
        <v>236</v>
      </c>
      <c r="C428" s="151"/>
      <c r="D428" s="152"/>
      <c r="E428" s="152"/>
      <c r="F428" s="152"/>
      <c r="G428" s="153"/>
      <c r="H428" s="182"/>
      <c r="I428" s="153"/>
      <c r="J428" s="153"/>
      <c r="K428" s="23"/>
    </row>
    <row r="429" spans="1:11" x14ac:dyDescent="0.25">
      <c r="A429" s="20"/>
      <c r="B429" s="150" t="s">
        <v>237</v>
      </c>
      <c r="C429" s="151">
        <v>1</v>
      </c>
      <c r="D429" s="152">
        <f>6.15+0.9</f>
        <v>7.0500000000000007</v>
      </c>
      <c r="E429" s="152">
        <v>0.23</v>
      </c>
      <c r="F429" s="152">
        <v>0.5</v>
      </c>
      <c r="G429" s="152">
        <f>PRODUCT(C429:F429)</f>
        <v>0.81075000000000008</v>
      </c>
      <c r="H429" s="182"/>
      <c r="I429" s="153"/>
      <c r="J429" s="153"/>
      <c r="K429" s="23"/>
    </row>
    <row r="430" spans="1:11" x14ac:dyDescent="0.25">
      <c r="A430" s="20"/>
      <c r="B430" s="150" t="s">
        <v>157</v>
      </c>
      <c r="C430" s="151">
        <v>5</v>
      </c>
      <c r="D430" s="152">
        <v>0.23</v>
      </c>
      <c r="E430" s="152">
        <v>0.11</v>
      </c>
      <c r="F430" s="152">
        <v>0.5</v>
      </c>
      <c r="G430" s="152">
        <f>PRODUCT(C430:F430)</f>
        <v>6.3250000000000015E-2</v>
      </c>
      <c r="H430" s="182"/>
      <c r="I430" s="153"/>
      <c r="J430" s="153"/>
      <c r="K430" s="23"/>
    </row>
    <row r="431" spans="1:11" x14ac:dyDescent="0.25">
      <c r="A431" s="20"/>
      <c r="B431" s="150"/>
      <c r="C431" s="151">
        <v>1</v>
      </c>
      <c r="D431" s="152">
        <v>0.7</v>
      </c>
      <c r="E431" s="152">
        <v>0.23</v>
      </c>
      <c r="F431" s="152">
        <v>0.5</v>
      </c>
      <c r="G431" s="152">
        <f>PRODUCT(C431:F431)</f>
        <v>8.0500000000000002E-2</v>
      </c>
      <c r="H431" s="182"/>
      <c r="I431" s="153"/>
      <c r="J431" s="153"/>
      <c r="K431" s="23"/>
    </row>
    <row r="432" spans="1:11" x14ac:dyDescent="0.25">
      <c r="A432" s="20"/>
      <c r="B432" s="150" t="s">
        <v>238</v>
      </c>
      <c r="C432" s="151">
        <v>0.5</v>
      </c>
      <c r="D432" s="152">
        <v>2.75</v>
      </c>
      <c r="E432" s="152">
        <v>0.4</v>
      </c>
      <c r="F432" s="152">
        <f>1.82+0.23</f>
        <v>2.0500000000000003</v>
      </c>
      <c r="G432" s="152">
        <f>PRODUCT(C432:F432)</f>
        <v>1.1275000000000002</v>
      </c>
      <c r="H432" s="182"/>
      <c r="I432" s="153"/>
      <c r="J432" s="153"/>
      <c r="K432" s="23"/>
    </row>
    <row r="433" spans="1:13" x14ac:dyDescent="0.25">
      <c r="A433" s="20"/>
      <c r="B433" s="150"/>
      <c r="C433" s="151">
        <v>1</v>
      </c>
      <c r="D433" s="152">
        <v>2.75</v>
      </c>
      <c r="E433" s="152">
        <v>0.23</v>
      </c>
      <c r="F433" s="152">
        <v>1.5</v>
      </c>
      <c r="G433" s="152">
        <f>PRODUCT(C433:F433)</f>
        <v>0.94875000000000009</v>
      </c>
      <c r="H433" s="182"/>
      <c r="I433" s="153"/>
      <c r="J433" s="153"/>
      <c r="K433" s="23"/>
    </row>
    <row r="434" spans="1:13" ht="15" customHeight="1" x14ac:dyDescent="0.25">
      <c r="A434" s="182"/>
      <c r="B434" s="150" t="s">
        <v>16</v>
      </c>
      <c r="C434" s="151"/>
      <c r="D434" s="152"/>
      <c r="E434" s="152"/>
      <c r="F434" s="152"/>
      <c r="G434" s="153">
        <f>SUM(G429:G433)</f>
        <v>3.0307500000000003</v>
      </c>
      <c r="H434" s="153" t="s">
        <v>18</v>
      </c>
      <c r="I434" s="6">
        <v>5755.67</v>
      </c>
      <c r="J434" s="154">
        <f>G434*I434</f>
        <v>17443.9968525</v>
      </c>
      <c r="K434" s="178"/>
      <c r="M434">
        <f>14520*G434</f>
        <v>44006.490000000005</v>
      </c>
    </row>
    <row r="435" spans="1:13" ht="15" customHeight="1" x14ac:dyDescent="0.25">
      <c r="A435" s="20"/>
      <c r="B435" s="150" t="s">
        <v>30</v>
      </c>
      <c r="C435" s="21"/>
      <c r="D435" s="22"/>
      <c r="E435" s="23"/>
      <c r="F435" s="23"/>
      <c r="G435" s="7"/>
      <c r="H435" s="6"/>
      <c r="I435" s="7"/>
      <c r="J435" s="153">
        <f>0.13*G434*1790.27</f>
        <v>705.36190432500007</v>
      </c>
      <c r="K435" s="23"/>
    </row>
    <row r="436" spans="1:13" ht="15" customHeight="1" x14ac:dyDescent="0.25">
      <c r="A436" s="20"/>
      <c r="B436" s="150"/>
      <c r="C436" s="21"/>
      <c r="D436" s="22"/>
      <c r="E436" s="23"/>
      <c r="F436" s="23"/>
      <c r="G436" s="7"/>
      <c r="H436" s="6"/>
      <c r="I436" s="7"/>
      <c r="J436" s="153"/>
      <c r="K436" s="23"/>
    </row>
    <row r="437" spans="1:13" ht="30" x14ac:dyDescent="0.25">
      <c r="A437" s="20">
        <v>24</v>
      </c>
      <c r="B437" s="211" t="s">
        <v>273</v>
      </c>
      <c r="C437" s="21"/>
      <c r="D437" s="22"/>
      <c r="E437" s="23"/>
      <c r="F437" s="23"/>
      <c r="G437" s="7"/>
      <c r="H437" s="6"/>
      <c r="I437" s="7"/>
      <c r="J437" s="153"/>
      <c r="K437" s="23"/>
    </row>
    <row r="438" spans="1:13" x14ac:dyDescent="0.25">
      <c r="A438" s="20"/>
      <c r="B438" s="150" t="s">
        <v>274</v>
      </c>
      <c r="C438" s="151">
        <v>1</v>
      </c>
      <c r="D438" s="152">
        <f>11.833/3.281</f>
        <v>3.6065224017067967</v>
      </c>
      <c r="E438" s="152">
        <f>9.583/3.281</f>
        <v>2.9207558671136846</v>
      </c>
      <c r="F438" s="152"/>
      <c r="G438" s="152">
        <f>PRODUCT(C438:F438)</f>
        <v>10.533771464662063</v>
      </c>
      <c r="H438" s="182"/>
      <c r="I438" s="153"/>
      <c r="J438" s="153"/>
      <c r="K438" s="23"/>
    </row>
    <row r="439" spans="1:13" x14ac:dyDescent="0.25">
      <c r="A439" s="20"/>
      <c r="B439" s="150"/>
      <c r="C439" s="151">
        <v>1</v>
      </c>
      <c r="D439" s="152">
        <f>5/3.281</f>
        <v>1.5239256324291375</v>
      </c>
      <c r="E439" s="152">
        <f>3.917/3.281</f>
        <v>1.1938433404449862</v>
      </c>
      <c r="F439" s="152"/>
      <c r="G439" s="152">
        <f>PRODUCT(C439:F439)</f>
        <v>1.8193284676089396</v>
      </c>
      <c r="H439" s="182"/>
      <c r="I439" s="153"/>
      <c r="J439" s="153"/>
      <c r="K439" s="23"/>
    </row>
    <row r="440" spans="1:13" x14ac:dyDescent="0.25">
      <c r="A440" s="20"/>
      <c r="B440" s="150"/>
      <c r="C440" s="151">
        <v>1</v>
      </c>
      <c r="D440" s="152">
        <f>4.25/3.281</f>
        <v>1.2953367875647668</v>
      </c>
      <c r="E440" s="152">
        <f>1.917/3.281</f>
        <v>0.58427308747333129</v>
      </c>
      <c r="F440" s="152"/>
      <c r="G440" s="152">
        <f>PRODUCT(C440:F440)</f>
        <v>0.75683042418825297</v>
      </c>
      <c r="H440" s="182"/>
      <c r="I440" s="153"/>
      <c r="J440" s="153"/>
      <c r="K440" s="23"/>
    </row>
    <row r="441" spans="1:13" ht="15" customHeight="1" x14ac:dyDescent="0.25">
      <c r="A441" s="182"/>
      <c r="B441" s="150" t="s">
        <v>16</v>
      </c>
      <c r="C441" s="151"/>
      <c r="D441" s="152"/>
      <c r="E441" s="152"/>
      <c r="F441" s="152"/>
      <c r="G441" s="153">
        <f>SUM(G438:G440)</f>
        <v>13.109930356459257</v>
      </c>
      <c r="H441" s="153" t="s">
        <v>18</v>
      </c>
      <c r="I441" s="6">
        <v>1885.53</v>
      </c>
      <c r="J441" s="154">
        <f>G441*I441</f>
        <v>24719.166985014621</v>
      </c>
      <c r="K441" s="178"/>
    </row>
    <row r="442" spans="1:13" ht="15" customHeight="1" x14ac:dyDescent="0.25">
      <c r="A442" s="20"/>
      <c r="B442" s="150" t="s">
        <v>30</v>
      </c>
      <c r="C442" s="21"/>
      <c r="D442" s="22"/>
      <c r="E442" s="23"/>
      <c r="F442" s="23"/>
      <c r="G442" s="7"/>
      <c r="H442" s="6"/>
      <c r="I442" s="7"/>
      <c r="J442" s="153">
        <f>0.13*G441*(12405.35/10)</f>
        <v>2114.2325691175242</v>
      </c>
      <c r="K442" s="23"/>
    </row>
    <row r="443" spans="1:13" ht="15" customHeight="1" x14ac:dyDescent="0.25">
      <c r="A443" s="20"/>
      <c r="B443" s="150"/>
      <c r="C443" s="21"/>
      <c r="D443" s="22"/>
      <c r="E443" s="23"/>
      <c r="F443" s="23"/>
      <c r="G443" s="7"/>
      <c r="H443" s="6"/>
      <c r="I443" s="7"/>
      <c r="J443" s="153"/>
      <c r="K443" s="23"/>
    </row>
    <row r="444" spans="1:13" ht="30" x14ac:dyDescent="0.25">
      <c r="A444" s="20">
        <v>25</v>
      </c>
      <c r="B444" s="190" t="s">
        <v>257</v>
      </c>
      <c r="C444" s="151">
        <v>1</v>
      </c>
      <c r="D444" s="152"/>
      <c r="E444" s="152"/>
      <c r="F444" s="152"/>
      <c r="G444" s="153">
        <f>PRODUCT(C444:F444)</f>
        <v>1</v>
      </c>
      <c r="H444" s="182" t="s">
        <v>242</v>
      </c>
      <c r="I444" s="153">
        <v>50000</v>
      </c>
      <c r="J444" s="153">
        <f>G444*I444</f>
        <v>50000</v>
      </c>
      <c r="K444" s="23"/>
    </row>
    <row r="445" spans="1:13" ht="15" customHeight="1" x14ac:dyDescent="0.25">
      <c r="A445" s="20"/>
      <c r="B445" s="190"/>
      <c r="C445" s="151"/>
      <c r="D445" s="152"/>
      <c r="E445" s="152"/>
      <c r="F445" s="152"/>
      <c r="G445" s="153"/>
      <c r="H445" s="182"/>
      <c r="I445" s="153"/>
      <c r="J445" s="153"/>
      <c r="K445" s="23"/>
    </row>
    <row r="446" spans="1:13" x14ac:dyDescent="0.25">
      <c r="A446" s="182">
        <v>26</v>
      </c>
      <c r="B446" s="10" t="s">
        <v>19</v>
      </c>
      <c r="C446" s="151">
        <v>1</v>
      </c>
      <c r="D446" s="152"/>
      <c r="E446" s="152"/>
      <c r="F446" s="152"/>
      <c r="G446" s="153">
        <f>PRODUCT(C446:F446)</f>
        <v>1</v>
      </c>
      <c r="H446" s="182" t="s">
        <v>20</v>
      </c>
      <c r="I446" s="153">
        <v>1000</v>
      </c>
      <c r="J446" s="153">
        <f>G446*I446</f>
        <v>1000</v>
      </c>
      <c r="K446" s="178"/>
    </row>
    <row r="447" spans="1:13" x14ac:dyDescent="0.25">
      <c r="A447" s="182"/>
      <c r="B447" s="191" t="s">
        <v>21</v>
      </c>
      <c r="C447" s="151"/>
      <c r="D447" s="152"/>
      <c r="E447" s="152"/>
      <c r="F447" s="152"/>
      <c r="G447" s="152"/>
      <c r="H447" s="178"/>
      <c r="I447" s="152"/>
      <c r="J447" s="153">
        <f>SUM(J9:J446)</f>
        <v>1814101.8849886646</v>
      </c>
      <c r="K447" s="178"/>
    </row>
    <row r="449" spans="1:11" s="9" customFormat="1" x14ac:dyDescent="0.25">
      <c r="B449" s="11" t="s">
        <v>24</v>
      </c>
      <c r="C449" s="219">
        <f>J447</f>
        <v>1814101.8849886646</v>
      </c>
      <c r="D449" s="220"/>
      <c r="E449" s="12">
        <v>100</v>
      </c>
      <c r="F449" s="13"/>
      <c r="G449" s="14"/>
      <c r="H449" s="13"/>
      <c r="I449" s="15"/>
      <c r="J449" s="16"/>
      <c r="K449" s="17"/>
    </row>
    <row r="450" spans="1:11" x14ac:dyDescent="0.25">
      <c r="A450" s="18"/>
      <c r="B450" s="11" t="s">
        <v>25</v>
      </c>
      <c r="C450" s="222">
        <v>1600000</v>
      </c>
      <c r="D450" s="223"/>
      <c r="E450" s="12"/>
      <c r="G450" s="18"/>
      <c r="H450" s="18"/>
      <c r="I450" s="18"/>
      <c r="J450" s="52"/>
    </row>
    <row r="451" spans="1:11" x14ac:dyDescent="0.25">
      <c r="A451" s="18"/>
      <c r="B451" s="11" t="s">
        <v>26</v>
      </c>
      <c r="C451" s="222">
        <f>C450-C453-C454</f>
        <v>1520000</v>
      </c>
      <c r="D451" s="223"/>
      <c r="E451" s="12">
        <f>C451/C449*100</f>
        <v>83.7880172319813</v>
      </c>
      <c r="G451" s="18"/>
      <c r="H451" s="18"/>
      <c r="I451" s="18"/>
      <c r="J451" s="18"/>
    </row>
    <row r="452" spans="1:11" x14ac:dyDescent="0.25">
      <c r="A452" s="18"/>
      <c r="B452" s="11" t="s">
        <v>27</v>
      </c>
      <c r="C452" s="224">
        <f>C449-C451</f>
        <v>294101.88498866465</v>
      </c>
      <c r="D452" s="224"/>
      <c r="E452" s="12">
        <f>100-E451</f>
        <v>16.2119827680187</v>
      </c>
      <c r="G452" s="18"/>
      <c r="H452" s="18"/>
      <c r="I452" s="18"/>
      <c r="J452" s="18"/>
    </row>
    <row r="453" spans="1:11" x14ac:dyDescent="0.25">
      <c r="A453" s="18"/>
      <c r="B453" s="11" t="s">
        <v>28</v>
      </c>
      <c r="C453" s="219">
        <f>C450*0.03</f>
        <v>48000</v>
      </c>
      <c r="D453" s="220"/>
      <c r="E453" s="12">
        <v>3</v>
      </c>
      <c r="G453" s="18"/>
      <c r="H453" s="18"/>
      <c r="I453" s="18"/>
      <c r="J453" s="18"/>
    </row>
    <row r="454" spans="1:11" x14ac:dyDescent="0.25">
      <c r="A454" s="18"/>
      <c r="B454" s="11" t="s">
        <v>29</v>
      </c>
      <c r="C454" s="219">
        <f>C450*0.02</f>
        <v>32000</v>
      </c>
      <c r="D454" s="220"/>
      <c r="E454" s="12">
        <v>2</v>
      </c>
      <c r="G454" s="18"/>
      <c r="H454" s="18"/>
      <c r="I454" s="18"/>
      <c r="J454" s="18"/>
    </row>
    <row r="457" spans="1:11" x14ac:dyDescent="0.25">
      <c r="J457">
        <v>1814101.88</v>
      </c>
    </row>
    <row r="458" spans="1:11" x14ac:dyDescent="0.25">
      <c r="C458" s="230">
        <v>1814101.8824807985</v>
      </c>
      <c r="D458" s="230"/>
      <c r="E458" s="44">
        <v>100</v>
      </c>
    </row>
    <row r="459" spans="1:11" x14ac:dyDescent="0.25">
      <c r="C459" s="230">
        <v>1600000</v>
      </c>
      <c r="D459" s="230"/>
      <c r="E459" s="44"/>
    </row>
    <row r="460" spans="1:11" x14ac:dyDescent="0.25">
      <c r="C460" s="230">
        <v>1520000</v>
      </c>
      <c r="D460" s="230"/>
      <c r="E460" s="44">
        <v>83.788017347812243</v>
      </c>
    </row>
    <row r="461" spans="1:11" x14ac:dyDescent="0.25">
      <c r="C461" s="230">
        <v>294101.88248079852</v>
      </c>
      <c r="D461" s="230"/>
      <c r="E461" s="44">
        <v>16.211982652187757</v>
      </c>
    </row>
    <row r="462" spans="1:11" x14ac:dyDescent="0.25">
      <c r="C462" s="230">
        <v>48000</v>
      </c>
      <c r="D462" s="230"/>
      <c r="E462" s="44">
        <v>3</v>
      </c>
    </row>
    <row r="463" spans="1:11" x14ac:dyDescent="0.25">
      <c r="C463" s="230">
        <v>32000</v>
      </c>
      <c r="D463" s="230"/>
      <c r="E463" s="44">
        <v>2</v>
      </c>
    </row>
  </sheetData>
  <mergeCells count="31">
    <mergeCell ref="C463:D463"/>
    <mergeCell ref="C458:D458"/>
    <mergeCell ref="C459:D459"/>
    <mergeCell ref="C460:D460"/>
    <mergeCell ref="C461:D461"/>
    <mergeCell ref="C462:D462"/>
    <mergeCell ref="C450:D450"/>
    <mergeCell ref="C451:D451"/>
    <mergeCell ref="C452:D452"/>
    <mergeCell ref="C453:D453"/>
    <mergeCell ref="C454:D454"/>
    <mergeCell ref="C449:D449"/>
    <mergeCell ref="A7:F7"/>
    <mergeCell ref="H7:K7"/>
    <mergeCell ref="K42:K43"/>
    <mergeCell ref="C105:C106"/>
    <mergeCell ref="F105:F106"/>
    <mergeCell ref="C107:C108"/>
    <mergeCell ref="F107:F108"/>
    <mergeCell ref="C109:C110"/>
    <mergeCell ref="F109:F110"/>
    <mergeCell ref="K216:K219"/>
    <mergeCell ref="K221:K226"/>
    <mergeCell ref="K227:K231"/>
    <mergeCell ref="A6:F6"/>
    <mergeCell ref="H6:K6"/>
    <mergeCell ref="A1:K1"/>
    <mergeCell ref="A2:K2"/>
    <mergeCell ref="A3:K3"/>
    <mergeCell ref="A4:K4"/>
    <mergeCell ref="A5:K5"/>
  </mergeCells>
  <pageMargins left="0.7" right="0.7" top="0.75" bottom="0.75" header="0.3" footer="0.3"/>
  <pageSetup paperSize="9" scale="75" orientation="portrait" r:id="rId1"/>
  <headerFooter>
    <oddFooter>&amp;LPrepared By:
Kristal Suwal&amp;CChecked By:
Er. Milan Phuyal&amp;RApproved By:
Er. Prakash Singh Saud</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
  <sheetViews>
    <sheetView topLeftCell="A87" zoomScaleNormal="100" workbookViewId="0">
      <selection activeCell="J24" sqref="J24"/>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11.7109375" bestFit="1" customWidth="1"/>
  </cols>
  <sheetData>
    <row r="1" spans="1:13" x14ac:dyDescent="0.25">
      <c r="A1" s="241" t="s">
        <v>0</v>
      </c>
      <c r="B1" s="241"/>
      <c r="C1" s="241"/>
      <c r="D1" s="241"/>
      <c r="E1" s="241"/>
      <c r="F1" s="241"/>
      <c r="G1" s="241"/>
      <c r="H1" s="241"/>
      <c r="I1" s="241"/>
      <c r="J1" s="241"/>
      <c r="K1" s="241"/>
    </row>
    <row r="2" spans="1:13" ht="25.5" x14ac:dyDescent="0.35">
      <c r="A2" s="242" t="s">
        <v>1</v>
      </c>
      <c r="B2" s="242"/>
      <c r="C2" s="242"/>
      <c r="D2" s="242"/>
      <c r="E2" s="242"/>
      <c r="F2" s="242"/>
      <c r="G2" s="242"/>
      <c r="H2" s="242"/>
      <c r="I2" s="242"/>
      <c r="J2" s="242"/>
      <c r="K2" s="242"/>
    </row>
    <row r="3" spans="1:13" s="9" customFormat="1" x14ac:dyDescent="0.25">
      <c r="A3" s="217" t="s">
        <v>2</v>
      </c>
      <c r="B3" s="217"/>
      <c r="C3" s="217"/>
      <c r="D3" s="217"/>
      <c r="E3" s="217"/>
      <c r="F3" s="217"/>
      <c r="G3" s="217"/>
      <c r="H3" s="217"/>
      <c r="I3" s="217"/>
      <c r="J3" s="217"/>
      <c r="K3" s="217"/>
    </row>
    <row r="4" spans="1:13" s="9" customFormat="1" x14ac:dyDescent="0.25">
      <c r="A4" s="217" t="s">
        <v>3</v>
      </c>
      <c r="B4" s="217"/>
      <c r="C4" s="217"/>
      <c r="D4" s="217"/>
      <c r="E4" s="217"/>
      <c r="F4" s="217"/>
      <c r="G4" s="217"/>
      <c r="H4" s="217"/>
      <c r="I4" s="217"/>
      <c r="J4" s="217"/>
      <c r="K4" s="217"/>
    </row>
    <row r="5" spans="1:13" ht="18.75" x14ac:dyDescent="0.3">
      <c r="A5" s="243" t="s">
        <v>43</v>
      </c>
      <c r="B5" s="243"/>
      <c r="C5" s="243"/>
      <c r="D5" s="243"/>
      <c r="E5" s="243"/>
      <c r="F5" s="243"/>
      <c r="G5" s="243"/>
      <c r="H5" s="243"/>
      <c r="I5" s="243"/>
      <c r="J5" s="243"/>
      <c r="K5" s="243"/>
    </row>
    <row r="6" spans="1:13" ht="18.75" x14ac:dyDescent="0.3">
      <c r="A6" s="36" t="s">
        <v>44</v>
      </c>
      <c r="B6" s="36"/>
      <c r="C6" s="237">
        <f>F88</f>
        <v>1814101.8849886646</v>
      </c>
      <c r="D6" s="238"/>
      <c r="E6" s="37"/>
      <c r="F6" s="36"/>
      <c r="G6" s="36"/>
      <c r="H6" s="36" t="s">
        <v>45</v>
      </c>
      <c r="I6" s="36"/>
      <c r="J6" s="239">
        <f>I88</f>
        <v>1592816.8198072687</v>
      </c>
      <c r="K6" s="240"/>
    </row>
    <row r="7" spans="1:13" x14ac:dyDescent="0.25">
      <c r="A7" s="38" t="s">
        <v>46</v>
      </c>
      <c r="B7" s="38"/>
      <c r="C7" s="38"/>
      <c r="D7" s="38"/>
      <c r="F7" s="234"/>
      <c r="G7" s="234"/>
      <c r="I7" s="235" t="s">
        <v>47</v>
      </c>
      <c r="J7" s="235"/>
      <c r="K7" s="235"/>
    </row>
    <row r="8" spans="1:13" ht="15.75" x14ac:dyDescent="0.25">
      <c r="A8" s="213" t="str">
        <f>estimate!A6</f>
        <v>Project:- विन्दवासिनी मन्दिर मर्मत निर्माण</v>
      </c>
      <c r="B8" s="213"/>
      <c r="C8" s="213"/>
      <c r="D8" s="213"/>
      <c r="E8" s="213"/>
      <c r="F8" s="213"/>
      <c r="I8" s="236" t="s">
        <v>48</v>
      </c>
      <c r="J8" s="236"/>
      <c r="K8" s="236"/>
    </row>
    <row r="9" spans="1:13" ht="15.75" x14ac:dyDescent="0.25">
      <c r="A9" s="213" t="str">
        <f>estimate!A7</f>
        <v>Location:- Shankharapur Municipality 9</v>
      </c>
      <c r="B9" s="213"/>
      <c r="C9" s="213"/>
      <c r="D9" s="213"/>
      <c r="E9" s="213"/>
      <c r="F9" s="213"/>
      <c r="I9" s="236" t="s">
        <v>259</v>
      </c>
      <c r="J9" s="236"/>
      <c r="K9" s="236"/>
    </row>
    <row r="11" spans="1:13" x14ac:dyDescent="0.25">
      <c r="A11" s="232" t="s">
        <v>49</v>
      </c>
      <c r="B11" s="232" t="s">
        <v>50</v>
      </c>
      <c r="C11" s="232" t="s">
        <v>13</v>
      </c>
      <c r="D11" s="233" t="s">
        <v>51</v>
      </c>
      <c r="E11" s="233"/>
      <c r="F11" s="233"/>
      <c r="G11" s="233" t="s">
        <v>52</v>
      </c>
      <c r="H11" s="233"/>
      <c r="I11" s="233"/>
      <c r="J11" s="232" t="s">
        <v>53</v>
      </c>
      <c r="K11" s="231" t="s">
        <v>54</v>
      </c>
    </row>
    <row r="12" spans="1:13" x14ac:dyDescent="0.25">
      <c r="A12" s="232"/>
      <c r="B12" s="232"/>
      <c r="C12" s="232"/>
      <c r="D12" s="39" t="s">
        <v>55</v>
      </c>
      <c r="E12" s="39" t="s">
        <v>14</v>
      </c>
      <c r="F12" s="39" t="s">
        <v>15</v>
      </c>
      <c r="G12" s="39" t="s">
        <v>55</v>
      </c>
      <c r="H12" s="39" t="s">
        <v>14</v>
      </c>
      <c r="I12" s="39" t="s">
        <v>15</v>
      </c>
      <c r="J12" s="232"/>
      <c r="K12" s="231"/>
    </row>
    <row r="13" spans="1:13" s="9" customFormat="1" ht="30" x14ac:dyDescent="0.25">
      <c r="A13" s="192">
        <f>F_estimate!A9</f>
        <v>1</v>
      </c>
      <c r="B13" s="139" t="str">
        <f>F_estimate!B9</f>
        <v xml:space="preserve">g/d k|sf/sf] Sn] / l;N6L df6f]df ;j} lsl;dsf] vGg] sfd </v>
      </c>
      <c r="C13" s="152" t="str">
        <f>F_estimate!H19</f>
        <v>cum</v>
      </c>
      <c r="D13" s="152">
        <f>F_estimate!G19</f>
        <v>26.781252889747027</v>
      </c>
      <c r="E13" s="152">
        <f>F_estimate!I19</f>
        <v>648.9</v>
      </c>
      <c r="F13" s="152">
        <f>D13*E13</f>
        <v>17378.355000156844</v>
      </c>
      <c r="G13" s="152">
        <f>valuated!G18</f>
        <v>27.284220367182474</v>
      </c>
      <c r="H13" s="152">
        <f>valuated!I18</f>
        <v>648.9</v>
      </c>
      <c r="I13" s="152">
        <f>G13*H13</f>
        <v>17704.730596264708</v>
      </c>
      <c r="J13" s="193">
        <f>I13-F13</f>
        <v>326.37559610786411</v>
      </c>
      <c r="K13" s="194"/>
      <c r="M13" s="9">
        <f>1.25*F13</f>
        <v>21722.943750196056</v>
      </c>
    </row>
    <row r="14" spans="1:13" s="9" customFormat="1" ht="15" customHeight="1" x14ac:dyDescent="0.25">
      <c r="A14" s="192"/>
      <c r="B14" s="195"/>
      <c r="C14" s="152"/>
      <c r="D14" s="152"/>
      <c r="E14" s="152"/>
      <c r="F14" s="152"/>
      <c r="G14" s="152"/>
      <c r="H14" s="152"/>
      <c r="I14" s="152"/>
      <c r="J14" s="193"/>
      <c r="K14" s="194"/>
    </row>
    <row r="15" spans="1:13" s="9" customFormat="1" ht="30" x14ac:dyDescent="0.25">
      <c r="A15" s="192">
        <f>F_estimate!A21</f>
        <v>2</v>
      </c>
      <c r="B15" s="139" t="str">
        <f>F_estimate!B21</f>
        <v>cf/=l;=l;= jf cf/=lj=l;= sfd eTsfO{ !) dL= k/ x6fpg] sfd</v>
      </c>
      <c r="C15" s="152" t="str">
        <f>F_estimate!H23</f>
        <v>cum</v>
      </c>
      <c r="D15" s="152">
        <f>F_estimate!G23</f>
        <v>1.804934714902497</v>
      </c>
      <c r="E15" s="152">
        <f>F_estimate!I23</f>
        <v>3600</v>
      </c>
      <c r="F15" s="152">
        <f>D15*E15</f>
        <v>6497.7649736489893</v>
      </c>
      <c r="G15" s="152">
        <f>valuated!G22</f>
        <v>1.7765972398785279</v>
      </c>
      <c r="H15" s="152">
        <f>valuated!I22</f>
        <v>3600</v>
      </c>
      <c r="I15" s="152">
        <f>G15*H15</f>
        <v>6395.7500635627002</v>
      </c>
      <c r="J15" s="193">
        <f>I15-F15</f>
        <v>-102.01491008628909</v>
      </c>
      <c r="K15" s="194"/>
      <c r="M15" s="9">
        <f t="shared" ref="M15:M86" si="0">1.25*F15</f>
        <v>8122.2062170612371</v>
      </c>
    </row>
    <row r="16" spans="1:13" s="9" customFormat="1" ht="15" customHeight="1" x14ac:dyDescent="0.25">
      <c r="A16" s="192"/>
      <c r="B16" s="195"/>
      <c r="C16" s="152"/>
      <c r="D16" s="152"/>
      <c r="E16" s="152"/>
      <c r="F16" s="152"/>
      <c r="G16" s="152"/>
      <c r="H16" s="152"/>
      <c r="I16" s="152"/>
      <c r="J16" s="193"/>
      <c r="K16" s="194"/>
    </row>
    <row r="17" spans="1:13" s="9" customFormat="1" x14ac:dyDescent="0.25">
      <c r="A17" s="192">
        <f>F_estimate!A25</f>
        <v>3</v>
      </c>
      <c r="B17" s="139" t="str">
        <f>F_estimate!B25</f>
        <v xml:space="preserve">;'Vvf O{6f RofK6f] 5fKg] sfd </v>
      </c>
      <c r="C17" s="152" t="str">
        <f>F_estimate!H39</f>
        <v>sqm</v>
      </c>
      <c r="D17" s="152">
        <f>F_estimate!G39</f>
        <v>68.207133907345323</v>
      </c>
      <c r="E17" s="152">
        <f>F_estimate!I39</f>
        <v>150</v>
      </c>
      <c r="F17" s="152">
        <f>D17*E17</f>
        <v>10231.070086101798</v>
      </c>
      <c r="G17" s="152">
        <f>valuated!G36</f>
        <v>65.738374382810122</v>
      </c>
      <c r="H17" s="152">
        <f>valuated!I36</f>
        <v>150</v>
      </c>
      <c r="I17" s="152">
        <f>G17*H17</f>
        <v>9860.7561574215179</v>
      </c>
      <c r="J17" s="193">
        <f t="shared" ref="J17:J86" si="1">I17-F17</f>
        <v>-370.31392868027979</v>
      </c>
      <c r="K17" s="194"/>
      <c r="M17" s="9">
        <f t="shared" si="0"/>
        <v>12788.837607627247</v>
      </c>
    </row>
    <row r="18" spans="1:13" s="9" customFormat="1" ht="15.75" x14ac:dyDescent="0.25">
      <c r="A18" s="192"/>
      <c r="B18" s="196" t="str">
        <f>F_estimate!B40</f>
        <v>VAT Calculation</v>
      </c>
      <c r="C18" s="152"/>
      <c r="D18" s="152"/>
      <c r="E18" s="152"/>
      <c r="F18" s="152">
        <f>F_estimate!J40</f>
        <v>7407.2626849847638</v>
      </c>
      <c r="G18" s="152"/>
      <c r="H18" s="152"/>
      <c r="I18" s="152">
        <f>valuated!J37</f>
        <v>7139.1565609372192</v>
      </c>
      <c r="J18" s="193">
        <f t="shared" si="1"/>
        <v>-268.10612404754465</v>
      </c>
      <c r="K18" s="194"/>
      <c r="M18" s="9">
        <f t="shared" si="0"/>
        <v>9259.0783562309553</v>
      </c>
    </row>
    <row r="19" spans="1:13" s="9" customFormat="1" ht="15" customHeight="1" x14ac:dyDescent="0.25">
      <c r="A19" s="192"/>
      <c r="B19" s="195"/>
      <c r="C19" s="152"/>
      <c r="D19" s="152"/>
      <c r="E19" s="152"/>
      <c r="F19" s="152"/>
      <c r="G19" s="152"/>
      <c r="H19" s="152"/>
      <c r="I19" s="152"/>
      <c r="J19" s="193"/>
      <c r="K19" s="194"/>
    </row>
    <row r="20" spans="1:13" s="9" customFormat="1" ht="60" x14ac:dyDescent="0.25">
      <c r="A20" s="192">
        <f>F_estimate!A42</f>
        <v>4</v>
      </c>
      <c r="B20" s="139" t="str">
        <f>F_estimate!B42</f>
        <v xml:space="preserve">;fdfGo df6f]n] k'g]{ sfd !%, !% ;]=dL= sf] txdf km}nfpg], kfgL 5g]{ / Hofldåf/f sDk}S6 ug]{ sfd ;d]t !) dL= b"/Laf6 बोकानी समेत </v>
      </c>
      <c r="C20" s="152" t="str">
        <f>F_estimate!H45</f>
        <v>cum</v>
      </c>
      <c r="D20" s="152">
        <f>F_estimate!G45</f>
        <v>14.04</v>
      </c>
      <c r="E20" s="152">
        <f>F_estimate!I45</f>
        <v>451.4</v>
      </c>
      <c r="F20" s="152">
        <f>D20*E20</f>
        <v>6337.655999999999</v>
      </c>
      <c r="G20" s="152">
        <f>valuated!G42</f>
        <v>14.715</v>
      </c>
      <c r="H20" s="152">
        <f>valuated!I42</f>
        <v>451.4</v>
      </c>
      <c r="I20" s="152">
        <f>G20*H20</f>
        <v>6642.3509999999997</v>
      </c>
      <c r="J20" s="193">
        <f>I20-F20</f>
        <v>304.69500000000062</v>
      </c>
      <c r="K20" s="194"/>
      <c r="M20" s="9">
        <f t="shared" si="0"/>
        <v>7922.0699999999988</v>
      </c>
    </row>
    <row r="21" spans="1:13" s="9" customFormat="1" ht="15" customHeight="1" x14ac:dyDescent="0.25">
      <c r="A21" s="192"/>
      <c r="B21" s="195"/>
      <c r="C21" s="152"/>
      <c r="D21" s="152"/>
      <c r="E21" s="152"/>
      <c r="F21" s="152"/>
      <c r="G21" s="152"/>
      <c r="H21" s="152"/>
      <c r="I21" s="152"/>
      <c r="J21" s="193"/>
      <c r="K21" s="194"/>
    </row>
    <row r="22" spans="1:13" s="9" customFormat="1" ht="30" x14ac:dyDescent="0.25">
      <c r="A22" s="192">
        <f>F_estimate!A47</f>
        <v>5</v>
      </c>
      <c r="B22" s="139" t="str">
        <f>F_estimate!B47</f>
        <v>hu leQf kvf{ndf l;d]G6 s+lqm6 ug]{ sfd -lk=;L=;L= !M@M$_</v>
      </c>
      <c r="C22" s="152" t="str">
        <f>F_estimate!H62</f>
        <v>cum</v>
      </c>
      <c r="D22" s="152">
        <f>F_estimate!G62</f>
        <v>3.9880836489604143</v>
      </c>
      <c r="E22" s="152">
        <f>F_estimate!I62</f>
        <v>13509.07</v>
      </c>
      <c r="F22" s="152">
        <f>D22*E22</f>
        <v>53875.301179661663</v>
      </c>
      <c r="G22" s="152">
        <f>valuated!G56</f>
        <v>3.992560614809241</v>
      </c>
      <c r="H22" s="152">
        <f>valuated!I56</f>
        <v>13509.07</v>
      </c>
      <c r="I22" s="152">
        <f>G22*H22</f>
        <v>53935.780824701069</v>
      </c>
      <c r="J22" s="193">
        <f t="shared" si="1"/>
        <v>60.479645039406023</v>
      </c>
      <c r="K22" s="194"/>
      <c r="M22" s="9">
        <f t="shared" si="0"/>
        <v>67344.126474577075</v>
      </c>
    </row>
    <row r="23" spans="1:13" s="9" customFormat="1" x14ac:dyDescent="0.25">
      <c r="A23" s="192"/>
      <c r="B23" s="197" t="str">
        <f>F_estimate!B63</f>
        <v>VAT Calculation</v>
      </c>
      <c r="C23" s="152"/>
      <c r="D23" s="152"/>
      <c r="E23" s="152"/>
      <c r="F23" s="152">
        <f>F_estimate!J63</f>
        <v>4515.2249564047179</v>
      </c>
      <c r="G23" s="152"/>
      <c r="H23" s="152"/>
      <c r="I23" s="152">
        <f>valuated!J57</f>
        <v>4520.293683570173</v>
      </c>
      <c r="J23" s="193">
        <f t="shared" si="1"/>
        <v>5.0687271654551296</v>
      </c>
      <c r="K23" s="194"/>
      <c r="M23" s="9">
        <f t="shared" si="0"/>
        <v>5644.0311955058969</v>
      </c>
    </row>
    <row r="24" spans="1:13" s="9" customFormat="1" x14ac:dyDescent="0.25">
      <c r="A24" s="192"/>
      <c r="B24" s="192"/>
      <c r="C24" s="152"/>
      <c r="D24" s="152"/>
      <c r="E24" s="152"/>
      <c r="F24" s="152"/>
      <c r="G24" s="152"/>
      <c r="H24" s="152"/>
      <c r="I24" s="152"/>
      <c r="J24" s="193"/>
      <c r="K24" s="194"/>
    </row>
    <row r="25" spans="1:13" s="9" customFormat="1" ht="30" x14ac:dyDescent="0.25">
      <c r="A25" s="192">
        <f>F_estimate!A65</f>
        <v>6</v>
      </c>
      <c r="B25" s="139" t="str">
        <f>F_estimate!B65</f>
        <v>l;d]G6 jf jh|df hf]8]sf] uf/f] eTsfO{ To;af6 cfPsf] ;fdfu+|L !) dL x6fpg] sfd</v>
      </c>
      <c r="C25" s="152" t="str">
        <f>F_estimate!H70</f>
        <v>cum</v>
      </c>
      <c r="D25" s="152">
        <f>F_estimate!G70</f>
        <v>10.571421188344296</v>
      </c>
      <c r="E25" s="152">
        <f>F_estimate!I70</f>
        <v>1908</v>
      </c>
      <c r="F25" s="152">
        <f>D25*E25</f>
        <v>20170.271627360915</v>
      </c>
      <c r="G25" s="152">
        <f>valuated!G66</f>
        <v>12.958154202642033</v>
      </c>
      <c r="H25" s="152">
        <f>valuated!I66</f>
        <v>1908</v>
      </c>
      <c r="I25" s="152">
        <f>G25*H25</f>
        <v>24724.158218640998</v>
      </c>
      <c r="J25" s="193">
        <f>I25-F25</f>
        <v>4553.8865912800829</v>
      </c>
      <c r="K25" s="194"/>
      <c r="M25" s="9">
        <f t="shared" si="0"/>
        <v>25212.839534201143</v>
      </c>
    </row>
    <row r="26" spans="1:13" s="9" customFormat="1" ht="15" customHeight="1" x14ac:dyDescent="0.25">
      <c r="A26" s="192"/>
      <c r="B26" s="195"/>
      <c r="C26" s="152"/>
      <c r="D26" s="152"/>
      <c r="E26" s="152"/>
      <c r="F26" s="152"/>
      <c r="G26" s="152"/>
      <c r="H26" s="152"/>
      <c r="I26" s="152"/>
      <c r="J26" s="193"/>
      <c r="K26" s="194"/>
    </row>
    <row r="27" spans="1:13" s="9" customFormat="1" ht="30" x14ac:dyDescent="0.25">
      <c r="A27" s="192">
        <f>F_estimate!A72</f>
        <v>7</v>
      </c>
      <c r="B27" s="139" t="str">
        <f>F_estimate!B72</f>
        <v>e'O{+tNnfdf lrDgL e§fsf] O{+6fsf] uf/f] l;d]G6 d;nf -!M^_ df</v>
      </c>
      <c r="C27" s="152" t="str">
        <f>F_estimate!H88</f>
        <v>cum</v>
      </c>
      <c r="D27" s="152">
        <f>F_estimate!G88</f>
        <v>13.084792296195038</v>
      </c>
      <c r="E27" s="152">
        <f>F_estimate!I88</f>
        <v>14520.78</v>
      </c>
      <c r="F27" s="152">
        <f>D27*E27</f>
        <v>190001.390278743</v>
      </c>
      <c r="G27" s="152">
        <f>valuated!G81</f>
        <v>11.050700000000003</v>
      </c>
      <c r="H27" s="152">
        <f>valuated!I81</f>
        <v>14520.78</v>
      </c>
      <c r="I27" s="152">
        <f>G27*H27</f>
        <v>160464.78354600005</v>
      </c>
      <c r="J27" s="193">
        <f t="shared" si="1"/>
        <v>-29536.606732742948</v>
      </c>
      <c r="K27" s="194"/>
      <c r="M27" s="9">
        <f t="shared" si="0"/>
        <v>237501.73784842875</v>
      </c>
    </row>
    <row r="28" spans="1:13" s="9" customFormat="1" x14ac:dyDescent="0.25">
      <c r="A28" s="192"/>
      <c r="B28" s="197" t="str">
        <f>F_estimate!B89</f>
        <v>VAT Calculation</v>
      </c>
      <c r="C28" s="152"/>
      <c r="D28" s="152"/>
      <c r="E28" s="152"/>
      <c r="F28" s="152">
        <f>F_estimate!J89</f>
        <v>17954.961148193441</v>
      </c>
      <c r="G28" s="152"/>
      <c r="H28" s="152"/>
      <c r="I28" s="152">
        <f>valuated!J82</f>
        <v>15163.778275490004</v>
      </c>
      <c r="J28" s="193">
        <f t="shared" si="1"/>
        <v>-2791.1828727034372</v>
      </c>
      <c r="K28" s="194"/>
      <c r="M28" s="9">
        <f t="shared" si="0"/>
        <v>22443.701435241801</v>
      </c>
    </row>
    <row r="29" spans="1:13" s="9" customFormat="1" x14ac:dyDescent="0.25">
      <c r="A29" s="192"/>
      <c r="B29" s="192"/>
      <c r="C29" s="152"/>
      <c r="D29" s="152"/>
      <c r="E29" s="152"/>
      <c r="F29" s="152"/>
      <c r="G29" s="152"/>
      <c r="H29" s="152"/>
      <c r="I29" s="152"/>
      <c r="J29" s="193"/>
      <c r="K29" s="194"/>
    </row>
    <row r="30" spans="1:13" s="9" customFormat="1" ht="30" x14ac:dyDescent="0.25">
      <c r="A30" s="192">
        <f>F_estimate!A91</f>
        <v>8</v>
      </c>
      <c r="B30" s="139" t="str">
        <f>F_estimate!B91</f>
        <v>e'O{+tNnfeGbf dfly lrDgL e§fsf] O{+6fsf] uf/f] l;d]G6 d;nf -!M^_ df</v>
      </c>
      <c r="C30" s="152" t="str">
        <f>F_estimate!H99</f>
        <v>cum</v>
      </c>
      <c r="D30" s="152">
        <f>F_estimate!G99</f>
        <v>7.3184302500000005</v>
      </c>
      <c r="E30" s="152">
        <f>F_estimate!I99</f>
        <v>14984.29</v>
      </c>
      <c r="F30" s="152">
        <f>D30*E30</f>
        <v>109661.48121077252</v>
      </c>
      <c r="G30" s="152">
        <f>valuated!G92</f>
        <v>7.4568255000000017</v>
      </c>
      <c r="H30" s="152">
        <f>valuated!I92</f>
        <v>14984.29</v>
      </c>
      <c r="I30" s="152">
        <f>G30*H30</f>
        <v>111735.23577139503</v>
      </c>
      <c r="J30" s="193">
        <f t="shared" si="1"/>
        <v>2073.7545606225176</v>
      </c>
      <c r="K30" s="194"/>
      <c r="M30" s="9">
        <f t="shared" si="0"/>
        <v>137076.85151346563</v>
      </c>
    </row>
    <row r="31" spans="1:13" s="9" customFormat="1" x14ac:dyDescent="0.25">
      <c r="A31" s="192"/>
      <c r="B31" s="197" t="str">
        <f>F_estimate!B100</f>
        <v>VAT Calculation</v>
      </c>
      <c r="C31" s="152"/>
      <c r="D31" s="152"/>
      <c r="E31" s="152"/>
      <c r="F31" s="152">
        <f>F_estimate!J100</f>
        <v>10042.355111951176</v>
      </c>
      <c r="G31" s="152"/>
      <c r="H31" s="152"/>
      <c r="I31" s="152">
        <f>valuated!J93</f>
        <v>10232.261170877851</v>
      </c>
      <c r="J31" s="193">
        <f t="shared" si="1"/>
        <v>189.90605892667554</v>
      </c>
      <c r="K31" s="194"/>
      <c r="M31" s="9">
        <f t="shared" si="0"/>
        <v>12552.94388993897</v>
      </c>
    </row>
    <row r="32" spans="1:13" s="9" customFormat="1" x14ac:dyDescent="0.25">
      <c r="A32" s="192"/>
      <c r="B32" s="192"/>
      <c r="C32" s="152"/>
      <c r="D32" s="152"/>
      <c r="E32" s="152"/>
      <c r="F32" s="152"/>
      <c r="G32" s="152"/>
      <c r="H32" s="152"/>
      <c r="I32" s="152"/>
      <c r="J32" s="193"/>
      <c r="K32" s="194"/>
    </row>
    <row r="33" spans="1:13" s="9" customFormat="1" ht="30" x14ac:dyDescent="0.25">
      <c r="A33" s="192">
        <f>F_estimate!A102</f>
        <v>9</v>
      </c>
      <c r="B33" s="139" t="str">
        <f>F_estimate!B102</f>
        <v>;'k/ :6«Sr/, 8]s :n]a ljdx?df l;d]G6 s+lqm6 ug]{ sfd -!M!.%M#_</v>
      </c>
      <c r="C33" s="152" t="str">
        <f>F_estimate!H128</f>
        <v>cum</v>
      </c>
      <c r="D33" s="152">
        <f>F_estimate!G128</f>
        <v>19.257596446223697</v>
      </c>
      <c r="E33" s="152">
        <f>F_estimate!I128</f>
        <v>17107.900000000001</v>
      </c>
      <c r="F33" s="152">
        <f>D33*E33</f>
        <v>329457.03424235043</v>
      </c>
      <c r="G33" s="152">
        <f>valuated!G118</f>
        <v>18.220656623589878</v>
      </c>
      <c r="H33" s="152">
        <f>valuated!I118</f>
        <v>17107.900000000001</v>
      </c>
      <c r="I33" s="152">
        <f>G33*H33</f>
        <v>311717.1714507133</v>
      </c>
      <c r="J33" s="193">
        <f t="shared" si="1"/>
        <v>-17739.862791637133</v>
      </c>
      <c r="K33" s="194"/>
      <c r="M33" s="9">
        <f t="shared" si="0"/>
        <v>411821.29280293803</v>
      </c>
    </row>
    <row r="34" spans="1:13" s="9" customFormat="1" x14ac:dyDescent="0.25">
      <c r="A34" s="192"/>
      <c r="B34" s="197" t="str">
        <f>F_estimate!B129</f>
        <v>-VAT calculation</v>
      </c>
      <c r="C34" s="152"/>
      <c r="D34" s="152"/>
      <c r="E34" s="152"/>
      <c r="F34" s="152">
        <f>F_estimate!J129</f>
        <v>24654.094925559624</v>
      </c>
      <c r="G34" s="152"/>
      <c r="H34" s="152"/>
      <c r="I34" s="152">
        <f>valuated!J119</f>
        <v>23326.576567248598</v>
      </c>
      <c r="J34" s="193">
        <f t="shared" si="1"/>
        <v>-1327.5183583110265</v>
      </c>
      <c r="K34" s="194"/>
      <c r="M34" s="9">
        <f t="shared" si="0"/>
        <v>30817.618656949529</v>
      </c>
    </row>
    <row r="35" spans="1:13" s="9" customFormat="1" x14ac:dyDescent="0.25">
      <c r="A35" s="192"/>
      <c r="B35" s="192"/>
      <c r="C35" s="152"/>
      <c r="D35" s="152"/>
      <c r="E35" s="152"/>
      <c r="F35" s="152"/>
      <c r="G35" s="152"/>
      <c r="H35" s="152"/>
      <c r="I35" s="152"/>
      <c r="J35" s="193"/>
      <c r="K35" s="194"/>
    </row>
    <row r="36" spans="1:13" s="9" customFormat="1" ht="30" x14ac:dyDescent="0.25">
      <c r="A36" s="192">
        <f>F_estimate!A131</f>
        <v>10</v>
      </c>
      <c r="B36" s="139" t="str">
        <f>F_estimate!B131</f>
        <v>kmnfd]sf] kfOk / KnfOaf]8{af6 kmdf{ agfpg] sfd</v>
      </c>
      <c r="C36" s="152" t="str">
        <f>F_estimate!H148</f>
        <v>sqm</v>
      </c>
      <c r="D36" s="152">
        <f>F_estimate!G148</f>
        <v>138.68028432432664</v>
      </c>
      <c r="E36" s="152">
        <f>F_estimate!I148</f>
        <v>905.97</v>
      </c>
      <c r="F36" s="152">
        <f>D36*E36</f>
        <v>125640.17718931021</v>
      </c>
      <c r="G36" s="152">
        <f>valuated!G136</f>
        <v>132.13136765848827</v>
      </c>
      <c r="H36" s="152">
        <f>valuated!I136</f>
        <v>905.97</v>
      </c>
      <c r="I36" s="152">
        <f>G36*H36</f>
        <v>119707.05515756062</v>
      </c>
      <c r="J36" s="193">
        <f t="shared" si="1"/>
        <v>-5933.12203174959</v>
      </c>
      <c r="K36" s="194"/>
      <c r="M36" s="9">
        <f t="shared" si="0"/>
        <v>157050.22148663778</v>
      </c>
    </row>
    <row r="37" spans="1:13" s="9" customFormat="1" x14ac:dyDescent="0.25">
      <c r="A37" s="192"/>
      <c r="B37" s="197" t="str">
        <f>F_estimate!B149</f>
        <v>-VAT 13% for materials</v>
      </c>
      <c r="C37" s="152"/>
      <c r="D37" s="152"/>
      <c r="E37" s="152"/>
      <c r="F37" s="152">
        <f>F_estimate!J149</f>
        <v>8442.3330236733873</v>
      </c>
      <c r="G37" s="152"/>
      <c r="H37" s="152"/>
      <c r="I37" s="152">
        <f>valuated!J137</f>
        <v>8043.659659924062</v>
      </c>
      <c r="J37" s="193">
        <f t="shared" si="1"/>
        <v>-398.67336374932529</v>
      </c>
      <c r="K37" s="194"/>
      <c r="M37" s="9">
        <f t="shared" si="0"/>
        <v>10552.916279591735</v>
      </c>
    </row>
    <row r="38" spans="1:13" s="9" customFormat="1" x14ac:dyDescent="0.25">
      <c r="A38" s="192"/>
      <c r="B38" s="192"/>
      <c r="C38" s="152"/>
      <c r="D38" s="152"/>
      <c r="E38" s="152"/>
      <c r="F38" s="152"/>
      <c r="G38" s="152"/>
      <c r="H38" s="152"/>
      <c r="I38" s="152"/>
      <c r="J38" s="193"/>
      <c r="K38" s="194"/>
    </row>
    <row r="39" spans="1:13" s="9" customFormat="1" ht="30" x14ac:dyDescent="0.25">
      <c r="A39" s="192">
        <f>F_estimate!A151</f>
        <v>11</v>
      </c>
      <c r="B39" s="139" t="str">
        <f>F_estimate!B151</f>
        <v xml:space="preserve">cf/=;L=;L= nflu kmnfd] 808L sf6\g], df]8\g] #) dL6/ ;Dd </v>
      </c>
      <c r="C39" s="152" t="str">
        <f>F_estimate!H212</f>
        <v>M.T</v>
      </c>
      <c r="D39" s="152">
        <f>F_estimate!G212</f>
        <v>1.7925571622623344</v>
      </c>
      <c r="E39" s="152">
        <f>F_estimate!I212</f>
        <v>130210</v>
      </c>
      <c r="F39" s="152">
        <f>D39*E39</f>
        <v>233408.86809817856</v>
      </c>
      <c r="G39" s="152">
        <f>valuated!G195</f>
        <v>1.6588713618627273</v>
      </c>
      <c r="H39" s="152">
        <f>valuated!I195</f>
        <v>130210</v>
      </c>
      <c r="I39" s="152">
        <f>G39*H39</f>
        <v>216001.64002814572</v>
      </c>
      <c r="J39" s="193">
        <f t="shared" si="1"/>
        <v>-17407.228070032841</v>
      </c>
      <c r="K39" s="194"/>
      <c r="M39" s="9">
        <f t="shared" si="0"/>
        <v>291761.08512272319</v>
      </c>
    </row>
    <row r="40" spans="1:13" s="9" customFormat="1" x14ac:dyDescent="0.25">
      <c r="A40" s="192"/>
      <c r="B40" s="197" t="str">
        <f>F_estimate!B213</f>
        <v>-VAT 13% for materials</v>
      </c>
      <c r="C40" s="152"/>
      <c r="D40" s="152"/>
      <c r="E40" s="152"/>
      <c r="F40" s="152">
        <f>F_estimate!J213</f>
        <v>24470.735589191809</v>
      </c>
      <c r="G40" s="152"/>
      <c r="H40" s="152"/>
      <c r="I40" s="152">
        <f>valuated!J196</f>
        <v>22645.750622196651</v>
      </c>
      <c r="J40" s="193">
        <f t="shared" si="1"/>
        <v>-1824.9849669951582</v>
      </c>
      <c r="K40" s="194"/>
      <c r="M40" s="9">
        <f t="shared" si="0"/>
        <v>30588.419486489762</v>
      </c>
    </row>
    <row r="41" spans="1:13" s="9" customFormat="1" x14ac:dyDescent="0.25">
      <c r="A41" s="192"/>
      <c r="B41" s="192"/>
      <c r="C41" s="152"/>
      <c r="D41" s="152"/>
      <c r="E41" s="152"/>
      <c r="F41" s="152"/>
      <c r="G41" s="152"/>
      <c r="H41" s="152"/>
      <c r="I41" s="152"/>
      <c r="J41" s="193"/>
      <c r="K41" s="194"/>
    </row>
    <row r="42" spans="1:13" s="9" customFormat="1" ht="30" x14ac:dyDescent="0.25">
      <c r="A42" s="192">
        <f>F_estimate!A215</f>
        <v>12</v>
      </c>
      <c r="B42" s="139" t="str">
        <f>F_estimate!B215</f>
        <v>kmnfd] lu|n agfO{ vfS;L nufO{ /]8cS;fO8 k]G6 ;d]t u/L hf]8\g]</v>
      </c>
      <c r="C42" s="152" t="str">
        <f>F_estimate!H251</f>
        <v>Kg</v>
      </c>
      <c r="D42" s="152">
        <f>F_estimate!G251</f>
        <v>243.18055709420508</v>
      </c>
      <c r="E42" s="152">
        <f>F_estimate!I251</f>
        <v>154</v>
      </c>
      <c r="F42" s="152">
        <f>D42*E42</f>
        <v>37449.805792507585</v>
      </c>
      <c r="G42" s="152">
        <f>valuated!G234</f>
        <v>238.20268449438794</v>
      </c>
      <c r="H42" s="152">
        <f>valuated!I234</f>
        <v>154</v>
      </c>
      <c r="I42" s="152">
        <f>G42*H42</f>
        <v>36683.213412135745</v>
      </c>
      <c r="J42" s="193">
        <f t="shared" si="1"/>
        <v>-766.59238037183968</v>
      </c>
      <c r="K42" s="194"/>
      <c r="M42" s="9">
        <f t="shared" si="0"/>
        <v>46812.257240634484</v>
      </c>
    </row>
    <row r="43" spans="1:13" s="9" customFormat="1" x14ac:dyDescent="0.25">
      <c r="A43" s="192"/>
      <c r="B43" s="197" t="str">
        <f>F_estimate!B252</f>
        <v>-VAT 13% for materials</v>
      </c>
      <c r="C43" s="152"/>
      <c r="D43" s="152"/>
      <c r="E43" s="152"/>
      <c r="F43" s="152">
        <f>F_estimate!J252</f>
        <v>4868.4747530259865</v>
      </c>
      <c r="G43" s="152"/>
      <c r="H43" s="152"/>
      <c r="I43" s="152">
        <f>valuated!J235</f>
        <v>4768.817743577647</v>
      </c>
      <c r="J43" s="193">
        <f t="shared" si="1"/>
        <v>-99.657009448339522</v>
      </c>
      <c r="K43" s="194"/>
      <c r="M43" s="9">
        <f t="shared" si="0"/>
        <v>6085.5934412824827</v>
      </c>
    </row>
    <row r="44" spans="1:13" s="9" customFormat="1" x14ac:dyDescent="0.25">
      <c r="A44" s="192"/>
      <c r="B44" s="192"/>
      <c r="C44" s="152"/>
      <c r="D44" s="152"/>
      <c r="E44" s="152"/>
      <c r="F44" s="152"/>
      <c r="G44" s="152"/>
      <c r="H44" s="152"/>
      <c r="I44" s="152"/>
      <c r="J44" s="193"/>
      <c r="K44" s="194"/>
    </row>
    <row r="45" spans="1:13" s="9" customFormat="1" ht="30" x14ac:dyDescent="0.25">
      <c r="A45" s="192">
        <f>F_estimate!A254</f>
        <v>13</v>
      </c>
      <c r="B45" s="139" t="str">
        <f>F_estimate!B254</f>
        <v>kmnfd] sf]nfK;Lan u]6 k]lG6Ë / h8fg ;d]t ug]{</v>
      </c>
      <c r="C45" s="152" t="str">
        <f>F_estimate!H256</f>
        <v>sqm</v>
      </c>
      <c r="D45" s="152">
        <f>F_estimate!G256</f>
        <v>4.4254800365742151</v>
      </c>
      <c r="E45" s="152">
        <f>F_estimate!I256</f>
        <v>6391.43</v>
      </c>
      <c r="F45" s="152">
        <f>D45*E45</f>
        <v>28285.145870161537</v>
      </c>
      <c r="G45" s="152">
        <f>valuated!G239</f>
        <v>0</v>
      </c>
      <c r="H45" s="152">
        <f>valuated!I239</f>
        <v>6391.43</v>
      </c>
      <c r="I45" s="152">
        <f>G45*H45</f>
        <v>0</v>
      </c>
      <c r="J45" s="193">
        <f t="shared" si="1"/>
        <v>-28285.145870161537</v>
      </c>
      <c r="K45" s="194"/>
      <c r="M45" s="9">
        <f t="shared" si="0"/>
        <v>35356.432337701925</v>
      </c>
    </row>
    <row r="46" spans="1:13" s="9" customFormat="1" x14ac:dyDescent="0.25">
      <c r="A46" s="192"/>
      <c r="B46" s="197" t="str">
        <f>F_estimate!B257</f>
        <v>-VAT 13% for materials</v>
      </c>
      <c r="C46" s="152"/>
      <c r="D46" s="152"/>
      <c r="E46" s="152"/>
      <c r="F46" s="152">
        <f>F_estimate!J257</f>
        <v>3677.0689631209998</v>
      </c>
      <c r="G46" s="152"/>
      <c r="H46" s="152"/>
      <c r="I46" s="152">
        <f>valuated!J240</f>
        <v>0</v>
      </c>
      <c r="J46" s="193">
        <f t="shared" si="1"/>
        <v>-3677.0689631209998</v>
      </c>
      <c r="K46" s="194"/>
      <c r="M46" s="9">
        <f t="shared" si="0"/>
        <v>4596.33620390125</v>
      </c>
    </row>
    <row r="47" spans="1:13" s="9" customFormat="1" x14ac:dyDescent="0.25">
      <c r="A47" s="192"/>
      <c r="B47" s="192"/>
      <c r="C47" s="152"/>
      <c r="D47" s="152"/>
      <c r="E47" s="152"/>
      <c r="F47" s="152"/>
      <c r="G47" s="152"/>
      <c r="H47" s="152"/>
      <c r="I47" s="152"/>
      <c r="J47" s="193"/>
      <c r="K47" s="194"/>
    </row>
    <row r="48" spans="1:13" s="9" customFormat="1" ht="30" x14ac:dyDescent="0.25">
      <c r="A48" s="192">
        <f>F_estimate!A259</f>
        <v>14</v>
      </c>
      <c r="B48" s="10" t="str">
        <f>F_estimate!B259</f>
        <v>UPVC sliding window without net (frame 60 X 60mm sash 66 X 42mm</v>
      </c>
      <c r="C48" s="152" t="str">
        <f>F_estimate!H263</f>
        <v>sqm</v>
      </c>
      <c r="D48" s="152">
        <f>F_estimate!G263</f>
        <v>6.4260000000000002</v>
      </c>
      <c r="E48" s="152">
        <f>F_estimate!I263</f>
        <v>6997</v>
      </c>
      <c r="F48" s="152">
        <f>D48*E48</f>
        <v>44962.722000000002</v>
      </c>
      <c r="G48" s="152">
        <f>valuated!G246</f>
        <v>5.1408000000000005</v>
      </c>
      <c r="H48" s="152">
        <f>valuated!I246</f>
        <v>6997</v>
      </c>
      <c r="I48" s="152">
        <f>G48*H48</f>
        <v>35970.177600000003</v>
      </c>
      <c r="J48" s="193">
        <f t="shared" si="1"/>
        <v>-8992.5443999999989</v>
      </c>
      <c r="K48" s="194"/>
      <c r="M48" s="9">
        <f t="shared" si="0"/>
        <v>56203.402500000004</v>
      </c>
    </row>
    <row r="49" spans="1:13" s="9" customFormat="1" x14ac:dyDescent="0.25">
      <c r="A49" s="192"/>
      <c r="B49" s="197" t="str">
        <f>F_estimate!B264</f>
        <v>-VAT 13% for materials</v>
      </c>
      <c r="C49" s="152"/>
      <c r="D49" s="152"/>
      <c r="E49" s="152"/>
      <c r="F49" s="152">
        <f>F_estimate!J264</f>
        <v>5845.1538600000003</v>
      </c>
      <c r="G49" s="152"/>
      <c r="H49" s="152"/>
      <c r="I49" s="152">
        <f>valuated!J247</f>
        <v>4676.1230880000003</v>
      </c>
      <c r="J49" s="193">
        <f t="shared" si="1"/>
        <v>-1169.0307720000001</v>
      </c>
      <c r="K49" s="194"/>
      <c r="M49" s="9">
        <f t="shared" si="0"/>
        <v>7306.442325</v>
      </c>
    </row>
    <row r="50" spans="1:13" s="9" customFormat="1" x14ac:dyDescent="0.25">
      <c r="A50" s="192"/>
      <c r="B50" s="192"/>
      <c r="C50" s="152"/>
      <c r="D50" s="152"/>
      <c r="E50" s="152"/>
      <c r="F50" s="152"/>
      <c r="G50" s="152"/>
      <c r="H50" s="152"/>
      <c r="I50" s="152"/>
      <c r="J50" s="193"/>
      <c r="K50" s="194"/>
    </row>
    <row r="51" spans="1:13" s="9" customFormat="1" ht="45" x14ac:dyDescent="0.25">
      <c r="A51" s="192">
        <f>F_estimate!A266</f>
        <v>15</v>
      </c>
      <c r="B51" s="10" t="str">
        <f>F_estimate!B266</f>
        <v>UPVC Single Door with full pannel (frame 60*60mm sash 60X100mm white colour with panel)</v>
      </c>
      <c r="C51" s="152" t="str">
        <f>F_estimate!H268</f>
        <v>sqm</v>
      </c>
      <c r="D51" s="152">
        <f>F_estimate!G268</f>
        <v>1.35</v>
      </c>
      <c r="E51" s="152">
        <f>F_estimate!I268</f>
        <v>8744</v>
      </c>
      <c r="F51" s="152">
        <f>D51*E51</f>
        <v>11804.400000000001</v>
      </c>
      <c r="G51" s="152">
        <f>valuated!G251</f>
        <v>0</v>
      </c>
      <c r="H51" s="152">
        <f>valuated!I251</f>
        <v>8744</v>
      </c>
      <c r="I51" s="152">
        <f>G51*H51</f>
        <v>0</v>
      </c>
      <c r="J51" s="193">
        <f t="shared" si="1"/>
        <v>-11804.400000000001</v>
      </c>
      <c r="K51" s="194"/>
      <c r="M51" s="9">
        <f t="shared" si="0"/>
        <v>14755.500000000002</v>
      </c>
    </row>
    <row r="52" spans="1:13" s="9" customFormat="1" x14ac:dyDescent="0.25">
      <c r="A52" s="192"/>
      <c r="B52" s="197" t="str">
        <f>F_estimate!B269</f>
        <v>-VAT 13% for materials</v>
      </c>
      <c r="C52" s="152"/>
      <c r="D52" s="152"/>
      <c r="E52" s="152"/>
      <c r="F52" s="152">
        <f>F_estimate!J269</f>
        <v>1534.5720000000003</v>
      </c>
      <c r="G52" s="152"/>
      <c r="H52" s="152"/>
      <c r="I52" s="152">
        <f>valuated!J252</f>
        <v>0</v>
      </c>
      <c r="J52" s="193">
        <f t="shared" si="1"/>
        <v>-1534.5720000000003</v>
      </c>
      <c r="K52" s="194"/>
      <c r="M52" s="9">
        <f t="shared" si="0"/>
        <v>1918.2150000000004</v>
      </c>
    </row>
    <row r="53" spans="1:13" s="9" customFormat="1" x14ac:dyDescent="0.25">
      <c r="A53" s="192"/>
      <c r="B53" s="192"/>
      <c r="C53" s="152"/>
      <c r="D53" s="152"/>
      <c r="E53" s="152"/>
      <c r="F53" s="152"/>
      <c r="G53" s="152"/>
      <c r="H53" s="152"/>
      <c r="I53" s="152"/>
      <c r="J53" s="193"/>
      <c r="K53" s="194"/>
    </row>
    <row r="54" spans="1:13" s="9" customFormat="1" ht="30" x14ac:dyDescent="0.25">
      <c r="A54" s="192">
        <f>F_estimate!A271</f>
        <v>16</v>
      </c>
      <c r="B54" s="139" t="str">
        <f>F_estimate!B271</f>
        <v xml:space="preserve">l;d]G6 s+qmL6 ˆnf]l/Ë -!M@M$_ -#* dL=dL=_ </v>
      </c>
      <c r="C54" s="152" t="str">
        <f>F_estimate!H279</f>
        <v>sqm</v>
      </c>
      <c r="D54" s="152">
        <f>F_estimate!G279</f>
        <v>63.053230158488283</v>
      </c>
      <c r="E54" s="152">
        <f>F_estimate!I279</f>
        <v>692.38</v>
      </c>
      <c r="F54" s="152">
        <f>D54*E54</f>
        <v>43656.795497134117</v>
      </c>
      <c r="G54" s="152">
        <f>valuated!G260</f>
        <v>62.935380158488279</v>
      </c>
      <c r="H54" s="152">
        <f>valuated!I260</f>
        <v>692.38</v>
      </c>
      <c r="I54" s="152">
        <f>G54*H54</f>
        <v>43575.198514134114</v>
      </c>
      <c r="J54" s="193">
        <f t="shared" si="1"/>
        <v>-81.596983000003092</v>
      </c>
      <c r="K54" s="194"/>
      <c r="M54" s="9">
        <f t="shared" si="0"/>
        <v>54570.994371417648</v>
      </c>
    </row>
    <row r="55" spans="1:13" s="9" customFormat="1" x14ac:dyDescent="0.25">
      <c r="A55" s="192"/>
      <c r="B55" s="197" t="str">
        <f>F_estimate!B280</f>
        <v>-VAT 13% for materials</v>
      </c>
      <c r="C55" s="152"/>
      <c r="D55" s="152"/>
      <c r="E55" s="152"/>
      <c r="F55" s="152">
        <f>F_estimate!J280</f>
        <v>2970.4572192677324</v>
      </c>
      <c r="G55" s="152"/>
      <c r="H55" s="152"/>
      <c r="I55" s="152">
        <f>valuated!J261</f>
        <v>2964.9052692342316</v>
      </c>
      <c r="J55" s="193">
        <f t="shared" si="1"/>
        <v>-5.5519500335008161</v>
      </c>
      <c r="K55" s="194"/>
      <c r="M55" s="9">
        <f t="shared" si="0"/>
        <v>3713.0715240846657</v>
      </c>
    </row>
    <row r="56" spans="1:13" s="9" customFormat="1" x14ac:dyDescent="0.25">
      <c r="A56" s="192"/>
      <c r="B56" s="192"/>
      <c r="C56" s="152"/>
      <c r="D56" s="152"/>
      <c r="E56" s="152"/>
      <c r="F56" s="152"/>
      <c r="G56" s="152"/>
      <c r="H56" s="152"/>
      <c r="I56" s="152"/>
      <c r="J56" s="193"/>
      <c r="K56" s="194"/>
    </row>
    <row r="57" spans="1:13" s="9" customFormat="1" x14ac:dyDescent="0.25">
      <c r="A57" s="192">
        <f>F_estimate!A282</f>
        <v>17</v>
      </c>
      <c r="B57" s="139" t="str">
        <f>F_estimate!B282</f>
        <v># dL=dL= df]6fO{ d;Lgf] l;d]G6 3f]6\g] sfd</v>
      </c>
      <c r="C57" s="152" t="str">
        <f>F_estimate!H285</f>
        <v>sqm</v>
      </c>
      <c r="D57" s="152">
        <f>F_estimate!G285</f>
        <v>70.814730158488288</v>
      </c>
      <c r="E57" s="152">
        <f>F_estimate!I285</f>
        <v>286.77</v>
      </c>
      <c r="F57" s="152">
        <f>D57*E57</f>
        <v>20307.540167549687</v>
      </c>
      <c r="G57" s="152">
        <f>valuated!G266</f>
        <v>67.772780158488274</v>
      </c>
      <c r="H57" s="152">
        <f>valuated!I266</f>
        <v>286.77</v>
      </c>
      <c r="I57" s="152">
        <f>G57*H57</f>
        <v>19435.200166049683</v>
      </c>
      <c r="J57" s="193">
        <f t="shared" ref="J57:J58" si="2">I57-F57</f>
        <v>-872.34000150000429</v>
      </c>
      <c r="K57" s="194"/>
      <c r="M57" s="9">
        <f t="shared" si="0"/>
        <v>25384.425209437108</v>
      </c>
    </row>
    <row r="58" spans="1:13" s="9" customFormat="1" x14ac:dyDescent="0.25">
      <c r="A58" s="192"/>
      <c r="B58" s="197" t="str">
        <f>F_estimate!B286</f>
        <v>-VAT 13% for materials</v>
      </c>
      <c r="C58" s="152"/>
      <c r="D58" s="152"/>
      <c r="E58" s="152"/>
      <c r="F58" s="152">
        <f>F_estimate!J286</f>
        <v>706.75650028457017</v>
      </c>
      <c r="G58" s="152"/>
      <c r="H58" s="152"/>
      <c r="I58" s="152">
        <f>valuated!J267</f>
        <v>676.39674418257005</v>
      </c>
      <c r="J58" s="193">
        <f t="shared" si="2"/>
        <v>-30.359756102000119</v>
      </c>
      <c r="K58" s="194"/>
      <c r="M58" s="9">
        <f t="shared" si="0"/>
        <v>883.44562535571276</v>
      </c>
    </row>
    <row r="59" spans="1:13" s="9" customFormat="1" x14ac:dyDescent="0.25">
      <c r="A59" s="192"/>
      <c r="B59" s="192"/>
      <c r="C59" s="152"/>
      <c r="D59" s="152"/>
      <c r="E59" s="152"/>
      <c r="F59" s="152"/>
      <c r="G59" s="152"/>
      <c r="H59" s="152"/>
      <c r="I59" s="152"/>
      <c r="J59" s="193"/>
      <c r="K59" s="194"/>
    </row>
    <row r="60" spans="1:13" s="9" customFormat="1" x14ac:dyDescent="0.25">
      <c r="A60" s="192">
        <f>F_estimate!A288</f>
        <v>18</v>
      </c>
      <c r="B60" s="139" t="str">
        <f>F_estimate!B288</f>
        <v>!@=% dL=dL= l;d]G6 afn'jf -!M$_ Knfi6/</v>
      </c>
      <c r="C60" s="152" t="str">
        <f>F_estimate!H315</f>
        <v>sqm</v>
      </c>
      <c r="D60" s="152">
        <f>F_estimate!G315</f>
        <v>207.27285000000003</v>
      </c>
      <c r="E60" s="152">
        <f>F_estimate!I315</f>
        <v>402.23</v>
      </c>
      <c r="F60" s="152">
        <f>D60*E60</f>
        <v>83371.358455500012</v>
      </c>
      <c r="G60" s="152">
        <f>valuated!G296</f>
        <v>207.23710000000005</v>
      </c>
      <c r="H60" s="152">
        <f>valuated!I296</f>
        <v>402.23</v>
      </c>
      <c r="I60" s="152">
        <f>G60*H60</f>
        <v>83356.978733000025</v>
      </c>
      <c r="J60" s="193">
        <f t="shared" ref="J60:J61" si="3">I60-F60</f>
        <v>-14.37972249998711</v>
      </c>
      <c r="K60" s="194"/>
      <c r="M60" s="9">
        <f t="shared" si="0"/>
        <v>104214.19806937501</v>
      </c>
    </row>
    <row r="61" spans="1:13" s="9" customFormat="1" x14ac:dyDescent="0.25">
      <c r="A61" s="192"/>
      <c r="B61" s="197" t="str">
        <f>F_estimate!B316</f>
        <v>-VAT 13% for materials</v>
      </c>
      <c r="C61" s="152"/>
      <c r="D61" s="152"/>
      <c r="E61" s="152"/>
      <c r="F61" s="152">
        <f>F_estimate!J316</f>
        <v>3078.2774953905009</v>
      </c>
      <c r="G61" s="152"/>
      <c r="H61" s="152"/>
      <c r="I61" s="152">
        <f>valuated!J297</f>
        <v>3077.746560343001</v>
      </c>
      <c r="J61" s="193">
        <f t="shared" si="3"/>
        <v>-0.53093504749995191</v>
      </c>
      <c r="K61" s="194"/>
      <c r="M61" s="9">
        <f t="shared" si="0"/>
        <v>3847.8468692381261</v>
      </c>
    </row>
    <row r="62" spans="1:13" s="9" customFormat="1" x14ac:dyDescent="0.25">
      <c r="A62" s="192"/>
      <c r="B62" s="192"/>
      <c r="C62" s="152"/>
      <c r="D62" s="152"/>
      <c r="E62" s="152"/>
      <c r="F62" s="152"/>
      <c r="G62" s="152"/>
      <c r="H62" s="152"/>
      <c r="I62" s="152"/>
      <c r="J62" s="193"/>
      <c r="K62" s="194"/>
    </row>
    <row r="63" spans="1:13" s="9" customFormat="1" ht="30" x14ac:dyDescent="0.25">
      <c r="A63" s="192">
        <f>F_estimate!A318</f>
        <v>19</v>
      </c>
      <c r="B63" s="139" t="str">
        <f>F_estimate!B318</f>
        <v>leQf Pjd\ l;lnËdf @ ld=ld= Kn]g XjfO{6 k'§L Knfi6/ ug]{ sfo{</v>
      </c>
      <c r="C63" s="152" t="str">
        <f>F_estimate!H326</f>
        <v>sqm</v>
      </c>
      <c r="D63" s="152">
        <f>F_estimate!G326</f>
        <v>57.159450000000007</v>
      </c>
      <c r="E63" s="152">
        <f>F_estimate!I326</f>
        <v>277.02999999999997</v>
      </c>
      <c r="F63" s="152">
        <f>D63*E63</f>
        <v>15834.882433500001</v>
      </c>
      <c r="G63" s="152">
        <f>valuated!G311</f>
        <v>44.746473965405244</v>
      </c>
      <c r="H63" s="152">
        <f>valuated!I311</f>
        <v>277.02999999999997</v>
      </c>
      <c r="I63" s="152">
        <f>G63*H63</f>
        <v>12396.115682636213</v>
      </c>
      <c r="J63" s="193">
        <f t="shared" ref="J63:J64" si="4">I63-F63</f>
        <v>-3438.7667508637878</v>
      </c>
      <c r="K63" s="194"/>
      <c r="M63" s="9">
        <f t="shared" si="0"/>
        <v>19793.603041875002</v>
      </c>
    </row>
    <row r="64" spans="1:13" s="9" customFormat="1" x14ac:dyDescent="0.25">
      <c r="A64" s="192"/>
      <c r="B64" s="197" t="str">
        <f>F_estimate!B327</f>
        <v>-VAT 13% for materials</v>
      </c>
      <c r="C64" s="152"/>
      <c r="D64" s="152"/>
      <c r="E64" s="152"/>
      <c r="F64" s="152">
        <f>F_estimate!J327</f>
        <v>498.0965928120001</v>
      </c>
      <c r="G64" s="152"/>
      <c r="H64" s="152"/>
      <c r="I64" s="152">
        <f>valuated!J312</f>
        <v>389.92793357037579</v>
      </c>
      <c r="J64" s="193">
        <f t="shared" si="4"/>
        <v>-108.16865924162431</v>
      </c>
      <c r="K64" s="194"/>
      <c r="M64" s="9">
        <f t="shared" si="0"/>
        <v>622.62074101500014</v>
      </c>
    </row>
    <row r="65" spans="1:13" s="9" customFormat="1" x14ac:dyDescent="0.25">
      <c r="A65" s="192"/>
      <c r="B65" s="192"/>
      <c r="C65" s="152"/>
      <c r="D65" s="152"/>
      <c r="E65" s="152"/>
      <c r="F65" s="152"/>
      <c r="G65" s="152"/>
      <c r="H65" s="152"/>
      <c r="I65" s="152"/>
      <c r="J65" s="193"/>
      <c r="K65" s="194"/>
    </row>
    <row r="66" spans="1:13" s="9" customFormat="1" ht="30" x14ac:dyDescent="0.25">
      <c r="A66" s="192">
        <f>F_estimate!A329</f>
        <v>20</v>
      </c>
      <c r="B66" s="139" t="str">
        <f>F_estimate!B329</f>
        <v>Knfi6/ dfly @) dL=dL= afSnf] emNn/ jf kfgL k§L agfpg] sfd</v>
      </c>
      <c r="C66" s="152" t="str">
        <f>F_estimate!H332</f>
        <v>rm</v>
      </c>
      <c r="D66" s="152">
        <f>F_estimate!G332</f>
        <v>44.18</v>
      </c>
      <c r="E66" s="152">
        <f>F_estimate!I332</f>
        <v>150.04</v>
      </c>
      <c r="F66" s="152">
        <f>D66*E66</f>
        <v>6628.7671999999993</v>
      </c>
      <c r="G66" s="152">
        <f>valuated!G317</f>
        <v>44.185000000000002</v>
      </c>
      <c r="H66" s="152">
        <f>valuated!I317</f>
        <v>150.04</v>
      </c>
      <c r="I66" s="152">
        <f>G66*H66</f>
        <v>6629.5173999999997</v>
      </c>
      <c r="J66" s="193">
        <f t="shared" ref="J66:J67" si="5">I66-F66</f>
        <v>0.75020000000040454</v>
      </c>
      <c r="K66" s="194"/>
      <c r="M66" s="9">
        <f t="shared" si="0"/>
        <v>8285.9589999999989</v>
      </c>
    </row>
    <row r="67" spans="1:13" s="9" customFormat="1" x14ac:dyDescent="0.25">
      <c r="A67" s="192"/>
      <c r="B67" s="197" t="str">
        <f>F_estimate!B333</f>
        <v>-VAT 13% for materials</v>
      </c>
      <c r="C67" s="152"/>
      <c r="D67" s="152"/>
      <c r="E67" s="152"/>
      <c r="F67" s="152">
        <f>F_estimate!J333</f>
        <v>637.80457000000001</v>
      </c>
      <c r="G67" s="152"/>
      <c r="H67" s="152"/>
      <c r="I67" s="152">
        <f>valuated!J318</f>
        <v>637.87675250000007</v>
      </c>
      <c r="J67" s="193">
        <f t="shared" si="5"/>
        <v>7.2182500000053551E-2</v>
      </c>
      <c r="K67" s="194"/>
      <c r="M67" s="9">
        <f t="shared" si="0"/>
        <v>797.25571250000007</v>
      </c>
    </row>
    <row r="68" spans="1:13" s="9" customFormat="1" x14ac:dyDescent="0.25">
      <c r="A68" s="192"/>
      <c r="B68" s="192"/>
      <c r="C68" s="152"/>
      <c r="D68" s="152"/>
      <c r="E68" s="152"/>
      <c r="F68" s="152"/>
      <c r="G68" s="152"/>
      <c r="H68" s="152"/>
      <c r="I68" s="152"/>
      <c r="J68" s="193"/>
      <c r="K68" s="194"/>
    </row>
    <row r="69" spans="1:13" s="9" customFormat="1" ht="30" x14ac:dyDescent="0.25">
      <c r="A69" s="192">
        <f>F_estimate!A335</f>
        <v>21</v>
      </c>
      <c r="B69" s="139" t="str">
        <f>F_estimate!B335</f>
        <v>b'O{ sf]6 Knfli6s O{dNzg k]G6 nufpg] sfd -k|fOd/ ;lxt_</v>
      </c>
      <c r="C69" s="152" t="str">
        <f>F_estimate!H382</f>
        <v>sqm</v>
      </c>
      <c r="D69" s="152">
        <f>F_estimate!G382</f>
        <v>171.25645</v>
      </c>
      <c r="E69" s="152">
        <f>F_estimate!I382</f>
        <v>326.37</v>
      </c>
      <c r="F69" s="152">
        <f>D69*E69</f>
        <v>55892.967586500003</v>
      </c>
      <c r="G69" s="152">
        <f>valuated!G368</f>
        <v>175.74722500000001</v>
      </c>
      <c r="H69" s="152">
        <f>valuated!I368</f>
        <v>326.37</v>
      </c>
      <c r="I69" s="152">
        <f>G69*H69</f>
        <v>57358.621823250003</v>
      </c>
      <c r="J69" s="193">
        <f t="shared" ref="J69:J70" si="6">I69-F69</f>
        <v>1465.6542367500006</v>
      </c>
      <c r="K69" s="194"/>
      <c r="M69" s="9">
        <f>1.25*F69</f>
        <v>69866.209483125</v>
      </c>
    </row>
    <row r="70" spans="1:13" s="9" customFormat="1" x14ac:dyDescent="0.25">
      <c r="A70" s="192"/>
      <c r="B70" s="197" t="str">
        <f>F_estimate!B383</f>
        <v>-VAT 13% for materials</v>
      </c>
      <c r="C70" s="152"/>
      <c r="D70" s="152"/>
      <c r="E70" s="152"/>
      <c r="F70" s="152">
        <f>F_estimate!J383</f>
        <v>2457.160143568</v>
      </c>
      <c r="G70" s="152"/>
      <c r="H70" s="152"/>
      <c r="I70" s="152">
        <f>valuated!J369</f>
        <v>2521.593064744</v>
      </c>
      <c r="J70" s="193">
        <f t="shared" si="6"/>
        <v>64.432921176000036</v>
      </c>
      <c r="K70" s="194"/>
      <c r="M70" s="9">
        <f>1.25*F70</f>
        <v>3071.4501794600001</v>
      </c>
    </row>
    <row r="71" spans="1:13" s="9" customFormat="1" x14ac:dyDescent="0.25">
      <c r="A71" s="192"/>
      <c r="B71" s="192"/>
      <c r="C71" s="152"/>
      <c r="D71" s="152"/>
      <c r="E71" s="152"/>
      <c r="F71" s="152"/>
      <c r="G71" s="152"/>
      <c r="H71" s="152"/>
      <c r="I71" s="152"/>
      <c r="J71" s="193"/>
      <c r="K71" s="194"/>
    </row>
    <row r="72" spans="1:13" s="9" customFormat="1" ht="30" hidden="1" x14ac:dyDescent="0.25">
      <c r="A72" s="192">
        <f>F_estimate!A385</f>
        <v>22</v>
      </c>
      <c r="B72" s="139" t="str">
        <f>F_estimate!B385</f>
        <v>Ps sf]6 Knfli6s O{dNzg k]G6 nufpg] sfd -k|fOd/ ;lxt_</v>
      </c>
      <c r="C72" s="152" t="str">
        <f>F_estimate!H418</f>
        <v>sqm</v>
      </c>
      <c r="D72" s="152">
        <f>F_estimate!G418</f>
        <v>0</v>
      </c>
      <c r="E72" s="152">
        <f>F_estimate!I418</f>
        <v>213.29</v>
      </c>
      <c r="F72" s="152">
        <f>D72*E72</f>
        <v>0</v>
      </c>
      <c r="G72" s="152">
        <f>valuated!G395</f>
        <v>0</v>
      </c>
      <c r="H72" s="152">
        <f>valuated!I395</f>
        <v>213.29</v>
      </c>
      <c r="I72" s="152">
        <f>G72*H72</f>
        <v>0</v>
      </c>
      <c r="J72" s="193">
        <f t="shared" ref="J72:J73" si="7">I72-F72</f>
        <v>0</v>
      </c>
      <c r="K72" s="194"/>
      <c r="M72" s="9">
        <f>1.25*F72</f>
        <v>0</v>
      </c>
    </row>
    <row r="73" spans="1:13" s="9" customFormat="1" hidden="1" x14ac:dyDescent="0.25">
      <c r="A73" s="192"/>
      <c r="B73" s="197" t="str">
        <f>F_estimate!B419</f>
        <v>-VAT 13% for materials</v>
      </c>
      <c r="C73" s="152"/>
      <c r="D73" s="152"/>
      <c r="E73" s="152"/>
      <c r="F73" s="152">
        <f>F_estimate!J419</f>
        <v>0</v>
      </c>
      <c r="G73" s="152"/>
      <c r="H73" s="152"/>
      <c r="I73" s="152">
        <f>valuated!J396</f>
        <v>0</v>
      </c>
      <c r="J73" s="193">
        <f t="shared" si="7"/>
        <v>0</v>
      </c>
      <c r="K73" s="194"/>
      <c r="M73" s="9">
        <f>1.25*F73</f>
        <v>0</v>
      </c>
    </row>
    <row r="74" spans="1:13" s="9" customFormat="1" hidden="1" x14ac:dyDescent="0.25">
      <c r="A74" s="192"/>
      <c r="B74" s="192"/>
      <c r="C74" s="152"/>
      <c r="D74" s="152"/>
      <c r="E74" s="152"/>
      <c r="F74" s="152"/>
      <c r="G74" s="152"/>
      <c r="H74" s="152"/>
      <c r="I74" s="152"/>
      <c r="J74" s="193"/>
      <c r="K74" s="194"/>
    </row>
    <row r="75" spans="1:13" s="9" customFormat="1" ht="135" x14ac:dyDescent="0.25">
      <c r="A75" s="192">
        <f>F_estimate!A421</f>
        <v>22</v>
      </c>
      <c r="B75" s="139" t="str">
        <f>F_estimate!B421</f>
        <v>%) dL=dL= Ø sf] sfnf] kmnfd] kfO{k kf]i6 @ dL6/ b"/Ldf @)x@)x$ dL=dL=/ '@% x @% x $ dL=dL= ;fO{hsf] kmnfd] PËn k|m]dsf] ljrdf !) S.W.G.G. I. Chain Link  @Æx@Æ sf] d]; ;fOh hfnL h8fg ug]{ / # x @) sf] kmnfd] kftfsf] lu|n )=!% dL= cUnf] agfO{ dfly h8fg u/L km]lj|s]zg u/L k|fOd/ k]G6 ;lxt ;Dk"0f{ sfo{ .</v>
      </c>
      <c r="C75" s="152" t="str">
        <f>F_estimate!H425</f>
        <v>sqm</v>
      </c>
      <c r="D75" s="152">
        <f>F_estimate!G425</f>
        <v>44.355818348064616</v>
      </c>
      <c r="E75" s="152">
        <f>F_estimate!I425</f>
        <v>3213.56</v>
      </c>
      <c r="F75" s="152">
        <f>D75*E75</f>
        <v>142540.08361060653</v>
      </c>
      <c r="G75" s="152">
        <f>valuated!G402</f>
        <v>21.232226273704104</v>
      </c>
      <c r="H75" s="152">
        <f>valuated!I402</f>
        <v>3213.56</v>
      </c>
      <c r="I75" s="152">
        <f>G75*H75</f>
        <v>68231.033064124553</v>
      </c>
      <c r="J75" s="193">
        <f t="shared" ref="J75:J76" si="8">I75-F75</f>
        <v>-74309.050546481973</v>
      </c>
      <c r="K75" s="194"/>
      <c r="M75" s="9">
        <f>1.25*F75</f>
        <v>178175.10451325815</v>
      </c>
    </row>
    <row r="76" spans="1:13" s="9" customFormat="1" x14ac:dyDescent="0.25">
      <c r="A76" s="192"/>
      <c r="B76" s="197" t="str">
        <f>F_estimate!B426</f>
        <v>-VAT 13% for materials</v>
      </c>
      <c r="C76" s="152"/>
      <c r="D76" s="152"/>
      <c r="E76" s="152"/>
      <c r="F76" s="152">
        <f>F_estimate!J426</f>
        <v>964.49864053495889</v>
      </c>
      <c r="G76" s="152"/>
      <c r="H76" s="152"/>
      <c r="I76" s="152">
        <f>valuated!J403</f>
        <v>461.68584278666083</v>
      </c>
      <c r="J76" s="193">
        <f t="shared" si="8"/>
        <v>-502.81279774829807</v>
      </c>
      <c r="K76" s="194"/>
      <c r="M76" s="9">
        <f>1.25*F76</f>
        <v>1205.6233006686987</v>
      </c>
    </row>
    <row r="77" spans="1:13" s="9" customFormat="1" x14ac:dyDescent="0.25">
      <c r="A77" s="192"/>
      <c r="B77" s="192"/>
      <c r="C77" s="152"/>
      <c r="D77" s="152"/>
      <c r="E77" s="152"/>
      <c r="F77" s="152"/>
      <c r="G77" s="152"/>
      <c r="H77" s="152"/>
      <c r="I77" s="152"/>
      <c r="J77" s="193"/>
      <c r="K77" s="194"/>
    </row>
    <row r="78" spans="1:13" s="9" customFormat="1" ht="60" x14ac:dyDescent="0.25">
      <c r="A78" s="192">
        <f>F_estimate!A428</f>
        <v>23</v>
      </c>
      <c r="B78" s="139" t="str">
        <f>F_estimate!B428</f>
        <v xml:space="preserve">e'O{tNnfdf k'/fgf] lrDgL e§fsf] O{6f pknAw ug]{, l;d]G6 d;nf -!M^_ tof/ u/L uf/f] nufpg] sfd #) dL6/;Dd 9'jfgL ;lxt </v>
      </c>
      <c r="C78" s="152" t="str">
        <f>F_estimate!H434</f>
        <v>cum</v>
      </c>
      <c r="D78" s="152">
        <f>F_estimate!G434</f>
        <v>3.0307500000000003</v>
      </c>
      <c r="E78" s="152">
        <f>F_estimate!I434</f>
        <v>5755.67</v>
      </c>
      <c r="F78" s="152">
        <f>D78*E78</f>
        <v>17443.9968525</v>
      </c>
      <c r="G78" s="152">
        <f>valuated!G411</f>
        <v>3.7121250000000003</v>
      </c>
      <c r="H78" s="152">
        <f>valuated!I411</f>
        <v>5755.67</v>
      </c>
      <c r="I78" s="152">
        <f>G78*H78</f>
        <v>21365.766498750003</v>
      </c>
      <c r="J78" s="193">
        <f t="shared" ref="J78:J82" si="9">I78-F78</f>
        <v>3921.7696462500026</v>
      </c>
      <c r="K78" s="194"/>
      <c r="M78" s="9">
        <f>1.25*F78</f>
        <v>21804.996065625</v>
      </c>
    </row>
    <row r="79" spans="1:13" s="9" customFormat="1" x14ac:dyDescent="0.25">
      <c r="A79" s="192"/>
      <c r="B79" s="197" t="str">
        <f>F_estimate!B435</f>
        <v>-VAT 13% for materials</v>
      </c>
      <c r="C79" s="152"/>
      <c r="D79" s="152"/>
      <c r="E79" s="152"/>
      <c r="F79" s="152">
        <f>F_estimate!J435</f>
        <v>705.36190432500007</v>
      </c>
      <c r="G79" s="152"/>
      <c r="H79" s="152"/>
      <c r="I79" s="152">
        <f>valuated!J412</f>
        <v>863.94178308750008</v>
      </c>
      <c r="J79" s="193">
        <f t="shared" si="9"/>
        <v>158.57987876250002</v>
      </c>
      <c r="K79" s="194"/>
      <c r="M79" s="9">
        <f>1.25*F79</f>
        <v>881.70238040625009</v>
      </c>
    </row>
    <row r="80" spans="1:13" s="9" customFormat="1" x14ac:dyDescent="0.25">
      <c r="A80" s="192"/>
      <c r="B80" s="192"/>
      <c r="C80" s="152"/>
      <c r="D80" s="152"/>
      <c r="E80" s="152"/>
      <c r="F80" s="152"/>
      <c r="G80" s="152"/>
      <c r="H80" s="152"/>
      <c r="I80" s="152"/>
      <c r="J80" s="193"/>
      <c r="K80" s="194"/>
    </row>
    <row r="81" spans="1:13" s="9" customFormat="1" ht="30" x14ac:dyDescent="0.25">
      <c r="A81" s="192">
        <f>F_estimate!A437</f>
        <v>24</v>
      </c>
      <c r="B81" s="139" t="str">
        <f>F_estimate!B437</f>
        <v>@%–#&amp;=% dL=dL= afSnf] 5fKg] 9'+uf -ˆn}u:6f]g_ !M$ l;d]G6 afn'jfdf</v>
      </c>
      <c r="C81" s="152" t="str">
        <f>F_estimate!H441</f>
        <v>cum</v>
      </c>
      <c r="D81" s="152">
        <f>F_estimate!G441</f>
        <v>13.109930356459257</v>
      </c>
      <c r="E81" s="152">
        <f>F_estimate!I441</f>
        <v>1885.53</v>
      </c>
      <c r="F81" s="152">
        <f>D81*E81</f>
        <v>24719.166985014621</v>
      </c>
      <c r="G81" s="152">
        <f>valuated!G420</f>
        <v>13.894420084522368</v>
      </c>
      <c r="H81" s="152">
        <f>valuated!I420</f>
        <v>1885.53</v>
      </c>
      <c r="I81" s="152">
        <f>G81*H81</f>
        <v>26198.34590196946</v>
      </c>
      <c r="J81" s="193">
        <f t="shared" si="9"/>
        <v>1479.1789169548392</v>
      </c>
      <c r="K81" s="194"/>
      <c r="M81" s="9">
        <f>1.25*F81</f>
        <v>30898.958731268278</v>
      </c>
    </row>
    <row r="82" spans="1:13" s="9" customFormat="1" x14ac:dyDescent="0.25">
      <c r="A82" s="192"/>
      <c r="B82" s="192"/>
      <c r="C82" s="152"/>
      <c r="D82" s="152"/>
      <c r="E82" s="152"/>
      <c r="F82" s="152">
        <f>F_estimate!J442</f>
        <v>2114.2325691175242</v>
      </c>
      <c r="G82" s="152"/>
      <c r="H82" s="152"/>
      <c r="I82" s="152">
        <f>valuated!J421</f>
        <v>2240.7468745418846</v>
      </c>
      <c r="J82" s="193">
        <f t="shared" si="9"/>
        <v>126.51430542436037</v>
      </c>
      <c r="K82" s="194"/>
      <c r="M82" s="9">
        <f>1.25*F82</f>
        <v>2642.7907113969054</v>
      </c>
    </row>
    <row r="83" spans="1:13" s="9" customFormat="1" x14ac:dyDescent="0.25">
      <c r="A83" s="192"/>
      <c r="B83" s="192"/>
      <c r="C83" s="152"/>
      <c r="D83" s="152"/>
      <c r="E83" s="152"/>
      <c r="F83" s="152"/>
      <c r="G83" s="152"/>
      <c r="H83" s="152"/>
      <c r="I83" s="152"/>
      <c r="J83" s="193"/>
      <c r="K83" s="194"/>
    </row>
    <row r="84" spans="1:13" s="9" customFormat="1" ht="30" x14ac:dyDescent="0.25">
      <c r="A84" s="192">
        <f>F_estimate!A444</f>
        <v>25</v>
      </c>
      <c r="B84" s="10" t="str">
        <f>F_estimate!B444</f>
        <v>Provisional sum for lab test and other unforeseen works</v>
      </c>
      <c r="C84" s="152" t="str">
        <f>F_estimate!H444</f>
        <v>PS</v>
      </c>
      <c r="D84" s="152">
        <f>F_estimate!G444</f>
        <v>1</v>
      </c>
      <c r="E84" s="152">
        <f>F_estimate!I444</f>
        <v>50000</v>
      </c>
      <c r="F84" s="152">
        <f>D84*E84</f>
        <v>50000</v>
      </c>
      <c r="G84" s="152">
        <f>valuated!G423</f>
        <v>1</v>
      </c>
      <c r="H84" s="152">
        <f>valuated!I423</f>
        <v>27376</v>
      </c>
      <c r="I84" s="152">
        <f>G84*H84</f>
        <v>27376</v>
      </c>
      <c r="J84" s="193">
        <f t="shared" si="1"/>
        <v>-22624</v>
      </c>
      <c r="K84" s="194"/>
      <c r="M84" s="9">
        <f t="shared" si="0"/>
        <v>62500</v>
      </c>
    </row>
    <row r="85" spans="1:13" s="9" customFormat="1" x14ac:dyDescent="0.25">
      <c r="A85" s="192"/>
      <c r="B85" s="192"/>
      <c r="C85" s="152"/>
      <c r="D85" s="152"/>
      <c r="E85" s="152"/>
      <c r="F85" s="152"/>
      <c r="G85" s="152"/>
      <c r="H85" s="152"/>
      <c r="I85" s="152"/>
      <c r="J85" s="193"/>
      <c r="K85" s="194"/>
    </row>
    <row r="86" spans="1:13" s="9" customFormat="1" x14ac:dyDescent="0.25">
      <c r="A86" s="192">
        <f>F_estimate!A446</f>
        <v>26</v>
      </c>
      <c r="B86" s="192" t="str">
        <f>F_estimate!B446</f>
        <v>Information board (सुचना पाटि)</v>
      </c>
      <c r="C86" s="152" t="str">
        <f>F_estimate!H446</f>
        <v>no.</v>
      </c>
      <c r="D86" s="152">
        <f>F_estimate!G446</f>
        <v>1</v>
      </c>
      <c r="E86" s="152">
        <f>F_estimate!I446</f>
        <v>1000</v>
      </c>
      <c r="F86" s="152">
        <f>D86*E86</f>
        <v>1000</v>
      </c>
      <c r="G86" s="152">
        <f>valuated!G427</f>
        <v>1</v>
      </c>
      <c r="H86" s="152">
        <f>valuated!I427</f>
        <v>1000</v>
      </c>
      <c r="I86" s="152">
        <f>G86*H86</f>
        <v>1000</v>
      </c>
      <c r="J86" s="193">
        <f t="shared" si="1"/>
        <v>0</v>
      </c>
      <c r="K86" s="194"/>
      <c r="M86" s="9">
        <f t="shared" si="0"/>
        <v>1250</v>
      </c>
    </row>
    <row r="87" spans="1:13" s="9" customFormat="1" x14ac:dyDescent="0.25">
      <c r="A87" s="198"/>
      <c r="B87" s="198"/>
      <c r="C87" s="152"/>
      <c r="D87" s="152"/>
      <c r="E87" s="152"/>
      <c r="F87" s="152"/>
      <c r="G87" s="152"/>
      <c r="H87" s="152"/>
      <c r="I87" s="152"/>
      <c r="J87" s="193"/>
      <c r="K87" s="194"/>
    </row>
    <row r="88" spans="1:13" x14ac:dyDescent="0.25">
      <c r="A88" s="180"/>
      <c r="B88" s="199" t="s">
        <v>56</v>
      </c>
      <c r="C88" s="199"/>
      <c r="D88" s="200"/>
      <c r="E88" s="200"/>
      <c r="F88" s="200">
        <f>SUM(F13:F86)</f>
        <v>1814101.8849886646</v>
      </c>
      <c r="G88" s="200"/>
      <c r="H88" s="200"/>
      <c r="I88" s="200">
        <f>SUM(I13:I86)</f>
        <v>1592816.8198072687</v>
      </c>
      <c r="J88" s="201">
        <f>I88-F88</f>
        <v>-221285.06518139597</v>
      </c>
      <c r="K88" s="180"/>
      <c r="M88" s="9"/>
    </row>
    <row r="90" spans="1:13" x14ac:dyDescent="0.25">
      <c r="J90" s="42"/>
    </row>
    <row r="92" spans="1:13" x14ac:dyDescent="0.25">
      <c r="F92" s="44">
        <f>estimate!J204</f>
        <v>1814101.8833050309</v>
      </c>
      <c r="I92" s="44">
        <f>valuated!J428</f>
        <v>1592816.8198072687</v>
      </c>
      <c r="J92" s="41">
        <f>I92-F92</f>
        <v>-221285.0634977622</v>
      </c>
      <c r="M92" s="174">
        <f>J92+estimate!J218</f>
        <v>33332.863347564096</v>
      </c>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0" orientation="landscape" horizontalDpi="300" verticalDpi="300"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35"/>
  <sheetViews>
    <sheetView topLeftCell="A410" zoomScale="89" zoomScaleNormal="89" workbookViewId="0">
      <selection activeCell="G398" sqref="G398"/>
    </sheetView>
  </sheetViews>
  <sheetFormatPr defaultRowHeight="15" x14ac:dyDescent="0.25"/>
  <cols>
    <col min="1" max="1" width="4.42578125" customWidth="1"/>
    <col min="2" max="2" width="31.28515625" customWidth="1"/>
    <col min="3" max="3" width="5.5703125" customWidth="1"/>
    <col min="4" max="4" width="9.140625" bestFit="1" customWidth="1"/>
    <col min="5" max="5" width="7.85546875" customWidth="1"/>
    <col min="6" max="6" width="8.28515625" customWidth="1"/>
    <col min="7" max="7" width="9.28515625" customWidth="1"/>
    <col min="8" max="8" width="5.28515625" bestFit="1" customWidth="1"/>
    <col min="9" max="9" width="9.5703125" bestFit="1" customWidth="1"/>
    <col min="10" max="10" width="10.5703125" bestFit="1" customWidth="1"/>
    <col min="11" max="11" width="9.140625" customWidth="1"/>
    <col min="14" max="14" width="9.5703125" bestFit="1" customWidth="1"/>
  </cols>
  <sheetData>
    <row r="1" spans="1:11" x14ac:dyDescent="0.25">
      <c r="A1" s="215" t="s">
        <v>0</v>
      </c>
      <c r="B1" s="215"/>
      <c r="C1" s="215"/>
      <c r="D1" s="215"/>
      <c r="E1" s="215"/>
      <c r="F1" s="215"/>
      <c r="G1" s="215"/>
      <c r="H1" s="215"/>
      <c r="I1" s="215"/>
      <c r="J1" s="215"/>
      <c r="K1" s="215"/>
    </row>
    <row r="2" spans="1:11" ht="22.5" x14ac:dyDescent="0.25">
      <c r="A2" s="216" t="s">
        <v>1</v>
      </c>
      <c r="B2" s="216"/>
      <c r="C2" s="216"/>
      <c r="D2" s="216"/>
      <c r="E2" s="216"/>
      <c r="F2" s="216"/>
      <c r="G2" s="216"/>
      <c r="H2" s="216"/>
      <c r="I2" s="216"/>
      <c r="J2" s="216"/>
      <c r="K2" s="216"/>
    </row>
    <row r="3" spans="1:11" x14ac:dyDescent="0.25">
      <c r="A3" s="217" t="s">
        <v>2</v>
      </c>
      <c r="B3" s="217"/>
      <c r="C3" s="217"/>
      <c r="D3" s="217"/>
      <c r="E3" s="217"/>
      <c r="F3" s="217"/>
      <c r="G3" s="217"/>
      <c r="H3" s="217"/>
      <c r="I3" s="217"/>
      <c r="J3" s="217"/>
      <c r="K3" s="217"/>
    </row>
    <row r="4" spans="1:11" x14ac:dyDescent="0.25">
      <c r="A4" s="217" t="s">
        <v>3</v>
      </c>
      <c r="B4" s="217"/>
      <c r="C4" s="217"/>
      <c r="D4" s="217"/>
      <c r="E4" s="217"/>
      <c r="F4" s="217"/>
      <c r="G4" s="217"/>
      <c r="H4" s="217"/>
      <c r="I4" s="217"/>
      <c r="J4" s="217"/>
      <c r="K4" s="217"/>
    </row>
    <row r="5" spans="1:11" ht="18.75" x14ac:dyDescent="0.3">
      <c r="A5" s="218" t="s">
        <v>262</v>
      </c>
      <c r="B5" s="218"/>
      <c r="C5" s="218"/>
      <c r="D5" s="218"/>
      <c r="E5" s="218"/>
      <c r="F5" s="218"/>
      <c r="G5" s="218"/>
      <c r="H5" s="218"/>
      <c r="I5" s="218"/>
      <c r="J5" s="218"/>
      <c r="K5" s="218"/>
    </row>
    <row r="6" spans="1:11" ht="15.75" x14ac:dyDescent="0.25">
      <c r="A6" s="213" t="s">
        <v>111</v>
      </c>
      <c r="B6" s="213"/>
      <c r="C6" s="213"/>
      <c r="D6" s="213"/>
      <c r="E6" s="213"/>
      <c r="F6" s="213"/>
      <c r="G6" s="1"/>
      <c r="H6" s="214" t="s">
        <v>42</v>
      </c>
      <c r="I6" s="214"/>
      <c r="J6" s="214"/>
      <c r="K6" s="214"/>
    </row>
    <row r="7" spans="1:11" ht="15.75" x14ac:dyDescent="0.25">
      <c r="A7" s="221" t="s">
        <v>5</v>
      </c>
      <c r="B7" s="221"/>
      <c r="C7" s="221"/>
      <c r="D7" s="221"/>
      <c r="E7" s="221"/>
      <c r="F7" s="221"/>
      <c r="G7" s="2"/>
      <c r="H7" s="214" t="s">
        <v>261</v>
      </c>
      <c r="I7" s="214"/>
      <c r="J7" s="214"/>
      <c r="K7" s="214"/>
    </row>
    <row r="8" spans="1:11" ht="15" customHeight="1" x14ac:dyDescent="0.25">
      <c r="A8" s="184" t="s">
        <v>6</v>
      </c>
      <c r="B8" s="185" t="s">
        <v>7</v>
      </c>
      <c r="C8" s="186" t="s">
        <v>8</v>
      </c>
      <c r="D8" s="187" t="s">
        <v>9</v>
      </c>
      <c r="E8" s="187" t="s">
        <v>10</v>
      </c>
      <c r="F8" s="187" t="s">
        <v>11</v>
      </c>
      <c r="G8" s="187" t="s">
        <v>12</v>
      </c>
      <c r="H8" s="186" t="s">
        <v>13</v>
      </c>
      <c r="I8" s="187" t="s">
        <v>14</v>
      </c>
      <c r="J8" s="187" t="s">
        <v>15</v>
      </c>
      <c r="K8" s="185" t="s">
        <v>38</v>
      </c>
    </row>
    <row r="9" spans="1:11" ht="31.5" x14ac:dyDescent="0.25">
      <c r="A9" s="182">
        <v>1</v>
      </c>
      <c r="B9" s="124" t="s">
        <v>62</v>
      </c>
      <c r="C9" s="178"/>
      <c r="D9" s="178"/>
      <c r="E9" s="178"/>
      <c r="F9" s="178"/>
      <c r="G9" s="178"/>
      <c r="H9" s="178"/>
      <c r="I9" s="178"/>
      <c r="J9" s="152"/>
      <c r="K9" s="178"/>
    </row>
    <row r="10" spans="1:11" x14ac:dyDescent="0.25">
      <c r="A10" s="182"/>
      <c r="B10" s="173" t="s">
        <v>57</v>
      </c>
      <c r="C10" s="151">
        <v>6</v>
      </c>
      <c r="D10" s="152">
        <v>1.5</v>
      </c>
      <c r="E10" s="152">
        <v>1.5</v>
      </c>
      <c r="F10" s="152">
        <v>1.6</v>
      </c>
      <c r="G10" s="152">
        <f>PRODUCT(C10:F10)</f>
        <v>21.6</v>
      </c>
      <c r="H10" s="178"/>
      <c r="I10" s="178"/>
      <c r="J10" s="152"/>
      <c r="K10" s="178"/>
    </row>
    <row r="11" spans="1:11" x14ac:dyDescent="0.25">
      <c r="A11" s="182"/>
      <c r="B11" s="173" t="s">
        <v>61</v>
      </c>
      <c r="C11" s="151">
        <v>3</v>
      </c>
      <c r="D11" s="152">
        <f>3</f>
        <v>3</v>
      </c>
      <c r="E11" s="152">
        <v>0.23</v>
      </c>
      <c r="F11" s="152">
        <f>1.5/3.281</f>
        <v>0.45717768972874123</v>
      </c>
      <c r="G11" s="152">
        <f t="shared" ref="G11:G17" si="0">PRODUCT(C11:F11)</f>
        <v>0.94635781773849448</v>
      </c>
      <c r="H11" s="178"/>
      <c r="I11" s="178"/>
      <c r="J11" s="152"/>
      <c r="K11" s="178"/>
    </row>
    <row r="12" spans="1:11" x14ac:dyDescent="0.25">
      <c r="A12" s="182"/>
      <c r="B12" s="173"/>
      <c r="C12" s="151">
        <v>4</v>
      </c>
      <c r="D12" s="152">
        <f>8.5/3.281</f>
        <v>2.5906735751295336</v>
      </c>
      <c r="E12" s="152">
        <v>0.23</v>
      </c>
      <c r="F12" s="152">
        <f>1.5/3.281</f>
        <v>0.45717768972874123</v>
      </c>
      <c r="G12" s="152">
        <f t="shared" si="0"/>
        <v>1.0896463071254971</v>
      </c>
      <c r="H12" s="178"/>
      <c r="I12" s="178"/>
      <c r="J12" s="152"/>
      <c r="K12" s="178"/>
    </row>
    <row r="13" spans="1:11" x14ac:dyDescent="0.25">
      <c r="A13" s="182"/>
      <c r="B13" s="173" t="s">
        <v>149</v>
      </c>
      <c r="C13" s="151">
        <v>1</v>
      </c>
      <c r="D13" s="152">
        <f>(2.34+1.4)/2</f>
        <v>1.8699999999999999</v>
      </c>
      <c r="E13" s="152">
        <f>12/3.281</f>
        <v>3.6574215178299299</v>
      </c>
      <c r="F13" s="152">
        <v>0.125</v>
      </c>
      <c r="G13" s="152">
        <f t="shared" si="0"/>
        <v>0.85492227979274604</v>
      </c>
      <c r="H13" s="178"/>
      <c r="I13" s="178"/>
      <c r="J13" s="152"/>
      <c r="K13" s="178"/>
    </row>
    <row r="14" spans="1:11" x14ac:dyDescent="0.25">
      <c r="A14" s="182"/>
      <c r="B14" s="173"/>
      <c r="C14" s="151">
        <v>1</v>
      </c>
      <c r="D14" s="152">
        <v>7.5</v>
      </c>
      <c r="E14" s="152">
        <v>1.1499999999999999</v>
      </c>
      <c r="F14" s="152">
        <v>0.125</v>
      </c>
      <c r="G14" s="152">
        <f t="shared" si="0"/>
        <v>1.078125</v>
      </c>
      <c r="H14" s="178"/>
      <c r="I14" s="178"/>
      <c r="J14" s="152"/>
      <c r="K14" s="178"/>
    </row>
    <row r="15" spans="1:11" x14ac:dyDescent="0.25">
      <c r="A15" s="182"/>
      <c r="B15" s="173"/>
      <c r="C15" s="151">
        <v>1</v>
      </c>
      <c r="D15" s="152">
        <v>1.6</v>
      </c>
      <c r="E15" s="152">
        <v>1.55</v>
      </c>
      <c r="F15" s="152">
        <v>0.125</v>
      </c>
      <c r="G15" s="152">
        <f t="shared" si="0"/>
        <v>0.31000000000000005</v>
      </c>
      <c r="H15" s="178"/>
      <c r="I15" s="178"/>
      <c r="J15" s="152"/>
      <c r="K15" s="178"/>
    </row>
    <row r="16" spans="1:11" x14ac:dyDescent="0.25">
      <c r="A16" s="182"/>
      <c r="B16" s="173" t="s">
        <v>150</v>
      </c>
      <c r="C16" s="151">
        <v>1</v>
      </c>
      <c r="D16" s="152">
        <f>7+10/3.281</f>
        <v>10.047851264858275</v>
      </c>
      <c r="E16" s="152">
        <v>0.4</v>
      </c>
      <c r="F16" s="152">
        <v>0.1</v>
      </c>
      <c r="G16" s="152">
        <f t="shared" si="0"/>
        <v>0.40191405059433105</v>
      </c>
      <c r="H16" s="178"/>
      <c r="I16" s="178"/>
      <c r="J16" s="152"/>
      <c r="K16" s="178"/>
    </row>
    <row r="17" spans="1:11" x14ac:dyDescent="0.25">
      <c r="A17" s="182"/>
      <c r="B17" s="173" t="s">
        <v>266</v>
      </c>
      <c r="C17" s="151">
        <v>1</v>
      </c>
      <c r="D17" s="152">
        <f>12/3.281</f>
        <v>3.6574215178299299</v>
      </c>
      <c r="E17" s="152">
        <f>9/3.281</f>
        <v>2.7430661383724475</v>
      </c>
      <c r="F17" s="152">
        <v>0.1</v>
      </c>
      <c r="G17" s="152">
        <f t="shared" si="0"/>
        <v>1.003254911931404</v>
      </c>
      <c r="H17" s="178"/>
      <c r="I17" s="178"/>
      <c r="J17" s="152"/>
      <c r="K17" s="178"/>
    </row>
    <row r="18" spans="1:11" x14ac:dyDescent="0.25">
      <c r="A18" s="182"/>
      <c r="B18" s="179" t="s">
        <v>16</v>
      </c>
      <c r="C18" s="151"/>
      <c r="D18" s="152"/>
      <c r="E18" s="152"/>
      <c r="F18" s="152"/>
      <c r="G18" s="153">
        <f>SUM(G10:G17)</f>
        <v>27.284220367182474</v>
      </c>
      <c r="H18" s="6" t="s">
        <v>18</v>
      </c>
      <c r="I18" s="7">
        <v>648.9</v>
      </c>
      <c r="J18" s="153">
        <f>G18*I18</f>
        <v>17704.730596264708</v>
      </c>
      <c r="K18" s="178"/>
    </row>
    <row r="19" spans="1:11" x14ac:dyDescent="0.25">
      <c r="A19" s="182"/>
      <c r="B19" s="178"/>
      <c r="C19" s="151"/>
      <c r="D19" s="152"/>
      <c r="E19" s="152"/>
      <c r="F19" s="152"/>
      <c r="G19" s="152"/>
      <c r="H19" s="178"/>
      <c r="I19" s="152"/>
      <c r="J19" s="152"/>
      <c r="K19" s="178"/>
    </row>
    <row r="20" spans="1:11" ht="31.5" x14ac:dyDescent="0.25">
      <c r="A20" s="182">
        <v>2</v>
      </c>
      <c r="B20" s="124" t="s">
        <v>83</v>
      </c>
      <c r="C20" s="151"/>
      <c r="D20" s="152"/>
      <c r="E20" s="152"/>
      <c r="F20" s="152"/>
      <c r="G20" s="152"/>
      <c r="H20" s="178"/>
      <c r="I20" s="152"/>
      <c r="J20" s="152"/>
      <c r="K20" s="178"/>
    </row>
    <row r="21" spans="1:11" x14ac:dyDescent="0.25">
      <c r="A21" s="182"/>
      <c r="B21" s="173" t="s">
        <v>84</v>
      </c>
      <c r="C21" s="151">
        <v>1</v>
      </c>
      <c r="D21" s="152">
        <f>17/3.281</f>
        <v>5.1813471502590671</v>
      </c>
      <c r="E21" s="152">
        <f>15/3.281</f>
        <v>4.5717768972874122</v>
      </c>
      <c r="F21" s="152">
        <v>7.4999999999999997E-2</v>
      </c>
      <c r="G21" s="152">
        <f t="shared" ref="G21" si="1">PRODUCT(C21:F21)</f>
        <v>1.7765972398785279</v>
      </c>
      <c r="H21" s="178"/>
      <c r="I21" s="152"/>
      <c r="J21" s="152"/>
      <c r="K21" s="178"/>
    </row>
    <row r="22" spans="1:11" x14ac:dyDescent="0.25">
      <c r="A22" s="182"/>
      <c r="B22" s="179" t="s">
        <v>16</v>
      </c>
      <c r="C22" s="151"/>
      <c r="D22" s="152"/>
      <c r="E22" s="152"/>
      <c r="F22" s="152"/>
      <c r="G22" s="153">
        <f>SUM(G21)</f>
        <v>1.7765972398785279</v>
      </c>
      <c r="H22" s="6" t="s">
        <v>18</v>
      </c>
      <c r="I22" s="7">
        <v>3600</v>
      </c>
      <c r="J22" s="153">
        <f>G22*I22</f>
        <v>6395.7500635627002</v>
      </c>
      <c r="K22" s="178"/>
    </row>
    <row r="23" spans="1:11" x14ac:dyDescent="0.25">
      <c r="A23" s="182"/>
      <c r="B23" s="178"/>
      <c r="C23" s="151"/>
      <c r="D23" s="152"/>
      <c r="E23" s="152"/>
      <c r="F23" s="152"/>
      <c r="G23" s="152"/>
      <c r="H23" s="178"/>
      <c r="I23" s="152"/>
      <c r="J23" s="152"/>
      <c r="K23" s="178"/>
    </row>
    <row r="24" spans="1:11" ht="15.75" x14ac:dyDescent="0.25">
      <c r="A24" s="182">
        <v>3</v>
      </c>
      <c r="B24" s="124" t="s">
        <v>104</v>
      </c>
      <c r="C24" s="151"/>
      <c r="D24" s="152"/>
      <c r="E24" s="152"/>
      <c r="F24" s="152"/>
      <c r="G24" s="152"/>
      <c r="H24" s="178"/>
      <c r="I24" s="152"/>
      <c r="J24" s="152"/>
      <c r="K24" s="178"/>
    </row>
    <row r="25" spans="1:11" hidden="1" x14ac:dyDescent="0.25">
      <c r="A25" s="182"/>
      <c r="B25" s="173" t="str">
        <f>B45</f>
        <v>-Extending compound</v>
      </c>
      <c r="C25" s="151">
        <v>0</v>
      </c>
      <c r="D25" s="152">
        <f>D45</f>
        <v>16.259999999999998</v>
      </c>
      <c r="E25" s="152">
        <f>E45</f>
        <v>0.115</v>
      </c>
      <c r="F25" s="152">
        <v>0.15</v>
      </c>
      <c r="G25" s="152">
        <f>PRODUCT(C25:F25)</f>
        <v>0</v>
      </c>
      <c r="H25" s="178"/>
      <c r="I25" s="178"/>
      <c r="J25" s="152"/>
      <c r="K25" s="178"/>
    </row>
    <row r="26" spans="1:11" x14ac:dyDescent="0.25">
      <c r="A26" s="182"/>
      <c r="B26" s="173" t="s">
        <v>57</v>
      </c>
      <c r="C26" s="151">
        <f t="shared" ref="C26:E28" si="2">C10</f>
        <v>6</v>
      </c>
      <c r="D26" s="152">
        <f t="shared" si="2"/>
        <v>1.5</v>
      </c>
      <c r="E26" s="152">
        <f t="shared" si="2"/>
        <v>1.5</v>
      </c>
      <c r="F26" s="152"/>
      <c r="G26" s="152">
        <f>PRODUCT(C26:F26)</f>
        <v>13.5</v>
      </c>
      <c r="H26" s="178"/>
      <c r="I26" s="178"/>
      <c r="J26" s="152"/>
      <c r="K26" s="178"/>
    </row>
    <row r="27" spans="1:11" x14ac:dyDescent="0.25">
      <c r="A27" s="182"/>
      <c r="B27" s="173" t="s">
        <v>61</v>
      </c>
      <c r="C27" s="151">
        <f t="shared" si="2"/>
        <v>3</v>
      </c>
      <c r="D27" s="152">
        <f t="shared" si="2"/>
        <v>3</v>
      </c>
      <c r="E27" s="152">
        <f t="shared" si="2"/>
        <v>0.23</v>
      </c>
      <c r="F27" s="152"/>
      <c r="G27" s="152">
        <f t="shared" ref="G27:G34" si="3">PRODUCT(C27:F27)</f>
        <v>2.0700000000000003</v>
      </c>
      <c r="H27" s="178"/>
      <c r="I27" s="178"/>
      <c r="J27" s="152"/>
      <c r="K27" s="178"/>
    </row>
    <row r="28" spans="1:11" x14ac:dyDescent="0.25">
      <c r="A28" s="182"/>
      <c r="B28" s="173"/>
      <c r="C28" s="151">
        <f t="shared" si="2"/>
        <v>4</v>
      </c>
      <c r="D28" s="152">
        <f t="shared" si="2"/>
        <v>2.5906735751295336</v>
      </c>
      <c r="E28" s="152">
        <f t="shared" si="2"/>
        <v>0.23</v>
      </c>
      <c r="F28" s="152"/>
      <c r="G28" s="152">
        <f t="shared" si="3"/>
        <v>2.383419689119171</v>
      </c>
      <c r="H28" s="178"/>
      <c r="I28" s="178"/>
      <c r="J28" s="152"/>
      <c r="K28" s="178"/>
    </row>
    <row r="29" spans="1:11" x14ac:dyDescent="0.25">
      <c r="A29" s="182"/>
      <c r="B29" s="173" t="s">
        <v>63</v>
      </c>
      <c r="C29" s="151">
        <v>2</v>
      </c>
      <c r="D29" s="152">
        <f>2.975+0.075*2</f>
        <v>3.125</v>
      </c>
      <c r="E29" s="152">
        <f>2.595+0.075*2</f>
        <v>2.7450000000000001</v>
      </c>
      <c r="F29" s="152"/>
      <c r="G29" s="152">
        <f t="shared" si="3"/>
        <v>17.15625</v>
      </c>
      <c r="H29" s="178"/>
      <c r="I29" s="178"/>
      <c r="J29" s="152"/>
      <c r="K29" s="178"/>
    </row>
    <row r="30" spans="1:11" x14ac:dyDescent="0.25">
      <c r="A30" s="182"/>
      <c r="B30" s="173" t="s">
        <v>149</v>
      </c>
      <c r="C30" s="151">
        <f t="shared" ref="C30:E32" si="4">C13</f>
        <v>1</v>
      </c>
      <c r="D30" s="152">
        <f t="shared" si="4"/>
        <v>1.8699999999999999</v>
      </c>
      <c r="E30" s="152">
        <f t="shared" si="4"/>
        <v>3.6574215178299299</v>
      </c>
      <c r="F30" s="152"/>
      <c r="G30" s="152">
        <f t="shared" si="3"/>
        <v>6.8393782383419683</v>
      </c>
      <c r="H30" s="178"/>
      <c r="I30" s="178"/>
      <c r="J30" s="152"/>
      <c r="K30" s="178"/>
    </row>
    <row r="31" spans="1:11" x14ac:dyDescent="0.25">
      <c r="A31" s="182"/>
      <c r="B31" s="173"/>
      <c r="C31" s="151">
        <f t="shared" si="4"/>
        <v>1</v>
      </c>
      <c r="D31" s="152">
        <f t="shared" si="4"/>
        <v>7.5</v>
      </c>
      <c r="E31" s="152">
        <f t="shared" si="4"/>
        <v>1.1499999999999999</v>
      </c>
      <c r="F31" s="152"/>
      <c r="G31" s="152">
        <f t="shared" si="3"/>
        <v>8.625</v>
      </c>
      <c r="H31" s="178"/>
      <c r="I31" s="178"/>
      <c r="J31" s="152"/>
      <c r="K31" s="178"/>
    </row>
    <row r="32" spans="1:11" x14ac:dyDescent="0.25">
      <c r="A32" s="182"/>
      <c r="B32" s="173"/>
      <c r="C32" s="151">
        <f t="shared" si="4"/>
        <v>1</v>
      </c>
      <c r="D32" s="152">
        <f t="shared" si="4"/>
        <v>1.6</v>
      </c>
      <c r="E32" s="152">
        <f t="shared" si="4"/>
        <v>1.55</v>
      </c>
      <c r="F32" s="152"/>
      <c r="G32" s="152">
        <f t="shared" si="3"/>
        <v>2.4800000000000004</v>
      </c>
      <c r="H32" s="178"/>
      <c r="I32" s="178"/>
      <c r="J32" s="152"/>
      <c r="K32" s="178"/>
    </row>
    <row r="33" spans="1:11" x14ac:dyDescent="0.25">
      <c r="A33" s="182"/>
      <c r="B33" s="173" t="s">
        <v>151</v>
      </c>
      <c r="C33" s="151">
        <v>1</v>
      </c>
      <c r="D33" s="152">
        <f>3+0.75-0.23</f>
        <v>3.52</v>
      </c>
      <c r="E33" s="152">
        <v>0.23</v>
      </c>
      <c r="F33" s="152"/>
      <c r="G33" s="152">
        <f t="shared" si="3"/>
        <v>0.80959999999999999</v>
      </c>
      <c r="H33" s="178"/>
      <c r="I33" s="178"/>
      <c r="J33" s="152"/>
      <c r="K33" s="178"/>
    </row>
    <row r="34" spans="1:11" x14ac:dyDescent="0.25">
      <c r="A34" s="182"/>
      <c r="B34" s="173" t="str">
        <f>B47</f>
        <v>-compound base</v>
      </c>
      <c r="C34" s="151">
        <v>1</v>
      </c>
      <c r="D34" s="152">
        <f>D47</f>
        <v>14.369999999999997</v>
      </c>
      <c r="E34" s="152">
        <f>E47</f>
        <v>0.75</v>
      </c>
      <c r="F34" s="152"/>
      <c r="G34" s="152">
        <f t="shared" si="3"/>
        <v>10.777499999999998</v>
      </c>
      <c r="H34" s="178"/>
      <c r="I34" s="178"/>
      <c r="J34" s="152"/>
      <c r="K34" s="178"/>
    </row>
    <row r="35" spans="1:11" x14ac:dyDescent="0.25">
      <c r="A35" s="182"/>
      <c r="B35" s="173" t="s">
        <v>152</v>
      </c>
      <c r="C35" s="151">
        <v>1</v>
      </c>
      <c r="D35" s="152">
        <f>9/3.281</f>
        <v>2.7430661383724475</v>
      </c>
      <c r="E35" s="152">
        <v>0.4</v>
      </c>
      <c r="F35" s="152"/>
      <c r="G35" s="152">
        <f>PRODUCT(C35:F35)</f>
        <v>1.097226455348979</v>
      </c>
      <c r="H35" s="178"/>
      <c r="I35" s="178"/>
      <c r="J35" s="152"/>
      <c r="K35" s="178"/>
    </row>
    <row r="36" spans="1:11" x14ac:dyDescent="0.25">
      <c r="A36" s="182"/>
      <c r="B36" s="179" t="s">
        <v>16</v>
      </c>
      <c r="C36" s="151"/>
      <c r="D36" s="152"/>
      <c r="E36" s="152"/>
      <c r="F36" s="152"/>
      <c r="G36" s="153">
        <f>SUM(G25:G35)</f>
        <v>65.738374382810122</v>
      </c>
      <c r="H36" s="6" t="s">
        <v>23</v>
      </c>
      <c r="I36" s="6">
        <f>1500/10</f>
        <v>150</v>
      </c>
      <c r="J36" s="154">
        <f>G36*I36</f>
        <v>9860.7561574215179</v>
      </c>
      <c r="K36" s="178"/>
    </row>
    <row r="37" spans="1:11" x14ac:dyDescent="0.25">
      <c r="A37" s="182"/>
      <c r="B37" s="179" t="s">
        <v>17</v>
      </c>
      <c r="C37" s="151"/>
      <c r="D37" s="152"/>
      <c r="E37" s="152"/>
      <c r="F37" s="152"/>
      <c r="G37" s="152"/>
      <c r="H37" s="6"/>
      <c r="I37" s="152"/>
      <c r="J37" s="154">
        <f>0.13*G36*(8353.81)/10</f>
        <v>7139.1565609372192</v>
      </c>
      <c r="K37" s="178"/>
    </row>
    <row r="38" spans="1:11" x14ac:dyDescent="0.25">
      <c r="A38" s="182"/>
      <c r="B38" s="178"/>
      <c r="C38" s="151"/>
      <c r="D38" s="152"/>
      <c r="E38" s="152"/>
      <c r="F38" s="152"/>
      <c r="G38" s="152"/>
      <c r="H38" s="178"/>
      <c r="I38" s="152"/>
      <c r="J38" s="152"/>
      <c r="K38" s="178"/>
    </row>
    <row r="39" spans="1:11" ht="78" customHeight="1" x14ac:dyDescent="0.25">
      <c r="A39" s="182">
        <v>4</v>
      </c>
      <c r="B39" s="124" t="s">
        <v>99</v>
      </c>
      <c r="C39" s="151"/>
      <c r="D39" s="152"/>
      <c r="E39" s="152"/>
      <c r="F39" s="152"/>
      <c r="G39" s="151"/>
      <c r="H39" s="178"/>
      <c r="I39" s="152"/>
      <c r="J39" s="152"/>
      <c r="K39" s="225" t="s">
        <v>154</v>
      </c>
    </row>
    <row r="40" spans="1:11" x14ac:dyDescent="0.25">
      <c r="A40" s="182"/>
      <c r="B40" s="173" t="s">
        <v>153</v>
      </c>
      <c r="C40" s="177">
        <v>0.5</v>
      </c>
      <c r="D40" s="152">
        <f>G10</f>
        <v>21.6</v>
      </c>
      <c r="E40" s="152"/>
      <c r="F40" s="152"/>
      <c r="G40" s="152">
        <f>PRODUCT(C40:F40)</f>
        <v>10.8</v>
      </c>
      <c r="H40" s="178"/>
      <c r="I40" s="152"/>
      <c r="J40" s="152"/>
      <c r="K40" s="225"/>
    </row>
    <row r="41" spans="1:11" x14ac:dyDescent="0.25">
      <c r="A41" s="182"/>
      <c r="B41" s="179" t="str">
        <f>B45</f>
        <v>-Extending compound</v>
      </c>
      <c r="C41" s="151">
        <v>1</v>
      </c>
      <c r="D41" s="152">
        <f>D60</f>
        <v>14.5</v>
      </c>
      <c r="E41" s="152">
        <v>0.9</v>
      </c>
      <c r="F41" s="152">
        <v>0.3</v>
      </c>
      <c r="G41" s="152">
        <f>PRODUCT(C41:F41)</f>
        <v>3.915</v>
      </c>
      <c r="H41" s="178"/>
      <c r="I41" s="152"/>
      <c r="J41" s="152"/>
      <c r="K41" s="178"/>
    </row>
    <row r="42" spans="1:11" x14ac:dyDescent="0.25">
      <c r="A42" s="182"/>
      <c r="B42" s="179" t="s">
        <v>16</v>
      </c>
      <c r="C42" s="151"/>
      <c r="D42" s="152"/>
      <c r="E42" s="152"/>
      <c r="F42" s="152"/>
      <c r="G42" s="153">
        <f>SUM(G40:G41)</f>
        <v>14.715</v>
      </c>
      <c r="H42" s="6" t="s">
        <v>18</v>
      </c>
      <c r="I42" s="6">
        <v>451.4</v>
      </c>
      <c r="J42" s="154">
        <f>G42*I42</f>
        <v>6642.3509999999997</v>
      </c>
      <c r="K42" s="178"/>
    </row>
    <row r="43" spans="1:11" x14ac:dyDescent="0.25">
      <c r="A43" s="182"/>
      <c r="B43" s="178"/>
      <c r="C43" s="151"/>
      <c r="D43" s="152"/>
      <c r="E43" s="152"/>
      <c r="F43" s="152"/>
      <c r="G43" s="152"/>
      <c r="H43" s="178"/>
      <c r="I43" s="152"/>
      <c r="J43" s="152"/>
      <c r="K43" s="178"/>
    </row>
    <row r="44" spans="1:11" s="9" customFormat="1" ht="30" x14ac:dyDescent="0.25">
      <c r="A44" s="182">
        <v>5</v>
      </c>
      <c r="B44" s="139" t="s">
        <v>40</v>
      </c>
      <c r="C44" s="151"/>
      <c r="D44" s="152"/>
      <c r="E44" s="152"/>
      <c r="F44" s="152"/>
      <c r="G44" s="152"/>
      <c r="H44" s="178"/>
      <c r="I44" s="152"/>
      <c r="J44" s="152"/>
      <c r="K44" s="178"/>
    </row>
    <row r="45" spans="1:11" x14ac:dyDescent="0.25">
      <c r="A45" s="182"/>
      <c r="B45" s="173" t="str">
        <f>B69</f>
        <v>-Extending compound</v>
      </c>
      <c r="C45" s="151">
        <f>C69</f>
        <v>1</v>
      </c>
      <c r="D45" s="152">
        <f>3+7.17+4.8+1-0.23+0.75-0.23</f>
        <v>16.259999999999998</v>
      </c>
      <c r="E45" s="152">
        <v>0.115</v>
      </c>
      <c r="F45" s="152">
        <v>7.4999999999999997E-2</v>
      </c>
      <c r="G45" s="152">
        <f t="shared" ref="G45:G50" si="5">PRODUCT(C45:F45)</f>
        <v>0.14024249999999999</v>
      </c>
      <c r="H45" s="178"/>
      <c r="I45" s="178"/>
      <c r="J45" s="152"/>
      <c r="K45" s="178"/>
    </row>
    <row r="46" spans="1:11" x14ac:dyDescent="0.25">
      <c r="A46" s="182"/>
      <c r="B46" s="173"/>
      <c r="C46" s="151">
        <v>11</v>
      </c>
      <c r="D46" s="152">
        <v>0.23</v>
      </c>
      <c r="E46" s="152">
        <v>0.115</v>
      </c>
      <c r="F46" s="152">
        <v>7.4999999999999997E-2</v>
      </c>
      <c r="G46" s="152">
        <f t="shared" si="5"/>
        <v>2.1821250000000004E-2</v>
      </c>
      <c r="H46" s="178"/>
      <c r="I46" s="178"/>
      <c r="J46" s="152"/>
      <c r="K46" s="178"/>
    </row>
    <row r="47" spans="1:11" x14ac:dyDescent="0.25">
      <c r="A47" s="182"/>
      <c r="B47" s="173" t="s">
        <v>156</v>
      </c>
      <c r="C47" s="151">
        <v>1</v>
      </c>
      <c r="D47" s="152">
        <f>3+7.17+4.8-0.23-0.23-0.14</f>
        <v>14.369999999999997</v>
      </c>
      <c r="E47" s="152">
        <v>0.75</v>
      </c>
      <c r="F47" s="152">
        <v>0.05</v>
      </c>
      <c r="G47" s="152">
        <f t="shared" si="5"/>
        <v>0.53887499999999988</v>
      </c>
      <c r="H47" s="178"/>
      <c r="I47" s="178"/>
      <c r="J47" s="152"/>
      <c r="K47" s="178"/>
    </row>
    <row r="48" spans="1:11" x14ac:dyDescent="0.25">
      <c r="A48" s="182"/>
      <c r="B48" s="173" t="s">
        <v>57</v>
      </c>
      <c r="C48" s="151">
        <f>C26</f>
        <v>6</v>
      </c>
      <c r="D48" s="152">
        <f>D26</f>
        <v>1.5</v>
      </c>
      <c r="E48" s="152">
        <f>E26</f>
        <v>1.5</v>
      </c>
      <c r="F48" s="152">
        <v>0.05</v>
      </c>
      <c r="G48" s="152">
        <f t="shared" si="5"/>
        <v>0.67500000000000004</v>
      </c>
      <c r="H48" s="178"/>
      <c r="I48" s="178"/>
      <c r="J48" s="152"/>
      <c r="K48" s="178"/>
    </row>
    <row r="49" spans="1:14" x14ac:dyDescent="0.25">
      <c r="A49" s="182"/>
      <c r="B49" s="173" t="s">
        <v>63</v>
      </c>
      <c r="C49" s="151">
        <v>1</v>
      </c>
      <c r="D49" s="152">
        <f>2.975+0.075*2</f>
        <v>3.125</v>
      </c>
      <c r="E49" s="152">
        <f>2.595+0.075*2</f>
        <v>2.7450000000000001</v>
      </c>
      <c r="F49" s="152">
        <v>7.4999999999999997E-2</v>
      </c>
      <c r="G49" s="152">
        <f t="shared" si="5"/>
        <v>0.64335937499999996</v>
      </c>
      <c r="H49" s="178"/>
      <c r="I49" s="178"/>
      <c r="J49" s="152"/>
      <c r="K49" s="178"/>
    </row>
    <row r="50" spans="1:14" x14ac:dyDescent="0.25">
      <c r="A50" s="182"/>
      <c r="B50" s="173"/>
      <c r="C50" s="151">
        <v>1</v>
      </c>
      <c r="D50" s="152">
        <f>2.975+0.075*2</f>
        <v>3.125</v>
      </c>
      <c r="E50" s="152">
        <f>2.595+0.075*2</f>
        <v>2.7450000000000001</v>
      </c>
      <c r="F50" s="152">
        <v>7.4999999999999997E-2</v>
      </c>
      <c r="G50" s="152">
        <f t="shared" si="5"/>
        <v>0.64335937499999996</v>
      </c>
      <c r="H50" s="178"/>
      <c r="I50" s="178"/>
      <c r="J50" s="152"/>
      <c r="K50" s="178"/>
    </row>
    <row r="51" spans="1:14" x14ac:dyDescent="0.25">
      <c r="A51" s="182"/>
      <c r="B51" s="173" t="str">
        <f>B30</f>
        <v>-New path</v>
      </c>
      <c r="C51" s="151">
        <f>C30</f>
        <v>1</v>
      </c>
      <c r="D51" s="152">
        <f>D30</f>
        <v>1.8699999999999999</v>
      </c>
      <c r="E51" s="152">
        <f>E30</f>
        <v>3.6574215178299299</v>
      </c>
      <c r="F51" s="152">
        <f>2.25/12/3.281</f>
        <v>5.7147211216092654E-2</v>
      </c>
      <c r="G51" s="152">
        <f t="shared" ref="G51:G55" si="6">PRODUCT(C51:F51)</f>
        <v>0.39085139277327613</v>
      </c>
      <c r="H51" s="178"/>
      <c r="I51" s="178"/>
      <c r="J51" s="152"/>
      <c r="K51" s="178"/>
    </row>
    <row r="52" spans="1:14" x14ac:dyDescent="0.25">
      <c r="A52" s="182"/>
      <c r="B52" s="173"/>
      <c r="C52" s="151">
        <f t="shared" ref="C52:E52" si="7">C31</f>
        <v>1</v>
      </c>
      <c r="D52" s="152">
        <f t="shared" si="7"/>
        <v>7.5</v>
      </c>
      <c r="E52" s="152">
        <f t="shared" si="7"/>
        <v>1.1499999999999999</v>
      </c>
      <c r="F52" s="152">
        <f>2.25/12/3.281</f>
        <v>5.7147211216092654E-2</v>
      </c>
      <c r="G52" s="152">
        <f t="shared" si="6"/>
        <v>0.49289469673879915</v>
      </c>
      <c r="H52" s="178"/>
      <c r="I52" s="178"/>
      <c r="J52" s="152"/>
      <c r="K52" s="178"/>
    </row>
    <row r="53" spans="1:14" x14ac:dyDescent="0.25">
      <c r="A53" s="182"/>
      <c r="B53" s="173"/>
      <c r="C53" s="151">
        <f t="shared" ref="C53:E53" si="8">C32</f>
        <v>1</v>
      </c>
      <c r="D53" s="152">
        <f t="shared" si="8"/>
        <v>1.6</v>
      </c>
      <c r="E53" s="152">
        <f t="shared" si="8"/>
        <v>1.55</v>
      </c>
      <c r="F53" s="152">
        <v>0.05</v>
      </c>
      <c r="G53" s="152">
        <f t="shared" si="6"/>
        <v>0.12400000000000003</v>
      </c>
      <c r="H53" s="178"/>
      <c r="I53" s="178"/>
      <c r="J53" s="152"/>
      <c r="K53" s="178"/>
    </row>
    <row r="54" spans="1:14" x14ac:dyDescent="0.25">
      <c r="A54" s="182"/>
      <c r="B54" s="173" t="str">
        <f>B16</f>
        <v>-drain</v>
      </c>
      <c r="C54" s="151">
        <f>C16</f>
        <v>1</v>
      </c>
      <c r="D54" s="152">
        <f>D16</f>
        <v>10.047851264858275</v>
      </c>
      <c r="E54" s="152">
        <f>E16</f>
        <v>0.4</v>
      </c>
      <c r="F54" s="152">
        <v>0.05</v>
      </c>
      <c r="G54" s="152">
        <f t="shared" si="6"/>
        <v>0.20095702529716553</v>
      </c>
      <c r="H54" s="178"/>
      <c r="I54" s="178"/>
      <c r="J54" s="152"/>
      <c r="K54" s="178"/>
    </row>
    <row r="55" spans="1:14" x14ac:dyDescent="0.25">
      <c r="A55" s="182"/>
      <c r="B55" s="173" t="s">
        <v>159</v>
      </c>
      <c r="C55" s="151">
        <v>1</v>
      </c>
      <c r="D55" s="152">
        <f>6.21+1.27+0.6</f>
        <v>8.08</v>
      </c>
      <c r="E55" s="152">
        <v>0.3</v>
      </c>
      <c r="F55" s="152">
        <v>0.05</v>
      </c>
      <c r="G55" s="152">
        <f t="shared" si="6"/>
        <v>0.1212</v>
      </c>
      <c r="H55" s="178"/>
      <c r="I55" s="178"/>
      <c r="J55" s="152"/>
      <c r="K55" s="178"/>
    </row>
    <row r="56" spans="1:14" x14ac:dyDescent="0.25">
      <c r="A56" s="182"/>
      <c r="B56" s="179" t="s">
        <v>16</v>
      </c>
      <c r="C56" s="151"/>
      <c r="D56" s="152"/>
      <c r="E56" s="152"/>
      <c r="F56" s="152"/>
      <c r="G56" s="153">
        <f>SUM(G45:G55)</f>
        <v>3.992560614809241</v>
      </c>
      <c r="H56" s="182" t="s">
        <v>18</v>
      </c>
      <c r="I56" s="6">
        <v>13509.07</v>
      </c>
      <c r="J56" s="154">
        <f>G56*I56</f>
        <v>53935.780824701069</v>
      </c>
      <c r="K56" s="178"/>
    </row>
    <row r="57" spans="1:14" x14ac:dyDescent="0.25">
      <c r="A57" s="182"/>
      <c r="B57" s="179" t="s">
        <v>17</v>
      </c>
      <c r="C57" s="151"/>
      <c r="D57" s="152"/>
      <c r="E57" s="152"/>
      <c r="F57" s="152"/>
      <c r="G57" s="152"/>
      <c r="H57" s="178"/>
      <c r="I57" s="152"/>
      <c r="J57" s="154">
        <f>0.13*G56*(8709.07)</f>
        <v>4520.293683570173</v>
      </c>
      <c r="K57" s="178"/>
    </row>
    <row r="58" spans="1:14" x14ac:dyDescent="0.25">
      <c r="A58" s="182"/>
      <c r="B58" s="179"/>
      <c r="C58" s="151"/>
      <c r="D58" s="152"/>
      <c r="E58" s="152"/>
      <c r="F58" s="152"/>
      <c r="G58" s="152"/>
      <c r="H58" s="178"/>
      <c r="I58" s="152"/>
      <c r="J58" s="154"/>
      <c r="K58" s="178"/>
    </row>
    <row r="59" spans="1:14" ht="45" x14ac:dyDescent="0.25">
      <c r="A59" s="20">
        <v>6</v>
      </c>
      <c r="B59" s="139" t="s">
        <v>81</v>
      </c>
      <c r="C59" s="21"/>
      <c r="D59" s="22"/>
      <c r="E59" s="23"/>
      <c r="F59" s="23"/>
      <c r="G59" s="7"/>
      <c r="H59" s="6"/>
      <c r="I59" s="7"/>
      <c r="J59" s="153"/>
      <c r="K59" s="23"/>
    </row>
    <row r="60" spans="1:14" x14ac:dyDescent="0.25">
      <c r="A60" s="182"/>
      <c r="B60" s="150" t="str">
        <f>B69</f>
        <v>-Extending compound</v>
      </c>
      <c r="C60" s="151">
        <v>1</v>
      </c>
      <c r="D60" s="152">
        <v>14.5</v>
      </c>
      <c r="E60" s="152">
        <f>0.23/2</f>
        <v>0.115</v>
      </c>
      <c r="F60" s="152">
        <v>2</v>
      </c>
      <c r="G60" s="152">
        <f>PRODUCT(C60:F60)</f>
        <v>3.335</v>
      </c>
      <c r="H60" s="178"/>
      <c r="I60" s="152"/>
      <c r="J60" s="154"/>
      <c r="K60" s="178"/>
      <c r="M60">
        <f>1+7.12+4.83-0.115+2.8+0.9</f>
        <v>16.535</v>
      </c>
      <c r="N60">
        <f>3+7.17+4.8-0.35</f>
        <v>14.62</v>
      </c>
    </row>
    <row r="61" spans="1:14" x14ac:dyDescent="0.25">
      <c r="A61" s="182"/>
      <c r="B61" s="150"/>
      <c r="C61" s="151">
        <v>9</v>
      </c>
      <c r="D61" s="152">
        <v>0.23</v>
      </c>
      <c r="E61" s="152">
        <f>0.23/2</f>
        <v>0.115</v>
      </c>
      <c r="F61" s="152">
        <v>2</v>
      </c>
      <c r="G61" s="152">
        <f>PRODUCT(C61:F61)</f>
        <v>0.47610000000000008</v>
      </c>
      <c r="H61" s="178"/>
      <c r="I61" s="152"/>
      <c r="J61" s="154"/>
      <c r="K61" s="178"/>
    </row>
    <row r="62" spans="1:14" x14ac:dyDescent="0.25">
      <c r="A62" s="182"/>
      <c r="B62" s="150" t="s">
        <v>82</v>
      </c>
      <c r="C62" s="151">
        <v>2</v>
      </c>
      <c r="D62" s="152">
        <f>17.667/3.281</f>
        <v>5.3846388296251142</v>
      </c>
      <c r="E62" s="152">
        <v>0.23</v>
      </c>
      <c r="F62" s="152">
        <f>5.667/3.281</f>
        <v>1.7272173117951843</v>
      </c>
      <c r="G62" s="152">
        <f>PRODUCT(C62:F62)</f>
        <v>4.2782030459748066</v>
      </c>
      <c r="H62" s="178"/>
      <c r="I62" s="152"/>
      <c r="J62" s="154"/>
      <c r="K62" s="178"/>
    </row>
    <row r="63" spans="1:14" x14ac:dyDescent="0.25">
      <c r="A63" s="182"/>
      <c r="B63" s="150"/>
      <c r="C63" s="151">
        <v>2</v>
      </c>
      <c r="D63" s="152">
        <f>10.25/3.281</f>
        <v>3.1240475464797317</v>
      </c>
      <c r="E63" s="152">
        <v>0.23</v>
      </c>
      <c r="F63" s="152">
        <f>5.667/3.281</f>
        <v>1.7272173117951843</v>
      </c>
      <c r="G63" s="152">
        <f>PRODUCT(C63:F63)</f>
        <v>2.4821181423694894</v>
      </c>
      <c r="H63" s="178"/>
      <c r="I63" s="152"/>
      <c r="J63" s="154"/>
      <c r="K63" s="178"/>
    </row>
    <row r="64" spans="1:14" x14ac:dyDescent="0.25">
      <c r="A64" s="182"/>
      <c r="B64" s="150" t="s">
        <v>269</v>
      </c>
      <c r="C64" s="151">
        <v>1</v>
      </c>
      <c r="D64" s="152">
        <f>(4.33-0.75)/3.281</f>
        <v>1.0911307528192624</v>
      </c>
      <c r="E64" s="152">
        <f>PI()</f>
        <v>3.1415926535897931</v>
      </c>
      <c r="F64" s="152">
        <v>0.6</v>
      </c>
      <c r="G64" s="152">
        <f>2*C64*F64*E64*D64/2</f>
        <v>2.0567330142977371</v>
      </c>
      <c r="H64" s="178"/>
      <c r="I64" s="152"/>
      <c r="J64" s="154"/>
      <c r="K64" s="178"/>
    </row>
    <row r="65" spans="1:17" x14ac:dyDescent="0.25">
      <c r="A65" s="182"/>
      <c r="B65" s="150" t="s">
        <v>270</v>
      </c>
      <c r="C65" s="151">
        <v>1</v>
      </c>
      <c r="D65" s="152">
        <f>1.05+1.05+(3-0.75)*2</f>
        <v>6.6</v>
      </c>
      <c r="E65" s="152">
        <v>0.1</v>
      </c>
      <c r="F65" s="152">
        <v>0.5</v>
      </c>
      <c r="G65" s="152">
        <f>PRODUCT(C65:F65)</f>
        <v>0.33</v>
      </c>
      <c r="H65" s="178"/>
      <c r="I65" s="152"/>
      <c r="J65" s="154"/>
      <c r="K65" s="178"/>
    </row>
    <row r="66" spans="1:17" ht="15" customHeight="1" x14ac:dyDescent="0.25">
      <c r="A66" s="182"/>
      <c r="B66" s="150" t="s">
        <v>16</v>
      </c>
      <c r="C66" s="151"/>
      <c r="D66" s="152"/>
      <c r="E66" s="152"/>
      <c r="F66" s="152"/>
      <c r="G66" s="153">
        <f>SUM(G60:G65)</f>
        <v>12.958154202642033</v>
      </c>
      <c r="H66" s="153" t="s">
        <v>18</v>
      </c>
      <c r="I66" s="6">
        <v>1908</v>
      </c>
      <c r="J66" s="154">
        <f>G66*I66</f>
        <v>24724.158218640998</v>
      </c>
      <c r="K66" s="178"/>
    </row>
    <row r="67" spans="1:17" ht="15" customHeight="1" x14ac:dyDescent="0.25">
      <c r="A67" s="20"/>
      <c r="B67" s="150"/>
      <c r="C67" s="21"/>
      <c r="D67" s="22"/>
      <c r="E67" s="23"/>
      <c r="F67" s="23"/>
      <c r="G67" s="7"/>
      <c r="H67" s="6"/>
      <c r="I67" s="7"/>
      <c r="J67" s="153"/>
      <c r="K67" s="23"/>
    </row>
    <row r="68" spans="1:17" ht="30" x14ac:dyDescent="0.25">
      <c r="A68" s="182">
        <v>7</v>
      </c>
      <c r="B68" s="139" t="s">
        <v>39</v>
      </c>
      <c r="C68" s="151"/>
      <c r="D68" s="152"/>
      <c r="E68" s="152"/>
      <c r="F68" s="152"/>
      <c r="G68" s="152"/>
      <c r="H68" s="178"/>
      <c r="I68" s="152"/>
      <c r="J68" s="154"/>
      <c r="K68" s="178"/>
    </row>
    <row r="69" spans="1:17" x14ac:dyDescent="0.25">
      <c r="A69" s="182"/>
      <c r="B69" s="150" t="s">
        <v>74</v>
      </c>
      <c r="C69" s="151">
        <v>1</v>
      </c>
      <c r="D69" s="180">
        <f>1.03+0.1+6.9+4.65</f>
        <v>12.680000000000001</v>
      </c>
      <c r="E69" s="180">
        <v>0.11</v>
      </c>
      <c r="F69" s="180">
        <f>1-0.025</f>
        <v>0.97499999999999998</v>
      </c>
      <c r="G69" s="152">
        <f t="shared" ref="G69:G72" si="9">PRODUCT(C69:F69)</f>
        <v>1.3599300000000003</v>
      </c>
      <c r="H69" s="178"/>
      <c r="I69" s="152"/>
      <c r="J69" s="154"/>
      <c r="K69" s="178"/>
      <c r="N69">
        <f>1.03+0.1+6.9+4.65</f>
        <v>12.680000000000001</v>
      </c>
      <c r="O69">
        <v>0.11</v>
      </c>
      <c r="P69">
        <f>1-0.025</f>
        <v>0.97499999999999998</v>
      </c>
      <c r="Q69" s="48">
        <f>PRODUCT(L69:P69)</f>
        <v>1.3599300000000003</v>
      </c>
    </row>
    <row r="70" spans="1:17" x14ac:dyDescent="0.25">
      <c r="A70" s="182"/>
      <c r="B70" s="150"/>
      <c r="C70" s="151">
        <v>1</v>
      </c>
      <c r="D70" s="180">
        <f>3+0.62</f>
        <v>3.62</v>
      </c>
      <c r="E70" s="180">
        <v>0.11</v>
      </c>
      <c r="F70" s="180">
        <f>1.27-0.025</f>
        <v>1.2450000000000001</v>
      </c>
      <c r="G70" s="152">
        <f t="shared" si="9"/>
        <v>0.49575900000000006</v>
      </c>
      <c r="H70" s="178"/>
      <c r="I70" s="152"/>
      <c r="J70" s="154"/>
      <c r="K70" s="178"/>
      <c r="N70">
        <f>3+0.62</f>
        <v>3.62</v>
      </c>
      <c r="O70">
        <v>0.11</v>
      </c>
      <c r="P70">
        <f>1.27-0.025</f>
        <v>1.2450000000000001</v>
      </c>
      <c r="Q70" s="48">
        <f t="shared" ref="Q70:Q90" si="10">PRODUCT(L70:P70)</f>
        <v>0.49575900000000006</v>
      </c>
    </row>
    <row r="71" spans="1:17" x14ac:dyDescent="0.25">
      <c r="A71" s="182"/>
      <c r="B71" s="150" t="s">
        <v>157</v>
      </c>
      <c r="C71" s="151">
        <v>1</v>
      </c>
      <c r="D71" s="180">
        <f>0.23+0.1</f>
        <v>0.33</v>
      </c>
      <c r="E71" s="180">
        <v>0.11</v>
      </c>
      <c r="F71" s="180">
        <f>1.27-0.025</f>
        <v>1.2450000000000001</v>
      </c>
      <c r="G71" s="152">
        <f t="shared" si="9"/>
        <v>4.5193500000000005E-2</v>
      </c>
      <c r="H71" s="178"/>
      <c r="I71" s="152"/>
      <c r="J71" s="154"/>
      <c r="K71" s="178"/>
      <c r="N71">
        <f>0.23+0.1</f>
        <v>0.33</v>
      </c>
      <c r="O71">
        <v>0.11</v>
      </c>
      <c r="P71">
        <f>1.27-0.025</f>
        <v>1.2450000000000001</v>
      </c>
      <c r="Q71" s="48">
        <f t="shared" si="10"/>
        <v>4.5193500000000005E-2</v>
      </c>
    </row>
    <row r="72" spans="1:17" x14ac:dyDescent="0.25">
      <c r="A72" s="182"/>
      <c r="B72" s="150" t="s">
        <v>157</v>
      </c>
      <c r="C72" s="151">
        <v>1</v>
      </c>
      <c r="D72" s="180">
        <f>7*0.23</f>
        <v>1.61</v>
      </c>
      <c r="E72" s="180">
        <v>0.11</v>
      </c>
      <c r="F72" s="180">
        <f>1-0.025</f>
        <v>0.97499999999999998</v>
      </c>
      <c r="G72" s="152">
        <f t="shared" si="9"/>
        <v>0.17267250000000001</v>
      </c>
      <c r="H72" s="178"/>
      <c r="I72" s="152"/>
      <c r="J72" s="154"/>
      <c r="K72" s="178"/>
      <c r="N72">
        <f>7*0.23</f>
        <v>1.61</v>
      </c>
      <c r="O72">
        <v>0.11</v>
      </c>
      <c r="P72">
        <f>1-0.025</f>
        <v>0.97499999999999998</v>
      </c>
      <c r="Q72" s="48">
        <f t="shared" si="10"/>
        <v>0.17267250000000001</v>
      </c>
    </row>
    <row r="73" spans="1:17" x14ac:dyDescent="0.25">
      <c r="A73" s="182"/>
      <c r="B73" s="150" t="s">
        <v>158</v>
      </c>
      <c r="C73" s="151">
        <v>1</v>
      </c>
      <c r="D73" s="180">
        <f>1.03+0.1+6.9+4.65+3+0.62</f>
        <v>16.3</v>
      </c>
      <c r="E73" s="180">
        <v>0.23</v>
      </c>
      <c r="F73" s="180">
        <v>0.4</v>
      </c>
      <c r="G73" s="152">
        <f t="shared" ref="G73:G80" si="11">PRODUCT(C73:F73)</f>
        <v>1.4996</v>
      </c>
      <c r="H73" s="178"/>
      <c r="I73" s="152"/>
      <c r="J73" s="154"/>
      <c r="K73" s="178"/>
      <c r="N73">
        <f>1.03+0.1+6.9+4.65+3+0.62</f>
        <v>16.3</v>
      </c>
      <c r="O73">
        <v>0.23</v>
      </c>
      <c r="P73">
        <v>0.4</v>
      </c>
      <c r="Q73" s="48">
        <f t="shared" si="10"/>
        <v>1.4996</v>
      </c>
    </row>
    <row r="74" spans="1:17" x14ac:dyDescent="0.25">
      <c r="A74" s="182"/>
      <c r="B74" s="150" t="s">
        <v>159</v>
      </c>
      <c r="C74" s="151">
        <v>1</v>
      </c>
      <c r="D74" s="181">
        <f>1.6+6.45</f>
        <v>8.0500000000000007</v>
      </c>
      <c r="E74" s="180">
        <f>0.28-0.025</f>
        <v>0.255</v>
      </c>
      <c r="F74" s="180">
        <v>0.4</v>
      </c>
      <c r="G74" s="152">
        <f t="shared" si="11"/>
        <v>0.82110000000000005</v>
      </c>
      <c r="H74" s="178"/>
      <c r="I74" s="152"/>
      <c r="J74" s="154"/>
      <c r="K74" s="178"/>
      <c r="N74" s="44">
        <f>1.6+6.45</f>
        <v>8.0500000000000007</v>
      </c>
      <c r="O74">
        <f>0.28-0.025</f>
        <v>0.255</v>
      </c>
      <c r="P74">
        <v>0.4</v>
      </c>
      <c r="Q74" s="48">
        <f t="shared" si="10"/>
        <v>0.82110000000000005</v>
      </c>
    </row>
    <row r="75" spans="1:17" x14ac:dyDescent="0.25">
      <c r="A75" s="182"/>
      <c r="B75" s="179" t="s">
        <v>58</v>
      </c>
      <c r="C75" s="151">
        <v>1</v>
      </c>
      <c r="D75" s="180">
        <f>2.6+2.6+2.595+2.595</f>
        <v>10.39</v>
      </c>
      <c r="E75" s="180">
        <v>0.23</v>
      </c>
      <c r="F75" s="180">
        <v>0.4</v>
      </c>
      <c r="G75" s="152">
        <f t="shared" si="11"/>
        <v>0.95588000000000017</v>
      </c>
      <c r="H75" s="178"/>
      <c r="I75" s="178"/>
      <c r="J75" s="152"/>
      <c r="K75" s="178"/>
      <c r="N75">
        <f>2.6+2.6+2.595+2.595</f>
        <v>10.39</v>
      </c>
      <c r="O75">
        <v>0.23</v>
      </c>
      <c r="P75">
        <v>0.4</v>
      </c>
      <c r="Q75" s="48">
        <f t="shared" si="10"/>
        <v>0.95588000000000017</v>
      </c>
    </row>
    <row r="76" spans="1:17" x14ac:dyDescent="0.25">
      <c r="A76" s="182"/>
      <c r="B76" s="179"/>
      <c r="C76" s="151">
        <v>1</v>
      </c>
      <c r="D76" s="180">
        <f>2.99+3</f>
        <v>5.99</v>
      </c>
      <c r="E76" s="180">
        <v>0.23</v>
      </c>
      <c r="F76" s="180">
        <v>0.4</v>
      </c>
      <c r="G76" s="152">
        <f t="shared" si="11"/>
        <v>0.55108000000000013</v>
      </c>
      <c r="H76" s="178"/>
      <c r="I76" s="178"/>
      <c r="J76" s="152"/>
      <c r="K76" s="178"/>
      <c r="N76">
        <f>2.99+3</f>
        <v>5.99</v>
      </c>
      <c r="O76">
        <v>0.23</v>
      </c>
      <c r="P76">
        <v>0.4</v>
      </c>
      <c r="Q76" s="48">
        <f t="shared" si="10"/>
        <v>0.55108000000000013</v>
      </c>
    </row>
    <row r="77" spans="1:17" x14ac:dyDescent="0.25">
      <c r="A77" s="182"/>
      <c r="B77" s="173" t="s">
        <v>161</v>
      </c>
      <c r="C77" s="151">
        <v>2</v>
      </c>
      <c r="D77" s="180">
        <f>(2.6)</f>
        <v>2.6</v>
      </c>
      <c r="E77" s="152">
        <v>0.23</v>
      </c>
      <c r="F77" s="152">
        <v>2.42</v>
      </c>
      <c r="G77" s="152">
        <f t="shared" si="11"/>
        <v>2.8943200000000004</v>
      </c>
      <c r="H77" s="178"/>
      <c r="I77" s="178"/>
      <c r="J77" s="152"/>
      <c r="K77" s="178"/>
      <c r="N77">
        <f>2*(2.6)</f>
        <v>5.2</v>
      </c>
      <c r="O77">
        <v>0.23</v>
      </c>
      <c r="P77">
        <v>2.37</v>
      </c>
      <c r="Q77" s="48">
        <f t="shared" si="10"/>
        <v>2.8345200000000004</v>
      </c>
    </row>
    <row r="78" spans="1:17" x14ac:dyDescent="0.25">
      <c r="A78" s="182"/>
      <c r="B78" s="173"/>
      <c r="C78" s="151">
        <v>1</v>
      </c>
      <c r="D78" s="180">
        <v>3</v>
      </c>
      <c r="E78" s="180">
        <v>0.23</v>
      </c>
      <c r="F78" s="152">
        <v>2.42</v>
      </c>
      <c r="G78" s="152">
        <f t="shared" si="11"/>
        <v>1.6698000000000002</v>
      </c>
      <c r="H78" s="178"/>
      <c r="I78" s="178"/>
      <c r="J78" s="152"/>
      <c r="K78" s="178"/>
      <c r="N78">
        <v>3</v>
      </c>
      <c r="O78">
        <v>0.23</v>
      </c>
      <c r="P78">
        <v>2.37</v>
      </c>
      <c r="Q78" s="48">
        <f t="shared" si="10"/>
        <v>1.6353000000000002</v>
      </c>
    </row>
    <row r="79" spans="1:17" x14ac:dyDescent="0.25">
      <c r="A79" s="182"/>
      <c r="B79" s="173"/>
      <c r="C79" s="151">
        <v>1</v>
      </c>
      <c r="D79" s="180">
        <v>1.7</v>
      </c>
      <c r="E79" s="180">
        <v>0.11</v>
      </c>
      <c r="F79" s="152">
        <v>2.42</v>
      </c>
      <c r="G79" s="152">
        <f t="shared" si="11"/>
        <v>0.45254</v>
      </c>
      <c r="H79" s="178"/>
      <c r="I79" s="178"/>
      <c r="J79" s="152"/>
      <c r="K79" s="178"/>
      <c r="N79">
        <v>1.7</v>
      </c>
      <c r="O79">
        <v>0.11</v>
      </c>
      <c r="P79">
        <v>2.37</v>
      </c>
      <c r="Q79" s="48">
        <f t="shared" si="10"/>
        <v>0.44319000000000003</v>
      </c>
    </row>
    <row r="80" spans="1:17" x14ac:dyDescent="0.25">
      <c r="A80" s="182"/>
      <c r="B80" s="173"/>
      <c r="C80" s="151">
        <v>1</v>
      </c>
      <c r="D80" s="152">
        <f>(0.45+0.6)/2</f>
        <v>0.52500000000000002</v>
      </c>
      <c r="E80" s="180">
        <v>0.11</v>
      </c>
      <c r="F80" s="180">
        <v>2.2999999999999998</v>
      </c>
      <c r="G80" s="152">
        <f t="shared" si="11"/>
        <v>0.132825</v>
      </c>
      <c r="H80" s="178"/>
      <c r="I80" s="178"/>
      <c r="J80" s="152"/>
      <c r="K80" s="178"/>
      <c r="N80">
        <f>1.05/2</f>
        <v>0.52500000000000002</v>
      </c>
      <c r="O80">
        <v>0.11</v>
      </c>
      <c r="P80">
        <v>2.2999999999999998</v>
      </c>
      <c r="Q80" s="48">
        <f t="shared" si="10"/>
        <v>0.132825</v>
      </c>
    </row>
    <row r="81" spans="1:19" x14ac:dyDescent="0.25">
      <c r="A81" s="182"/>
      <c r="B81" s="179" t="s">
        <v>16</v>
      </c>
      <c r="C81" s="151"/>
      <c r="D81" s="152"/>
      <c r="E81" s="152"/>
      <c r="F81" s="152"/>
      <c r="G81" s="153">
        <f>SUM(G69:G80)</f>
        <v>11.050700000000003</v>
      </c>
      <c r="H81" s="182" t="s">
        <v>18</v>
      </c>
      <c r="I81" s="6">
        <v>14520.78</v>
      </c>
      <c r="J81" s="154">
        <f>G81*I81</f>
        <v>160464.78354600005</v>
      </c>
      <c r="K81" s="178"/>
    </row>
    <row r="82" spans="1:19" x14ac:dyDescent="0.25">
      <c r="A82" s="182"/>
      <c r="B82" s="179" t="s">
        <v>17</v>
      </c>
      <c r="C82" s="151"/>
      <c r="D82" s="152"/>
      <c r="E82" s="152"/>
      <c r="F82" s="152"/>
      <c r="G82" s="152"/>
      <c r="H82" s="178"/>
      <c r="I82" s="152"/>
      <c r="J82" s="154">
        <f>0.13*G81*(10555.39)</f>
        <v>15163.778275490004</v>
      </c>
      <c r="K82" s="178"/>
    </row>
    <row r="83" spans="1:19" x14ac:dyDescent="0.25">
      <c r="A83" s="182"/>
      <c r="B83" s="173"/>
      <c r="C83" s="151"/>
      <c r="D83" s="152"/>
      <c r="E83" s="180"/>
      <c r="F83" s="180"/>
      <c r="G83" s="152"/>
      <c r="H83" s="178"/>
      <c r="I83" s="178"/>
      <c r="J83" s="152"/>
      <c r="K83" s="178"/>
      <c r="Q83" s="48"/>
    </row>
    <row r="84" spans="1:19" ht="30" x14ac:dyDescent="0.25">
      <c r="A84" s="182">
        <v>8</v>
      </c>
      <c r="B84" s="139" t="s">
        <v>239</v>
      </c>
      <c r="C84" s="151"/>
      <c r="D84" s="152"/>
      <c r="E84" s="180"/>
      <c r="F84" s="180"/>
      <c r="G84" s="152"/>
      <c r="H84" s="178"/>
      <c r="I84" s="178"/>
      <c r="J84" s="152"/>
      <c r="K84" s="178"/>
      <c r="Q84" s="48"/>
    </row>
    <row r="85" spans="1:19" x14ac:dyDescent="0.25">
      <c r="A85" s="182"/>
      <c r="B85" s="173" t="s">
        <v>160</v>
      </c>
      <c r="C85" s="151">
        <v>2</v>
      </c>
      <c r="D85" s="152">
        <v>2.94</v>
      </c>
      <c r="E85" s="152">
        <v>0.23</v>
      </c>
      <c r="F85" s="152">
        <v>2.2200000000000002</v>
      </c>
      <c r="G85" s="152">
        <f t="shared" ref="G85:G86" si="12">PRODUCT(C85:F85)</f>
        <v>3.0023280000000003</v>
      </c>
      <c r="H85" s="178"/>
      <c r="I85" s="178"/>
      <c r="J85" s="152"/>
      <c r="K85" s="178"/>
      <c r="N85">
        <f>2*2.94</f>
        <v>5.88</v>
      </c>
      <c r="O85">
        <v>0.23</v>
      </c>
      <c r="P85">
        <v>2.42</v>
      </c>
      <c r="Q85" s="48">
        <f t="shared" si="10"/>
        <v>3.2728079999999999</v>
      </c>
      <c r="S85">
        <f>2.42-0.23</f>
        <v>2.19</v>
      </c>
    </row>
    <row r="86" spans="1:19" x14ac:dyDescent="0.25">
      <c r="A86" s="182"/>
      <c r="B86" s="173"/>
      <c r="C86" s="151">
        <v>2</v>
      </c>
      <c r="D86" s="152">
        <v>2.5350000000000001</v>
      </c>
      <c r="E86" s="152">
        <v>0.23</v>
      </c>
      <c r="F86" s="152">
        <v>2.2200000000000002</v>
      </c>
      <c r="G86" s="152">
        <f t="shared" si="12"/>
        <v>2.5887420000000003</v>
      </c>
      <c r="H86" s="178"/>
      <c r="I86" s="178"/>
      <c r="J86" s="152"/>
      <c r="K86" s="178"/>
      <c r="N86">
        <f>2*2.535</f>
        <v>5.07</v>
      </c>
      <c r="O86">
        <v>0.23</v>
      </c>
      <c r="P86">
        <v>2.42</v>
      </c>
      <c r="Q86" s="48">
        <f t="shared" si="10"/>
        <v>2.8219620000000001</v>
      </c>
    </row>
    <row r="87" spans="1:19" x14ac:dyDescent="0.25">
      <c r="A87" s="182"/>
      <c r="B87" s="180"/>
      <c r="C87" s="151">
        <v>2</v>
      </c>
      <c r="D87" s="152">
        <v>2.59</v>
      </c>
      <c r="E87" s="152">
        <v>0.23</v>
      </c>
      <c r="F87" s="152">
        <v>2.2200000000000002</v>
      </c>
      <c r="G87" s="152">
        <f>PRODUCT(C87:F87)</f>
        <v>2.6449080000000005</v>
      </c>
      <c r="H87" s="178"/>
      <c r="I87" s="178"/>
      <c r="J87" s="152"/>
      <c r="K87" s="178"/>
      <c r="N87">
        <f>2*2.595</f>
        <v>5.19</v>
      </c>
      <c r="O87">
        <v>0.23</v>
      </c>
      <c r="P87">
        <v>2.42</v>
      </c>
      <c r="Q87" s="48">
        <f t="shared" si="10"/>
        <v>2.8887540000000005</v>
      </c>
    </row>
    <row r="88" spans="1:19" x14ac:dyDescent="0.25">
      <c r="A88" s="182"/>
      <c r="B88" s="173" t="s">
        <v>75</v>
      </c>
      <c r="C88" s="151">
        <v>-1</v>
      </c>
      <c r="D88" s="152">
        <v>1.375</v>
      </c>
      <c r="E88" s="152">
        <v>0.23</v>
      </c>
      <c r="F88" s="152">
        <v>1.19</v>
      </c>
      <c r="G88" s="152">
        <f>PRODUCT(C88:F88)</f>
        <v>-0.37633750000000005</v>
      </c>
      <c r="H88" s="178"/>
      <c r="I88" s="178"/>
      <c r="J88" s="152"/>
      <c r="K88" s="178"/>
      <c r="N88">
        <f>4.48+4.49-0.075</f>
        <v>8.8950000000000014</v>
      </c>
      <c r="O88">
        <v>0.11</v>
      </c>
      <c r="P88">
        <v>0.15</v>
      </c>
      <c r="Q88" s="48">
        <f t="shared" si="10"/>
        <v>0.14676750000000002</v>
      </c>
    </row>
    <row r="89" spans="1:19" x14ac:dyDescent="0.25">
      <c r="A89" s="182"/>
      <c r="B89" s="173"/>
      <c r="C89" s="151">
        <v>-1</v>
      </c>
      <c r="D89" s="152">
        <v>1.41</v>
      </c>
      <c r="E89" s="152">
        <v>0.23</v>
      </c>
      <c r="F89" s="152">
        <v>1.18</v>
      </c>
      <c r="G89" s="152">
        <f t="shared" ref="G89" si="13">PRODUCT(C89:F89)</f>
        <v>-0.38267399999999996</v>
      </c>
      <c r="H89" s="178"/>
      <c r="I89" s="178"/>
      <c r="J89" s="152"/>
      <c r="K89" s="178"/>
      <c r="N89">
        <f>6.67*2-0.075*2</f>
        <v>13.19</v>
      </c>
      <c r="O89">
        <v>0.11</v>
      </c>
      <c r="P89">
        <v>0.15</v>
      </c>
      <c r="Q89" s="48">
        <f t="shared" si="10"/>
        <v>0.21763499999999997</v>
      </c>
    </row>
    <row r="90" spans="1:19" x14ac:dyDescent="0.25">
      <c r="A90" s="182"/>
      <c r="B90" s="173" t="s">
        <v>75</v>
      </c>
      <c r="C90" s="151">
        <v>-1</v>
      </c>
      <c r="D90" s="152">
        <v>1.54</v>
      </c>
      <c r="E90" s="152">
        <v>0.23</v>
      </c>
      <c r="F90" s="152">
        <v>1.18</v>
      </c>
      <c r="G90" s="152">
        <f>PRODUCT(C90:F90)</f>
        <v>-0.41795599999999999</v>
      </c>
      <c r="H90" s="178"/>
      <c r="I90" s="178"/>
      <c r="J90" s="152"/>
      <c r="K90" s="178"/>
      <c r="N90">
        <f>1.14*2+0.96*2-0.075*2</f>
        <v>4.0499999999999989</v>
      </c>
      <c r="O90">
        <v>0.11</v>
      </c>
      <c r="P90">
        <v>0.15</v>
      </c>
      <c r="Q90" s="48">
        <f t="shared" si="10"/>
        <v>6.6824999999999982E-2</v>
      </c>
    </row>
    <row r="91" spans="1:19" x14ac:dyDescent="0.25">
      <c r="A91" s="182"/>
      <c r="B91" s="173" t="s">
        <v>162</v>
      </c>
      <c r="C91" s="151">
        <v>1</v>
      </c>
      <c r="D91" s="152">
        <f>6.67*2-0.075*2+4.48+4.49-0.075+1.14+0.96-0.075</f>
        <v>24.110000000000007</v>
      </c>
      <c r="E91" s="152">
        <v>0.11</v>
      </c>
      <c r="F91" s="152">
        <v>0.15</v>
      </c>
      <c r="G91" s="152">
        <f>PRODUCT(C91:F91)</f>
        <v>0.39781500000000009</v>
      </c>
      <c r="H91" s="178"/>
      <c r="I91" s="178"/>
      <c r="J91" s="152"/>
      <c r="K91" s="178"/>
      <c r="Q91" s="44">
        <f>SUM(Q69:Q90)</f>
        <v>20.361801500000002</v>
      </c>
      <c r="R91" s="44">
        <f>Q91+G88+G89+G90</f>
        <v>19.184833999999999</v>
      </c>
    </row>
    <row r="92" spans="1:19" x14ac:dyDescent="0.25">
      <c r="A92" s="182"/>
      <c r="B92" s="179" t="s">
        <v>16</v>
      </c>
      <c r="C92" s="151"/>
      <c r="D92" s="152"/>
      <c r="E92" s="152"/>
      <c r="F92" s="152"/>
      <c r="G92" s="153">
        <f>SUM(G85:G91)</f>
        <v>7.4568255000000017</v>
      </c>
      <c r="H92" s="182" t="s">
        <v>18</v>
      </c>
      <c r="I92" s="6">
        <v>14984.29</v>
      </c>
      <c r="J92" s="154">
        <f>G92*I92</f>
        <v>111735.23577139503</v>
      </c>
      <c r="K92" s="178"/>
    </row>
    <row r="93" spans="1:19" x14ac:dyDescent="0.25">
      <c r="A93" s="182"/>
      <c r="B93" s="179" t="s">
        <v>17</v>
      </c>
      <c r="C93" s="151"/>
      <c r="D93" s="152"/>
      <c r="E93" s="152"/>
      <c r="F93" s="152"/>
      <c r="G93" s="152"/>
      <c r="H93" s="178"/>
      <c r="I93" s="152"/>
      <c r="J93" s="154">
        <f>0.13*G92*(10555.39)</f>
        <v>10232.261170877851</v>
      </c>
      <c r="K93" s="178"/>
      <c r="N93" s="44">
        <f>SUM(J81:J93)</f>
        <v>297596.05876376294</v>
      </c>
    </row>
    <row r="94" spans="1:19" x14ac:dyDescent="0.25">
      <c r="A94" s="182"/>
      <c r="B94" s="180"/>
      <c r="C94" s="180"/>
      <c r="D94" s="180"/>
      <c r="E94" s="180"/>
      <c r="F94" s="180"/>
      <c r="G94" s="180"/>
      <c r="H94" s="180"/>
      <c r="I94" s="180"/>
      <c r="J94" s="180"/>
      <c r="K94" s="178"/>
    </row>
    <row r="95" spans="1:19" s="9" customFormat="1" ht="33.75" x14ac:dyDescent="0.25">
      <c r="A95" s="20">
        <v>9</v>
      </c>
      <c r="B95" s="139" t="s">
        <v>248</v>
      </c>
      <c r="C95" s="21"/>
      <c r="D95" s="22"/>
      <c r="E95" s="23"/>
      <c r="F95" s="23"/>
      <c r="G95" s="7"/>
      <c r="H95" s="6"/>
      <c r="I95" s="7"/>
      <c r="J95" s="153"/>
      <c r="K95" s="23"/>
    </row>
    <row r="96" spans="1:19" x14ac:dyDescent="0.25">
      <c r="A96" s="182"/>
      <c r="B96" s="173" t="s">
        <v>57</v>
      </c>
      <c r="C96" s="180"/>
      <c r="D96" s="180"/>
      <c r="E96" s="180"/>
      <c r="F96" s="180"/>
      <c r="G96" s="180"/>
      <c r="H96" s="178"/>
      <c r="I96" s="178"/>
      <c r="J96" s="152"/>
      <c r="K96" s="178"/>
      <c r="M96">
        <f>0.4*3.281</f>
        <v>1.3124000000000002</v>
      </c>
    </row>
    <row r="97" spans="1:16" x14ac:dyDescent="0.25">
      <c r="A97" s="182"/>
      <c r="B97" s="173" t="s">
        <v>134</v>
      </c>
      <c r="C97" s="151">
        <f>C48</f>
        <v>6</v>
      </c>
      <c r="D97" s="152">
        <v>1.5</v>
      </c>
      <c r="E97" s="152">
        <v>1.5</v>
      </c>
      <c r="F97" s="152">
        <v>0.23</v>
      </c>
      <c r="G97" s="152">
        <f t="shared" ref="G97" si="14">PRODUCT(C97:F97)</f>
        <v>3.105</v>
      </c>
      <c r="H97" s="178"/>
      <c r="I97" s="178"/>
      <c r="J97" s="152"/>
      <c r="K97" s="178"/>
    </row>
    <row r="98" spans="1:16" x14ac:dyDescent="0.25">
      <c r="A98" s="182"/>
      <c r="B98" s="173" t="s">
        <v>135</v>
      </c>
      <c r="C98" s="226">
        <v>4</v>
      </c>
      <c r="D98" s="152">
        <v>0.4</v>
      </c>
      <c r="E98" s="152">
        <v>0.4</v>
      </c>
      <c r="F98" s="227">
        <v>0.23</v>
      </c>
      <c r="G98" s="152">
        <f>C98*((F98/3)*((D98*E98)+(D99*E99)+SQRT((D98*E98)*(D99*E99))))</f>
        <v>0.55506666666666682</v>
      </c>
      <c r="H98" s="178"/>
      <c r="I98" s="178"/>
      <c r="J98" s="152"/>
      <c r="K98" s="178"/>
      <c r="M98" s="44"/>
    </row>
    <row r="99" spans="1:16" x14ac:dyDescent="0.25">
      <c r="A99" s="182"/>
      <c r="B99" s="173"/>
      <c r="C99" s="226"/>
      <c r="D99" s="152">
        <v>1.1000000000000001</v>
      </c>
      <c r="E99" s="152">
        <v>1.1000000000000001</v>
      </c>
      <c r="F99" s="227"/>
      <c r="G99" s="152"/>
      <c r="H99" s="178"/>
      <c r="I99" s="178"/>
      <c r="J99" s="152"/>
      <c r="K99" s="178"/>
    </row>
    <row r="100" spans="1:16" x14ac:dyDescent="0.25">
      <c r="A100" s="182"/>
      <c r="B100" s="173" t="s">
        <v>136</v>
      </c>
      <c r="C100" s="226">
        <v>1</v>
      </c>
      <c r="D100" s="152">
        <v>0.4</v>
      </c>
      <c r="E100" s="152">
        <v>0.4</v>
      </c>
      <c r="F100" s="227">
        <v>0.23</v>
      </c>
      <c r="G100" s="152">
        <f>C100*((F100/3)*((D100*E100)+(D101*E101)+SQRT((D100*E100)*(D101*E101))))</f>
        <v>0.15857199961217766</v>
      </c>
      <c r="H100" s="178"/>
      <c r="I100" s="178"/>
      <c r="J100" s="152"/>
      <c r="K100" s="178"/>
    </row>
    <row r="101" spans="1:16" x14ac:dyDescent="0.25">
      <c r="A101" s="182"/>
      <c r="B101" s="173"/>
      <c r="C101" s="226"/>
      <c r="D101" s="152">
        <v>1.1000000000000001</v>
      </c>
      <c r="E101" s="152">
        <v>1.3</v>
      </c>
      <c r="F101" s="227"/>
      <c r="G101" s="152"/>
      <c r="H101" s="178"/>
      <c r="I101" s="178"/>
      <c r="J101" s="152"/>
      <c r="K101" s="178"/>
    </row>
    <row r="102" spans="1:16" x14ac:dyDescent="0.25">
      <c r="A102" s="182"/>
      <c r="B102" s="173" t="s">
        <v>137</v>
      </c>
      <c r="C102" s="226">
        <v>1</v>
      </c>
      <c r="D102" s="152">
        <v>0.4</v>
      </c>
      <c r="E102" s="152">
        <v>0.4</v>
      </c>
      <c r="F102" s="227">
        <v>0.23</v>
      </c>
      <c r="G102" s="152">
        <f>C102*((F102/3)*((D102*E102)+(D103*E103)+SQRT((D102*E102)*(D103*E103))))</f>
        <v>0.21792500000000004</v>
      </c>
      <c r="H102" s="178"/>
      <c r="I102" s="178"/>
      <c r="J102" s="152"/>
      <c r="K102" s="178"/>
    </row>
    <row r="103" spans="1:16" x14ac:dyDescent="0.25">
      <c r="A103" s="182"/>
      <c r="B103" s="173"/>
      <c r="C103" s="226"/>
      <c r="D103" s="152">
        <v>1.45</v>
      </c>
      <c r="E103" s="152">
        <v>1.45</v>
      </c>
      <c r="F103" s="227"/>
      <c r="G103" s="152"/>
      <c r="H103" s="178"/>
      <c r="I103" s="178"/>
      <c r="J103" s="152"/>
      <c r="K103" s="178"/>
      <c r="M103" s="44">
        <f>SUM(G97:G102)</f>
        <v>4.0365636662788447</v>
      </c>
      <c r="N103" s="44">
        <f>SUM(estimate!G69:G71)</f>
        <v>4.4527912069510363</v>
      </c>
      <c r="O103">
        <f>1.5-0.5-0.23</f>
        <v>0.77</v>
      </c>
    </row>
    <row r="104" spans="1:16" x14ac:dyDescent="0.25">
      <c r="A104" s="182"/>
      <c r="B104" s="173" t="s">
        <v>64</v>
      </c>
      <c r="C104" s="151">
        <v>3</v>
      </c>
      <c r="D104" s="152">
        <f>0.3</f>
        <v>0.3</v>
      </c>
      <c r="E104" s="152">
        <v>0.3</v>
      </c>
      <c r="F104" s="152">
        <f>1.5-F97-F98-F106</f>
        <v>0.81</v>
      </c>
      <c r="G104" s="152">
        <f t="shared" ref="G104:G111" si="15">PRODUCT(C104:F104)</f>
        <v>0.21869999999999998</v>
      </c>
      <c r="H104" s="178"/>
      <c r="I104" s="178"/>
      <c r="J104" s="152"/>
      <c r="K104" s="178"/>
      <c r="M104">
        <f>F104*3.281</f>
        <v>2.6576100000000005</v>
      </c>
    </row>
    <row r="105" spans="1:16" x14ac:dyDescent="0.25">
      <c r="A105" s="182"/>
      <c r="B105" s="173"/>
      <c r="C105" s="151">
        <v>3</v>
      </c>
      <c r="D105" s="152">
        <f>0.3</f>
        <v>0.3</v>
      </c>
      <c r="E105" s="152">
        <v>0.3</v>
      </c>
      <c r="F105" s="152">
        <f>0.4+0.23</f>
        <v>0.63</v>
      </c>
      <c r="G105" s="152">
        <f t="shared" si="15"/>
        <v>0.17009999999999997</v>
      </c>
      <c r="H105" s="178"/>
      <c r="I105" s="178"/>
      <c r="J105" s="152"/>
      <c r="K105" s="178"/>
    </row>
    <row r="106" spans="1:16" x14ac:dyDescent="0.25">
      <c r="A106" s="182"/>
      <c r="B106" s="173" t="s">
        <v>138</v>
      </c>
      <c r="C106" s="151">
        <v>2</v>
      </c>
      <c r="D106" s="152">
        <v>3.61</v>
      </c>
      <c r="E106" s="152">
        <v>0.23</v>
      </c>
      <c r="F106" s="152">
        <v>0.23</v>
      </c>
      <c r="G106" s="152">
        <f t="shared" si="15"/>
        <v>0.38193800000000006</v>
      </c>
      <c r="H106" s="178"/>
      <c r="I106" s="178"/>
      <c r="J106" s="152"/>
      <c r="K106" s="178"/>
      <c r="N106">
        <f>0.33+1.71+1.27+0.34</f>
        <v>3.65</v>
      </c>
    </row>
    <row r="107" spans="1:16" x14ac:dyDescent="0.25">
      <c r="A107" s="182"/>
      <c r="B107" s="173"/>
      <c r="C107" s="151">
        <v>4</v>
      </c>
      <c r="D107" s="152">
        <v>2.59</v>
      </c>
      <c r="E107" s="152">
        <v>0.23</v>
      </c>
      <c r="F107" s="152">
        <v>0.23</v>
      </c>
      <c r="G107" s="152">
        <f t="shared" si="15"/>
        <v>0.54804399999999998</v>
      </c>
      <c r="H107" s="178"/>
      <c r="I107" s="178"/>
      <c r="J107" s="152"/>
      <c r="K107" s="178"/>
    </row>
    <row r="108" spans="1:16" x14ac:dyDescent="0.25">
      <c r="A108" s="182"/>
      <c r="B108" s="173" t="s">
        <v>139</v>
      </c>
      <c r="C108" s="151">
        <v>3</v>
      </c>
      <c r="D108" s="152">
        <v>3.61</v>
      </c>
      <c r="E108" s="152">
        <v>0.23</v>
      </c>
      <c r="F108" s="152">
        <v>0.23</v>
      </c>
      <c r="G108" s="152">
        <f t="shared" si="15"/>
        <v>0.57290700000000006</v>
      </c>
      <c r="H108" s="178"/>
      <c r="I108" s="178"/>
      <c r="J108" s="152"/>
      <c r="K108" s="178"/>
    </row>
    <row r="109" spans="1:16" x14ac:dyDescent="0.25">
      <c r="A109" s="182"/>
      <c r="B109" s="173"/>
      <c r="C109" s="151">
        <v>4</v>
      </c>
      <c r="D109" s="152">
        <v>2.59</v>
      </c>
      <c r="E109" s="152">
        <v>0.23</v>
      </c>
      <c r="F109" s="152">
        <v>0.23</v>
      </c>
      <c r="G109" s="152">
        <f t="shared" si="15"/>
        <v>0.54804399999999998</v>
      </c>
      <c r="H109" s="178"/>
      <c r="I109" s="178"/>
      <c r="J109" s="152"/>
      <c r="K109" s="178"/>
    </row>
    <row r="110" spans="1:16" x14ac:dyDescent="0.25">
      <c r="A110" s="182"/>
      <c r="B110" s="173" t="s">
        <v>140</v>
      </c>
      <c r="C110" s="151">
        <v>6</v>
      </c>
      <c r="D110" s="181">
        <v>0.3</v>
      </c>
      <c r="E110" s="152">
        <v>0.3</v>
      </c>
      <c r="F110" s="152">
        <v>2.66</v>
      </c>
      <c r="G110" s="152">
        <f t="shared" si="15"/>
        <v>1.4363999999999999</v>
      </c>
      <c r="H110" s="178"/>
      <c r="I110" s="178"/>
      <c r="J110" s="152"/>
      <c r="K110" s="178"/>
      <c r="P110">
        <f>8.917/3.281</f>
        <v>2.7177689728741234</v>
      </c>
    </row>
    <row r="111" spans="1:16" x14ac:dyDescent="0.25">
      <c r="A111" s="182"/>
      <c r="B111" s="173" t="s">
        <v>141</v>
      </c>
      <c r="C111" s="151">
        <v>6</v>
      </c>
      <c r="D111" s="181">
        <v>0.3</v>
      </c>
      <c r="E111" s="152">
        <v>0.3</v>
      </c>
      <c r="F111" s="152">
        <v>2.4500000000000002</v>
      </c>
      <c r="G111" s="152">
        <f t="shared" si="15"/>
        <v>1.323</v>
      </c>
      <c r="H111" s="178"/>
      <c r="I111" s="178"/>
      <c r="J111" s="152"/>
      <c r="K111" s="178"/>
    </row>
    <row r="112" spans="1:16" x14ac:dyDescent="0.25">
      <c r="A112" s="182"/>
      <c r="B112" s="173" t="s">
        <v>71</v>
      </c>
      <c r="C112" s="151">
        <f>2*4</f>
        <v>8</v>
      </c>
      <c r="D112" s="152">
        <v>2.57</v>
      </c>
      <c r="E112" s="152">
        <v>0.23</v>
      </c>
      <c r="F112" s="152">
        <v>0.23</v>
      </c>
      <c r="G112" s="152">
        <f t="shared" ref="G112:G115" si="16">PRODUCT(C112:F112)</f>
        <v>1.0876239999999999</v>
      </c>
      <c r="H112" s="178"/>
      <c r="I112" s="178"/>
      <c r="J112" s="152"/>
      <c r="K112" s="178"/>
    </row>
    <row r="113" spans="1:15" x14ac:dyDescent="0.25">
      <c r="A113" s="182"/>
      <c r="B113" s="173"/>
      <c r="C113" s="151">
        <f>2*3</f>
        <v>6</v>
      </c>
      <c r="D113" s="152">
        <v>2.9750000000000001</v>
      </c>
      <c r="E113" s="152">
        <v>0.23</v>
      </c>
      <c r="F113" s="152">
        <v>0.23</v>
      </c>
      <c r="G113" s="152">
        <f t="shared" si="16"/>
        <v>0.94426500000000002</v>
      </c>
      <c r="H113" s="178"/>
      <c r="I113" s="178"/>
      <c r="J113" s="152"/>
      <c r="K113" s="178"/>
    </row>
    <row r="114" spans="1:15" x14ac:dyDescent="0.25">
      <c r="A114" s="182"/>
      <c r="B114" s="173" t="s">
        <v>142</v>
      </c>
      <c r="C114" s="151">
        <v>1</v>
      </c>
      <c r="D114" s="152">
        <f>6.62-0.075</f>
        <v>6.5449999999999999</v>
      </c>
      <c r="E114" s="152">
        <f>(4.15+4.135)/2-0.075</f>
        <v>4.0674999999999999</v>
      </c>
      <c r="F114" s="152">
        <v>0.125</v>
      </c>
      <c r="G114" s="152">
        <f t="shared" si="16"/>
        <v>3.3277234375</v>
      </c>
      <c r="H114" s="178"/>
      <c r="I114" s="178"/>
      <c r="J114" s="152"/>
      <c r="K114" s="178"/>
    </row>
    <row r="115" spans="1:15" x14ac:dyDescent="0.25">
      <c r="A115" s="182"/>
      <c r="B115" s="173" t="s">
        <v>76</v>
      </c>
      <c r="C115" s="151">
        <v>-1</v>
      </c>
      <c r="D115" s="152">
        <v>1.08</v>
      </c>
      <c r="E115" s="152">
        <f>2.5/3.281</f>
        <v>0.76196281621456874</v>
      </c>
      <c r="F115" s="152">
        <v>0.125</v>
      </c>
      <c r="G115" s="152">
        <f t="shared" si="16"/>
        <v>-0.10286498018896678</v>
      </c>
      <c r="H115" s="178"/>
      <c r="I115" s="178"/>
      <c r="J115" s="152"/>
      <c r="K115" s="178"/>
    </row>
    <row r="116" spans="1:15" x14ac:dyDescent="0.25">
      <c r="A116" s="182"/>
      <c r="B116" s="173" t="s">
        <v>143</v>
      </c>
      <c r="C116" s="151">
        <v>1</v>
      </c>
      <c r="D116" s="152">
        <v>6.9</v>
      </c>
      <c r="E116" s="152">
        <f>4.45-0.025</f>
        <v>4.4249999999999998</v>
      </c>
      <c r="F116" s="152">
        <v>0.125</v>
      </c>
      <c r="G116" s="152">
        <f t="shared" ref="G116:G117" si="17">PRODUCT(C116:F116)</f>
        <v>3.8165624999999999</v>
      </c>
      <c r="H116" s="178"/>
      <c r="I116" s="178"/>
      <c r="J116" s="152"/>
      <c r="K116" s="178"/>
    </row>
    <row r="117" spans="1:15" x14ac:dyDescent="0.25">
      <c r="A117" s="182"/>
      <c r="B117" s="173" t="s">
        <v>76</v>
      </c>
      <c r="C117" s="151">
        <v>-1</v>
      </c>
      <c r="D117" s="152">
        <v>0.93</v>
      </c>
      <c r="E117" s="152">
        <v>0.76</v>
      </c>
      <c r="F117" s="152">
        <v>0.125</v>
      </c>
      <c r="G117" s="152">
        <f t="shared" si="17"/>
        <v>-8.8350000000000012E-2</v>
      </c>
      <c r="H117" s="178"/>
      <c r="I117" s="178"/>
      <c r="J117" s="152"/>
      <c r="K117" s="178"/>
      <c r="M117" s="172">
        <v>17107.900000000001</v>
      </c>
      <c r="N117">
        <f>M117*G118</f>
        <v>311717.1714507133</v>
      </c>
      <c r="O117" s="44">
        <f>N117-J118</f>
        <v>0</v>
      </c>
    </row>
    <row r="118" spans="1:15" ht="15" customHeight="1" x14ac:dyDescent="0.25">
      <c r="A118" s="182"/>
      <c r="B118" s="150" t="s">
        <v>16</v>
      </c>
      <c r="C118" s="151"/>
      <c r="D118" s="152"/>
      <c r="E118" s="152"/>
      <c r="F118" s="152"/>
      <c r="G118" s="153">
        <f>SUM(G97:G117)</f>
        <v>18.220656623589878</v>
      </c>
      <c r="H118" s="153" t="s">
        <v>18</v>
      </c>
      <c r="I118" s="6">
        <v>17107.900000000001</v>
      </c>
      <c r="J118" s="154">
        <f>G118*I118</f>
        <v>311717.1714507133</v>
      </c>
      <c r="K118" s="178"/>
      <c r="N118" s="172">
        <f>9847.9*0.13*G118</f>
        <v>23326.576567248601</v>
      </c>
    </row>
    <row r="119" spans="1:15" ht="15" customHeight="1" x14ac:dyDescent="0.25">
      <c r="A119" s="20"/>
      <c r="B119" s="150" t="s">
        <v>41</v>
      </c>
      <c r="C119" s="21"/>
      <c r="D119" s="22"/>
      <c r="E119" s="23"/>
      <c r="F119" s="23"/>
      <c r="G119" s="7"/>
      <c r="H119" s="6"/>
      <c r="I119" s="7"/>
      <c r="J119" s="153">
        <f>0.13*G118*9847.9</f>
        <v>23326.576567248598</v>
      </c>
      <c r="K119" s="23"/>
    </row>
    <row r="120" spans="1:15" ht="15" customHeight="1" x14ac:dyDescent="0.25">
      <c r="A120" s="20"/>
      <c r="B120" s="150"/>
      <c r="C120" s="21"/>
      <c r="D120" s="22"/>
      <c r="E120" s="23"/>
      <c r="F120" s="23"/>
      <c r="G120" s="7"/>
      <c r="H120" s="6"/>
      <c r="I120" s="7"/>
      <c r="J120" s="153"/>
      <c r="K120" s="23"/>
    </row>
    <row r="121" spans="1:15" ht="30" x14ac:dyDescent="0.25">
      <c r="A121" s="20">
        <v>10</v>
      </c>
      <c r="B121" s="139" t="s">
        <v>32</v>
      </c>
      <c r="C121" s="151"/>
      <c r="D121" s="152"/>
      <c r="E121" s="152"/>
      <c r="F121" s="152"/>
      <c r="G121" s="153"/>
      <c r="H121" s="182"/>
      <c r="I121" s="153"/>
      <c r="J121" s="153"/>
      <c r="K121" s="23"/>
    </row>
    <row r="122" spans="1:15" x14ac:dyDescent="0.25">
      <c r="A122" s="182"/>
      <c r="B122" s="173" t="s">
        <v>64</v>
      </c>
      <c r="C122" s="151">
        <v>3</v>
      </c>
      <c r="D122" s="152">
        <f>0.3*4</f>
        <v>1.2</v>
      </c>
      <c r="E122" s="152"/>
      <c r="F122" s="152">
        <v>0.77</v>
      </c>
      <c r="G122" s="152">
        <f>PRODUCT(C122:F122)</f>
        <v>2.7719999999999998</v>
      </c>
      <c r="H122" s="178"/>
      <c r="I122" s="178"/>
      <c r="J122" s="152"/>
      <c r="K122" s="178"/>
    </row>
    <row r="123" spans="1:15" x14ac:dyDescent="0.25">
      <c r="A123" s="182"/>
      <c r="B123" s="173"/>
      <c r="C123" s="151">
        <v>3</v>
      </c>
      <c r="D123" s="152">
        <f>0.3*4</f>
        <v>1.2</v>
      </c>
      <c r="E123" s="152"/>
      <c r="F123" s="152">
        <v>0.4</v>
      </c>
      <c r="G123" s="152">
        <f>PRODUCT(C123:F123)</f>
        <v>1.44</v>
      </c>
      <c r="H123" s="178"/>
      <c r="I123" s="178"/>
      <c r="J123" s="152"/>
      <c r="K123" s="178"/>
    </row>
    <row r="124" spans="1:15" x14ac:dyDescent="0.25">
      <c r="A124" s="182"/>
      <c r="B124" s="150" t="s">
        <v>138</v>
      </c>
      <c r="C124" s="151">
        <f>C106</f>
        <v>2</v>
      </c>
      <c r="D124" s="152">
        <f>D106</f>
        <v>3.61</v>
      </c>
      <c r="E124" s="152"/>
      <c r="F124" s="152">
        <f>F106*2</f>
        <v>0.46</v>
      </c>
      <c r="G124" s="152">
        <f t="shared" ref="G124:G131" si="18">PRODUCT(C124:F124)</f>
        <v>3.3212000000000002</v>
      </c>
      <c r="H124" s="178"/>
      <c r="I124" s="178"/>
      <c r="J124" s="152"/>
      <c r="K124" s="178"/>
    </row>
    <row r="125" spans="1:15" x14ac:dyDescent="0.25">
      <c r="A125" s="182"/>
      <c r="B125" s="179"/>
      <c r="C125" s="151">
        <f>C107</f>
        <v>4</v>
      </c>
      <c r="D125" s="152">
        <f>D107</f>
        <v>2.59</v>
      </c>
      <c r="E125" s="152"/>
      <c r="F125" s="152">
        <f>F107*2</f>
        <v>0.46</v>
      </c>
      <c r="G125" s="152">
        <f t="shared" si="18"/>
        <v>4.7656000000000001</v>
      </c>
      <c r="H125" s="178"/>
      <c r="I125" s="178"/>
      <c r="J125" s="152"/>
      <c r="K125" s="178"/>
    </row>
    <row r="126" spans="1:15" x14ac:dyDescent="0.25">
      <c r="A126" s="182"/>
      <c r="B126" s="179" t="s">
        <v>139</v>
      </c>
      <c r="C126" s="151">
        <f t="shared" ref="C126:D126" si="19">C108</f>
        <v>3</v>
      </c>
      <c r="D126" s="152">
        <f t="shared" si="19"/>
        <v>3.61</v>
      </c>
      <c r="E126" s="152"/>
      <c r="F126" s="152">
        <f t="shared" ref="F126:F127" si="20">F108*2</f>
        <v>0.46</v>
      </c>
      <c r="G126" s="152">
        <f t="shared" si="18"/>
        <v>4.9818000000000007</v>
      </c>
      <c r="H126" s="178"/>
      <c r="I126" s="178"/>
      <c r="J126" s="152"/>
      <c r="K126" s="178"/>
    </row>
    <row r="127" spans="1:15" x14ac:dyDescent="0.25">
      <c r="A127" s="182"/>
      <c r="B127" s="179"/>
      <c r="C127" s="151">
        <f t="shared" ref="C127:D127" si="21">C109</f>
        <v>4</v>
      </c>
      <c r="D127" s="152">
        <f t="shared" si="21"/>
        <v>2.59</v>
      </c>
      <c r="E127" s="152"/>
      <c r="F127" s="152">
        <f t="shared" si="20"/>
        <v>0.46</v>
      </c>
      <c r="G127" s="152">
        <f t="shared" si="18"/>
        <v>4.7656000000000001</v>
      </c>
      <c r="H127" s="178"/>
      <c r="I127" s="178"/>
      <c r="J127" s="152"/>
      <c r="K127" s="178"/>
    </row>
    <row r="128" spans="1:15" x14ac:dyDescent="0.25">
      <c r="A128" s="182"/>
      <c r="B128" s="179" t="s">
        <v>140</v>
      </c>
      <c r="C128" s="151">
        <f t="shared" ref="C128:C130" si="22">C110</f>
        <v>6</v>
      </c>
      <c r="D128" s="152">
        <f>D110*4</f>
        <v>1.2</v>
      </c>
      <c r="E128" s="152"/>
      <c r="F128" s="152">
        <f>F110</f>
        <v>2.66</v>
      </c>
      <c r="G128" s="152">
        <f t="shared" si="18"/>
        <v>19.151999999999997</v>
      </c>
      <c r="H128" s="178"/>
      <c r="I128" s="178"/>
      <c r="J128" s="152"/>
      <c r="K128" s="178"/>
    </row>
    <row r="129" spans="1:15" x14ac:dyDescent="0.25">
      <c r="A129" s="182"/>
      <c r="B129" s="179" t="s">
        <v>141</v>
      </c>
      <c r="C129" s="151">
        <f t="shared" si="22"/>
        <v>6</v>
      </c>
      <c r="D129" s="152">
        <f>D111*4</f>
        <v>1.2</v>
      </c>
      <c r="E129" s="152"/>
      <c r="F129" s="152">
        <f>F111</f>
        <v>2.4500000000000002</v>
      </c>
      <c r="G129" s="152">
        <f t="shared" ref="G129" si="23">PRODUCT(C129:F129)</f>
        <v>17.64</v>
      </c>
      <c r="H129" s="178"/>
      <c r="I129" s="178"/>
      <c r="J129" s="152"/>
      <c r="K129" s="178"/>
    </row>
    <row r="130" spans="1:15" x14ac:dyDescent="0.25">
      <c r="A130" s="182"/>
      <c r="B130" s="179" t="s">
        <v>71</v>
      </c>
      <c r="C130" s="151">
        <f t="shared" si="22"/>
        <v>8</v>
      </c>
      <c r="D130" s="152">
        <f t="shared" ref="D130:D135" si="24">D112</f>
        <v>2.57</v>
      </c>
      <c r="E130" s="152"/>
      <c r="F130" s="152">
        <f>F112*2</f>
        <v>0.46</v>
      </c>
      <c r="G130" s="152">
        <f t="shared" si="18"/>
        <v>9.4575999999999993</v>
      </c>
      <c r="H130" s="178"/>
      <c r="I130" s="178"/>
      <c r="J130" s="152"/>
      <c r="K130" s="178"/>
    </row>
    <row r="131" spans="1:15" x14ac:dyDescent="0.25">
      <c r="A131" s="182"/>
      <c r="B131" s="179"/>
      <c r="C131" s="151">
        <f>C113</f>
        <v>6</v>
      </c>
      <c r="D131" s="152">
        <f t="shared" si="24"/>
        <v>2.9750000000000001</v>
      </c>
      <c r="E131" s="152"/>
      <c r="F131" s="152">
        <f>F113*2</f>
        <v>0.46</v>
      </c>
      <c r="G131" s="152">
        <f t="shared" si="18"/>
        <v>8.2110000000000003</v>
      </c>
      <c r="H131" s="178"/>
      <c r="I131" s="178"/>
      <c r="J131" s="152"/>
      <c r="K131" s="178"/>
    </row>
    <row r="132" spans="1:15" x14ac:dyDescent="0.25">
      <c r="A132" s="182"/>
      <c r="B132" s="179" t="s">
        <v>142</v>
      </c>
      <c r="C132" s="151">
        <f>C114</f>
        <v>1</v>
      </c>
      <c r="D132" s="152">
        <f t="shared" si="24"/>
        <v>6.5449999999999999</v>
      </c>
      <c r="E132" s="152">
        <f>E114</f>
        <v>4.0674999999999999</v>
      </c>
      <c r="F132" s="152"/>
      <c r="G132" s="152">
        <f>PRODUCT(C132:F132)</f>
        <v>26.6217875</v>
      </c>
      <c r="H132" s="178"/>
      <c r="I132" s="178"/>
      <c r="J132" s="152"/>
      <c r="K132" s="178"/>
    </row>
    <row r="133" spans="1:15" x14ac:dyDescent="0.25">
      <c r="A133" s="182"/>
      <c r="B133" s="179" t="s">
        <v>76</v>
      </c>
      <c r="C133" s="151">
        <f>C115</f>
        <v>-1</v>
      </c>
      <c r="D133" s="152">
        <f t="shared" si="24"/>
        <v>1.08</v>
      </c>
      <c r="E133" s="152">
        <f>E115</f>
        <v>0.76196281621456874</v>
      </c>
      <c r="F133" s="152"/>
      <c r="G133" s="152">
        <f>PRODUCT(C133:F133)</f>
        <v>-0.82291984151173425</v>
      </c>
      <c r="H133" s="178"/>
      <c r="I133" s="178"/>
      <c r="J133" s="152"/>
      <c r="K133" s="178"/>
    </row>
    <row r="134" spans="1:15" x14ac:dyDescent="0.25">
      <c r="A134" s="182"/>
      <c r="B134" s="179" t="s">
        <v>143</v>
      </c>
      <c r="C134" s="151">
        <f>C116</f>
        <v>1</v>
      </c>
      <c r="D134" s="152">
        <f t="shared" si="24"/>
        <v>6.9</v>
      </c>
      <c r="E134" s="152">
        <f>E116</f>
        <v>4.4249999999999998</v>
      </c>
      <c r="F134" s="152"/>
      <c r="G134" s="152">
        <f>PRODUCT(C134:F134)</f>
        <v>30.532499999999999</v>
      </c>
      <c r="H134" s="178"/>
      <c r="I134" s="178"/>
      <c r="J134" s="152"/>
      <c r="K134" s="178"/>
    </row>
    <row r="135" spans="1:15" x14ac:dyDescent="0.25">
      <c r="A135" s="182"/>
      <c r="B135" s="173" t="s">
        <v>76</v>
      </c>
      <c r="C135" s="151">
        <f>C117</f>
        <v>-1</v>
      </c>
      <c r="D135" s="152">
        <f t="shared" si="24"/>
        <v>0.93</v>
      </c>
      <c r="E135" s="152">
        <f>E117</f>
        <v>0.76</v>
      </c>
      <c r="F135" s="152"/>
      <c r="G135" s="152">
        <f>PRODUCT(C135:F135)</f>
        <v>-0.70680000000000009</v>
      </c>
      <c r="H135" s="178"/>
      <c r="I135" s="178"/>
      <c r="J135" s="152"/>
      <c r="K135" s="178"/>
    </row>
    <row r="136" spans="1:15" ht="15" customHeight="1" x14ac:dyDescent="0.25">
      <c r="A136" s="182"/>
      <c r="B136" s="150" t="s">
        <v>16</v>
      </c>
      <c r="C136" s="151"/>
      <c r="D136" s="152"/>
      <c r="E136" s="152"/>
      <c r="F136" s="152"/>
      <c r="G136" s="153">
        <f>SUM(G122:G135)</f>
        <v>132.13136765848827</v>
      </c>
      <c r="H136" s="153" t="s">
        <v>23</v>
      </c>
      <c r="I136" s="6">
        <v>905.97</v>
      </c>
      <c r="J136" s="154">
        <f>G136*I136</f>
        <v>119707.05515756062</v>
      </c>
      <c r="K136" s="178"/>
    </row>
    <row r="137" spans="1:15" ht="15" customHeight="1" x14ac:dyDescent="0.25">
      <c r="A137" s="20"/>
      <c r="B137" s="150" t="s">
        <v>30</v>
      </c>
      <c r="C137" s="21"/>
      <c r="D137" s="22"/>
      <c r="E137" s="23"/>
      <c r="F137" s="23"/>
      <c r="G137" s="7"/>
      <c r="H137" s="6"/>
      <c r="I137" s="7"/>
      <c r="J137" s="153">
        <f>0.13*G136*46827.87/100</f>
        <v>8043.659659924062</v>
      </c>
      <c r="K137" s="23"/>
    </row>
    <row r="138" spans="1:15" ht="15" customHeight="1" x14ac:dyDescent="0.25">
      <c r="A138" s="20"/>
      <c r="B138" s="150"/>
      <c r="C138" s="21"/>
      <c r="D138" s="22"/>
      <c r="E138" s="23"/>
      <c r="F138" s="23"/>
      <c r="G138" s="7"/>
      <c r="H138" s="6"/>
      <c r="I138" s="7"/>
      <c r="J138" s="153"/>
      <c r="K138" s="23"/>
    </row>
    <row r="139" spans="1:15" ht="45" x14ac:dyDescent="0.25">
      <c r="A139" s="20">
        <v>11</v>
      </c>
      <c r="B139" s="139" t="s">
        <v>33</v>
      </c>
      <c r="C139" s="151" t="s">
        <v>8</v>
      </c>
      <c r="D139" s="188" t="s">
        <v>22</v>
      </c>
      <c r="E139" s="188" t="s">
        <v>34</v>
      </c>
      <c r="F139" s="188" t="s">
        <v>35</v>
      </c>
      <c r="G139" s="188" t="s">
        <v>36</v>
      </c>
      <c r="H139" s="182"/>
      <c r="I139" s="153"/>
      <c r="J139" s="153"/>
      <c r="K139" s="23"/>
    </row>
    <row r="140" spans="1:15" ht="15" customHeight="1" x14ac:dyDescent="0.25">
      <c r="A140" s="20"/>
      <c r="B140" s="150" t="s">
        <v>57</v>
      </c>
      <c r="C140" s="21">
        <v>10</v>
      </c>
      <c r="D140" s="152">
        <f>1.5-0.1</f>
        <v>1.4</v>
      </c>
      <c r="E140" s="152">
        <f>12*12/162</f>
        <v>0.88888888888888884</v>
      </c>
      <c r="F140" s="152">
        <f t="shared" ref="F140:F173" si="25">PRODUCT(C140:E140)</f>
        <v>12.444444444444443</v>
      </c>
      <c r="G140" s="152">
        <f t="shared" ref="G140:G173" si="26">F140/1000</f>
        <v>1.2444444444444442E-2</v>
      </c>
      <c r="H140" s="6"/>
      <c r="I140" s="7"/>
      <c r="J140" s="153"/>
      <c r="K140" s="23"/>
    </row>
    <row r="141" spans="1:15" ht="15" customHeight="1" x14ac:dyDescent="0.25">
      <c r="A141" s="20"/>
      <c r="B141" s="150"/>
      <c r="C141" s="21">
        <v>10</v>
      </c>
      <c r="D141" s="152">
        <f>1.5-0.1</f>
        <v>1.4</v>
      </c>
      <c r="E141" s="152">
        <f>12*12/162</f>
        <v>0.88888888888888884</v>
      </c>
      <c r="F141" s="152">
        <f t="shared" si="25"/>
        <v>12.444444444444443</v>
      </c>
      <c r="G141" s="152">
        <f t="shared" si="26"/>
        <v>1.2444444444444442E-2</v>
      </c>
      <c r="H141" s="6"/>
      <c r="I141" s="7"/>
      <c r="J141" s="153"/>
      <c r="K141" s="23"/>
    </row>
    <row r="142" spans="1:15" ht="15" customHeight="1" x14ac:dyDescent="0.25">
      <c r="A142" s="20"/>
      <c r="B142" s="150" t="s">
        <v>169</v>
      </c>
      <c r="C142" s="21">
        <f>3*4</f>
        <v>12</v>
      </c>
      <c r="D142" s="152">
        <f>1.5+1.5/3.281+2.69+0.125+2.45+0.125</f>
        <v>7.3471776897287411</v>
      </c>
      <c r="E142" s="152">
        <f>16*16/162</f>
        <v>1.5802469135802468</v>
      </c>
      <c r="F142" s="152">
        <f t="shared" si="25"/>
        <v>139.3242584126339</v>
      </c>
      <c r="G142" s="152">
        <f t="shared" si="26"/>
        <v>0.13932425841263391</v>
      </c>
      <c r="H142" s="6"/>
      <c r="I142" s="7"/>
      <c r="J142" s="153"/>
      <c r="K142" s="23"/>
    </row>
    <row r="143" spans="1:15" ht="15" customHeight="1" x14ac:dyDescent="0.25">
      <c r="A143" s="20"/>
      <c r="B143" s="150"/>
      <c r="C143" s="21">
        <f>3*4</f>
        <v>12</v>
      </c>
      <c r="D143" s="152">
        <f>1.5+1.5/3.281+2.69+0.125+2.45+0.125</f>
        <v>7.3471776897287411</v>
      </c>
      <c r="E143" s="152">
        <f>12*12/162</f>
        <v>0.88888888888888884</v>
      </c>
      <c r="F143" s="152">
        <f t="shared" si="25"/>
        <v>78.369895357106557</v>
      </c>
      <c r="G143" s="152">
        <f t="shared" si="26"/>
        <v>7.8369895357106562E-2</v>
      </c>
      <c r="H143" s="6"/>
      <c r="I143" s="7"/>
      <c r="J143" s="153"/>
      <c r="K143" s="23"/>
    </row>
    <row r="144" spans="1:15" ht="15" customHeight="1" x14ac:dyDescent="0.25">
      <c r="A144" s="20"/>
      <c r="B144" s="150" t="s">
        <v>59</v>
      </c>
      <c r="C144" s="21">
        <f>3*(15+19+19)</f>
        <v>159</v>
      </c>
      <c r="D144" s="152">
        <f>(0.75*4+0.17*2)/3.281</f>
        <v>1.0179823224626636</v>
      </c>
      <c r="E144" s="152">
        <f>8*8/162</f>
        <v>0.39506172839506171</v>
      </c>
      <c r="F144" s="152">
        <f t="shared" si="25"/>
        <v>63.944371070247307</v>
      </c>
      <c r="G144" s="152">
        <f t="shared" si="26"/>
        <v>6.3944371070247308E-2</v>
      </c>
      <c r="H144" s="6"/>
      <c r="I144" s="7"/>
      <c r="J144" s="153"/>
      <c r="K144" s="23"/>
      <c r="N144">
        <f>C145/6</f>
        <v>26.5</v>
      </c>
      <c r="O144">
        <f>N144-31</f>
        <v>-4.5</v>
      </c>
    </row>
    <row r="145" spans="1:15" ht="15" customHeight="1" x14ac:dyDescent="0.25">
      <c r="A145" s="20"/>
      <c r="B145" s="150"/>
      <c r="C145" s="21">
        <f>3*(15+19+19)</f>
        <v>159</v>
      </c>
      <c r="D145" s="152">
        <f>(0.5*4+0.17*2)/3.281</f>
        <v>0.71319719597683628</v>
      </c>
      <c r="E145" s="152">
        <f>8*8/162</f>
        <v>0.39506172839506171</v>
      </c>
      <c r="F145" s="152">
        <f t="shared" si="25"/>
        <v>44.799349791730158</v>
      </c>
      <c r="G145" s="152">
        <f t="shared" si="26"/>
        <v>4.4799349791730156E-2</v>
      </c>
      <c r="H145" s="6"/>
      <c r="I145" s="7"/>
      <c r="J145" s="153"/>
      <c r="K145" s="23"/>
    </row>
    <row r="146" spans="1:15" ht="15" customHeight="1" x14ac:dyDescent="0.25">
      <c r="A146" s="20"/>
      <c r="B146" s="150" t="s">
        <v>169</v>
      </c>
      <c r="C146" s="21">
        <f>3*4</f>
        <v>12</v>
      </c>
      <c r="D146" s="152">
        <f>0.45+1.5/3.281+2.69+0.125+2.45+0.125</f>
        <v>6.2971776897287413</v>
      </c>
      <c r="E146" s="152">
        <f>16*16/162</f>
        <v>1.5802469135802468</v>
      </c>
      <c r="F146" s="152">
        <f t="shared" ref="F146:F149" si="27">PRODUCT(C146:E146)</f>
        <v>119.41314730152278</v>
      </c>
      <c r="G146" s="152">
        <f t="shared" ref="G146:G149" si="28">F146/1000</f>
        <v>0.11941314730152279</v>
      </c>
      <c r="H146" s="6"/>
      <c r="I146" s="7"/>
      <c r="J146" s="153"/>
      <c r="K146" s="23"/>
    </row>
    <row r="147" spans="1:15" ht="15" customHeight="1" x14ac:dyDescent="0.25">
      <c r="A147" s="20"/>
      <c r="B147" s="150"/>
      <c r="C147" s="21">
        <f>3*4</f>
        <v>12</v>
      </c>
      <c r="D147" s="152">
        <f>0.45+1.5/3.281+2.69+0.125+2.45+0.125</f>
        <v>6.2971776897287413</v>
      </c>
      <c r="E147" s="152">
        <f>12*12/162</f>
        <v>0.88888888888888884</v>
      </c>
      <c r="F147" s="152">
        <f t="shared" si="27"/>
        <v>67.169895357106569</v>
      </c>
      <c r="G147" s="152">
        <f t="shared" si="28"/>
        <v>6.7169895357106574E-2</v>
      </c>
      <c r="H147" s="6"/>
      <c r="I147" s="7"/>
      <c r="J147" s="153"/>
      <c r="K147" s="23"/>
    </row>
    <row r="148" spans="1:15" ht="15" customHeight="1" x14ac:dyDescent="0.25">
      <c r="A148" s="20"/>
      <c r="B148" s="150" t="s">
        <v>59</v>
      </c>
      <c r="C148" s="21">
        <f>3*(5+19+19)</f>
        <v>129</v>
      </c>
      <c r="D148" s="152">
        <f>(0.75*4+0.17*2)/3.281</f>
        <v>1.0179823224626636</v>
      </c>
      <c r="E148" s="152">
        <f>8*8/162</f>
        <v>0.39506172839506171</v>
      </c>
      <c r="F148" s="152">
        <f t="shared" si="27"/>
        <v>51.879395396615749</v>
      </c>
      <c r="G148" s="152">
        <f t="shared" si="28"/>
        <v>5.1879395396615749E-2</v>
      </c>
      <c r="H148" s="6"/>
      <c r="I148" s="7"/>
      <c r="J148" s="153"/>
      <c r="K148" s="23"/>
      <c r="N148">
        <f>C149/6</f>
        <v>21.5</v>
      </c>
      <c r="O148">
        <f>N148-31</f>
        <v>-9.5</v>
      </c>
    </row>
    <row r="149" spans="1:15" ht="15" customHeight="1" x14ac:dyDescent="0.25">
      <c r="A149" s="20"/>
      <c r="B149" s="150"/>
      <c r="C149" s="21">
        <f>3*(5+19+19)</f>
        <v>129</v>
      </c>
      <c r="D149" s="152">
        <f>(0.5*4+0.17*2)/3.281</f>
        <v>0.71319719597683628</v>
      </c>
      <c r="E149" s="152">
        <f>8*8/162</f>
        <v>0.39506172839506171</v>
      </c>
      <c r="F149" s="152">
        <f t="shared" si="27"/>
        <v>36.346642283856539</v>
      </c>
      <c r="G149" s="152">
        <f t="shared" si="28"/>
        <v>3.6346642283856541E-2</v>
      </c>
      <c r="H149" s="6"/>
      <c r="I149" s="7"/>
      <c r="J149" s="153"/>
      <c r="K149" s="23"/>
    </row>
    <row r="150" spans="1:15" ht="15" customHeight="1" x14ac:dyDescent="0.25">
      <c r="A150" s="20"/>
      <c r="B150" s="150" t="s">
        <v>166</v>
      </c>
      <c r="C150" s="21">
        <f>2*(4)</f>
        <v>8</v>
      </c>
      <c r="D150" s="152">
        <f>(19.75+(0.75*2))/3.281</f>
        <v>6.4766839378238341</v>
      </c>
      <c r="E150" s="152">
        <f>12*12/162</f>
        <v>0.88888888888888884</v>
      </c>
      <c r="F150" s="152">
        <f t="shared" si="25"/>
        <v>46.056419113413931</v>
      </c>
      <c r="G150" s="152">
        <f t="shared" si="26"/>
        <v>4.6056419113413932E-2</v>
      </c>
      <c r="H150" s="6"/>
      <c r="I150" s="7"/>
      <c r="J150" s="153"/>
      <c r="K150" s="23"/>
    </row>
    <row r="151" spans="1:15" ht="15" customHeight="1" x14ac:dyDescent="0.25">
      <c r="A151" s="20"/>
      <c r="B151" s="150" t="s">
        <v>59</v>
      </c>
      <c r="C151" s="21">
        <f>(19+20)*2</f>
        <v>78</v>
      </c>
      <c r="D151" s="152">
        <f>(0.583*4+0.17*2)/3.281</f>
        <v>0.81438585797013097</v>
      </c>
      <c r="E151" s="152">
        <f>8*8/162</f>
        <v>0.39506172839506171</v>
      </c>
      <c r="F151" s="152">
        <f>PRODUCT(C151:E151)</f>
        <v>25.095149401153666</v>
      </c>
      <c r="G151" s="152">
        <f>F151/1000</f>
        <v>2.5095149401153666E-2</v>
      </c>
      <c r="H151" s="6"/>
      <c r="I151" s="7"/>
      <c r="J151" s="153"/>
      <c r="K151" s="23"/>
    </row>
    <row r="152" spans="1:15" ht="15" customHeight="1" x14ac:dyDescent="0.25">
      <c r="A152" s="20"/>
      <c r="B152" s="150" t="s">
        <v>166</v>
      </c>
      <c r="C152" s="21">
        <f>4*2</f>
        <v>8</v>
      </c>
      <c r="D152" s="152">
        <f>(11.583+(0.75*2))/3.281</f>
        <v>3.9875038098140809</v>
      </c>
      <c r="E152" s="152">
        <f>12*12/162</f>
        <v>0.88888888888888884</v>
      </c>
      <c r="F152" s="152">
        <f t="shared" si="25"/>
        <v>28.355582647566795</v>
      </c>
      <c r="G152" s="152">
        <f t="shared" si="26"/>
        <v>2.8355582647566796E-2</v>
      </c>
      <c r="H152" s="6"/>
      <c r="I152" s="7"/>
      <c r="J152" s="153"/>
      <c r="K152" s="23"/>
      <c r="N152">
        <f>4/0.127</f>
        <v>31.496062992125985</v>
      </c>
      <c r="O152">
        <f>9.75/0.42</f>
        <v>23.214285714285715</v>
      </c>
    </row>
    <row r="153" spans="1:15" ht="15" customHeight="1" x14ac:dyDescent="0.25">
      <c r="A153" s="20"/>
      <c r="B153" s="150" t="s">
        <v>59</v>
      </c>
      <c r="C153" s="21">
        <f>(23)*2</f>
        <v>46</v>
      </c>
      <c r="D153" s="152">
        <f>(0.583*4+0.17*2)/3.281</f>
        <v>0.81438585797013097</v>
      </c>
      <c r="E153" s="152">
        <f>8*8/162</f>
        <v>0.39506172839506171</v>
      </c>
      <c r="F153" s="152">
        <f t="shared" si="25"/>
        <v>14.799703492988058</v>
      </c>
      <c r="G153" s="152">
        <f t="shared" si="26"/>
        <v>1.4799703492988059E-2</v>
      </c>
      <c r="H153" s="6"/>
      <c r="I153" s="7"/>
      <c r="J153" s="153"/>
      <c r="K153" s="23"/>
    </row>
    <row r="154" spans="1:15" ht="15" customHeight="1" x14ac:dyDescent="0.25">
      <c r="A154" s="20"/>
      <c r="B154" s="150" t="s">
        <v>167</v>
      </c>
      <c r="C154" s="21">
        <f>2*(4)</f>
        <v>8</v>
      </c>
      <c r="D154" s="152">
        <f>(19.75+(0.75*2))/3.281</f>
        <v>6.4766839378238341</v>
      </c>
      <c r="E154" s="152">
        <f>12*12/162</f>
        <v>0.88888888888888884</v>
      </c>
      <c r="F154" s="152">
        <f t="shared" ref="F154" si="29">PRODUCT(C154:E154)</f>
        <v>46.056419113413931</v>
      </c>
      <c r="G154" s="152">
        <f t="shared" ref="G154" si="30">F154/1000</f>
        <v>4.6056419113413932E-2</v>
      </c>
      <c r="H154" s="6"/>
      <c r="I154" s="7"/>
      <c r="J154" s="153"/>
      <c r="K154" s="23"/>
      <c r="N154">
        <f>17/0.42</f>
        <v>40.476190476190474</v>
      </c>
    </row>
    <row r="155" spans="1:15" ht="15" customHeight="1" x14ac:dyDescent="0.25">
      <c r="A155" s="20"/>
      <c r="B155" s="150" t="s">
        <v>59</v>
      </c>
      <c r="C155" s="21">
        <f>(19+20)*2</f>
        <v>78</v>
      </c>
      <c r="D155" s="152">
        <f>(0.583*4+0.17*2)/3.281</f>
        <v>0.81438585797013097</v>
      </c>
      <c r="E155" s="152">
        <f>8*8/162</f>
        <v>0.39506172839506171</v>
      </c>
      <c r="F155" s="152">
        <f>PRODUCT(C155:E155)</f>
        <v>25.095149401153666</v>
      </c>
      <c r="G155" s="152">
        <f>F155/1000</f>
        <v>2.5095149401153666E-2</v>
      </c>
      <c r="H155" s="6"/>
      <c r="I155" s="7"/>
      <c r="J155" s="153"/>
      <c r="K155" s="23"/>
    </row>
    <row r="156" spans="1:15" ht="15" customHeight="1" x14ac:dyDescent="0.25">
      <c r="A156" s="20"/>
      <c r="B156" s="150" t="s">
        <v>167</v>
      </c>
      <c r="C156" s="21">
        <f>4*3</f>
        <v>12</v>
      </c>
      <c r="D156" s="152">
        <f>(11.583+(0.75*2))/3.281</f>
        <v>3.9875038098140809</v>
      </c>
      <c r="E156" s="152">
        <f>12*12/162</f>
        <v>0.88888888888888884</v>
      </c>
      <c r="F156" s="152">
        <f t="shared" ref="F156:F158" si="31">PRODUCT(C156:E156)</f>
        <v>42.533373971350194</v>
      </c>
      <c r="G156" s="152">
        <f t="shared" ref="G156:G158" si="32">F156/1000</f>
        <v>4.2533373971350194E-2</v>
      </c>
      <c r="H156" s="6"/>
      <c r="I156" s="7"/>
      <c r="J156" s="153"/>
      <c r="K156" s="23"/>
      <c r="N156">
        <f>4/0.127</f>
        <v>31.496062992125985</v>
      </c>
      <c r="O156">
        <f>9.75/0.42</f>
        <v>23.214285714285715</v>
      </c>
    </row>
    <row r="157" spans="1:15" ht="15" customHeight="1" x14ac:dyDescent="0.25">
      <c r="A157" s="20"/>
      <c r="B157" s="150" t="s">
        <v>59</v>
      </c>
      <c r="C157" s="21">
        <f>(23)*3</f>
        <v>69</v>
      </c>
      <c r="D157" s="152">
        <f>(0.583*4+0.17*2)/3.281</f>
        <v>0.81438585797013097</v>
      </c>
      <c r="E157" s="152">
        <f>8*8/162</f>
        <v>0.39506172839506171</v>
      </c>
      <c r="F157" s="152">
        <f t="shared" si="31"/>
        <v>22.199555239482088</v>
      </c>
      <c r="G157" s="152">
        <f t="shared" si="32"/>
        <v>2.2199555239482086E-2</v>
      </c>
      <c r="H157" s="6"/>
      <c r="I157" s="7"/>
      <c r="J157" s="153"/>
      <c r="K157" s="23"/>
    </row>
    <row r="158" spans="1:15" ht="15" customHeight="1" x14ac:dyDescent="0.25">
      <c r="A158" s="20"/>
      <c r="B158" s="150" t="s">
        <v>71</v>
      </c>
      <c r="C158" s="21">
        <f>2*2*(4)</f>
        <v>16</v>
      </c>
      <c r="D158" s="152">
        <f>(19.75+(0.42*2))/3.281</f>
        <v>6.2755257543431879</v>
      </c>
      <c r="E158" s="152">
        <f>12*12/162</f>
        <v>0.88888888888888884</v>
      </c>
      <c r="F158" s="152">
        <f t="shared" si="31"/>
        <v>89.251921839547563</v>
      </c>
      <c r="G158" s="152">
        <f t="shared" si="32"/>
        <v>8.9251921839547568E-2</v>
      </c>
      <c r="H158" s="6"/>
      <c r="I158" s="7"/>
      <c r="J158" s="153"/>
      <c r="K158" s="23"/>
    </row>
    <row r="159" spans="1:15" ht="15" customHeight="1" x14ac:dyDescent="0.25">
      <c r="A159" s="20"/>
      <c r="B159" s="150" t="s">
        <v>59</v>
      </c>
      <c r="C159" s="21">
        <f>(19+20)*2*2</f>
        <v>156</v>
      </c>
      <c r="D159" s="152">
        <f>(0.583*4+0.17*2)/3.281</f>
        <v>0.81438585797013097</v>
      </c>
      <c r="E159" s="152">
        <f>8*8/162</f>
        <v>0.39506172839506171</v>
      </c>
      <c r="F159" s="152">
        <f>PRODUCT(C159:E159)</f>
        <v>50.190298802307332</v>
      </c>
      <c r="G159" s="152">
        <f>F159/1000</f>
        <v>5.0190298802307333E-2</v>
      </c>
      <c r="H159" s="6"/>
      <c r="I159" s="7"/>
      <c r="J159" s="153"/>
      <c r="K159" s="23"/>
    </row>
    <row r="160" spans="1:15" ht="15" customHeight="1" x14ac:dyDescent="0.25">
      <c r="A160" s="20"/>
      <c r="B160" s="150" t="s">
        <v>71</v>
      </c>
      <c r="C160" s="21">
        <f>4*3*2</f>
        <v>24</v>
      </c>
      <c r="D160" s="152">
        <f>(11.583+(0.42*2))/3.281</f>
        <v>3.7863456263334347</v>
      </c>
      <c r="E160" s="152">
        <f>12*12/162</f>
        <v>0.88888888888888884</v>
      </c>
      <c r="F160" s="152">
        <f t="shared" ref="F160:F161" si="33">PRODUCT(C160:E160)</f>
        <v>80.775373361779927</v>
      </c>
      <c r="G160" s="152">
        <f t="shared" ref="G160:G161" si="34">F160/1000</f>
        <v>8.0775373361779923E-2</v>
      </c>
      <c r="H160" s="6"/>
      <c r="I160" s="7"/>
      <c r="J160" s="153"/>
      <c r="K160" s="23"/>
    </row>
    <row r="161" spans="1:17" ht="15" customHeight="1" x14ac:dyDescent="0.25">
      <c r="A161" s="20"/>
      <c r="B161" s="150" t="s">
        <v>59</v>
      </c>
      <c r="C161" s="21">
        <f>(23)*3*2</f>
        <v>138</v>
      </c>
      <c r="D161" s="152">
        <f>(0.583*4+0.17*2)/3.281</f>
        <v>0.81438585797013097</v>
      </c>
      <c r="E161" s="152">
        <f>8*8/162</f>
        <v>0.39506172839506171</v>
      </c>
      <c r="F161" s="152">
        <f t="shared" si="33"/>
        <v>44.399110478964175</v>
      </c>
      <c r="G161" s="152">
        <f t="shared" si="34"/>
        <v>4.4399110478964172E-2</v>
      </c>
      <c r="H161" s="6"/>
      <c r="I161" s="7"/>
      <c r="J161" s="153"/>
      <c r="K161" s="23"/>
    </row>
    <row r="162" spans="1:17" ht="15" customHeight="1" x14ac:dyDescent="0.25">
      <c r="A162" s="20"/>
      <c r="B162" s="150" t="s">
        <v>66</v>
      </c>
      <c r="C162" s="21">
        <f>3*6</f>
        <v>18</v>
      </c>
      <c r="D162" s="152">
        <f>5.667/3.281</f>
        <v>1.7272173117951843</v>
      </c>
      <c r="E162" s="152">
        <f t="shared" ref="E162:E164" si="35">12*12/162</f>
        <v>0.88888888888888884</v>
      </c>
      <c r="F162" s="152">
        <f>PRODUCT(C162:E162)</f>
        <v>27.635476988722949</v>
      </c>
      <c r="G162" s="183">
        <f>F162/1000</f>
        <v>2.763547698872295E-2</v>
      </c>
      <c r="H162" s="6"/>
      <c r="I162" s="7"/>
      <c r="J162" s="153"/>
      <c r="K162" s="23"/>
      <c r="O162">
        <f>3.5/3.281</f>
        <v>1.0667479427003961</v>
      </c>
    </row>
    <row r="163" spans="1:17" ht="15" customHeight="1" x14ac:dyDescent="0.25">
      <c r="A163" s="20"/>
      <c r="B163" s="150"/>
      <c r="C163" s="21">
        <f>2*3</f>
        <v>6</v>
      </c>
      <c r="D163" s="152">
        <f>7.5/3.281</f>
        <v>2.2858884486437061</v>
      </c>
      <c r="E163" s="152">
        <f t="shared" si="35"/>
        <v>0.88888888888888884</v>
      </c>
      <c r="F163" s="152">
        <f>PRODUCT(C163:E163)</f>
        <v>12.191405059433098</v>
      </c>
      <c r="G163" s="183">
        <f>F163/1000</f>
        <v>1.2191405059433098E-2</v>
      </c>
      <c r="H163" s="6"/>
      <c r="I163" s="7"/>
      <c r="J163" s="153"/>
      <c r="K163" s="23"/>
    </row>
    <row r="164" spans="1:17" ht="15" customHeight="1" x14ac:dyDescent="0.25">
      <c r="A164" s="20"/>
      <c r="B164" s="150"/>
      <c r="C164" s="21">
        <f>3*4</f>
        <v>12</v>
      </c>
      <c r="D164" s="152">
        <f>5.5/3.281</f>
        <v>1.6763181956720512</v>
      </c>
      <c r="E164" s="152">
        <f t="shared" si="35"/>
        <v>0.88888888888888884</v>
      </c>
      <c r="F164" s="152">
        <f>PRODUCT(C164:E164)</f>
        <v>17.880727420501877</v>
      </c>
      <c r="G164" s="183">
        <f>F164/1000</f>
        <v>1.7880727420501875E-2</v>
      </c>
      <c r="H164" s="6"/>
      <c r="I164" s="7"/>
      <c r="J164" s="153"/>
      <c r="K164" s="23"/>
    </row>
    <row r="165" spans="1:17" ht="15" customHeight="1" x14ac:dyDescent="0.25">
      <c r="A165" s="20"/>
      <c r="B165" s="150"/>
      <c r="C165" s="21">
        <v>2</v>
      </c>
      <c r="D165" s="152">
        <f>(19.75+(0.42*2))/3.281</f>
        <v>6.2755257543431879</v>
      </c>
      <c r="E165" s="152">
        <f>12*12/162</f>
        <v>0.88888888888888884</v>
      </c>
      <c r="F165" s="152">
        <f t="shared" ref="F165:F166" si="36">PRODUCT(C165:E165)</f>
        <v>11.156490229943445</v>
      </c>
      <c r="G165" s="152">
        <f t="shared" ref="G165:G166" si="37">F165/1000</f>
        <v>1.1156490229943446E-2</v>
      </c>
      <c r="H165" s="6"/>
      <c r="I165" s="7"/>
      <c r="J165" s="153"/>
      <c r="K165" s="23"/>
    </row>
    <row r="166" spans="1:17" ht="15" customHeight="1" x14ac:dyDescent="0.25">
      <c r="A166" s="20"/>
      <c r="B166" s="150"/>
      <c r="C166" s="21">
        <v>3</v>
      </c>
      <c r="D166" s="152">
        <f>(11.583+(0.42*2))/3.281</f>
        <v>3.7863456263334347</v>
      </c>
      <c r="E166" s="152">
        <f>12*12/162</f>
        <v>0.88888888888888884</v>
      </c>
      <c r="F166" s="152">
        <f t="shared" si="36"/>
        <v>10.096921670222491</v>
      </c>
      <c r="G166" s="152">
        <f t="shared" si="37"/>
        <v>1.009692167022249E-2</v>
      </c>
      <c r="H166" s="6"/>
      <c r="I166" s="7"/>
      <c r="J166" s="153"/>
      <c r="K166" s="23"/>
    </row>
    <row r="167" spans="1:17" ht="15" customHeight="1" x14ac:dyDescent="0.25">
      <c r="A167" s="20"/>
      <c r="B167" s="150" t="s">
        <v>142</v>
      </c>
      <c r="C167" s="21"/>
      <c r="D167" s="152"/>
      <c r="E167" s="152"/>
      <c r="F167" s="152"/>
      <c r="G167" s="152"/>
      <c r="H167" s="6"/>
      <c r="I167" s="7"/>
      <c r="J167" s="153"/>
      <c r="K167" s="23"/>
    </row>
    <row r="168" spans="1:17" ht="15" customHeight="1" x14ac:dyDescent="0.25">
      <c r="A168" s="20"/>
      <c r="B168" s="150" t="s">
        <v>163</v>
      </c>
      <c r="C168" s="21">
        <v>25</v>
      </c>
      <c r="D168" s="152">
        <f>12.75/3.281</f>
        <v>3.8860103626943006</v>
      </c>
      <c r="E168" s="152">
        <f t="shared" ref="E168:E181" si="38">8*8/162</f>
        <v>0.39506172839506171</v>
      </c>
      <c r="F168" s="152">
        <f t="shared" si="25"/>
        <v>38.380349261178274</v>
      </c>
      <c r="G168" s="183">
        <f t="shared" si="26"/>
        <v>3.8380349261178275E-2</v>
      </c>
      <c r="H168" s="6"/>
      <c r="I168" s="7"/>
      <c r="J168" s="153"/>
      <c r="K168" s="23"/>
    </row>
    <row r="169" spans="1:17" ht="15" customHeight="1" x14ac:dyDescent="0.25">
      <c r="A169" s="20"/>
      <c r="B169" s="150"/>
      <c r="C169" s="21">
        <v>7</v>
      </c>
      <c r="D169" s="152">
        <f>8.5/3.281</f>
        <v>2.5906735751295336</v>
      </c>
      <c r="E169" s="152">
        <f t="shared" si="38"/>
        <v>0.39506172839506171</v>
      </c>
      <c r="F169" s="152">
        <f t="shared" si="25"/>
        <v>7.1643318620866117</v>
      </c>
      <c r="G169" s="183">
        <f t="shared" si="26"/>
        <v>7.1643318620866116E-3</v>
      </c>
      <c r="H169" s="6"/>
      <c r="I169" s="7"/>
      <c r="J169" s="153"/>
      <c r="K169" s="23"/>
    </row>
    <row r="170" spans="1:17" ht="15" customHeight="1" x14ac:dyDescent="0.25">
      <c r="A170" s="20"/>
      <c r="B170" s="150"/>
      <c r="C170" s="21">
        <v>7</v>
      </c>
      <c r="D170" s="152">
        <f>5.5/3.281</f>
        <v>1.6763181956720512</v>
      </c>
      <c r="E170" s="152">
        <f t="shared" si="38"/>
        <v>0.39506172839506171</v>
      </c>
      <c r="F170" s="152">
        <f t="shared" ref="F170" si="39">PRODUCT(C170:E170)</f>
        <v>4.6357441460560427</v>
      </c>
      <c r="G170" s="183">
        <f t="shared" ref="G170" si="40">F170/1000</f>
        <v>4.6357441460560429E-3</v>
      </c>
      <c r="H170" s="6"/>
      <c r="I170" s="7"/>
      <c r="J170" s="153"/>
      <c r="K170" s="23"/>
    </row>
    <row r="171" spans="1:17" ht="15" customHeight="1" x14ac:dyDescent="0.25">
      <c r="A171" s="20"/>
      <c r="B171" s="150" t="s">
        <v>164</v>
      </c>
      <c r="C171" s="21">
        <v>10</v>
      </c>
      <c r="D171" s="152">
        <f>21.25/3.281</f>
        <v>6.4766839378238341</v>
      </c>
      <c r="E171" s="152">
        <f t="shared" si="38"/>
        <v>0.39506172839506171</v>
      </c>
      <c r="F171" s="152">
        <f t="shared" si="25"/>
        <v>25.586899507452184</v>
      </c>
      <c r="G171" s="183">
        <f t="shared" si="26"/>
        <v>2.5586899507452184E-2</v>
      </c>
      <c r="H171" s="6"/>
      <c r="I171" s="7"/>
      <c r="J171" s="153"/>
      <c r="K171" s="23"/>
    </row>
    <row r="172" spans="1:17" ht="15" customHeight="1" x14ac:dyDescent="0.25">
      <c r="A172" s="20"/>
      <c r="B172" s="150"/>
      <c r="C172" s="21">
        <v>5</v>
      </c>
      <c r="D172" s="152">
        <f>17.5/3.281</f>
        <v>5.3337397135019806</v>
      </c>
      <c r="E172" s="152">
        <f t="shared" si="38"/>
        <v>0.39506172839506171</v>
      </c>
      <c r="F172" s="152">
        <f t="shared" si="25"/>
        <v>10.535782150127369</v>
      </c>
      <c r="G172" s="183">
        <f t="shared" si="26"/>
        <v>1.0535782150127369E-2</v>
      </c>
      <c r="H172" s="6"/>
      <c r="I172" s="7"/>
      <c r="J172" s="153"/>
      <c r="K172" s="23"/>
    </row>
    <row r="173" spans="1:17" ht="15" customHeight="1" x14ac:dyDescent="0.25">
      <c r="A173" s="20"/>
      <c r="B173" s="150"/>
      <c r="C173" s="21">
        <v>5</v>
      </c>
      <c r="D173" s="152">
        <f>16.583/3.281</f>
        <v>5.0542517525144763</v>
      </c>
      <c r="E173" s="152">
        <f t="shared" si="38"/>
        <v>0.39506172839506171</v>
      </c>
      <c r="F173" s="152">
        <f t="shared" si="25"/>
        <v>9.983707165460693</v>
      </c>
      <c r="G173" s="183">
        <f t="shared" si="26"/>
        <v>9.9837071654606934E-3</v>
      </c>
      <c r="H173" s="6"/>
      <c r="I173" s="7"/>
      <c r="J173" s="153"/>
      <c r="K173" s="23"/>
      <c r="O173" s="63">
        <f>SUM(G168:G181)</f>
        <v>0.18649779312991746</v>
      </c>
      <c r="P173" s="63">
        <f>SUM(G183:G194)</f>
        <v>0.25246864664115498</v>
      </c>
      <c r="Q173" s="63">
        <f>SUM(O173:P173)</f>
        <v>0.43896643977107241</v>
      </c>
    </row>
    <row r="174" spans="1:17" ht="15" customHeight="1" x14ac:dyDescent="0.25">
      <c r="A174" s="20"/>
      <c r="B174" s="173" t="s">
        <v>165</v>
      </c>
      <c r="C174" s="21">
        <v>20</v>
      </c>
      <c r="D174" s="152">
        <f>12.75/3.281</f>
        <v>3.8860103626943006</v>
      </c>
      <c r="E174" s="152">
        <f t="shared" si="38"/>
        <v>0.39506172839506171</v>
      </c>
      <c r="F174" s="152">
        <f>PRODUCT(C174:E174)</f>
        <v>30.704279408942622</v>
      </c>
      <c r="G174" s="183">
        <f>F174/1000</f>
        <v>3.070427940894262E-2</v>
      </c>
      <c r="H174" s="6"/>
      <c r="I174" s="7"/>
      <c r="J174" s="153"/>
      <c r="K174" s="23"/>
    </row>
    <row r="175" spans="1:17" ht="15" customHeight="1" x14ac:dyDescent="0.25">
      <c r="A175" s="20"/>
      <c r="B175" s="150"/>
      <c r="C175" s="21">
        <v>7</v>
      </c>
      <c r="D175" s="152">
        <f>9.5/3.281</f>
        <v>2.895458701615361</v>
      </c>
      <c r="E175" s="152">
        <f t="shared" si="38"/>
        <v>0.39506172839506171</v>
      </c>
      <c r="F175" s="152">
        <f>PRODUCT(C175:E175)</f>
        <v>8.0071944340967995</v>
      </c>
      <c r="G175" s="183">
        <f>F175/1000</f>
        <v>8.0071944340967989E-3</v>
      </c>
      <c r="H175" s="6"/>
      <c r="I175" s="7"/>
      <c r="J175" s="153"/>
      <c r="K175" s="23"/>
    </row>
    <row r="176" spans="1:17" ht="15" customHeight="1" x14ac:dyDescent="0.25">
      <c r="A176" s="20"/>
      <c r="B176" s="150" t="s">
        <v>69</v>
      </c>
      <c r="C176" s="21">
        <v>12</v>
      </c>
      <c r="D176" s="152">
        <f>4.17/3.281</f>
        <v>1.2709539774459007</v>
      </c>
      <c r="E176" s="152">
        <f t="shared" si="38"/>
        <v>0.39506172839506171</v>
      </c>
      <c r="F176" s="152">
        <f t="shared" ref="F176:F178" si="41">PRODUCT(C176:E176)</f>
        <v>6.0252633004842693</v>
      </c>
      <c r="G176" s="183">
        <f t="shared" ref="G176:G178" si="42">F176/1000</f>
        <v>6.0252633004842689E-3</v>
      </c>
      <c r="H176" s="6"/>
      <c r="I176" s="7"/>
      <c r="J176" s="153"/>
      <c r="K176" s="23"/>
    </row>
    <row r="177" spans="1:13" ht="15" customHeight="1" x14ac:dyDescent="0.25">
      <c r="A177" s="20"/>
      <c r="B177" s="150"/>
      <c r="C177" s="21">
        <v>12</v>
      </c>
      <c r="D177" s="152">
        <f>3/3.281</f>
        <v>0.91435537945748246</v>
      </c>
      <c r="E177" s="152">
        <f t="shared" si="38"/>
        <v>0.39506172839506171</v>
      </c>
      <c r="F177" s="152">
        <f t="shared" si="41"/>
        <v>4.3347217989095466</v>
      </c>
      <c r="G177" s="183">
        <f t="shared" si="42"/>
        <v>4.3347217989095467E-3</v>
      </c>
      <c r="H177" s="6"/>
      <c r="I177" s="7"/>
      <c r="J177" s="153"/>
      <c r="K177" s="23"/>
    </row>
    <row r="178" spans="1:13" ht="15" customHeight="1" x14ac:dyDescent="0.25">
      <c r="A178" s="20"/>
      <c r="B178" s="150" t="s">
        <v>76</v>
      </c>
      <c r="C178" s="21">
        <v>6</v>
      </c>
      <c r="D178" s="152">
        <f>21.25/3.281</f>
        <v>6.4766839378238341</v>
      </c>
      <c r="E178" s="152">
        <f t="shared" si="38"/>
        <v>0.39506172839506171</v>
      </c>
      <c r="F178" s="152">
        <f t="shared" si="41"/>
        <v>15.352139704471309</v>
      </c>
      <c r="G178" s="183">
        <f t="shared" si="42"/>
        <v>1.5352139704471308E-2</v>
      </c>
      <c r="H178" s="6"/>
      <c r="I178" s="7"/>
      <c r="J178" s="153"/>
      <c r="K178" s="23"/>
    </row>
    <row r="179" spans="1:13" ht="15" customHeight="1" x14ac:dyDescent="0.25">
      <c r="A179" s="20"/>
      <c r="B179" s="150"/>
      <c r="C179" s="21">
        <v>9</v>
      </c>
      <c r="D179" s="152">
        <f>12.5/3.281</f>
        <v>3.8098140810728434</v>
      </c>
      <c r="E179" s="152">
        <f t="shared" si="38"/>
        <v>0.39506172839506171</v>
      </c>
      <c r="F179" s="152">
        <f t="shared" ref="F179:F181" si="43">PRODUCT(C179:E179)</f>
        <v>13.546005621592331</v>
      </c>
      <c r="G179" s="183">
        <f t="shared" ref="G179:G181" si="44">F179/1000</f>
        <v>1.3546005621592331E-2</v>
      </c>
      <c r="H179" s="6"/>
      <c r="I179" s="7"/>
      <c r="J179" s="153"/>
      <c r="K179" s="23"/>
    </row>
    <row r="180" spans="1:13" ht="15" customHeight="1" x14ac:dyDescent="0.25">
      <c r="A180" s="20"/>
      <c r="B180" s="150"/>
      <c r="C180" s="21">
        <v>5</v>
      </c>
      <c r="D180" s="152">
        <f>16.583/3.281</f>
        <v>5.0542517525144763</v>
      </c>
      <c r="E180" s="152">
        <f t="shared" si="38"/>
        <v>0.39506172839506171</v>
      </c>
      <c r="F180" s="152">
        <f t="shared" si="43"/>
        <v>9.983707165460693</v>
      </c>
      <c r="G180" s="183">
        <f t="shared" si="44"/>
        <v>9.9837071654606934E-3</v>
      </c>
      <c r="H180" s="6"/>
      <c r="I180" s="7"/>
      <c r="J180" s="153"/>
      <c r="K180" s="23"/>
    </row>
    <row r="181" spans="1:13" ht="15" customHeight="1" x14ac:dyDescent="0.25">
      <c r="A181" s="20"/>
      <c r="B181" s="150"/>
      <c r="C181" s="21">
        <v>5</v>
      </c>
      <c r="D181" s="152">
        <f>3.75/3.281</f>
        <v>1.1429442243218531</v>
      </c>
      <c r="E181" s="152">
        <f t="shared" si="38"/>
        <v>0.39506172839506171</v>
      </c>
      <c r="F181" s="152">
        <f t="shared" si="43"/>
        <v>2.2576676035987222</v>
      </c>
      <c r="G181" s="183">
        <f t="shared" si="44"/>
        <v>2.2576676035987223E-3</v>
      </c>
      <c r="H181" s="6"/>
      <c r="I181" s="7"/>
      <c r="J181" s="153"/>
      <c r="K181" s="23"/>
    </row>
    <row r="182" spans="1:13" x14ac:dyDescent="0.25">
      <c r="A182" s="182"/>
      <c r="B182" s="173" t="s">
        <v>143</v>
      </c>
      <c r="C182" s="151"/>
      <c r="D182" s="152"/>
      <c r="E182" s="152"/>
      <c r="F182" s="152"/>
      <c r="G182" s="152"/>
      <c r="H182" s="178"/>
      <c r="I182" s="178"/>
      <c r="J182" s="152"/>
      <c r="K182" s="178"/>
    </row>
    <row r="183" spans="1:13" x14ac:dyDescent="0.25">
      <c r="A183" s="182"/>
      <c r="B183" s="173" t="s">
        <v>163</v>
      </c>
      <c r="C183" s="151">
        <v>35</v>
      </c>
      <c r="D183" s="152">
        <f>14/3.281</f>
        <v>4.2669917708015843</v>
      </c>
      <c r="E183" s="152">
        <f t="shared" ref="E183:E188" si="45">8*8/162</f>
        <v>0.39506172839506171</v>
      </c>
      <c r="F183" s="152">
        <f t="shared" ref="F183" si="46">PRODUCT(C183:E183)</f>
        <v>59.00038004071326</v>
      </c>
      <c r="G183" s="183">
        <f t="shared" ref="G183" si="47">F183/1000</f>
        <v>5.9000380040713257E-2</v>
      </c>
      <c r="H183" s="178"/>
      <c r="I183" s="178"/>
      <c r="J183" s="152"/>
      <c r="K183" s="178"/>
    </row>
    <row r="184" spans="1:13" x14ac:dyDescent="0.25">
      <c r="A184" s="182"/>
      <c r="B184" s="173"/>
      <c r="C184" s="151">
        <v>6</v>
      </c>
      <c r="D184" s="152">
        <f>9.5/3.281</f>
        <v>2.895458701615361</v>
      </c>
      <c r="E184" s="152">
        <f t="shared" si="45"/>
        <v>0.39506172839506171</v>
      </c>
      <c r="F184" s="152">
        <f t="shared" ref="F184:F185" si="48">PRODUCT(C184:E184)</f>
        <v>6.8633095149401147</v>
      </c>
      <c r="G184" s="183">
        <f t="shared" ref="G184:G185" si="49">F184/1000</f>
        <v>6.8633095149401146E-3</v>
      </c>
      <c r="H184" s="178"/>
      <c r="I184" s="178"/>
      <c r="J184" s="152"/>
      <c r="K184" s="178"/>
    </row>
    <row r="185" spans="1:13" x14ac:dyDescent="0.25">
      <c r="A185" s="182"/>
      <c r="B185" s="173" t="s">
        <v>164</v>
      </c>
      <c r="C185" s="151">
        <v>21</v>
      </c>
      <c r="D185" s="152">
        <f>22.17/3.281</f>
        <v>6.7570862541907957</v>
      </c>
      <c r="E185" s="152">
        <f t="shared" si="45"/>
        <v>0.39506172839506171</v>
      </c>
      <c r="F185" s="152">
        <f t="shared" si="48"/>
        <v>56.058789664397707</v>
      </c>
      <c r="G185" s="183">
        <f t="shared" si="49"/>
        <v>5.6058789664397708E-2</v>
      </c>
      <c r="H185" s="178"/>
      <c r="I185" s="178"/>
      <c r="J185" s="152"/>
      <c r="K185" s="178"/>
    </row>
    <row r="186" spans="1:13" x14ac:dyDescent="0.25">
      <c r="A186" s="182"/>
      <c r="B186" s="173"/>
      <c r="C186" s="151">
        <v>5</v>
      </c>
      <c r="D186" s="152">
        <f>17.583/3.281</f>
        <v>5.3590368790003042</v>
      </c>
      <c r="E186" s="152">
        <f t="shared" si="45"/>
        <v>0.39506172839506171</v>
      </c>
      <c r="F186" s="152">
        <f t="shared" ref="F186:F191" si="50">PRODUCT(C186:E186)</f>
        <v>10.585751859753687</v>
      </c>
      <c r="G186" s="183">
        <f t="shared" ref="G186:G191" si="51">F186/1000</f>
        <v>1.0585751859753688E-2</v>
      </c>
      <c r="H186" s="178"/>
      <c r="I186" s="178"/>
      <c r="J186" s="152"/>
      <c r="K186" s="178"/>
      <c r="M186" s="63"/>
    </row>
    <row r="187" spans="1:13" x14ac:dyDescent="0.25">
      <c r="A187" s="182"/>
      <c r="B187" s="173" t="s">
        <v>165</v>
      </c>
      <c r="C187" s="151">
        <v>26</v>
      </c>
      <c r="D187" s="152">
        <f>14/3.281</f>
        <v>4.2669917708015843</v>
      </c>
      <c r="E187" s="152">
        <f t="shared" si="45"/>
        <v>0.39506172839506171</v>
      </c>
      <c r="F187" s="152">
        <f t="shared" si="50"/>
        <v>43.828853744529852</v>
      </c>
      <c r="G187" s="183">
        <f t="shared" si="51"/>
        <v>4.3828853744529848E-2</v>
      </c>
      <c r="H187" s="178"/>
      <c r="I187" s="178"/>
      <c r="J187" s="152"/>
      <c r="K187" s="178"/>
      <c r="M187" s="63">
        <f>SUM(G183:G194)</f>
        <v>0.25246864664115498</v>
      </c>
    </row>
    <row r="188" spans="1:13" x14ac:dyDescent="0.25">
      <c r="A188" s="182"/>
      <c r="B188" s="173"/>
      <c r="C188" s="151">
        <v>9</v>
      </c>
      <c r="D188" s="152">
        <f>4.333/3.281</f>
        <v>1.3206339530630906</v>
      </c>
      <c r="E188" s="152">
        <f t="shared" si="45"/>
        <v>0.39506172839506171</v>
      </c>
      <c r="F188" s="152">
        <f t="shared" si="50"/>
        <v>4.6955873886687662</v>
      </c>
      <c r="G188" s="183">
        <f t="shared" si="51"/>
        <v>4.6955873886687666E-3</v>
      </c>
      <c r="H188" s="178"/>
      <c r="I188" s="178"/>
      <c r="J188" s="152"/>
      <c r="K188" s="178"/>
    </row>
    <row r="189" spans="1:13" x14ac:dyDescent="0.25">
      <c r="A189" s="182"/>
      <c r="B189" s="173"/>
      <c r="C189" s="151">
        <v>9</v>
      </c>
      <c r="D189" s="152">
        <f>4/3.281</f>
        <v>1.2191405059433098</v>
      </c>
      <c r="E189" s="152">
        <f t="shared" ref="E189:E190" si="52">8*8/162</f>
        <v>0.39506172839506171</v>
      </c>
      <c r="F189" s="152">
        <f t="shared" ref="F189:F190" si="53">PRODUCT(C189:E189)</f>
        <v>4.3347217989095457</v>
      </c>
      <c r="G189" s="183">
        <f t="shared" ref="G189:G190" si="54">F189/1000</f>
        <v>4.3347217989095459E-3</v>
      </c>
      <c r="H189" s="178"/>
      <c r="I189" s="178"/>
      <c r="J189" s="152"/>
      <c r="K189" s="178"/>
    </row>
    <row r="190" spans="1:13" x14ac:dyDescent="0.25">
      <c r="A190" s="182"/>
      <c r="B190" s="173"/>
      <c r="C190" s="151">
        <v>6</v>
      </c>
      <c r="D190" s="152">
        <f>9.5/3.281</f>
        <v>2.895458701615361</v>
      </c>
      <c r="E190" s="152">
        <f t="shared" si="52"/>
        <v>0.39506172839506171</v>
      </c>
      <c r="F190" s="152">
        <f t="shared" si="53"/>
        <v>6.8633095149401147</v>
      </c>
      <c r="G190" s="183">
        <f t="shared" si="54"/>
        <v>6.8633095149401146E-3</v>
      </c>
      <c r="H190" s="178"/>
      <c r="I190" s="178"/>
      <c r="J190" s="152"/>
      <c r="K190" s="178"/>
    </row>
    <row r="191" spans="1:13" x14ac:dyDescent="0.25">
      <c r="A191" s="182"/>
      <c r="B191" s="173" t="s">
        <v>164</v>
      </c>
      <c r="C191" s="151">
        <v>10</v>
      </c>
      <c r="D191" s="152">
        <f>22.17/3.281</f>
        <v>6.7570862541907957</v>
      </c>
      <c r="E191" s="152">
        <f>8*8/162</f>
        <v>0.39506172839506171</v>
      </c>
      <c r="F191" s="152">
        <f t="shared" si="50"/>
        <v>26.69466174495129</v>
      </c>
      <c r="G191" s="183">
        <f t="shared" si="51"/>
        <v>2.669466174495129E-2</v>
      </c>
      <c r="H191" s="178"/>
      <c r="I191" s="178"/>
      <c r="J191" s="152"/>
      <c r="K191" s="178"/>
    </row>
    <row r="192" spans="1:13" x14ac:dyDescent="0.25">
      <c r="A192" s="182"/>
      <c r="B192" s="173"/>
      <c r="C192" s="151">
        <v>5</v>
      </c>
      <c r="D192" s="152">
        <f>17.583/3.281</f>
        <v>5.3590368790003042</v>
      </c>
      <c r="E192" s="152">
        <f>8*8/162</f>
        <v>0.39506172839506171</v>
      </c>
      <c r="F192" s="152">
        <f t="shared" ref="F192" si="55">PRODUCT(C192:E192)</f>
        <v>10.585751859753687</v>
      </c>
      <c r="G192" s="183">
        <f t="shared" ref="G192" si="56">F192/1000</f>
        <v>1.0585751859753688E-2</v>
      </c>
      <c r="H192" s="178"/>
      <c r="I192" s="178"/>
      <c r="J192" s="152"/>
      <c r="K192" s="178"/>
    </row>
    <row r="193" spans="1:19" x14ac:dyDescent="0.25">
      <c r="A193" s="182"/>
      <c r="B193" s="173"/>
      <c r="C193" s="151">
        <v>11</v>
      </c>
      <c r="D193" s="152">
        <f>13/3.281</f>
        <v>3.9622066443157573</v>
      </c>
      <c r="E193" s="152">
        <f t="shared" ref="E193:E194" si="57">8*8/162</f>
        <v>0.39506172839506171</v>
      </c>
      <c r="F193" s="152">
        <f t="shared" ref="F193:F194" si="58">PRODUCT(C193:E193)</f>
        <v>17.218478256779584</v>
      </c>
      <c r="G193" s="183">
        <f t="shared" ref="G193:G194" si="59">F193/1000</f>
        <v>1.7218478256779583E-2</v>
      </c>
      <c r="H193" s="178"/>
      <c r="I193" s="178"/>
      <c r="J193" s="152"/>
      <c r="K193" s="178"/>
    </row>
    <row r="194" spans="1:19" x14ac:dyDescent="0.25">
      <c r="A194" s="182"/>
      <c r="B194" s="173"/>
      <c r="C194" s="151">
        <v>11</v>
      </c>
      <c r="D194" s="152">
        <f>4.333/3.281</f>
        <v>1.3206339530630906</v>
      </c>
      <c r="E194" s="152">
        <f t="shared" si="57"/>
        <v>0.39506172839506171</v>
      </c>
      <c r="F194" s="152">
        <f t="shared" si="58"/>
        <v>5.7390512528173812</v>
      </c>
      <c r="G194" s="183">
        <f t="shared" si="59"/>
        <v>5.739051252817381E-3</v>
      </c>
      <c r="H194" s="178"/>
      <c r="I194" s="178"/>
      <c r="J194" s="152"/>
      <c r="K194" s="178"/>
    </row>
    <row r="195" spans="1:19" ht="15" customHeight="1" x14ac:dyDescent="0.25">
      <c r="A195" s="182"/>
      <c r="B195" s="150" t="s">
        <v>16</v>
      </c>
      <c r="C195" s="151"/>
      <c r="D195" s="152"/>
      <c r="E195" s="152"/>
      <c r="F195" s="152"/>
      <c r="G195" s="153">
        <f>SUM(G140:G194)</f>
        <v>1.6588713618627273</v>
      </c>
      <c r="H195" s="153" t="s">
        <v>37</v>
      </c>
      <c r="I195" s="6">
        <v>130210</v>
      </c>
      <c r="J195" s="154">
        <f>G195*I195</f>
        <v>216001.64002814572</v>
      </c>
      <c r="K195" s="178"/>
    </row>
    <row r="196" spans="1:19" ht="15" customHeight="1" x14ac:dyDescent="0.25">
      <c r="A196" s="20"/>
      <c r="B196" s="150" t="s">
        <v>30</v>
      </c>
      <c r="C196" s="21"/>
      <c r="D196" s="22"/>
      <c r="E196" s="23"/>
      <c r="F196" s="23"/>
      <c r="G196" s="7"/>
      <c r="H196" s="6"/>
      <c r="I196" s="7"/>
      <c r="J196" s="153">
        <f>0.13*G195*105010</f>
        <v>22645.750622196651</v>
      </c>
      <c r="K196" s="23"/>
    </row>
    <row r="197" spans="1:19" ht="15" customHeight="1" x14ac:dyDescent="0.25">
      <c r="A197" s="20"/>
      <c r="B197" s="150"/>
      <c r="C197" s="21"/>
      <c r="D197" s="22"/>
      <c r="E197" s="23"/>
      <c r="F197" s="23"/>
      <c r="G197" s="7"/>
      <c r="H197" s="6"/>
      <c r="I197" s="7"/>
      <c r="J197" s="153"/>
      <c r="K197" s="23"/>
      <c r="M197" s="64"/>
      <c r="N197" s="64"/>
      <c r="O197" s="64"/>
      <c r="P197" s="64"/>
      <c r="Q197" s="64"/>
      <c r="R197" s="64"/>
      <c r="S197" s="64"/>
    </row>
    <row r="198" spans="1:19" ht="45" x14ac:dyDescent="0.25">
      <c r="A198" s="20">
        <v>12</v>
      </c>
      <c r="B198" s="139" t="s">
        <v>174</v>
      </c>
      <c r="C198" s="21" t="s">
        <v>8</v>
      </c>
      <c r="D198" s="205" t="s">
        <v>22</v>
      </c>
      <c r="E198" s="204" t="s">
        <v>263</v>
      </c>
      <c r="F198" s="23"/>
      <c r="G198" s="7"/>
      <c r="H198" s="6"/>
      <c r="I198" s="7"/>
      <c r="J198" s="153"/>
      <c r="K198" s="23"/>
    </row>
    <row r="199" spans="1:19" ht="15" customHeight="1" x14ac:dyDescent="0.25">
      <c r="A199" s="20"/>
      <c r="B199" s="150" t="s">
        <v>253</v>
      </c>
      <c r="C199" s="21">
        <v>6</v>
      </c>
      <c r="D199" s="22">
        <v>1.52</v>
      </c>
      <c r="E199" s="23">
        <v>0.77</v>
      </c>
      <c r="F199" s="23"/>
      <c r="G199" s="152">
        <f t="shared" ref="G199:G224" si="60">PRODUCT(C199:F199)</f>
        <v>7.0224000000000011</v>
      </c>
      <c r="H199" s="6"/>
      <c r="I199" s="7"/>
      <c r="J199" s="153"/>
      <c r="K199" s="228" t="s">
        <v>208</v>
      </c>
    </row>
    <row r="200" spans="1:19" ht="15" customHeight="1" x14ac:dyDescent="0.25">
      <c r="A200" s="20"/>
      <c r="B200" s="150"/>
      <c r="C200" s="21">
        <v>12</v>
      </c>
      <c r="D200" s="22">
        <v>2.145</v>
      </c>
      <c r="E200" s="23">
        <v>0.77</v>
      </c>
      <c r="F200" s="23"/>
      <c r="G200" s="152">
        <f t="shared" si="60"/>
        <v>19.819800000000001</v>
      </c>
      <c r="H200" s="6"/>
      <c r="I200" s="7"/>
      <c r="J200" s="153"/>
      <c r="K200" s="228"/>
    </row>
    <row r="201" spans="1:19" ht="15" customHeight="1" x14ac:dyDescent="0.25">
      <c r="A201" s="20"/>
      <c r="B201" s="150" t="s">
        <v>254</v>
      </c>
      <c r="C201" s="21">
        <v>2</v>
      </c>
      <c r="D201" s="22">
        <v>1.52</v>
      </c>
      <c r="E201" s="23">
        <v>1.17</v>
      </c>
      <c r="F201" s="23"/>
      <c r="G201" s="152">
        <f t="shared" si="60"/>
        <v>3.5568</v>
      </c>
      <c r="H201" s="6"/>
      <c r="I201" s="7"/>
      <c r="J201" s="153"/>
      <c r="K201" s="228"/>
    </row>
    <row r="202" spans="1:19" ht="15" customHeight="1" x14ac:dyDescent="0.25">
      <c r="A202" s="20"/>
      <c r="B202" s="150"/>
      <c r="C202" s="21">
        <v>2</v>
      </c>
      <c r="D202" s="22">
        <v>2.145</v>
      </c>
      <c r="E202" s="23">
        <v>1.17</v>
      </c>
      <c r="F202" s="23"/>
      <c r="G202" s="152">
        <f t="shared" si="60"/>
        <v>5.0192999999999994</v>
      </c>
      <c r="H202" s="6"/>
      <c r="I202" s="7"/>
      <c r="J202" s="153"/>
      <c r="K202" s="228"/>
    </row>
    <row r="203" spans="1:19" ht="15" customHeight="1" x14ac:dyDescent="0.25">
      <c r="A203" s="20"/>
      <c r="B203" s="150"/>
      <c r="C203" s="21">
        <v>6</v>
      </c>
      <c r="D203" s="22">
        <v>1.2749999999999999</v>
      </c>
      <c r="E203" s="23">
        <v>0.77</v>
      </c>
      <c r="F203" s="23"/>
      <c r="G203" s="152">
        <f t="shared" si="60"/>
        <v>5.8904999999999994</v>
      </c>
      <c r="H203" s="6"/>
      <c r="I203" s="7"/>
      <c r="J203" s="153"/>
      <c r="K203" s="175"/>
    </row>
    <row r="204" spans="1:19" ht="15" customHeight="1" x14ac:dyDescent="0.25">
      <c r="A204" s="20"/>
      <c r="B204" s="150"/>
      <c r="C204" s="21">
        <v>10</v>
      </c>
      <c r="D204" s="22">
        <v>2.3849999999999998</v>
      </c>
      <c r="E204" s="23">
        <v>0.77</v>
      </c>
      <c r="F204" s="23"/>
      <c r="G204" s="152">
        <f t="shared" si="60"/>
        <v>18.3645</v>
      </c>
      <c r="H204" s="6"/>
      <c r="I204" s="7"/>
      <c r="J204" s="153"/>
      <c r="K204" s="229" t="s">
        <v>209</v>
      </c>
    </row>
    <row r="205" spans="1:19" ht="15" customHeight="1" x14ac:dyDescent="0.25">
      <c r="A205" s="20"/>
      <c r="B205" s="150"/>
      <c r="C205" s="21">
        <v>2</v>
      </c>
      <c r="D205" s="22">
        <v>1.2749999999999999</v>
      </c>
      <c r="E205" s="23">
        <v>1.17</v>
      </c>
      <c r="F205" s="23"/>
      <c r="G205" s="152">
        <f t="shared" si="60"/>
        <v>2.9834999999999998</v>
      </c>
      <c r="H205" s="6"/>
      <c r="I205" s="7"/>
      <c r="J205" s="153"/>
      <c r="K205" s="229"/>
    </row>
    <row r="206" spans="1:19" ht="15" customHeight="1" x14ac:dyDescent="0.25">
      <c r="A206" s="20"/>
      <c r="B206" s="150"/>
      <c r="C206" s="21">
        <v>2</v>
      </c>
      <c r="D206" s="22">
        <v>2.3849999999999998</v>
      </c>
      <c r="E206" s="23">
        <v>1.17</v>
      </c>
      <c r="F206" s="23"/>
      <c r="G206" s="152">
        <f t="shared" si="60"/>
        <v>5.5808999999999989</v>
      </c>
      <c r="H206" s="6"/>
      <c r="I206" s="7"/>
      <c r="J206" s="153"/>
      <c r="K206" s="229"/>
    </row>
    <row r="207" spans="1:19" ht="15" customHeight="1" x14ac:dyDescent="0.25">
      <c r="A207" s="20"/>
      <c r="B207" s="150"/>
      <c r="C207" s="21">
        <v>6</v>
      </c>
      <c r="D207" s="22">
        <v>1.2649999999999999</v>
      </c>
      <c r="E207" s="23">
        <v>0.77</v>
      </c>
      <c r="F207" s="23"/>
      <c r="G207" s="152">
        <f t="shared" si="60"/>
        <v>5.8442999999999996</v>
      </c>
      <c r="H207" s="6"/>
      <c r="I207" s="7"/>
      <c r="J207" s="153"/>
      <c r="K207" s="229"/>
    </row>
    <row r="208" spans="1:19" ht="15" customHeight="1" x14ac:dyDescent="0.25">
      <c r="A208" s="20"/>
      <c r="B208" s="150"/>
      <c r="C208" s="21">
        <v>10</v>
      </c>
      <c r="D208" s="22">
        <v>2.36</v>
      </c>
      <c r="E208" s="23">
        <v>0.77</v>
      </c>
      <c r="F208" s="23"/>
      <c r="G208" s="152">
        <f t="shared" si="60"/>
        <v>18.171999999999997</v>
      </c>
      <c r="H208" s="6"/>
      <c r="I208" s="7"/>
      <c r="J208" s="153"/>
      <c r="K208" s="229"/>
    </row>
    <row r="209" spans="1:14" ht="15" customHeight="1" x14ac:dyDescent="0.25">
      <c r="A209" s="20"/>
      <c r="B209" s="150"/>
      <c r="C209" s="21">
        <v>2</v>
      </c>
      <c r="D209" s="22">
        <v>1.2649999999999999</v>
      </c>
      <c r="E209" s="23">
        <v>1.17</v>
      </c>
      <c r="F209" s="23"/>
      <c r="G209" s="152">
        <f t="shared" si="60"/>
        <v>2.9600999999999997</v>
      </c>
      <c r="H209" s="6"/>
      <c r="I209" s="7"/>
      <c r="J209" s="153"/>
      <c r="K209" s="229"/>
    </row>
    <row r="210" spans="1:14" ht="15" customHeight="1" x14ac:dyDescent="0.25">
      <c r="A210" s="20"/>
      <c r="B210" s="150"/>
      <c r="C210" s="21">
        <v>2</v>
      </c>
      <c r="D210" s="22">
        <v>2.36</v>
      </c>
      <c r="E210" s="23">
        <v>1.17</v>
      </c>
      <c r="F210" s="23"/>
      <c r="G210" s="152">
        <f t="shared" si="60"/>
        <v>5.5223999999999993</v>
      </c>
      <c r="H210" s="6"/>
      <c r="I210" s="7"/>
      <c r="J210" s="153"/>
      <c r="K210" s="228" t="s">
        <v>210</v>
      </c>
    </row>
    <row r="211" spans="1:14" ht="15" customHeight="1" x14ac:dyDescent="0.25">
      <c r="A211" s="20"/>
      <c r="B211" s="150"/>
      <c r="C211" s="21">
        <v>6</v>
      </c>
      <c r="D211" s="22">
        <v>2.57</v>
      </c>
      <c r="E211" s="23">
        <v>0.77</v>
      </c>
      <c r="F211" s="23"/>
      <c r="G211" s="152">
        <f t="shared" si="60"/>
        <v>11.873399999999998</v>
      </c>
      <c r="H211" s="6"/>
      <c r="I211" s="7"/>
      <c r="J211" s="153"/>
      <c r="K211" s="228"/>
    </row>
    <row r="212" spans="1:14" ht="15" customHeight="1" x14ac:dyDescent="0.25">
      <c r="A212" s="20"/>
      <c r="B212" s="150"/>
      <c r="C212" s="21">
        <v>22</v>
      </c>
      <c r="D212" s="22">
        <v>2.39</v>
      </c>
      <c r="E212" s="23">
        <v>0.77</v>
      </c>
      <c r="F212" s="23"/>
      <c r="G212" s="152">
        <f t="shared" si="60"/>
        <v>40.486600000000003</v>
      </c>
      <c r="H212" s="6"/>
      <c r="I212" s="7"/>
      <c r="J212" s="153"/>
      <c r="K212" s="228"/>
    </row>
    <row r="213" spans="1:14" ht="15" customHeight="1" x14ac:dyDescent="0.25">
      <c r="A213" s="20"/>
      <c r="B213" s="150"/>
      <c r="C213" s="21">
        <v>2</v>
      </c>
      <c r="D213" s="22">
        <v>2.39</v>
      </c>
      <c r="E213" s="23">
        <v>1.17</v>
      </c>
      <c r="F213" s="23"/>
      <c r="G213" s="152">
        <f t="shared" si="60"/>
        <v>5.5926</v>
      </c>
      <c r="H213" s="6"/>
      <c r="I213" s="7"/>
      <c r="J213" s="153"/>
      <c r="K213" s="228"/>
    </row>
    <row r="214" spans="1:14" ht="15" customHeight="1" x14ac:dyDescent="0.25">
      <c r="A214" s="20"/>
      <c r="B214" s="150"/>
      <c r="C214" s="21">
        <v>2</v>
      </c>
      <c r="D214" s="22">
        <v>2.57</v>
      </c>
      <c r="E214" s="23">
        <v>1.17</v>
      </c>
      <c r="F214" s="23"/>
      <c r="G214" s="152">
        <f t="shared" si="60"/>
        <v>6.0137999999999989</v>
      </c>
      <c r="H214" s="6"/>
      <c r="I214" s="7"/>
      <c r="J214" s="153"/>
      <c r="K214" s="228"/>
    </row>
    <row r="215" spans="1:14" ht="15" customHeight="1" x14ac:dyDescent="0.25">
      <c r="A215" s="20"/>
      <c r="B215" s="150"/>
      <c r="C215" s="21">
        <f>1</f>
        <v>1</v>
      </c>
      <c r="D215" s="22">
        <v>2.36</v>
      </c>
      <c r="E215" s="23">
        <v>1.17</v>
      </c>
      <c r="F215" s="23"/>
      <c r="G215" s="152">
        <f t="shared" si="60"/>
        <v>2.7611999999999997</v>
      </c>
      <c r="H215" s="6"/>
      <c r="I215" s="7"/>
      <c r="J215" s="153"/>
      <c r="K215" s="23"/>
    </row>
    <row r="216" spans="1:14" ht="15" customHeight="1" x14ac:dyDescent="0.25">
      <c r="A216" s="20"/>
      <c r="B216" s="150"/>
      <c r="C216" s="21">
        <v>10</v>
      </c>
      <c r="D216" s="22">
        <v>0.30499999999999999</v>
      </c>
      <c r="E216" s="23">
        <v>0.77</v>
      </c>
      <c r="F216" s="23"/>
      <c r="G216" s="152">
        <f t="shared" si="60"/>
        <v>2.3485</v>
      </c>
      <c r="H216" s="6"/>
      <c r="I216" s="7"/>
      <c r="J216" s="153"/>
      <c r="K216" s="23"/>
    </row>
    <row r="217" spans="1:14" ht="15" customHeight="1" x14ac:dyDescent="0.25">
      <c r="A217" s="20"/>
      <c r="B217" s="150"/>
      <c r="C217" s="21">
        <v>2</v>
      </c>
      <c r="D217" s="22">
        <f>0.305</f>
        <v>0.30499999999999999</v>
      </c>
      <c r="E217" s="23">
        <v>1.17</v>
      </c>
      <c r="F217" s="23"/>
      <c r="G217" s="152">
        <f t="shared" si="60"/>
        <v>0.71369999999999989</v>
      </c>
      <c r="H217" s="6"/>
      <c r="I217" s="7"/>
      <c r="J217" s="153"/>
      <c r="K217" s="23"/>
    </row>
    <row r="218" spans="1:14" ht="15" customHeight="1" x14ac:dyDescent="0.25">
      <c r="A218" s="20"/>
      <c r="B218" s="150"/>
      <c r="C218" s="21">
        <v>2</v>
      </c>
      <c r="D218" s="22">
        <v>1.3049999999999999</v>
      </c>
      <c r="E218" s="23">
        <v>1.17</v>
      </c>
      <c r="F218" s="23"/>
      <c r="G218" s="152">
        <f t="shared" si="60"/>
        <v>3.0536999999999996</v>
      </c>
      <c r="H218" s="6"/>
      <c r="I218" s="7"/>
      <c r="J218" s="153"/>
      <c r="K218" s="23"/>
      <c r="N218">
        <f>0.02+0.003*1*7850</f>
        <v>23.57</v>
      </c>
    </row>
    <row r="219" spans="1:14" ht="15" customHeight="1" x14ac:dyDescent="0.25">
      <c r="A219" s="20"/>
      <c r="B219" s="150" t="s">
        <v>212</v>
      </c>
      <c r="C219" s="21">
        <v>2</v>
      </c>
      <c r="D219" s="22">
        <v>1.05</v>
      </c>
      <c r="E219" s="23">
        <v>0.47</v>
      </c>
      <c r="F219" s="23"/>
      <c r="G219" s="152">
        <f t="shared" si="60"/>
        <v>0.98699999999999999</v>
      </c>
      <c r="H219" s="6"/>
      <c r="I219" s="7"/>
      <c r="J219" s="153"/>
      <c r="K219" s="23"/>
    </row>
    <row r="220" spans="1:14" ht="15" customHeight="1" x14ac:dyDescent="0.25">
      <c r="A220" s="20"/>
      <c r="B220" s="180"/>
      <c r="C220" s="21">
        <v>2</v>
      </c>
      <c r="D220" s="22">
        <v>1.18</v>
      </c>
      <c r="E220" s="23">
        <v>0.47</v>
      </c>
      <c r="F220" s="23"/>
      <c r="G220" s="152">
        <f t="shared" si="60"/>
        <v>1.1092</v>
      </c>
      <c r="H220" s="6"/>
      <c r="I220" s="7"/>
      <c r="J220" s="153"/>
      <c r="K220" s="23"/>
    </row>
    <row r="221" spans="1:14" ht="15" customHeight="1" x14ac:dyDescent="0.25">
      <c r="A221" s="20"/>
      <c r="B221" s="150" t="s">
        <v>211</v>
      </c>
      <c r="C221" s="21">
        <v>2</v>
      </c>
      <c r="D221" s="22">
        <v>1.05</v>
      </c>
      <c r="E221" s="23">
        <v>1.17</v>
      </c>
      <c r="F221" s="23"/>
      <c r="G221" s="152">
        <f t="shared" si="60"/>
        <v>2.4569999999999999</v>
      </c>
      <c r="H221" s="6"/>
      <c r="I221" s="7"/>
      <c r="J221" s="153"/>
      <c r="K221" s="23"/>
    </row>
    <row r="222" spans="1:14" ht="15" customHeight="1" x14ac:dyDescent="0.25">
      <c r="A222" s="20"/>
      <c r="B222" s="150"/>
      <c r="C222" s="21">
        <v>2</v>
      </c>
      <c r="D222" s="22">
        <v>1.18</v>
      </c>
      <c r="E222" s="23">
        <v>1.17</v>
      </c>
      <c r="F222" s="23"/>
      <c r="G222" s="152">
        <f t="shared" si="60"/>
        <v>2.7611999999999997</v>
      </c>
      <c r="H222" s="6"/>
      <c r="I222" s="7"/>
      <c r="J222" s="153"/>
      <c r="K222" s="23"/>
    </row>
    <row r="223" spans="1:14" ht="15" customHeight="1" x14ac:dyDescent="0.25">
      <c r="A223" s="20"/>
      <c r="B223" s="173" t="s">
        <v>255</v>
      </c>
      <c r="C223" s="21">
        <v>2</v>
      </c>
      <c r="D223" s="22">
        <v>1.05</v>
      </c>
      <c r="E223" s="23">
        <f>1.26/1.4</f>
        <v>0.9</v>
      </c>
      <c r="F223" s="23"/>
      <c r="G223" s="152">
        <f t="shared" si="60"/>
        <v>1.8900000000000001</v>
      </c>
      <c r="H223" s="6"/>
      <c r="I223" s="7"/>
      <c r="J223" s="153"/>
      <c r="K223" s="23"/>
    </row>
    <row r="224" spans="1:14" ht="15" customHeight="1" x14ac:dyDescent="0.25">
      <c r="A224" s="20"/>
      <c r="B224" s="150"/>
      <c r="C224" s="21">
        <v>2</v>
      </c>
      <c r="D224" s="22">
        <v>1.18</v>
      </c>
      <c r="E224" s="23">
        <v>0.71</v>
      </c>
      <c r="F224" s="23"/>
      <c r="G224" s="152">
        <f t="shared" si="60"/>
        <v>1.6755999999999998</v>
      </c>
      <c r="H224" s="6"/>
      <c r="I224" s="7"/>
      <c r="J224" s="153"/>
      <c r="K224" s="23"/>
    </row>
    <row r="225" spans="1:14" ht="15" customHeight="1" x14ac:dyDescent="0.25">
      <c r="A225" s="20"/>
      <c r="B225" s="150" t="s">
        <v>249</v>
      </c>
      <c r="C225" s="21"/>
      <c r="D225" s="22"/>
      <c r="E225" s="23"/>
      <c r="F225" s="23"/>
      <c r="G225" s="152"/>
      <c r="H225" s="6"/>
      <c r="I225" s="7"/>
      <c r="J225" s="153"/>
      <c r="K225" s="23"/>
    </row>
    <row r="226" spans="1:14" ht="30" x14ac:dyDescent="0.25">
      <c r="A226" s="20"/>
      <c r="B226" s="150" t="s">
        <v>250</v>
      </c>
      <c r="C226" s="21">
        <v>1</v>
      </c>
      <c r="D226" s="22">
        <f>(12/3.281)*2+(10/12/3.281)*11</f>
        <v>10.108706695113279</v>
      </c>
      <c r="E226" s="23">
        <f>1.98/1.15</f>
        <v>1.7217391304347827</v>
      </c>
      <c r="F226" s="23"/>
      <c r="G226" s="152">
        <f>PRODUCT(C226:F226)</f>
        <v>17.404555875064602</v>
      </c>
      <c r="H226" s="6"/>
      <c r="I226" s="7"/>
      <c r="J226" s="153"/>
      <c r="K226" s="209"/>
    </row>
    <row r="227" spans="1:14" ht="15" customHeight="1" x14ac:dyDescent="0.25">
      <c r="A227" s="20"/>
      <c r="B227" s="150" t="s">
        <v>251</v>
      </c>
      <c r="C227" s="21"/>
      <c r="D227" s="22"/>
      <c r="E227" s="23"/>
      <c r="F227" s="23"/>
      <c r="G227" s="152"/>
      <c r="H227" s="6"/>
      <c r="I227" s="7"/>
      <c r="J227" s="153"/>
      <c r="K227" s="209"/>
    </row>
    <row r="228" spans="1:14" ht="15" customHeight="1" x14ac:dyDescent="0.25">
      <c r="A228" s="20"/>
      <c r="B228" s="150" t="s">
        <v>252</v>
      </c>
      <c r="C228" s="21">
        <v>10</v>
      </c>
      <c r="D228" s="22">
        <f>3.833/3.281</f>
        <v>1.1682413898201769</v>
      </c>
      <c r="E228" s="23">
        <v>0.47</v>
      </c>
      <c r="F228" s="23"/>
      <c r="G228" s="152">
        <f>PRODUCT(C228:F228)</f>
        <v>5.4907345321548311</v>
      </c>
      <c r="H228" s="6"/>
      <c r="I228" s="7"/>
      <c r="J228" s="153"/>
      <c r="K228" s="209"/>
    </row>
    <row r="229" spans="1:14" ht="15" customHeight="1" x14ac:dyDescent="0.25">
      <c r="A229" s="20"/>
      <c r="B229" s="173" t="s">
        <v>213</v>
      </c>
      <c r="C229" s="21">
        <f>2*4</f>
        <v>8</v>
      </c>
      <c r="D229" s="22">
        <f>3.833/3.281</f>
        <v>1.1682413898201769</v>
      </c>
      <c r="E229" s="23">
        <f>1.26/1.4</f>
        <v>0.9</v>
      </c>
      <c r="F229" s="23"/>
      <c r="G229" s="152">
        <f t="shared" ref="G229:G233" si="61">PRODUCT(C229:F229)</f>
        <v>8.4113380067052734</v>
      </c>
      <c r="H229" s="6"/>
      <c r="I229" s="7"/>
      <c r="J229" s="153"/>
      <c r="K229" s="209"/>
    </row>
    <row r="230" spans="1:14" ht="15" customHeight="1" x14ac:dyDescent="0.25">
      <c r="A230" s="20"/>
      <c r="B230" s="150"/>
      <c r="C230" s="21">
        <v>4</v>
      </c>
      <c r="D230" s="22">
        <f>14/12/3.281</f>
        <v>0.35558264756679875</v>
      </c>
      <c r="E230" s="23">
        <f>1.26/1.4</f>
        <v>0.9</v>
      </c>
      <c r="F230" s="23"/>
      <c r="G230" s="152">
        <f t="shared" si="61"/>
        <v>1.2800975312404754</v>
      </c>
      <c r="H230" s="6"/>
      <c r="I230" s="7"/>
      <c r="J230" s="153"/>
      <c r="K230" s="209"/>
    </row>
    <row r="231" spans="1:14" ht="15" customHeight="1" x14ac:dyDescent="0.25">
      <c r="A231" s="20"/>
      <c r="B231" s="150" t="s">
        <v>256</v>
      </c>
      <c r="C231" s="21">
        <v>5</v>
      </c>
      <c r="D231" s="22">
        <f>3.833/3.281</f>
        <v>1.1682413898201769</v>
      </c>
      <c r="E231" s="21">
        <v>1.7</v>
      </c>
      <c r="F231" s="23"/>
      <c r="G231" s="152">
        <f t="shared" si="61"/>
        <v>9.9300518134715041</v>
      </c>
      <c r="H231" s="6"/>
      <c r="I231" s="7"/>
      <c r="J231" s="153"/>
      <c r="K231" s="209"/>
    </row>
    <row r="232" spans="1:14" ht="15" customHeight="1" x14ac:dyDescent="0.25">
      <c r="A232" s="20"/>
      <c r="B232" s="150"/>
      <c r="C232" s="21">
        <v>2</v>
      </c>
      <c r="D232" s="22">
        <f>3.833/3.281</f>
        <v>1.1682413898201769</v>
      </c>
      <c r="E232" s="21">
        <v>1.7</v>
      </c>
      <c r="F232" s="23"/>
      <c r="G232" s="152">
        <f t="shared" si="61"/>
        <v>3.9720207253886013</v>
      </c>
      <c r="H232" s="6"/>
      <c r="I232" s="7"/>
      <c r="J232" s="153"/>
      <c r="K232" s="209"/>
    </row>
    <row r="233" spans="1:14" ht="15" customHeight="1" x14ac:dyDescent="0.25">
      <c r="A233" s="20"/>
      <c r="B233" s="150"/>
      <c r="C233" s="21">
        <v>4</v>
      </c>
      <c r="D233" s="22">
        <f>3.5/3.281</f>
        <v>1.0667479427003961</v>
      </c>
      <c r="E233" s="21">
        <v>1.7</v>
      </c>
      <c r="F233" s="23"/>
      <c r="G233" s="152">
        <f t="shared" si="61"/>
        <v>7.2538860103626934</v>
      </c>
      <c r="H233" s="6"/>
      <c r="I233" s="7"/>
      <c r="J233" s="153"/>
      <c r="K233" s="209"/>
    </row>
    <row r="234" spans="1:14" ht="15" customHeight="1" x14ac:dyDescent="0.25">
      <c r="A234" s="182"/>
      <c r="B234" s="150" t="s">
        <v>16</v>
      </c>
      <c r="C234" s="151"/>
      <c r="D234" s="152"/>
      <c r="E234" s="152"/>
      <c r="F234" s="152"/>
      <c r="G234" s="153">
        <f>SUM(G199:G233)</f>
        <v>238.20268449438794</v>
      </c>
      <c r="H234" s="153" t="s">
        <v>175</v>
      </c>
      <c r="I234" s="6">
        <v>154</v>
      </c>
      <c r="J234" s="154">
        <f>G234*I234</f>
        <v>36683.213412135745</v>
      </c>
      <c r="K234" s="178"/>
      <c r="N234">
        <f>14.76/0.15*0.13</f>
        <v>12.792000000000002</v>
      </c>
    </row>
    <row r="235" spans="1:14" ht="15" customHeight="1" x14ac:dyDescent="0.25">
      <c r="A235" s="20"/>
      <c r="B235" s="150" t="s">
        <v>30</v>
      </c>
      <c r="C235" s="21"/>
      <c r="D235" s="22"/>
      <c r="E235" s="23"/>
      <c r="F235" s="23"/>
      <c r="G235" s="7"/>
      <c r="H235" s="6"/>
      <c r="I235" s="7"/>
      <c r="J235" s="153">
        <f>0.13*J234</f>
        <v>4768.817743577647</v>
      </c>
      <c r="K235" s="23"/>
    </row>
    <row r="236" spans="1:14" ht="15" customHeight="1" x14ac:dyDescent="0.25">
      <c r="A236" s="20"/>
      <c r="B236" s="150"/>
      <c r="C236" s="21"/>
      <c r="D236" s="22"/>
      <c r="E236" s="23"/>
      <c r="F236" s="23"/>
      <c r="G236" s="7"/>
      <c r="H236" s="6"/>
      <c r="I236" s="7"/>
      <c r="J236" s="153"/>
      <c r="K236" s="23"/>
    </row>
    <row r="237" spans="1:14" ht="30" x14ac:dyDescent="0.25">
      <c r="A237" s="20">
        <v>13</v>
      </c>
      <c r="B237" s="139" t="s">
        <v>105</v>
      </c>
      <c r="C237" s="21"/>
      <c r="D237" s="22"/>
      <c r="E237" s="23"/>
      <c r="F237" s="23"/>
      <c r="G237" s="7"/>
      <c r="H237" s="6"/>
      <c r="I237" s="7"/>
      <c r="J237" s="153"/>
      <c r="K237" s="23"/>
    </row>
    <row r="238" spans="1:14" ht="15" customHeight="1" x14ac:dyDescent="0.25">
      <c r="A238" s="20"/>
      <c r="B238" s="150" t="s">
        <v>78</v>
      </c>
      <c r="C238" s="21">
        <f>0*1</f>
        <v>0</v>
      </c>
      <c r="D238" s="22">
        <f>D29</f>
        <v>3.125</v>
      </c>
      <c r="E238" s="23">
        <f>F77</f>
        <v>2.42</v>
      </c>
      <c r="F238" s="23"/>
      <c r="G238" s="152">
        <f t="shared" ref="G238" si="62">PRODUCT(C238:F238)</f>
        <v>0</v>
      </c>
      <c r="H238" s="6"/>
      <c r="I238" s="7"/>
      <c r="J238" s="153"/>
      <c r="K238" s="23"/>
    </row>
    <row r="239" spans="1:14" ht="15" customHeight="1" x14ac:dyDescent="0.25">
      <c r="A239" s="182"/>
      <c r="B239" s="150" t="s">
        <v>16</v>
      </c>
      <c r="C239" s="151"/>
      <c r="D239" s="152"/>
      <c r="E239" s="152"/>
      <c r="F239" s="152"/>
      <c r="G239" s="153">
        <f>SUM(G238:G238)</f>
        <v>0</v>
      </c>
      <c r="H239" s="153" t="s">
        <v>23</v>
      </c>
      <c r="I239" s="6">
        <v>6391.43</v>
      </c>
      <c r="J239" s="154">
        <f>G239*I239</f>
        <v>0</v>
      </c>
      <c r="K239" s="178"/>
    </row>
    <row r="240" spans="1:14" ht="15" customHeight="1" x14ac:dyDescent="0.25">
      <c r="A240" s="20"/>
      <c r="B240" s="150" t="s">
        <v>30</v>
      </c>
      <c r="C240" s="21"/>
      <c r="D240" s="22"/>
      <c r="E240" s="23"/>
      <c r="F240" s="23"/>
      <c r="G240" s="7"/>
      <c r="H240" s="6"/>
      <c r="I240" s="7"/>
      <c r="J240" s="153">
        <f>0.13*J239</f>
        <v>0</v>
      </c>
      <c r="K240" s="23"/>
    </row>
    <row r="241" spans="1:13" ht="15" customHeight="1" x14ac:dyDescent="0.25">
      <c r="A241" s="20"/>
      <c r="B241" s="160"/>
      <c r="C241" s="21"/>
      <c r="D241" s="22"/>
      <c r="E241" s="23"/>
      <c r="F241" s="23"/>
      <c r="G241" s="7"/>
      <c r="H241" s="6"/>
      <c r="I241" s="7"/>
      <c r="J241" s="153"/>
      <c r="K241" s="23"/>
    </row>
    <row r="242" spans="1:13" ht="47.25" x14ac:dyDescent="0.25">
      <c r="A242" s="20">
        <v>14</v>
      </c>
      <c r="B242" s="161" t="s">
        <v>79</v>
      </c>
      <c r="C242" s="21"/>
      <c r="D242" s="22"/>
      <c r="E242" s="23"/>
      <c r="F242" s="23"/>
      <c r="G242" s="7"/>
      <c r="H242" s="6"/>
      <c r="I242" s="7"/>
      <c r="J242" s="153"/>
      <c r="K242" s="23"/>
    </row>
    <row r="243" spans="1:13" ht="15" customHeight="1" x14ac:dyDescent="0.25">
      <c r="A243" s="20"/>
      <c r="B243" s="150" t="s">
        <v>80</v>
      </c>
      <c r="C243" s="21">
        <v>1</v>
      </c>
      <c r="D243" s="22">
        <v>1.54</v>
      </c>
      <c r="E243" s="23"/>
      <c r="F243" s="23">
        <v>1.19</v>
      </c>
      <c r="G243" s="152">
        <f t="shared" ref="G243:G245" si="63">PRODUCT(C243:F243)</f>
        <v>1.8326</v>
      </c>
      <c r="H243" s="6"/>
      <c r="I243" s="7"/>
      <c r="J243" s="153"/>
      <c r="K243" s="23"/>
    </row>
    <row r="244" spans="1:13" ht="15" customHeight="1" x14ac:dyDescent="0.25">
      <c r="A244" s="20"/>
      <c r="B244" s="150"/>
      <c r="C244" s="21">
        <v>1</v>
      </c>
      <c r="D244" s="22">
        <v>1.37</v>
      </c>
      <c r="E244" s="23"/>
      <c r="F244" s="23">
        <v>1.19</v>
      </c>
      <c r="G244" s="152">
        <f t="shared" si="63"/>
        <v>1.6303000000000001</v>
      </c>
      <c r="H244" s="6"/>
      <c r="I244" s="7"/>
      <c r="J244" s="153"/>
      <c r="K244" s="23"/>
    </row>
    <row r="245" spans="1:13" ht="15" customHeight="1" x14ac:dyDescent="0.25">
      <c r="A245" s="20"/>
      <c r="B245" s="150"/>
      <c r="C245" s="151">
        <v>1</v>
      </c>
      <c r="D245" s="152">
        <v>1.41</v>
      </c>
      <c r="E245" s="152"/>
      <c r="F245" s="152">
        <v>1.19</v>
      </c>
      <c r="G245" s="152">
        <f t="shared" si="63"/>
        <v>1.6778999999999997</v>
      </c>
      <c r="H245" s="6"/>
      <c r="I245" s="7"/>
      <c r="J245" s="153"/>
      <c r="K245" s="23"/>
    </row>
    <row r="246" spans="1:13" ht="15" customHeight="1" x14ac:dyDescent="0.25">
      <c r="A246" s="182"/>
      <c r="B246" s="150" t="s">
        <v>16</v>
      </c>
      <c r="C246" s="180"/>
      <c r="D246" s="180"/>
      <c r="E246" s="180"/>
      <c r="F246" s="180"/>
      <c r="G246" s="153">
        <f>SUM(G243:G245)</f>
        <v>5.1408000000000005</v>
      </c>
      <c r="H246" s="153" t="s">
        <v>23</v>
      </c>
      <c r="I246" s="6">
        <v>6997</v>
      </c>
      <c r="J246" s="154">
        <f>G246*I246</f>
        <v>35970.177600000003</v>
      </c>
      <c r="K246" s="178"/>
    </row>
    <row r="247" spans="1:13" ht="15" customHeight="1" x14ac:dyDescent="0.25">
      <c r="A247" s="20"/>
      <c r="B247" s="150" t="s">
        <v>30</v>
      </c>
      <c r="C247" s="21"/>
      <c r="D247" s="22"/>
      <c r="E247" s="23"/>
      <c r="F247" s="23"/>
      <c r="G247" s="7"/>
      <c r="H247" s="6"/>
      <c r="I247" s="7"/>
      <c r="J247" s="153">
        <f>0.13*J246</f>
        <v>4676.1230880000003</v>
      </c>
      <c r="K247" s="23"/>
    </row>
    <row r="248" spans="1:13" ht="15" customHeight="1" x14ac:dyDescent="0.25">
      <c r="A248" s="20"/>
      <c r="B248" s="150"/>
      <c r="C248" s="21"/>
      <c r="D248" s="22"/>
      <c r="E248" s="23"/>
      <c r="F248" s="23"/>
      <c r="G248" s="7"/>
      <c r="H248" s="6"/>
      <c r="I248" s="7"/>
      <c r="J248" s="153"/>
      <c r="K248" s="23"/>
    </row>
    <row r="249" spans="1:13" ht="63" x14ac:dyDescent="0.25">
      <c r="A249" s="20">
        <v>15</v>
      </c>
      <c r="B249" s="161" t="s">
        <v>107</v>
      </c>
      <c r="C249" s="21"/>
      <c r="D249" s="22"/>
      <c r="E249" s="23"/>
      <c r="F249" s="23"/>
      <c r="G249" s="7"/>
      <c r="H249" s="6"/>
      <c r="I249" s="7"/>
      <c r="J249" s="153"/>
      <c r="K249" s="23"/>
    </row>
    <row r="250" spans="1:13" ht="15.75" x14ac:dyDescent="0.25">
      <c r="A250" s="20"/>
      <c r="B250" s="189" t="s">
        <v>144</v>
      </c>
      <c r="C250" s="21">
        <v>0</v>
      </c>
      <c r="D250" s="22">
        <v>0.75</v>
      </c>
      <c r="E250" s="23"/>
      <c r="F250" s="23">
        <v>1.8</v>
      </c>
      <c r="G250" s="152">
        <f t="shared" ref="G250" si="64">PRODUCT(C250:F250)</f>
        <v>0</v>
      </c>
      <c r="H250" s="6"/>
      <c r="I250" s="7"/>
      <c r="J250" s="153"/>
      <c r="K250" s="23"/>
    </row>
    <row r="251" spans="1:13" ht="15" customHeight="1" x14ac:dyDescent="0.25">
      <c r="A251" s="182"/>
      <c r="B251" s="150" t="s">
        <v>16</v>
      </c>
      <c r="C251" s="151"/>
      <c r="D251" s="152"/>
      <c r="E251" s="152"/>
      <c r="F251" s="152"/>
      <c r="G251" s="153">
        <f>SUM(G249:G250)</f>
        <v>0</v>
      </c>
      <c r="H251" s="153" t="s">
        <v>23</v>
      </c>
      <c r="I251" s="6">
        <v>8744</v>
      </c>
      <c r="J251" s="154">
        <f>G251*I251</f>
        <v>0</v>
      </c>
      <c r="K251" s="178"/>
    </row>
    <row r="252" spans="1:13" ht="15" customHeight="1" x14ac:dyDescent="0.25">
      <c r="A252" s="20"/>
      <c r="B252" s="150" t="s">
        <v>30</v>
      </c>
      <c r="C252" s="21"/>
      <c r="D252" s="22"/>
      <c r="E252" s="23"/>
      <c r="F252" s="23"/>
      <c r="G252" s="7"/>
      <c r="H252" s="6"/>
      <c r="I252" s="7"/>
      <c r="J252" s="153">
        <f>0.13*J251</f>
        <v>0</v>
      </c>
      <c r="K252" s="23"/>
    </row>
    <row r="253" spans="1:13" ht="15.75" x14ac:dyDescent="0.25">
      <c r="A253" s="20"/>
      <c r="B253" s="161"/>
      <c r="C253" s="21"/>
      <c r="D253" s="22"/>
      <c r="E253" s="23"/>
      <c r="F253" s="23"/>
      <c r="G253" s="7"/>
      <c r="H253" s="6"/>
      <c r="I253" s="7"/>
      <c r="J253" s="153"/>
      <c r="K253" s="23"/>
    </row>
    <row r="254" spans="1:13" ht="30" x14ac:dyDescent="0.25">
      <c r="A254" s="20">
        <v>16</v>
      </c>
      <c r="B254" s="139" t="s">
        <v>85</v>
      </c>
      <c r="C254" s="21"/>
      <c r="D254" s="22"/>
      <c r="E254" s="23"/>
      <c r="F254" s="23"/>
      <c r="G254" s="7"/>
      <c r="H254" s="6"/>
      <c r="I254" s="7"/>
      <c r="J254" s="153"/>
      <c r="K254" s="23"/>
    </row>
    <row r="255" spans="1:13" x14ac:dyDescent="0.25">
      <c r="A255" s="20"/>
      <c r="B255" s="150" t="s">
        <v>145</v>
      </c>
      <c r="C255" s="21">
        <v>1</v>
      </c>
      <c r="D255" s="22">
        <v>3.4</v>
      </c>
      <c r="E255" s="23">
        <f>2.62+0.32+2.595+0.075*2</f>
        <v>5.6850000000000005</v>
      </c>
      <c r="F255" s="23"/>
      <c r="G255" s="152">
        <f>PRODUCT(C255:F255)</f>
        <v>19.329000000000001</v>
      </c>
      <c r="H255" s="6"/>
      <c r="I255" s="7"/>
      <c r="J255" s="153"/>
      <c r="K255" s="23"/>
      <c r="M255">
        <f>2.62+0.32+2.595+0.075*2</f>
        <v>5.6850000000000005</v>
      </c>
    </row>
    <row r="256" spans="1:13" ht="15" customHeight="1" x14ac:dyDescent="0.25">
      <c r="A256" s="20"/>
      <c r="B256" s="150" t="str">
        <f>B114</f>
        <v>-1st  floor slab</v>
      </c>
      <c r="C256" s="21">
        <f>C114</f>
        <v>1</v>
      </c>
      <c r="D256" s="22">
        <f>(2.94+0.075*2+3+0.075*2)/2</f>
        <v>3.12</v>
      </c>
      <c r="E256" s="22">
        <f>6.15-0.34*2+0.075*2</f>
        <v>5.620000000000001</v>
      </c>
      <c r="F256" s="23"/>
      <c r="G256" s="152">
        <f t="shared" ref="G256:G259" si="65">PRODUCT(C256:F256)</f>
        <v>17.534400000000005</v>
      </c>
      <c r="H256" s="6"/>
      <c r="I256" s="7"/>
      <c r="J256" s="153"/>
      <c r="K256" s="23"/>
      <c r="M256">
        <f>2.575+0.34+2.57+0.075*2</f>
        <v>5.6349999999999998</v>
      </c>
    </row>
    <row r="257" spans="1:14" ht="15" customHeight="1" x14ac:dyDescent="0.25">
      <c r="A257" s="20"/>
      <c r="B257" s="150" t="str">
        <f>B115</f>
        <v>-Deduction for opening</v>
      </c>
      <c r="C257" s="21">
        <f>C115</f>
        <v>-1</v>
      </c>
      <c r="D257" s="22">
        <f t="shared" ref="D257:E257" si="66">D115</f>
        <v>1.08</v>
      </c>
      <c r="E257" s="22">
        <f t="shared" si="66"/>
        <v>0.76196281621456874</v>
      </c>
      <c r="F257" s="23"/>
      <c r="G257" s="152">
        <f t="shared" si="65"/>
        <v>-0.82291984151173425</v>
      </c>
      <c r="H257" s="6"/>
      <c r="I257" s="7"/>
      <c r="J257" s="153"/>
      <c r="K257" s="23"/>
    </row>
    <row r="258" spans="1:14" ht="15" customHeight="1" x14ac:dyDescent="0.25">
      <c r="A258" s="20"/>
      <c r="B258" s="150" t="str">
        <f>B116</f>
        <v>-2nd floor slab</v>
      </c>
      <c r="C258" s="21">
        <f>1</f>
        <v>1</v>
      </c>
      <c r="D258" s="22">
        <v>6.63</v>
      </c>
      <c r="E258" s="22">
        <v>4.2300000000000004</v>
      </c>
      <c r="F258" s="23"/>
      <c r="G258" s="152">
        <f t="shared" si="65"/>
        <v>28.044900000000002</v>
      </c>
      <c r="H258" s="6"/>
      <c r="I258" s="7"/>
      <c r="J258" s="153"/>
      <c r="K258" s="23"/>
    </row>
    <row r="259" spans="1:14" ht="15" customHeight="1" x14ac:dyDescent="0.25">
      <c r="A259" s="20"/>
      <c r="B259" s="150" t="str">
        <f>B117</f>
        <v>-Deduction for opening</v>
      </c>
      <c r="C259" s="21">
        <v>-1</v>
      </c>
      <c r="D259" s="22">
        <f>(0.97+1.03)/2</f>
        <v>1</v>
      </c>
      <c r="E259" s="22">
        <v>1.1499999999999999</v>
      </c>
      <c r="F259" s="23"/>
      <c r="G259" s="152">
        <f t="shared" si="65"/>
        <v>-1.1499999999999999</v>
      </c>
      <c r="H259" s="6"/>
      <c r="I259" s="7"/>
      <c r="J259" s="153"/>
      <c r="K259" s="23"/>
    </row>
    <row r="260" spans="1:14" ht="15" customHeight="1" x14ac:dyDescent="0.25">
      <c r="A260" s="182"/>
      <c r="B260" s="150" t="s">
        <v>16</v>
      </c>
      <c r="C260" s="151"/>
      <c r="D260" s="152"/>
      <c r="E260" s="152"/>
      <c r="F260" s="152"/>
      <c r="G260" s="153">
        <f>SUM(G255:G259)</f>
        <v>62.935380158488279</v>
      </c>
      <c r="H260" s="153" t="s">
        <v>23</v>
      </c>
      <c r="I260" s="6">
        <v>692.38</v>
      </c>
      <c r="J260" s="154">
        <f>G260*I260</f>
        <v>43575.198514134114</v>
      </c>
      <c r="K260" s="178"/>
    </row>
    <row r="261" spans="1:14" ht="15" customHeight="1" x14ac:dyDescent="0.25">
      <c r="A261" s="20"/>
      <c r="B261" s="150" t="s">
        <v>30</v>
      </c>
      <c r="C261" s="21"/>
      <c r="D261" s="22"/>
      <c r="E261" s="23"/>
      <c r="F261" s="23"/>
      <c r="G261" s="7"/>
      <c r="H261" s="6"/>
      <c r="I261" s="7"/>
      <c r="J261" s="153">
        <f>0.13*G260*3623.87/10</f>
        <v>2964.9052692342316</v>
      </c>
      <c r="K261" s="23"/>
    </row>
    <row r="262" spans="1:14" ht="15" customHeight="1" x14ac:dyDescent="0.25">
      <c r="A262" s="20"/>
      <c r="B262" s="150"/>
      <c r="C262" s="21"/>
      <c r="D262" s="22"/>
      <c r="E262" s="23"/>
      <c r="F262" s="23"/>
      <c r="G262" s="7"/>
      <c r="H262" s="6"/>
      <c r="I262" s="7"/>
      <c r="J262" s="153"/>
      <c r="K262" s="23"/>
    </row>
    <row r="263" spans="1:14" ht="30" x14ac:dyDescent="0.25">
      <c r="A263" s="20">
        <v>17</v>
      </c>
      <c r="B263" s="139" t="s">
        <v>88</v>
      </c>
      <c r="C263" s="21"/>
      <c r="D263" s="22"/>
      <c r="E263" s="23"/>
      <c r="F263" s="23"/>
      <c r="G263" s="7"/>
      <c r="H263" s="6"/>
      <c r="I263" s="7"/>
      <c r="J263" s="153"/>
      <c r="K263" s="23"/>
    </row>
    <row r="264" spans="1:14" x14ac:dyDescent="0.25">
      <c r="A264" s="20"/>
      <c r="B264" s="150" t="s">
        <v>173</v>
      </c>
      <c r="C264" s="21">
        <v>1</v>
      </c>
      <c r="D264" s="22">
        <v>3.61</v>
      </c>
      <c r="E264" s="23"/>
      <c r="F264" s="23">
        <v>1.34</v>
      </c>
      <c r="G264" s="152">
        <f t="shared" ref="G264" si="67">PRODUCT(C264:F264)</f>
        <v>4.8373999999999997</v>
      </c>
      <c r="H264" s="6"/>
      <c r="I264" s="7"/>
      <c r="J264" s="153"/>
      <c r="K264" s="23"/>
      <c r="N264">
        <f>2.685*3.281</f>
        <v>8.8094850000000005</v>
      </c>
    </row>
    <row r="265" spans="1:14" ht="15" customHeight="1" x14ac:dyDescent="0.25">
      <c r="A265" s="20"/>
      <c r="B265" s="150" t="s">
        <v>89</v>
      </c>
      <c r="C265" s="21">
        <v>1</v>
      </c>
      <c r="D265" s="22"/>
      <c r="E265" s="23"/>
      <c r="F265" s="23"/>
      <c r="G265" s="22">
        <f>G260</f>
        <v>62.935380158488279</v>
      </c>
      <c r="H265" s="6"/>
      <c r="I265" s="7"/>
      <c r="J265" s="153"/>
      <c r="K265" s="23"/>
      <c r="M265">
        <f>2.63-1.29</f>
        <v>1.3399999999999999</v>
      </c>
    </row>
    <row r="266" spans="1:14" ht="15" customHeight="1" x14ac:dyDescent="0.25">
      <c r="A266" s="182"/>
      <c r="B266" s="150" t="s">
        <v>16</v>
      </c>
      <c r="C266" s="151"/>
      <c r="D266" s="152"/>
      <c r="E266" s="152"/>
      <c r="F266" s="152"/>
      <c r="G266" s="153">
        <f>SUM(G264:G265)</f>
        <v>67.772780158488274</v>
      </c>
      <c r="H266" s="153" t="s">
        <v>23</v>
      </c>
      <c r="I266" s="6">
        <v>286.77</v>
      </c>
      <c r="J266" s="154">
        <f>G266*I266</f>
        <v>19435.200166049683</v>
      </c>
      <c r="K266" s="178"/>
    </row>
    <row r="267" spans="1:14" ht="15" customHeight="1" x14ac:dyDescent="0.25">
      <c r="A267" s="20"/>
      <c r="B267" s="150" t="s">
        <v>30</v>
      </c>
      <c r="C267" s="21"/>
      <c r="D267" s="22"/>
      <c r="E267" s="23"/>
      <c r="F267" s="23"/>
      <c r="G267" s="7"/>
      <c r="H267" s="6"/>
      <c r="I267" s="7"/>
      <c r="J267" s="153">
        <f>0.13*G266*767.72/10</f>
        <v>676.39674418257005</v>
      </c>
      <c r="K267" s="23"/>
    </row>
    <row r="268" spans="1:14" ht="15" customHeight="1" x14ac:dyDescent="0.25">
      <c r="A268" s="20"/>
      <c r="B268" s="150"/>
      <c r="C268" s="21"/>
      <c r="D268" s="22"/>
      <c r="E268" s="23"/>
      <c r="F268" s="23"/>
      <c r="G268" s="7"/>
      <c r="H268" s="6"/>
      <c r="I268" s="7"/>
      <c r="J268" s="153"/>
      <c r="K268" s="23"/>
    </row>
    <row r="269" spans="1:14" ht="30" x14ac:dyDescent="0.25">
      <c r="A269" s="20">
        <v>18</v>
      </c>
      <c r="B269" s="139" t="s">
        <v>90</v>
      </c>
      <c r="C269" s="21"/>
      <c r="D269" s="22"/>
      <c r="E269" s="23"/>
      <c r="F269" s="23"/>
      <c r="G269" s="7"/>
      <c r="H269" s="6"/>
      <c r="I269" s="7"/>
      <c r="J269" s="153"/>
      <c r="K269" s="23"/>
    </row>
    <row r="270" spans="1:14" ht="15" customHeight="1" x14ac:dyDescent="0.25">
      <c r="A270" s="20"/>
      <c r="B270" s="150" t="s">
        <v>78</v>
      </c>
      <c r="C270" s="21">
        <v>1</v>
      </c>
      <c r="D270" s="22">
        <f>6.21+3.42+0.23+0.33+1.71+0.33*4+0.335*4+0.33+3.42+2.595+0.32+2.62+0.075*7</f>
        <v>24.369999999999997</v>
      </c>
      <c r="E270" s="23"/>
      <c r="F270" s="23">
        <v>2.63</v>
      </c>
      <c r="G270" s="152">
        <f t="shared" ref="G270:G295" si="68">PRODUCT(C270:F270)</f>
        <v>64.093099999999993</v>
      </c>
      <c r="H270" s="6"/>
      <c r="I270" s="7"/>
      <c r="J270" s="153"/>
      <c r="K270" s="23"/>
    </row>
    <row r="271" spans="1:14" ht="15" customHeight="1" x14ac:dyDescent="0.25">
      <c r="A271" s="20"/>
      <c r="B271" s="150"/>
      <c r="C271" s="21">
        <v>1</v>
      </c>
      <c r="D271" s="22">
        <v>3.61</v>
      </c>
      <c r="E271" s="23"/>
      <c r="F271" s="23">
        <v>2.63</v>
      </c>
      <c r="G271" s="152">
        <f t="shared" ref="G271" si="69">PRODUCT(C271:F271)</f>
        <v>9.4942999999999991</v>
      </c>
      <c r="H271" s="6"/>
      <c r="I271" s="7"/>
      <c r="J271" s="153"/>
      <c r="K271" s="23"/>
    </row>
    <row r="272" spans="1:14" ht="15" customHeight="1" x14ac:dyDescent="0.25">
      <c r="A272" s="20"/>
      <c r="B272" s="150" t="s">
        <v>168</v>
      </c>
      <c r="C272" s="21">
        <v>1</v>
      </c>
      <c r="D272" s="22">
        <f>6.16*2+3.65*2</f>
        <v>19.62</v>
      </c>
      <c r="E272" s="23"/>
      <c r="F272" s="23">
        <v>2.42</v>
      </c>
      <c r="G272" s="152">
        <f t="shared" si="68"/>
        <v>47.480400000000003</v>
      </c>
      <c r="H272" s="6"/>
      <c r="I272" s="7"/>
      <c r="J272" s="153"/>
      <c r="K272" s="23"/>
    </row>
    <row r="273" spans="1:18" ht="15" customHeight="1" x14ac:dyDescent="0.25">
      <c r="A273" s="20"/>
      <c r="B273" s="150"/>
      <c r="C273" s="21">
        <v>1</v>
      </c>
      <c r="D273" s="22">
        <f>3+3+2.575+2.57+0.34+2.59+0.34+2.53+0.065*12</f>
        <v>17.725000000000001</v>
      </c>
      <c r="E273" s="23"/>
      <c r="F273" s="23">
        <v>2.42</v>
      </c>
      <c r="G273" s="152">
        <f t="shared" si="68"/>
        <v>42.894500000000001</v>
      </c>
      <c r="H273" s="6"/>
      <c r="I273" s="7"/>
      <c r="J273" s="153"/>
      <c r="K273" s="23"/>
    </row>
    <row r="274" spans="1:18" ht="15" customHeight="1" x14ac:dyDescent="0.25">
      <c r="A274" s="20"/>
      <c r="B274" s="150" t="s">
        <v>95</v>
      </c>
      <c r="C274" s="21">
        <f>-1*2</f>
        <v>-2</v>
      </c>
      <c r="D274" s="22">
        <v>1.38</v>
      </c>
      <c r="E274" s="23"/>
      <c r="F274" s="23">
        <v>1.2</v>
      </c>
      <c r="G274" s="152">
        <f t="shared" si="68"/>
        <v>-3.3119999999999998</v>
      </c>
      <c r="H274" s="6"/>
      <c r="I274" s="7"/>
      <c r="J274" s="153"/>
      <c r="K274" s="23"/>
      <c r="Q274">
        <f>3.61*3.281</f>
        <v>11.84441</v>
      </c>
      <c r="R274">
        <f>3.635*3.281</f>
        <v>11.926435</v>
      </c>
    </row>
    <row r="275" spans="1:18" ht="15" customHeight="1" x14ac:dyDescent="0.25">
      <c r="A275" s="20"/>
      <c r="B275" s="150"/>
      <c r="C275" s="21">
        <f>-1*2</f>
        <v>-2</v>
      </c>
      <c r="D275" s="22">
        <v>1.42</v>
      </c>
      <c r="E275" s="23"/>
      <c r="F275" s="23">
        <v>1.2</v>
      </c>
      <c r="G275" s="152">
        <f t="shared" si="68"/>
        <v>-3.4079999999999999</v>
      </c>
      <c r="H275" s="6"/>
      <c r="I275" s="7"/>
      <c r="J275" s="153"/>
      <c r="K275" s="23"/>
    </row>
    <row r="276" spans="1:18" ht="15" customHeight="1" x14ac:dyDescent="0.25">
      <c r="A276" s="20"/>
      <c r="B276" s="150"/>
      <c r="C276" s="21">
        <f>-1*2</f>
        <v>-2</v>
      </c>
      <c r="D276" s="22">
        <v>1.55</v>
      </c>
      <c r="E276" s="23"/>
      <c r="F276" s="23">
        <v>1.2</v>
      </c>
      <c r="G276" s="152">
        <f t="shared" si="68"/>
        <v>-3.7199999999999998</v>
      </c>
      <c r="H276" s="6"/>
      <c r="I276" s="7"/>
      <c r="J276" s="153"/>
      <c r="K276" s="23"/>
    </row>
    <row r="277" spans="1:18" ht="15" customHeight="1" x14ac:dyDescent="0.25">
      <c r="A277" s="20"/>
      <c r="B277" s="150" t="s">
        <v>244</v>
      </c>
      <c r="C277" s="21">
        <v>1</v>
      </c>
      <c r="D277" s="22">
        <f>4.23*2+6.6*2</f>
        <v>21.66</v>
      </c>
      <c r="E277" s="23"/>
      <c r="F277" s="23">
        <v>0.15</v>
      </c>
      <c r="G277" s="152">
        <f t="shared" ref="G277:G279" si="70">PRODUCT(C277:F277)</f>
        <v>3.2490000000000001</v>
      </c>
      <c r="H277" s="6"/>
      <c r="I277" s="7"/>
      <c r="J277" s="153"/>
      <c r="K277" s="23"/>
      <c r="M277">
        <f>4.235*2+6.65*2</f>
        <v>21.770000000000003</v>
      </c>
    </row>
    <row r="278" spans="1:18" ht="15" customHeight="1" x14ac:dyDescent="0.25">
      <c r="A278" s="20"/>
      <c r="B278" s="150"/>
      <c r="C278" s="21">
        <v>1</v>
      </c>
      <c r="D278">
        <f>(4.23+0.23)*2+(6.6+0.23)*2</f>
        <v>22.580000000000002</v>
      </c>
      <c r="E278" s="23"/>
      <c r="F278" s="23">
        <v>0.15</v>
      </c>
      <c r="G278" s="152">
        <f t="shared" si="70"/>
        <v>3.387</v>
      </c>
      <c r="H278" s="6"/>
      <c r="I278" s="7"/>
      <c r="J278" s="153"/>
      <c r="K278" s="23"/>
      <c r="M278">
        <f>(4.235+0.23)*2+(6.65+0.23)*2</f>
        <v>22.690000000000005</v>
      </c>
    </row>
    <row r="279" spans="1:18" ht="15" customHeight="1" x14ac:dyDescent="0.25">
      <c r="A279" s="20"/>
      <c r="B279" s="150"/>
      <c r="C279" s="21">
        <v>1</v>
      </c>
      <c r="D279" s="22">
        <f>1.14+0.96+0.96+1.14</f>
        <v>4.1999999999999993</v>
      </c>
      <c r="E279" s="23"/>
      <c r="F279" s="23">
        <v>0.15</v>
      </c>
      <c r="G279" s="152">
        <f t="shared" si="70"/>
        <v>0.62999999999999989</v>
      </c>
      <c r="H279" s="6"/>
      <c r="I279" s="7"/>
      <c r="J279" s="153"/>
      <c r="K279" s="23"/>
    </row>
    <row r="280" spans="1:18" ht="15" customHeight="1" x14ac:dyDescent="0.25">
      <c r="A280" s="20"/>
      <c r="B280" s="150" t="s">
        <v>170</v>
      </c>
      <c r="C280" s="21">
        <v>2</v>
      </c>
      <c r="D280" s="22">
        <v>3.8</v>
      </c>
      <c r="E280" s="23"/>
      <c r="F280" s="23">
        <v>1.3</v>
      </c>
      <c r="G280" s="152">
        <f t="shared" si="68"/>
        <v>9.879999999999999</v>
      </c>
      <c r="H280" s="6"/>
      <c r="I280" s="7"/>
      <c r="J280" s="153"/>
      <c r="K280" s="23"/>
    </row>
    <row r="281" spans="1:18" ht="15" customHeight="1" x14ac:dyDescent="0.25">
      <c r="A281" s="20"/>
      <c r="B281" s="150"/>
      <c r="C281" s="21">
        <v>2</v>
      </c>
      <c r="D281" s="22">
        <v>3.81</v>
      </c>
      <c r="E281" s="23"/>
      <c r="F281" s="23">
        <v>1.3</v>
      </c>
      <c r="G281" s="152">
        <f t="shared" si="68"/>
        <v>9.9060000000000006</v>
      </c>
      <c r="H281" s="6"/>
      <c r="I281" s="7"/>
      <c r="J281" s="153"/>
      <c r="K281" s="23"/>
    </row>
    <row r="282" spans="1:18" ht="15" customHeight="1" x14ac:dyDescent="0.25">
      <c r="A282" s="20"/>
      <c r="B282" s="150" t="s">
        <v>76</v>
      </c>
      <c r="C282" s="21">
        <v>-1</v>
      </c>
      <c r="D282" s="22">
        <v>0.64</v>
      </c>
      <c r="E282" s="23"/>
      <c r="F282" s="23">
        <v>0.78</v>
      </c>
      <c r="G282" s="152">
        <f t="shared" si="68"/>
        <v>-0.49920000000000003</v>
      </c>
      <c r="H282" s="6"/>
      <c r="I282" s="7"/>
      <c r="J282" s="153"/>
      <c r="K282" s="23"/>
    </row>
    <row r="283" spans="1:18" ht="15" customHeight="1" x14ac:dyDescent="0.25">
      <c r="A283" s="20"/>
      <c r="B283" s="150"/>
      <c r="C283" s="21">
        <v>-1</v>
      </c>
      <c r="D283" s="22">
        <v>0.62</v>
      </c>
      <c r="E283" s="23"/>
      <c r="F283" s="23">
        <v>0.81</v>
      </c>
      <c r="G283" s="152">
        <f t="shared" si="68"/>
        <v>-0.50219999999999998</v>
      </c>
      <c r="H283" s="6"/>
      <c r="I283" s="7"/>
      <c r="J283" s="153"/>
      <c r="K283" s="23"/>
    </row>
    <row r="284" spans="1:18" ht="15" customHeight="1" x14ac:dyDescent="0.25">
      <c r="A284" s="20"/>
      <c r="B284" s="150" t="s">
        <v>171</v>
      </c>
      <c r="C284" s="21">
        <v>-1</v>
      </c>
      <c r="D284" s="22">
        <v>1.1200000000000001</v>
      </c>
      <c r="E284" s="23"/>
      <c r="F284" s="23">
        <v>1.7</v>
      </c>
      <c r="G284" s="152">
        <f t="shared" si="68"/>
        <v>-1.9040000000000001</v>
      </c>
      <c r="H284" s="6"/>
      <c r="I284" s="7"/>
      <c r="J284" s="153"/>
      <c r="K284" s="23"/>
      <c r="Q284">
        <f>0.14*10</f>
        <v>1.4000000000000001</v>
      </c>
      <c r="R284">
        <f>1.4+0.32</f>
        <v>1.72</v>
      </c>
    </row>
    <row r="285" spans="1:18" ht="15" customHeight="1" x14ac:dyDescent="0.25">
      <c r="A285" s="20"/>
      <c r="B285" s="150"/>
      <c r="C285" s="21">
        <v>-1</v>
      </c>
      <c r="D285" s="22">
        <v>0.74</v>
      </c>
      <c r="E285" s="23"/>
      <c r="F285" s="23">
        <v>0.86</v>
      </c>
      <c r="G285" s="152">
        <f t="shared" si="68"/>
        <v>-0.63639999999999997</v>
      </c>
      <c r="H285" s="6"/>
      <c r="I285" s="7"/>
      <c r="J285" s="153"/>
      <c r="K285" s="23"/>
    </row>
    <row r="286" spans="1:18" ht="15" customHeight="1" x14ac:dyDescent="0.25">
      <c r="A286" s="20"/>
      <c r="B286" s="150"/>
      <c r="C286" s="21">
        <v>-1</v>
      </c>
      <c r="D286" s="22">
        <v>0.375</v>
      </c>
      <c r="E286" s="23"/>
      <c r="F286" s="23">
        <v>0.45</v>
      </c>
      <c r="G286" s="152">
        <f t="shared" si="68"/>
        <v>-0.16875000000000001</v>
      </c>
      <c r="H286" s="6"/>
      <c r="I286" s="7"/>
      <c r="J286" s="153"/>
      <c r="K286" s="23"/>
    </row>
    <row r="287" spans="1:18" ht="15" customHeight="1" x14ac:dyDescent="0.25">
      <c r="A287" s="20"/>
      <c r="B287" s="150"/>
      <c r="C287" s="21">
        <v>-1</v>
      </c>
      <c r="D287" s="22">
        <v>0.74</v>
      </c>
      <c r="E287" s="23"/>
      <c r="F287" s="23">
        <v>0.87</v>
      </c>
      <c r="G287" s="152">
        <f t="shared" si="68"/>
        <v>-0.64380000000000004</v>
      </c>
      <c r="H287" s="6"/>
      <c r="I287" s="7"/>
      <c r="J287" s="153"/>
      <c r="K287" s="23"/>
    </row>
    <row r="288" spans="1:18" ht="15" customHeight="1" x14ac:dyDescent="0.25">
      <c r="A288" s="20"/>
      <c r="B288" s="150"/>
      <c r="C288" s="21">
        <v>-1</v>
      </c>
      <c r="D288" s="22">
        <v>0.45</v>
      </c>
      <c r="E288" s="23"/>
      <c r="F288" s="23">
        <v>0.27</v>
      </c>
      <c r="G288" s="152">
        <f t="shared" si="68"/>
        <v>-0.12150000000000001</v>
      </c>
      <c r="H288" s="6"/>
      <c r="I288" s="7"/>
      <c r="J288" s="153"/>
      <c r="K288" s="23"/>
    </row>
    <row r="289" spans="1:18" ht="15" customHeight="1" x14ac:dyDescent="0.25">
      <c r="A289" s="20"/>
      <c r="B289" s="150" t="s">
        <v>151</v>
      </c>
      <c r="C289" s="21">
        <v>1</v>
      </c>
      <c r="D289" s="22">
        <f>7.17+4.8-0.23</f>
        <v>11.739999999999998</v>
      </c>
      <c r="E289" s="23"/>
      <c r="F289" s="23">
        <v>1</v>
      </c>
      <c r="G289" s="152">
        <f t="shared" si="68"/>
        <v>11.739999999999998</v>
      </c>
      <c r="H289" s="6"/>
      <c r="I289" s="7"/>
      <c r="J289" s="153"/>
      <c r="K289" s="23"/>
    </row>
    <row r="290" spans="1:18" ht="15" customHeight="1" x14ac:dyDescent="0.25">
      <c r="A290" s="20"/>
      <c r="B290" s="150"/>
      <c r="C290" s="21">
        <v>1</v>
      </c>
      <c r="D290" s="22">
        <f>3+0.75-0.115</f>
        <v>3.6349999999999998</v>
      </c>
      <c r="E290" s="23"/>
      <c r="F290" s="23">
        <v>1.34</v>
      </c>
      <c r="G290" s="152">
        <f t="shared" si="68"/>
        <v>4.8708999999999998</v>
      </c>
      <c r="H290" s="6"/>
      <c r="I290" s="7"/>
      <c r="J290" s="153"/>
      <c r="K290" s="23"/>
    </row>
    <row r="291" spans="1:18" ht="15" customHeight="1" x14ac:dyDescent="0.25">
      <c r="A291" s="20"/>
      <c r="B291" s="150"/>
      <c r="C291" s="21">
        <v>1</v>
      </c>
      <c r="D291" s="22">
        <v>1.03</v>
      </c>
      <c r="E291" s="23"/>
      <c r="F291" s="23">
        <v>1</v>
      </c>
      <c r="G291" s="152">
        <f t="shared" si="68"/>
        <v>1.03</v>
      </c>
      <c r="H291" s="6"/>
      <c r="I291" s="7"/>
      <c r="J291" s="153"/>
      <c r="K291" s="23"/>
    </row>
    <row r="292" spans="1:18" ht="15" customHeight="1" x14ac:dyDescent="0.25">
      <c r="A292" s="20"/>
      <c r="B292" s="150"/>
      <c r="C292" s="21">
        <v>1</v>
      </c>
      <c r="D292" s="22">
        <f>17*0.13</f>
        <v>2.21</v>
      </c>
      <c r="E292" s="23"/>
      <c r="F292" s="23">
        <v>1</v>
      </c>
      <c r="G292" s="152">
        <f t="shared" si="68"/>
        <v>2.21</v>
      </c>
      <c r="H292" s="6"/>
      <c r="I292" s="7"/>
      <c r="J292" s="153"/>
      <c r="K292" s="23"/>
    </row>
    <row r="293" spans="1:18" ht="15" customHeight="1" x14ac:dyDescent="0.25">
      <c r="A293" s="20"/>
      <c r="B293" s="150"/>
      <c r="C293" s="21">
        <v>1</v>
      </c>
      <c r="D293" s="22">
        <f>5*0.13</f>
        <v>0.65</v>
      </c>
      <c r="E293" s="23"/>
      <c r="F293" s="23">
        <v>1.335</v>
      </c>
      <c r="G293" s="152">
        <f t="shared" si="68"/>
        <v>0.86775000000000002</v>
      </c>
      <c r="H293" s="6"/>
      <c r="I293" s="7"/>
      <c r="J293" s="153"/>
      <c r="K293" s="23"/>
    </row>
    <row r="294" spans="1:18" ht="15" customHeight="1" x14ac:dyDescent="0.25">
      <c r="A294" s="20"/>
      <c r="B294" s="150" t="s">
        <v>172</v>
      </c>
      <c r="C294" s="21">
        <v>1</v>
      </c>
      <c r="D294" s="22">
        <v>6.16</v>
      </c>
      <c r="E294" s="23"/>
      <c r="F294" s="23">
        <v>0.75</v>
      </c>
      <c r="G294" s="152">
        <f t="shared" si="68"/>
        <v>4.62</v>
      </c>
      <c r="H294" s="6"/>
      <c r="I294" s="7"/>
      <c r="J294" s="153"/>
      <c r="K294" s="23"/>
    </row>
    <row r="295" spans="1:18" ht="15" customHeight="1" x14ac:dyDescent="0.25">
      <c r="A295" s="20"/>
      <c r="B295" s="150"/>
      <c r="C295" s="21">
        <v>1</v>
      </c>
      <c r="D295" s="22">
        <v>2.5</v>
      </c>
      <c r="E295" s="23"/>
      <c r="F295" s="23">
        <f>1.87+0.45</f>
        <v>2.3200000000000003</v>
      </c>
      <c r="G295" s="152">
        <f t="shared" si="68"/>
        <v>5.8000000000000007</v>
      </c>
      <c r="H295" s="6"/>
      <c r="I295" s="7"/>
      <c r="J295" s="153"/>
      <c r="K295" s="23"/>
    </row>
    <row r="296" spans="1:18" ht="15" customHeight="1" x14ac:dyDescent="0.25">
      <c r="A296" s="182"/>
      <c r="B296" s="150" t="s">
        <v>16</v>
      </c>
      <c r="C296" s="151"/>
      <c r="D296" s="152"/>
      <c r="E296" s="152"/>
      <c r="F296" s="152"/>
      <c r="G296" s="153">
        <f>SUM(G270:G295)</f>
        <v>207.23710000000005</v>
      </c>
      <c r="H296" s="153" t="s">
        <v>23</v>
      </c>
      <c r="I296" s="6">
        <v>402.23</v>
      </c>
      <c r="J296" s="154">
        <f>G296*I296</f>
        <v>83356.978733000025</v>
      </c>
      <c r="K296" s="178"/>
    </row>
    <row r="297" spans="1:18" ht="15" customHeight="1" x14ac:dyDescent="0.25">
      <c r="A297" s="20"/>
      <c r="B297" s="150" t="s">
        <v>30</v>
      </c>
      <c r="C297" s="21"/>
      <c r="D297" s="22"/>
      <c r="E297" s="23"/>
      <c r="F297" s="23"/>
      <c r="G297" s="7"/>
      <c r="H297" s="6"/>
      <c r="I297" s="7"/>
      <c r="J297" s="153">
        <f>0.13*G296*11424.1/100</f>
        <v>3077.746560343001</v>
      </c>
      <c r="K297" s="23"/>
      <c r="P297">
        <f>115/12</f>
        <v>9.5833333333333339</v>
      </c>
    </row>
    <row r="298" spans="1:18" ht="15" customHeight="1" x14ac:dyDescent="0.25">
      <c r="A298" s="20"/>
      <c r="B298" s="150"/>
      <c r="C298" s="21"/>
      <c r="D298" s="22"/>
      <c r="E298" s="23"/>
      <c r="F298" s="23"/>
      <c r="G298" s="7"/>
      <c r="H298" s="6"/>
      <c r="I298" s="7"/>
      <c r="J298" s="153"/>
      <c r="K298" s="23"/>
      <c r="P298">
        <f>212/12</f>
        <v>17.666666666666668</v>
      </c>
      <c r="R298">
        <f>10/0.5</f>
        <v>20</v>
      </c>
    </row>
    <row r="299" spans="1:18" ht="30" x14ac:dyDescent="0.25">
      <c r="A299" s="20">
        <v>19</v>
      </c>
      <c r="B299" s="139" t="s">
        <v>240</v>
      </c>
      <c r="C299" s="21"/>
      <c r="D299" s="22"/>
      <c r="E299" s="23"/>
      <c r="F299" s="23"/>
      <c r="G299" s="7" t="s">
        <v>271</v>
      </c>
      <c r="H299" s="6"/>
      <c r="I299" s="7"/>
      <c r="J299" s="153"/>
      <c r="K299" s="23"/>
    </row>
    <row r="300" spans="1:18" ht="15" customHeight="1" x14ac:dyDescent="0.25">
      <c r="A300" s="20"/>
      <c r="B300" s="150" t="s">
        <v>264</v>
      </c>
      <c r="C300" s="21">
        <v>1</v>
      </c>
      <c r="D300" s="22">
        <f>3.15</f>
        <v>3.15</v>
      </c>
      <c r="E300" s="23">
        <f>2.62+2.6+0.075*2+0.075*2</f>
        <v>5.5200000000000014</v>
      </c>
      <c r="F300" s="23"/>
      <c r="G300" s="152">
        <f t="shared" ref="G300:G310" si="71">PRODUCT(C300:F300)</f>
        <v>17.388000000000005</v>
      </c>
      <c r="H300" s="6"/>
      <c r="I300" s="7"/>
      <c r="J300" s="153"/>
      <c r="K300" s="23"/>
      <c r="M300">
        <f>2.975+0.075*2</f>
        <v>3.125</v>
      </c>
      <c r="O300">
        <f>3.43-0.24</f>
        <v>3.1900000000000004</v>
      </c>
      <c r="P300">
        <f>5.78-0.24</f>
        <v>5.54</v>
      </c>
    </row>
    <row r="301" spans="1:18" ht="15" customHeight="1" x14ac:dyDescent="0.25">
      <c r="A301" s="20"/>
      <c r="B301" s="150" t="s">
        <v>87</v>
      </c>
      <c r="C301" s="21">
        <v>1</v>
      </c>
      <c r="D301" s="22">
        <f>3.65</f>
        <v>3.65</v>
      </c>
      <c r="E301" s="23">
        <f>10/12/3.281</f>
        <v>0.25398760540485626</v>
      </c>
      <c r="F301" s="23"/>
      <c r="G301" s="152">
        <f t="shared" si="71"/>
        <v>0.92705475972772533</v>
      </c>
      <c r="H301" s="6"/>
      <c r="I301" s="7"/>
      <c r="J301" s="153"/>
      <c r="K301" s="23"/>
    </row>
    <row r="302" spans="1:18" ht="15" customHeight="1" x14ac:dyDescent="0.25">
      <c r="A302" s="20"/>
      <c r="B302" s="150"/>
      <c r="C302" s="21">
        <v>1</v>
      </c>
      <c r="D302" s="22">
        <v>3.65</v>
      </c>
      <c r="E302" s="23">
        <f>4/12/3.281</f>
        <v>0.10159504216194248</v>
      </c>
      <c r="F302" s="23"/>
      <c r="G302" s="152">
        <f t="shared" si="71"/>
        <v>0.37082190389109004</v>
      </c>
      <c r="H302" s="6"/>
      <c r="I302" s="7"/>
      <c r="J302" s="153"/>
      <c r="K302" s="23"/>
    </row>
    <row r="303" spans="1:18" ht="15" customHeight="1" x14ac:dyDescent="0.25">
      <c r="A303" s="20"/>
      <c r="B303" s="150"/>
      <c r="C303" s="21">
        <v>1</v>
      </c>
      <c r="D303" s="22">
        <f>6.15+(4/12/3.281)+(10/12/3.281)</f>
        <v>6.5055826475667997</v>
      </c>
      <c r="E303" s="23">
        <f>10/12/3.281</f>
        <v>0.25398760540485626</v>
      </c>
      <c r="F303" s="23"/>
      <c r="G303" s="152">
        <f t="shared" si="71"/>
        <v>1.6523373584188765</v>
      </c>
      <c r="H303" s="6"/>
      <c r="I303" s="7"/>
      <c r="J303" s="153"/>
      <c r="K303" s="23"/>
      <c r="O303" s="44">
        <f>SUM(G301:G304)</f>
        <v>3.6111489654052424</v>
      </c>
    </row>
    <row r="304" spans="1:18" ht="15" customHeight="1" x14ac:dyDescent="0.25">
      <c r="A304" s="20"/>
      <c r="B304" s="150"/>
      <c r="C304" s="21">
        <v>1</v>
      </c>
      <c r="D304" s="22">
        <f>6.15+(4/12/3.281)+(10/12/3.281)</f>
        <v>6.5055826475667997</v>
      </c>
      <c r="E304" s="23">
        <f>4/12/3.281</f>
        <v>0.10159504216194248</v>
      </c>
      <c r="F304" s="23"/>
      <c r="G304" s="152">
        <f t="shared" si="71"/>
        <v>0.66093494336755043</v>
      </c>
      <c r="H304" s="6"/>
      <c r="I304" s="7"/>
      <c r="J304" s="153"/>
      <c r="K304" s="23"/>
    </row>
    <row r="305" spans="1:17" ht="15" customHeight="1" x14ac:dyDescent="0.25">
      <c r="A305" s="20"/>
      <c r="B305" s="150" t="s">
        <v>241</v>
      </c>
      <c r="C305" s="21">
        <v>1</v>
      </c>
      <c r="D305" s="22">
        <f>2.535+0.075*2</f>
        <v>2.6850000000000001</v>
      </c>
      <c r="E305" s="23">
        <f>0.075*2+(2.94+3)/2</f>
        <v>3.1199999999999997</v>
      </c>
      <c r="F305" s="23"/>
      <c r="G305" s="152">
        <f t="shared" si="71"/>
        <v>8.3771999999999984</v>
      </c>
      <c r="H305" s="6"/>
      <c r="I305" s="7"/>
      <c r="J305" s="153"/>
      <c r="K305" s="23"/>
      <c r="M305">
        <f>2.975+0.075*2</f>
        <v>3.125</v>
      </c>
    </row>
    <row r="306" spans="1:17" ht="15" customHeight="1" x14ac:dyDescent="0.25">
      <c r="A306" s="20"/>
      <c r="B306" s="150"/>
      <c r="C306" s="21">
        <v>1</v>
      </c>
      <c r="D306" s="22">
        <f>0.075*2+2.595</f>
        <v>2.7450000000000001</v>
      </c>
      <c r="E306" s="23">
        <f>0.075*2+2.94</f>
        <v>3.09</v>
      </c>
      <c r="F306" s="23"/>
      <c r="G306" s="152">
        <f t="shared" si="71"/>
        <v>8.4820499999999992</v>
      </c>
      <c r="H306" s="6"/>
      <c r="I306" s="7"/>
      <c r="J306" s="153"/>
      <c r="K306" s="23"/>
      <c r="O306" s="44"/>
    </row>
    <row r="307" spans="1:17" ht="15" customHeight="1" x14ac:dyDescent="0.25">
      <c r="A307" s="20"/>
      <c r="B307" s="150" t="s">
        <v>87</v>
      </c>
      <c r="C307" s="21">
        <v>1</v>
      </c>
      <c r="D307" s="22">
        <f>3.65</f>
        <v>3.65</v>
      </c>
      <c r="E307" s="23">
        <f>0.435</f>
        <v>0.435</v>
      </c>
      <c r="F307" s="23"/>
      <c r="G307" s="152">
        <f t="shared" si="71"/>
        <v>1.58775</v>
      </c>
      <c r="H307" s="6"/>
      <c r="I307" s="7"/>
      <c r="J307" s="153"/>
      <c r="K307" s="23"/>
      <c r="N307">
        <f>5.66</f>
        <v>5.66</v>
      </c>
      <c r="O307">
        <v>3.16</v>
      </c>
      <c r="P307">
        <f>N307*O307</f>
        <v>17.8856</v>
      </c>
      <c r="Q307" s="44">
        <f>SUM(G307:G310)</f>
        <v>6.8880749999999997</v>
      </c>
    </row>
    <row r="308" spans="1:17" ht="15" customHeight="1" x14ac:dyDescent="0.25">
      <c r="A308" s="20"/>
      <c r="B308" s="150"/>
      <c r="C308" s="21">
        <v>1</v>
      </c>
      <c r="D308" s="22">
        <f>3.65</f>
        <v>3.65</v>
      </c>
      <c r="E308" s="23">
        <v>0.27</v>
      </c>
      <c r="F308" s="23"/>
      <c r="G308" s="152">
        <f t="shared" si="71"/>
        <v>0.98550000000000004</v>
      </c>
      <c r="H308" s="6"/>
      <c r="I308" s="7"/>
      <c r="J308" s="153"/>
      <c r="K308" s="23"/>
    </row>
    <row r="309" spans="1:17" ht="15" customHeight="1" x14ac:dyDescent="0.25">
      <c r="A309" s="20"/>
      <c r="B309" s="150"/>
      <c r="C309" s="21">
        <v>1</v>
      </c>
      <c r="D309" s="22">
        <f>6.16+0.375+0.26</f>
        <v>6.7949999999999999</v>
      </c>
      <c r="E309" s="23">
        <v>0.375</v>
      </c>
      <c r="F309" s="23"/>
      <c r="G309" s="152">
        <f t="shared" si="71"/>
        <v>2.5481249999999998</v>
      </c>
      <c r="H309" s="6"/>
      <c r="I309" s="7"/>
      <c r="J309" s="153"/>
      <c r="K309" s="23"/>
      <c r="M309">
        <f>6.9-0.05</f>
        <v>6.8500000000000005</v>
      </c>
    </row>
    <row r="310" spans="1:17" ht="15" customHeight="1" x14ac:dyDescent="0.25">
      <c r="A310" s="20"/>
      <c r="B310" s="150"/>
      <c r="C310" s="21">
        <v>1</v>
      </c>
      <c r="D310" s="22">
        <f>6.16+0.375+0.26</f>
        <v>6.7949999999999999</v>
      </c>
      <c r="E310" s="23">
        <v>0.26</v>
      </c>
      <c r="F310" s="23"/>
      <c r="G310" s="152">
        <f t="shared" si="71"/>
        <v>1.7666999999999999</v>
      </c>
      <c r="H310" s="6"/>
      <c r="I310" s="7"/>
      <c r="J310" s="153"/>
      <c r="K310" s="23"/>
    </row>
    <row r="311" spans="1:17" ht="15" customHeight="1" x14ac:dyDescent="0.25">
      <c r="A311" s="182"/>
      <c r="B311" s="150" t="s">
        <v>16</v>
      </c>
      <c r="C311" s="151"/>
      <c r="D311" s="152"/>
      <c r="E311" s="152"/>
      <c r="F311" s="152"/>
      <c r="G311" s="153">
        <f>SUM(G300:G310)</f>
        <v>44.746473965405244</v>
      </c>
      <c r="H311" s="153" t="s">
        <v>23</v>
      </c>
      <c r="I311" s="6">
        <v>277.02999999999997</v>
      </c>
      <c r="J311" s="154">
        <f>G311*I311</f>
        <v>12396.115682636213</v>
      </c>
      <c r="K311" s="178"/>
    </row>
    <row r="312" spans="1:17" ht="15" customHeight="1" x14ac:dyDescent="0.25">
      <c r="A312" s="20"/>
      <c r="B312" s="150" t="s">
        <v>30</v>
      </c>
      <c r="C312" s="21"/>
      <c r="D312" s="22"/>
      <c r="E312" s="23"/>
      <c r="F312" s="23"/>
      <c r="G312" s="7"/>
      <c r="H312" s="6"/>
      <c r="I312" s="7"/>
      <c r="J312" s="153">
        <f>0.13*G311*670.32/10</f>
        <v>389.92793357037579</v>
      </c>
      <c r="K312" s="23"/>
    </row>
    <row r="313" spans="1:17" ht="15" customHeight="1" x14ac:dyDescent="0.25">
      <c r="A313" s="20"/>
      <c r="B313" s="150"/>
      <c r="C313" s="21"/>
      <c r="D313" s="22"/>
      <c r="E313" s="23"/>
      <c r="F313" s="23"/>
      <c r="G313" s="7"/>
      <c r="H313" s="6"/>
      <c r="I313" s="7"/>
      <c r="J313" s="153"/>
      <c r="K313" s="23"/>
    </row>
    <row r="314" spans="1:17" ht="30" x14ac:dyDescent="0.25">
      <c r="A314" s="20">
        <v>20</v>
      </c>
      <c r="B314" s="139" t="s">
        <v>100</v>
      </c>
      <c r="C314" s="21"/>
      <c r="D314" s="22"/>
      <c r="E314" s="23"/>
      <c r="F314" s="23"/>
      <c r="G314" s="7"/>
      <c r="H314" s="6"/>
      <c r="I314" s="7"/>
      <c r="J314" s="153"/>
      <c r="K314" s="23"/>
      <c r="N314">
        <f>8704/16</f>
        <v>544</v>
      </c>
      <c r="O314">
        <f>4817/9</f>
        <v>535.22222222222217</v>
      </c>
    </row>
    <row r="315" spans="1:17" ht="15" customHeight="1" x14ac:dyDescent="0.25">
      <c r="A315" s="20"/>
      <c r="B315" s="150" t="s">
        <v>147</v>
      </c>
      <c r="C315" s="21">
        <v>1</v>
      </c>
      <c r="D315" s="22">
        <f>6.6*2+4.135+4.15</f>
        <v>21.484999999999999</v>
      </c>
      <c r="E315" s="23"/>
      <c r="F315" s="23"/>
      <c r="G315" s="152">
        <f t="shared" ref="G315:G316" si="72">PRODUCT(C315:F315)</f>
        <v>21.484999999999999</v>
      </c>
      <c r="H315" s="6"/>
      <c r="I315" s="7"/>
      <c r="J315" s="153"/>
      <c r="K315" s="23"/>
    </row>
    <row r="316" spans="1:17" ht="15" customHeight="1" x14ac:dyDescent="0.25">
      <c r="A316" s="20"/>
      <c r="B316" s="150" t="s">
        <v>146</v>
      </c>
      <c r="C316" s="21">
        <v>1</v>
      </c>
      <c r="D316" s="22">
        <f>6.91*2+4.44*2</f>
        <v>22.700000000000003</v>
      </c>
      <c r="E316" s="23"/>
      <c r="F316" s="23"/>
      <c r="G316" s="152">
        <f t="shared" si="72"/>
        <v>22.700000000000003</v>
      </c>
      <c r="H316" s="6"/>
      <c r="I316" s="7"/>
      <c r="J316" s="153"/>
      <c r="K316" s="23"/>
    </row>
    <row r="317" spans="1:17" ht="15" customHeight="1" x14ac:dyDescent="0.25">
      <c r="A317" s="182"/>
      <c r="B317" s="150" t="s">
        <v>16</v>
      </c>
      <c r="C317" s="151"/>
      <c r="D317" s="152"/>
      <c r="E317" s="152"/>
      <c r="F317" s="152"/>
      <c r="G317" s="153">
        <f>SUM(G315:G316)</f>
        <v>44.185000000000002</v>
      </c>
      <c r="H317" s="153" t="s">
        <v>148</v>
      </c>
      <c r="I317" s="6">
        <v>150.04</v>
      </c>
      <c r="J317" s="154">
        <f>G317*I317</f>
        <v>6629.5173999999997</v>
      </c>
      <c r="K317" s="178"/>
    </row>
    <row r="318" spans="1:17" ht="15" customHeight="1" x14ac:dyDescent="0.25">
      <c r="A318" s="20"/>
      <c r="B318" s="150" t="s">
        <v>30</v>
      </c>
      <c r="C318" s="21"/>
      <c r="D318" s="22"/>
      <c r="E318" s="23"/>
      <c r="F318" s="23"/>
      <c r="G318" s="7"/>
      <c r="H318" s="6"/>
      <c r="I318" s="7"/>
      <c r="J318" s="153">
        <f>0.13*G317*111.05</f>
        <v>637.87675250000007</v>
      </c>
      <c r="K318" s="23"/>
    </row>
    <row r="319" spans="1:17" ht="15" customHeight="1" x14ac:dyDescent="0.25">
      <c r="A319" s="20"/>
      <c r="B319" s="150"/>
      <c r="C319" s="21"/>
      <c r="D319" s="22"/>
      <c r="E319" s="23"/>
      <c r="F319" s="23"/>
      <c r="G319" s="7"/>
      <c r="H319" s="6"/>
      <c r="I319" s="7"/>
      <c r="J319" s="153"/>
      <c r="K319" s="23"/>
    </row>
    <row r="320" spans="1:17" ht="30" x14ac:dyDescent="0.25">
      <c r="A320" s="20">
        <v>21</v>
      </c>
      <c r="B320" s="139" t="s">
        <v>246</v>
      </c>
      <c r="C320" s="21"/>
      <c r="D320" s="22"/>
      <c r="E320" s="23"/>
      <c r="F320" s="23"/>
      <c r="G320" s="7"/>
      <c r="H320" s="6"/>
      <c r="I320" s="7"/>
      <c r="J320" s="153"/>
      <c r="K320" s="23"/>
    </row>
    <row r="321" spans="1:18" ht="15" customHeight="1" x14ac:dyDescent="0.25">
      <c r="A321" s="20"/>
      <c r="B321" s="150" t="s">
        <v>78</v>
      </c>
      <c r="C321" s="21">
        <v>1</v>
      </c>
      <c r="D321" s="22">
        <f>0.33+1.71+0.1+0.33*4*2+0.33</f>
        <v>5.1100000000000003</v>
      </c>
      <c r="E321" s="23"/>
      <c r="F321" s="23">
        <v>2.63</v>
      </c>
      <c r="G321" s="152">
        <f t="shared" ref="G321:G334" si="73">PRODUCT(C321:F321)</f>
        <v>13.439300000000001</v>
      </c>
      <c r="H321" s="6"/>
      <c r="I321" s="7"/>
      <c r="J321" s="153"/>
      <c r="K321" s="23"/>
      <c r="N321">
        <v>18.16</v>
      </c>
    </row>
    <row r="322" spans="1:18" ht="15" customHeight="1" x14ac:dyDescent="0.25">
      <c r="A322" s="20"/>
      <c r="B322" s="150"/>
      <c r="C322" s="21">
        <v>1</v>
      </c>
      <c r="D322" s="22">
        <f>3.42</f>
        <v>3.42</v>
      </c>
      <c r="E322" s="23"/>
      <c r="F322" s="23">
        <v>1.29</v>
      </c>
      <c r="G322" s="152">
        <f t="shared" si="73"/>
        <v>4.4118000000000004</v>
      </c>
      <c r="H322" s="6"/>
      <c r="I322" s="7"/>
      <c r="J322" s="153"/>
      <c r="K322" s="23"/>
    </row>
    <row r="323" spans="1:18" ht="15" customHeight="1" x14ac:dyDescent="0.25">
      <c r="A323" s="20"/>
      <c r="B323" s="150"/>
      <c r="C323" s="21">
        <v>1</v>
      </c>
      <c r="D323" s="22">
        <f>0.23+0.33+2.595+0.32+2.62+0.33</f>
        <v>6.4250000000000007</v>
      </c>
      <c r="E323" s="23"/>
      <c r="F323" s="23">
        <f>F321/2</f>
        <v>1.3149999999999999</v>
      </c>
      <c r="G323" s="152">
        <f t="shared" ref="G323" si="74">PRODUCT(C323:F323)</f>
        <v>8.448875000000001</v>
      </c>
      <c r="H323" s="6"/>
      <c r="I323" s="7"/>
      <c r="J323" s="153"/>
      <c r="K323" s="23"/>
    </row>
    <row r="324" spans="1:18" ht="15" customHeight="1" x14ac:dyDescent="0.25">
      <c r="A324" s="20"/>
      <c r="B324" s="150" t="s">
        <v>168</v>
      </c>
      <c r="C324" s="21">
        <v>1</v>
      </c>
      <c r="D324" s="22">
        <f>6.16*2+3.65*2</f>
        <v>19.62</v>
      </c>
      <c r="E324" s="23"/>
      <c r="F324" s="23">
        <v>2.42</v>
      </c>
      <c r="G324" s="152">
        <f t="shared" si="73"/>
        <v>47.480400000000003</v>
      </c>
      <c r="H324" s="6"/>
      <c r="I324" s="7"/>
      <c r="J324" s="153"/>
      <c r="K324" s="23"/>
    </row>
    <row r="325" spans="1:18" ht="15" hidden="1" customHeight="1" x14ac:dyDescent="0.25">
      <c r="A325" s="20"/>
      <c r="B325" s="150"/>
      <c r="C325" s="21">
        <v>0</v>
      </c>
      <c r="D325" s="22">
        <f>5.66</f>
        <v>5.66</v>
      </c>
      <c r="E325" s="23"/>
      <c r="F325" s="23">
        <v>2.42</v>
      </c>
      <c r="G325" s="152">
        <f t="shared" si="73"/>
        <v>0</v>
      </c>
      <c r="H325" s="6"/>
      <c r="I325" s="7"/>
      <c r="J325" s="153"/>
      <c r="K325" s="23"/>
      <c r="N325">
        <f>6.16-0.6+0.15</f>
        <v>5.7100000000000009</v>
      </c>
    </row>
    <row r="326" spans="1:18" ht="15" hidden="1" customHeight="1" x14ac:dyDescent="0.25">
      <c r="A326" s="20"/>
      <c r="B326" s="150"/>
      <c r="C326" s="21">
        <v>0</v>
      </c>
      <c r="D326" s="22">
        <v>3.16</v>
      </c>
      <c r="E326" s="23"/>
      <c r="F326" s="23">
        <v>2.42</v>
      </c>
      <c r="G326" s="152">
        <f t="shared" ref="G326" si="75">PRODUCT(C326:F326)</f>
        <v>0</v>
      </c>
      <c r="H326" s="6"/>
      <c r="I326" s="7"/>
      <c r="J326" s="153"/>
      <c r="K326" s="23"/>
    </row>
    <row r="327" spans="1:18" ht="15" hidden="1" customHeight="1" x14ac:dyDescent="0.25">
      <c r="A327" s="20"/>
      <c r="B327" s="150"/>
      <c r="C327" s="21">
        <v>0</v>
      </c>
      <c r="D327" s="22">
        <f>0.15*2</f>
        <v>0.3</v>
      </c>
      <c r="E327" s="23"/>
      <c r="F327" s="23">
        <v>2.42</v>
      </c>
      <c r="G327" s="152">
        <f t="shared" ref="G327" si="76">PRODUCT(C327:F327)</f>
        <v>0</v>
      </c>
      <c r="H327" s="6"/>
      <c r="I327" s="7"/>
      <c r="J327" s="153"/>
      <c r="K327" s="23"/>
    </row>
    <row r="328" spans="1:18" ht="15" customHeight="1" x14ac:dyDescent="0.25">
      <c r="A328" s="20"/>
      <c r="B328" s="150" t="s">
        <v>95</v>
      </c>
      <c r="C328" s="21">
        <f>-1</f>
        <v>-1</v>
      </c>
      <c r="D328" s="22">
        <v>1.38</v>
      </c>
      <c r="E328" s="23"/>
      <c r="F328" s="23">
        <v>1.2</v>
      </c>
      <c r="G328" s="152">
        <f t="shared" si="73"/>
        <v>-1.6559999999999999</v>
      </c>
      <c r="H328" s="6"/>
      <c r="I328" s="7"/>
      <c r="J328" s="153"/>
      <c r="K328" s="23"/>
      <c r="Q328">
        <f>3.61*3.281</f>
        <v>11.84441</v>
      </c>
      <c r="R328">
        <f>3.635*3.281</f>
        <v>11.926435</v>
      </c>
    </row>
    <row r="329" spans="1:18" ht="15" customHeight="1" x14ac:dyDescent="0.25">
      <c r="A329" s="20"/>
      <c r="B329" s="150"/>
      <c r="C329" s="21">
        <f>-1</f>
        <v>-1</v>
      </c>
      <c r="D329" s="22">
        <v>1.42</v>
      </c>
      <c r="E329" s="23"/>
      <c r="F329" s="23">
        <v>1.2</v>
      </c>
      <c r="G329" s="152">
        <f t="shared" si="73"/>
        <v>-1.704</v>
      </c>
      <c r="H329" s="6"/>
      <c r="I329" s="7"/>
      <c r="J329" s="153"/>
      <c r="K329" s="23"/>
    </row>
    <row r="330" spans="1:18" ht="15" customHeight="1" x14ac:dyDescent="0.25">
      <c r="A330" s="20"/>
      <c r="B330" s="150"/>
      <c r="C330" s="21">
        <f>-1</f>
        <v>-1</v>
      </c>
      <c r="D330" s="22">
        <v>1.55</v>
      </c>
      <c r="E330" s="23"/>
      <c r="F330" s="23">
        <v>1.2</v>
      </c>
      <c r="G330" s="152">
        <f t="shared" si="73"/>
        <v>-1.8599999999999999</v>
      </c>
      <c r="H330" s="6"/>
      <c r="I330" s="7"/>
      <c r="J330" s="153"/>
      <c r="K330" s="23"/>
    </row>
    <row r="331" spans="1:18" ht="15" customHeight="1" x14ac:dyDescent="0.25">
      <c r="A331" s="20"/>
      <c r="B331" s="150" t="s">
        <v>244</v>
      </c>
      <c r="C331" s="21">
        <v>1</v>
      </c>
      <c r="D331" s="22">
        <f>4.47*2+6.92*2</f>
        <v>22.78</v>
      </c>
      <c r="E331" s="23"/>
      <c r="F331" s="23">
        <v>0.15</v>
      </c>
      <c r="G331" s="152">
        <f t="shared" si="73"/>
        <v>3.4170000000000003</v>
      </c>
      <c r="H331" s="6"/>
      <c r="I331" s="7"/>
      <c r="J331" s="153"/>
      <c r="K331" s="23"/>
    </row>
    <row r="332" spans="1:18" ht="15" customHeight="1" x14ac:dyDescent="0.25">
      <c r="A332" s="20"/>
      <c r="B332" s="150"/>
      <c r="C332" s="21">
        <v>1</v>
      </c>
      <c r="D332" s="22">
        <f>4.235*2+6.65*2</f>
        <v>21.770000000000003</v>
      </c>
      <c r="E332" s="23"/>
      <c r="F332" s="23">
        <v>0.15</v>
      </c>
      <c r="G332" s="152">
        <f t="shared" si="73"/>
        <v>3.2655000000000003</v>
      </c>
      <c r="H332" s="6"/>
      <c r="I332" s="7"/>
      <c r="J332" s="153"/>
      <c r="K332" s="23"/>
    </row>
    <row r="333" spans="1:18" ht="15" hidden="1" customHeight="1" x14ac:dyDescent="0.25">
      <c r="A333" s="20"/>
      <c r="B333" s="150"/>
      <c r="C333" s="21">
        <v>1</v>
      </c>
      <c r="D333" s="22">
        <f>1.14+0.96+0.96-0.23+1.14-0.23</f>
        <v>3.7399999999999998</v>
      </c>
      <c r="E333" s="23"/>
      <c r="F333" s="23">
        <v>0.15</v>
      </c>
      <c r="G333" s="152">
        <f>0*PRODUCT(C333:F333)</f>
        <v>0</v>
      </c>
      <c r="H333" s="6"/>
      <c r="I333" s="7"/>
      <c r="J333" s="153"/>
      <c r="K333" s="23"/>
    </row>
    <row r="334" spans="1:18" ht="15" customHeight="1" x14ac:dyDescent="0.25">
      <c r="A334" s="20"/>
      <c r="B334" s="150" t="s">
        <v>247</v>
      </c>
      <c r="C334" s="21">
        <v>1</v>
      </c>
      <c r="D334" s="22">
        <f>6.65*2+4.15*2+6.93*2+4.45*2</f>
        <v>44.36</v>
      </c>
      <c r="E334" s="23"/>
      <c r="F334" s="23">
        <v>0.13</v>
      </c>
      <c r="G334" s="152">
        <f t="shared" si="73"/>
        <v>5.7667999999999999</v>
      </c>
      <c r="H334" s="6"/>
      <c r="I334" s="7"/>
      <c r="J334" s="153"/>
      <c r="K334" s="23"/>
    </row>
    <row r="335" spans="1:18" ht="15" customHeight="1" x14ac:dyDescent="0.25">
      <c r="A335" s="20"/>
      <c r="B335" s="150" t="s">
        <v>170</v>
      </c>
      <c r="C335" s="21">
        <v>2</v>
      </c>
      <c r="D335" s="22">
        <v>3.8</v>
      </c>
      <c r="E335" s="23"/>
      <c r="F335" s="23">
        <v>1.74</v>
      </c>
      <c r="G335" s="152">
        <f t="shared" ref="G335:G359" si="77">PRODUCT(C335:F335)</f>
        <v>13.224</v>
      </c>
      <c r="H335" s="6"/>
      <c r="I335" s="7"/>
      <c r="J335" s="153"/>
      <c r="K335" s="23"/>
    </row>
    <row r="336" spans="1:18" ht="15" customHeight="1" x14ac:dyDescent="0.25">
      <c r="A336" s="20"/>
      <c r="B336" s="150"/>
      <c r="C336" s="21">
        <v>2</v>
      </c>
      <c r="D336" s="22">
        <v>3.81</v>
      </c>
      <c r="E336" s="23"/>
      <c r="F336" s="23">
        <v>1.74</v>
      </c>
      <c r="G336" s="152">
        <f t="shared" si="77"/>
        <v>13.258800000000001</v>
      </c>
      <c r="H336" s="6"/>
      <c r="I336" s="7"/>
      <c r="J336" s="153"/>
      <c r="K336" s="23"/>
    </row>
    <row r="337" spans="1:18" ht="15" customHeight="1" x14ac:dyDescent="0.25">
      <c r="A337" s="20"/>
      <c r="B337" s="150" t="s">
        <v>76</v>
      </c>
      <c r="C337" s="21">
        <v>-1</v>
      </c>
      <c r="D337" s="22">
        <v>0.64</v>
      </c>
      <c r="E337" s="23"/>
      <c r="F337" s="23">
        <v>0.78</v>
      </c>
      <c r="G337" s="152">
        <f t="shared" si="77"/>
        <v>-0.49920000000000003</v>
      </c>
      <c r="H337" s="6"/>
      <c r="I337" s="7"/>
      <c r="J337" s="153"/>
      <c r="K337" s="23"/>
    </row>
    <row r="338" spans="1:18" ht="15" customHeight="1" x14ac:dyDescent="0.25">
      <c r="A338" s="20"/>
      <c r="B338" s="150"/>
      <c r="C338" s="21">
        <v>-1</v>
      </c>
      <c r="D338" s="22">
        <v>0.62</v>
      </c>
      <c r="E338" s="23"/>
      <c r="F338" s="23">
        <v>0.81</v>
      </c>
      <c r="G338" s="152">
        <f t="shared" si="77"/>
        <v>-0.50219999999999998</v>
      </c>
      <c r="H338" s="6"/>
      <c r="I338" s="7"/>
      <c r="J338" s="153"/>
      <c r="K338" s="23"/>
    </row>
    <row r="339" spans="1:18" ht="15" customHeight="1" x14ac:dyDescent="0.25">
      <c r="A339" s="20"/>
      <c r="B339" s="150" t="s">
        <v>171</v>
      </c>
      <c r="C339" s="21">
        <v>-1</v>
      </c>
      <c r="D339" s="22">
        <v>1.1200000000000001</v>
      </c>
      <c r="E339" s="23"/>
      <c r="F339" s="23">
        <v>1.74</v>
      </c>
      <c r="G339" s="152">
        <f t="shared" si="77"/>
        <v>-1.9488000000000001</v>
      </c>
      <c r="H339" s="6"/>
      <c r="I339" s="7"/>
      <c r="J339" s="153"/>
      <c r="K339" s="23"/>
      <c r="N339" s="44">
        <f>SUM(J368:J396)</f>
        <v>59880.214887994007</v>
      </c>
      <c r="Q339">
        <f>0.14*10</f>
        <v>1.4000000000000001</v>
      </c>
      <c r="R339">
        <f>1.4+0.32</f>
        <v>1.72</v>
      </c>
    </row>
    <row r="340" spans="1:18" ht="15" customHeight="1" x14ac:dyDescent="0.25">
      <c r="A340" s="20"/>
      <c r="B340" s="150"/>
      <c r="C340" s="21">
        <v>-1</v>
      </c>
      <c r="D340" s="22">
        <v>0.74</v>
      </c>
      <c r="E340" s="23"/>
      <c r="F340" s="23">
        <v>0.86</v>
      </c>
      <c r="G340" s="152">
        <f t="shared" si="77"/>
        <v>-0.63639999999999997</v>
      </c>
      <c r="H340" s="6"/>
      <c r="I340" s="7"/>
      <c r="J340" s="153"/>
      <c r="K340" s="23"/>
    </row>
    <row r="341" spans="1:18" ht="15" customHeight="1" x14ac:dyDescent="0.25">
      <c r="A341" s="20"/>
      <c r="B341" s="150"/>
      <c r="C341" s="21">
        <v>-1</v>
      </c>
      <c r="D341" s="22">
        <v>0.375</v>
      </c>
      <c r="E341" s="23"/>
      <c r="F341" s="23">
        <v>0.45</v>
      </c>
      <c r="G341" s="152">
        <f t="shared" si="77"/>
        <v>-0.16875000000000001</v>
      </c>
      <c r="H341" s="6"/>
      <c r="I341" s="7"/>
      <c r="J341" s="153"/>
      <c r="K341" s="23"/>
    </row>
    <row r="342" spans="1:18" ht="15" customHeight="1" x14ac:dyDescent="0.25">
      <c r="A342" s="20"/>
      <c r="B342" s="150"/>
      <c r="C342" s="21">
        <v>-1</v>
      </c>
      <c r="D342" s="22">
        <v>0.74</v>
      </c>
      <c r="E342" s="23"/>
      <c r="F342" s="23">
        <v>0.87</v>
      </c>
      <c r="G342" s="152">
        <f t="shared" si="77"/>
        <v>-0.64380000000000004</v>
      </c>
      <c r="H342" s="6"/>
      <c r="I342" s="7"/>
      <c r="J342" s="153"/>
      <c r="K342" s="23"/>
    </row>
    <row r="343" spans="1:18" ht="15" customHeight="1" x14ac:dyDescent="0.25">
      <c r="A343" s="20"/>
      <c r="B343" s="150"/>
      <c r="C343" s="21">
        <v>-1</v>
      </c>
      <c r="D343" s="22">
        <v>0.45</v>
      </c>
      <c r="E343" s="23"/>
      <c r="F343" s="23">
        <v>0.27</v>
      </c>
      <c r="G343" s="152">
        <f t="shared" si="77"/>
        <v>-0.12150000000000001</v>
      </c>
      <c r="H343" s="6"/>
      <c r="I343" s="7"/>
      <c r="J343" s="153"/>
      <c r="K343" s="23"/>
    </row>
    <row r="344" spans="1:18" ht="15" customHeight="1" x14ac:dyDescent="0.25">
      <c r="A344" s="20"/>
      <c r="B344" s="150" t="s">
        <v>272</v>
      </c>
      <c r="C344" s="21">
        <v>1</v>
      </c>
      <c r="D344" s="22">
        <v>4.91</v>
      </c>
      <c r="E344" s="23"/>
      <c r="F344" s="23">
        <v>1.24</v>
      </c>
      <c r="G344" s="152">
        <f t="shared" si="77"/>
        <v>6.0884</v>
      </c>
      <c r="H344" s="6"/>
      <c r="I344" s="7"/>
      <c r="J344" s="153"/>
      <c r="K344" s="23"/>
    </row>
    <row r="345" spans="1:18" ht="15" customHeight="1" x14ac:dyDescent="0.25">
      <c r="A345" s="20"/>
      <c r="B345" s="150"/>
      <c r="C345" s="21">
        <v>1</v>
      </c>
      <c r="D345" s="22">
        <v>0.49</v>
      </c>
      <c r="E345" s="23"/>
      <c r="F345" s="23">
        <v>1.38</v>
      </c>
      <c r="G345" s="152">
        <f t="shared" si="77"/>
        <v>0.67619999999999991</v>
      </c>
      <c r="H345" s="6"/>
      <c r="I345" s="7"/>
      <c r="J345" s="153"/>
      <c r="K345" s="23"/>
    </row>
    <row r="346" spans="1:18" ht="15" customHeight="1" x14ac:dyDescent="0.25">
      <c r="A346" s="20"/>
      <c r="B346" s="150"/>
      <c r="C346" s="21">
        <v>1</v>
      </c>
      <c r="D346" s="22">
        <v>0.63</v>
      </c>
      <c r="E346" s="23"/>
      <c r="F346" s="23">
        <v>1.0900000000000001</v>
      </c>
      <c r="G346" s="152">
        <f t="shared" si="77"/>
        <v>0.68670000000000009</v>
      </c>
      <c r="H346" s="6"/>
      <c r="I346" s="7"/>
      <c r="J346" s="153"/>
      <c r="K346" s="23"/>
    </row>
    <row r="347" spans="1:18" ht="15" customHeight="1" x14ac:dyDescent="0.25">
      <c r="A347" s="20"/>
      <c r="B347" s="150"/>
      <c r="C347" s="21">
        <v>1</v>
      </c>
      <c r="D347" s="22">
        <v>0.62</v>
      </c>
      <c r="E347" s="23"/>
      <c r="F347" s="23">
        <v>1.1599999999999999</v>
      </c>
      <c r="G347" s="152">
        <f t="shared" si="77"/>
        <v>0.71919999999999995</v>
      </c>
      <c r="H347" s="6"/>
      <c r="I347" s="7"/>
      <c r="J347" s="153"/>
      <c r="K347" s="23"/>
    </row>
    <row r="348" spans="1:18" ht="15" customHeight="1" x14ac:dyDescent="0.25">
      <c r="A348" s="20"/>
      <c r="B348" s="150"/>
      <c r="C348" s="192">
        <v>0.5</v>
      </c>
      <c r="D348" s="22">
        <v>0.92</v>
      </c>
      <c r="E348" s="23"/>
      <c r="F348" s="23">
        <v>1.1200000000000001</v>
      </c>
      <c r="G348" s="152">
        <f t="shared" si="77"/>
        <v>0.5152000000000001</v>
      </c>
      <c r="H348" s="6"/>
      <c r="I348" s="7"/>
      <c r="J348" s="153"/>
      <c r="K348" s="23"/>
    </row>
    <row r="349" spans="1:18" ht="15" customHeight="1" x14ac:dyDescent="0.25">
      <c r="A349" s="20"/>
      <c r="B349" s="150"/>
      <c r="C349" s="21">
        <v>1</v>
      </c>
      <c r="D349" s="22">
        <v>0.62</v>
      </c>
      <c r="E349" s="23"/>
      <c r="F349" s="23">
        <v>1.1499999999999999</v>
      </c>
      <c r="G349" s="152">
        <f t="shared" si="77"/>
        <v>0.71299999999999997</v>
      </c>
      <c r="H349" s="6"/>
      <c r="I349" s="7"/>
      <c r="J349" s="153"/>
      <c r="K349" s="23"/>
    </row>
    <row r="350" spans="1:18" ht="15" customHeight="1" x14ac:dyDescent="0.25">
      <c r="A350" s="20"/>
      <c r="B350" s="150"/>
      <c r="C350" s="21">
        <v>1</v>
      </c>
      <c r="D350" s="22">
        <v>0.63</v>
      </c>
      <c r="E350" s="23"/>
      <c r="F350" s="23">
        <v>2.02</v>
      </c>
      <c r="G350" s="152">
        <f t="shared" si="77"/>
        <v>1.2726</v>
      </c>
      <c r="H350" s="6"/>
      <c r="I350" s="7"/>
      <c r="J350" s="153"/>
      <c r="K350" s="23"/>
    </row>
    <row r="351" spans="1:18" ht="15" customHeight="1" x14ac:dyDescent="0.25">
      <c r="A351" s="20"/>
      <c r="B351" s="150"/>
      <c r="C351" s="21">
        <v>1</v>
      </c>
      <c r="D351" s="22">
        <v>0.63</v>
      </c>
      <c r="E351" s="23"/>
      <c r="F351" s="23">
        <v>1.23</v>
      </c>
      <c r="G351" s="152">
        <f t="shared" si="77"/>
        <v>0.77490000000000003</v>
      </c>
      <c r="H351" s="6"/>
      <c r="I351" s="7"/>
      <c r="J351" s="153"/>
      <c r="K351" s="23"/>
    </row>
    <row r="352" spans="1:18" ht="15" customHeight="1" x14ac:dyDescent="0.25">
      <c r="A352" s="20"/>
      <c r="B352" s="150"/>
      <c r="C352" s="21">
        <v>1</v>
      </c>
      <c r="D352" s="22">
        <v>4.37</v>
      </c>
      <c r="E352" s="23"/>
      <c r="F352" s="23">
        <v>1.24</v>
      </c>
      <c r="G352" s="152">
        <f t="shared" si="77"/>
        <v>5.4188000000000001</v>
      </c>
      <c r="H352" s="6"/>
      <c r="I352" s="7"/>
      <c r="J352" s="153"/>
      <c r="K352" s="23"/>
    </row>
    <row r="353" spans="1:16" ht="15" customHeight="1" x14ac:dyDescent="0.25">
      <c r="A353" s="20"/>
      <c r="B353" s="150"/>
      <c r="C353" s="21">
        <v>7</v>
      </c>
      <c r="D353" s="22">
        <v>0.13</v>
      </c>
      <c r="E353" s="23"/>
      <c r="F353" s="23">
        <v>1.24</v>
      </c>
      <c r="G353" s="152">
        <f t="shared" si="77"/>
        <v>1.1284000000000001</v>
      </c>
      <c r="H353" s="6"/>
      <c r="I353" s="7"/>
      <c r="J353" s="153"/>
      <c r="K353" s="23"/>
    </row>
    <row r="354" spans="1:16" ht="15" customHeight="1" x14ac:dyDescent="0.25">
      <c r="A354" s="20"/>
      <c r="B354" s="150"/>
      <c r="C354" s="21">
        <v>1</v>
      </c>
      <c r="D354" s="22">
        <v>1.8</v>
      </c>
      <c r="E354" s="23"/>
      <c r="F354" s="23">
        <v>1.24</v>
      </c>
      <c r="G354" s="152">
        <f t="shared" si="77"/>
        <v>2.2320000000000002</v>
      </c>
      <c r="H354" s="6"/>
      <c r="I354" s="7"/>
      <c r="J354" s="153"/>
      <c r="K354" s="23"/>
    </row>
    <row r="355" spans="1:16" ht="15" customHeight="1" x14ac:dyDescent="0.25">
      <c r="A355" s="20"/>
      <c r="B355" s="150"/>
      <c r="C355" s="21">
        <v>1</v>
      </c>
      <c r="D355" s="22">
        <v>7.5</v>
      </c>
      <c r="E355" s="23"/>
      <c r="F355" s="23">
        <v>2.0750000000000002</v>
      </c>
      <c r="G355" s="152">
        <f t="shared" si="77"/>
        <v>15.562500000000002</v>
      </c>
      <c r="H355" s="6"/>
      <c r="I355" s="7"/>
      <c r="J355" s="153"/>
      <c r="K355" s="23"/>
    </row>
    <row r="356" spans="1:16" ht="15" customHeight="1" x14ac:dyDescent="0.25">
      <c r="A356" s="20"/>
      <c r="B356" s="150"/>
      <c r="C356" s="21">
        <v>1</v>
      </c>
      <c r="D356" s="22">
        <v>2.06</v>
      </c>
      <c r="E356" s="23"/>
      <c r="F356" s="23">
        <v>0.64</v>
      </c>
      <c r="G356" s="152">
        <f t="shared" si="77"/>
        <v>1.3184</v>
      </c>
      <c r="H356" s="6"/>
      <c r="I356" s="7"/>
      <c r="J356" s="153"/>
      <c r="K356" s="23"/>
    </row>
    <row r="357" spans="1:16" ht="15" customHeight="1" x14ac:dyDescent="0.25">
      <c r="A357" s="20"/>
      <c r="B357" s="150"/>
      <c r="C357" s="21">
        <v>1</v>
      </c>
      <c r="D357" s="22">
        <v>0.5</v>
      </c>
      <c r="E357" s="23"/>
      <c r="F357" s="23">
        <v>1.92</v>
      </c>
      <c r="G357" s="152">
        <f t="shared" si="77"/>
        <v>0.96</v>
      </c>
      <c r="H357" s="6"/>
      <c r="I357" s="7"/>
      <c r="J357" s="153"/>
      <c r="K357" s="23"/>
    </row>
    <row r="358" spans="1:16" ht="15" customHeight="1" x14ac:dyDescent="0.25">
      <c r="A358" s="20"/>
      <c r="B358" s="150"/>
      <c r="C358" s="21">
        <v>1</v>
      </c>
      <c r="D358" s="22">
        <v>2.75</v>
      </c>
      <c r="E358" s="23"/>
      <c r="F358" s="23">
        <v>1.92</v>
      </c>
      <c r="G358" s="152">
        <f t="shared" si="77"/>
        <v>5.2799999999999994</v>
      </c>
      <c r="H358" s="6"/>
      <c r="I358" s="7"/>
      <c r="J358" s="153"/>
      <c r="K358" s="23"/>
    </row>
    <row r="359" spans="1:16" ht="15" customHeight="1" x14ac:dyDescent="0.25">
      <c r="A359" s="20"/>
      <c r="B359" s="150"/>
      <c r="C359" s="21">
        <v>1</v>
      </c>
      <c r="D359" s="22">
        <v>0.4</v>
      </c>
      <c r="E359" s="23"/>
      <c r="F359" s="23">
        <v>1.75</v>
      </c>
      <c r="G359" s="152">
        <f t="shared" si="77"/>
        <v>0.70000000000000007</v>
      </c>
      <c r="H359" s="6"/>
      <c r="I359" s="7"/>
      <c r="J359" s="153"/>
      <c r="K359" s="23"/>
    </row>
    <row r="360" spans="1:16" ht="15" customHeight="1" x14ac:dyDescent="0.25">
      <c r="A360" s="20"/>
      <c r="B360" s="150"/>
      <c r="C360" s="21">
        <v>1</v>
      </c>
      <c r="D360" s="22">
        <f>(3.4-(0.11/2))</f>
        <v>3.3449999999999998</v>
      </c>
      <c r="E360" s="23"/>
      <c r="F360" s="23">
        <v>2.3199999999999998</v>
      </c>
      <c r="G360" s="152">
        <f t="shared" ref="G360:G367" si="78">PRODUCT(C360:F360)</f>
        <v>7.7603999999999989</v>
      </c>
      <c r="H360" s="6"/>
      <c r="I360" s="7"/>
      <c r="J360" s="153"/>
      <c r="K360" s="23"/>
    </row>
    <row r="361" spans="1:16" ht="15" customHeight="1" x14ac:dyDescent="0.25">
      <c r="A361" s="20"/>
      <c r="B361" s="150"/>
      <c r="C361" s="21">
        <v>6</v>
      </c>
      <c r="D361" s="22">
        <v>0.13</v>
      </c>
      <c r="E361" s="23"/>
      <c r="F361" s="23">
        <v>2.3199999999999998</v>
      </c>
      <c r="G361" s="152">
        <f t="shared" si="78"/>
        <v>1.8095999999999999</v>
      </c>
      <c r="H361" s="6"/>
      <c r="I361" s="7"/>
      <c r="J361" s="153"/>
      <c r="K361" s="23"/>
    </row>
    <row r="362" spans="1:16" ht="15" customHeight="1" x14ac:dyDescent="0.25">
      <c r="A362" s="20"/>
      <c r="B362" s="150"/>
      <c r="C362" s="21">
        <v>1</v>
      </c>
      <c r="D362" s="22">
        <v>0.93</v>
      </c>
      <c r="E362" s="23"/>
      <c r="F362" s="23">
        <v>1.34</v>
      </c>
      <c r="G362" s="152">
        <f t="shared" si="78"/>
        <v>1.2462000000000002</v>
      </c>
      <c r="H362" s="6"/>
      <c r="I362" s="7"/>
      <c r="J362" s="153"/>
      <c r="K362" s="23"/>
    </row>
    <row r="363" spans="1:16" ht="15" customHeight="1" x14ac:dyDescent="0.25">
      <c r="A363" s="20"/>
      <c r="B363" s="150"/>
      <c r="C363" s="21">
        <v>1</v>
      </c>
      <c r="D363" s="22">
        <v>2.75</v>
      </c>
      <c r="E363" s="23"/>
      <c r="F363" s="23">
        <v>1.29</v>
      </c>
      <c r="G363" s="152">
        <f t="shared" si="78"/>
        <v>3.5475000000000003</v>
      </c>
      <c r="H363" s="6"/>
      <c r="I363" s="7"/>
      <c r="J363" s="153"/>
      <c r="K363" s="23"/>
    </row>
    <row r="364" spans="1:16" ht="15" customHeight="1" x14ac:dyDescent="0.25">
      <c r="A364" s="20"/>
      <c r="B364" s="150"/>
      <c r="C364" s="21">
        <v>2</v>
      </c>
      <c r="D364" s="22">
        <v>1.29</v>
      </c>
      <c r="E364" s="23"/>
      <c r="F364" s="23">
        <v>0.13</v>
      </c>
      <c r="G364" s="152">
        <f t="shared" si="78"/>
        <v>0.33540000000000003</v>
      </c>
      <c r="H364" s="6"/>
      <c r="I364" s="7"/>
      <c r="J364" s="153"/>
      <c r="K364" s="23"/>
    </row>
    <row r="365" spans="1:16" ht="15" customHeight="1" x14ac:dyDescent="0.25">
      <c r="A365" s="20"/>
      <c r="B365" s="150"/>
      <c r="C365" s="21">
        <v>1</v>
      </c>
      <c r="D365" s="22">
        <f>6.75+4.8</f>
        <v>11.55</v>
      </c>
      <c r="E365" s="23"/>
      <c r="F365" s="23">
        <v>1</v>
      </c>
      <c r="G365" s="152">
        <f t="shared" si="78"/>
        <v>11.55</v>
      </c>
      <c r="H365" s="6"/>
      <c r="I365" s="7"/>
      <c r="J365" s="153"/>
      <c r="K365" s="23"/>
    </row>
    <row r="366" spans="1:16" ht="15" customHeight="1" x14ac:dyDescent="0.25">
      <c r="A366" s="20"/>
      <c r="B366" s="150"/>
      <c r="C366" s="21">
        <v>14</v>
      </c>
      <c r="D366" s="22">
        <v>0.12</v>
      </c>
      <c r="E366" s="23"/>
      <c r="F366" s="23">
        <v>1</v>
      </c>
      <c r="G366" s="152">
        <f t="shared" si="78"/>
        <v>1.68</v>
      </c>
      <c r="H366" s="6"/>
      <c r="I366" s="7"/>
      <c r="J366" s="153"/>
      <c r="K366" s="23"/>
    </row>
    <row r="367" spans="1:16" ht="15" customHeight="1" x14ac:dyDescent="0.25">
      <c r="A367" s="20"/>
      <c r="B367" s="150"/>
      <c r="C367" s="21">
        <v>1</v>
      </c>
      <c r="D367" s="22">
        <v>0.8</v>
      </c>
      <c r="E367" s="23"/>
      <c r="F367" s="23">
        <v>1</v>
      </c>
      <c r="G367" s="152">
        <f t="shared" si="78"/>
        <v>0.8</v>
      </c>
      <c r="H367" s="6"/>
      <c r="I367" s="7"/>
      <c r="J367" s="153"/>
      <c r="K367" s="23"/>
      <c r="N367">
        <f>1.83+0.53+0.53</f>
        <v>2.8900000000000006</v>
      </c>
      <c r="O367">
        <f>1.38+0.53+1.35</f>
        <v>3.26</v>
      </c>
      <c r="P367">
        <f>2.89-0.53-0.89</f>
        <v>1.4700000000000002</v>
      </c>
    </row>
    <row r="368" spans="1:16" ht="15" customHeight="1" x14ac:dyDescent="0.25">
      <c r="A368" s="182"/>
      <c r="B368" s="150" t="s">
        <v>16</v>
      </c>
      <c r="C368" s="151"/>
      <c r="D368" s="152"/>
      <c r="E368" s="152"/>
      <c r="F368" s="152"/>
      <c r="G368" s="153">
        <f>SUM(G321:G367)</f>
        <v>175.74722500000001</v>
      </c>
      <c r="H368" s="153" t="s">
        <v>23</v>
      </c>
      <c r="I368" s="6">
        <v>326.37</v>
      </c>
      <c r="J368" s="154">
        <f>G368*I368</f>
        <v>57358.621823250003</v>
      </c>
      <c r="K368" s="178"/>
    </row>
    <row r="369" spans="1:18" ht="15" customHeight="1" x14ac:dyDescent="0.25">
      <c r="A369" s="20"/>
      <c r="B369" s="150" t="s">
        <v>30</v>
      </c>
      <c r="C369" s="21"/>
      <c r="D369" s="22"/>
      <c r="E369" s="23"/>
      <c r="F369" s="23"/>
      <c r="G369" s="7"/>
      <c r="H369" s="6"/>
      <c r="I369" s="7"/>
      <c r="J369" s="153">
        <f>0.13*G368*11036.8/100</f>
        <v>2521.593064744</v>
      </c>
      <c r="K369" s="23"/>
    </row>
    <row r="370" spans="1:18" ht="15" customHeight="1" x14ac:dyDescent="0.25">
      <c r="A370" s="20"/>
      <c r="B370" s="150"/>
      <c r="C370" s="21"/>
      <c r="D370" s="22"/>
      <c r="E370" s="23"/>
      <c r="F370" s="23"/>
      <c r="G370" s="7"/>
      <c r="H370" s="6"/>
      <c r="I370" s="7"/>
      <c r="J370" s="153"/>
      <c r="K370" s="23"/>
    </row>
    <row r="371" spans="1:18" ht="30" hidden="1" x14ac:dyDescent="0.25">
      <c r="A371" s="20">
        <v>22</v>
      </c>
      <c r="B371" s="139" t="s">
        <v>245</v>
      </c>
      <c r="C371" s="21"/>
      <c r="D371" s="22"/>
      <c r="E371" s="23"/>
      <c r="F371" s="23"/>
      <c r="G371" s="7"/>
      <c r="H371" s="6"/>
      <c r="I371" s="7"/>
      <c r="J371" s="153"/>
      <c r="K371" s="23"/>
    </row>
    <row r="372" spans="1:18" ht="15" hidden="1" customHeight="1" x14ac:dyDescent="0.25">
      <c r="A372" s="20"/>
      <c r="B372" s="150" t="s">
        <v>78</v>
      </c>
      <c r="C372" s="21"/>
      <c r="D372" s="22"/>
      <c r="E372" s="23"/>
      <c r="F372" s="23"/>
      <c r="G372" s="152"/>
      <c r="H372" s="6"/>
      <c r="I372" s="7"/>
      <c r="J372" s="153"/>
      <c r="K372" s="23"/>
    </row>
    <row r="373" spans="1:18" ht="15" hidden="1" customHeight="1" x14ac:dyDescent="0.25">
      <c r="A373" s="20"/>
      <c r="B373" s="150"/>
      <c r="C373" s="21">
        <v>1</v>
      </c>
      <c r="D373" s="22">
        <f>1.71+0.15+2.62+0.32+2.595+0.15+2.975+0.15</f>
        <v>10.670000000000002</v>
      </c>
      <c r="E373" s="23"/>
      <c r="F373" s="23">
        <v>2.63</v>
      </c>
      <c r="G373" s="152">
        <f>PRODUCT(C373:F373)</f>
        <v>28.062100000000004</v>
      </c>
      <c r="H373" s="6"/>
      <c r="I373" s="7"/>
      <c r="J373" s="153"/>
      <c r="K373" s="23"/>
    </row>
    <row r="374" spans="1:18" ht="15" hidden="1" customHeight="1" x14ac:dyDescent="0.25">
      <c r="A374" s="20"/>
      <c r="B374" s="150"/>
      <c r="C374" s="47">
        <v>0</v>
      </c>
      <c r="D374" s="61">
        <v>6.21</v>
      </c>
      <c r="E374" s="62"/>
      <c r="F374" s="62">
        <v>1.32</v>
      </c>
      <c r="G374" s="129">
        <f t="shared" ref="G374:G380" si="79">PRODUCT(C374:F374)</f>
        <v>0</v>
      </c>
      <c r="H374" s="6"/>
      <c r="I374" s="7"/>
      <c r="J374" s="153"/>
      <c r="K374" s="23"/>
    </row>
    <row r="375" spans="1:18" ht="15" hidden="1" customHeight="1" x14ac:dyDescent="0.25">
      <c r="A375" s="20"/>
      <c r="B375" s="150" t="s">
        <v>168</v>
      </c>
      <c r="C375" s="21"/>
      <c r="D375" s="22"/>
      <c r="E375" s="23"/>
      <c r="F375" s="23"/>
      <c r="G375" s="152"/>
      <c r="H375" s="6"/>
      <c r="I375" s="7"/>
      <c r="J375" s="153"/>
      <c r="K375" s="23"/>
    </row>
    <row r="376" spans="1:18" ht="15" hidden="1" customHeight="1" x14ac:dyDescent="0.25">
      <c r="A376" s="20"/>
      <c r="B376" s="150"/>
      <c r="C376" s="21">
        <v>1</v>
      </c>
      <c r="D376" s="22">
        <f>3+3-0.9+2.575+2.57+0.34+2.59+0.34+2.53+0.065*12</f>
        <v>16.824999999999999</v>
      </c>
      <c r="E376" s="23"/>
      <c r="F376" s="23">
        <v>2.42</v>
      </c>
      <c r="G376" s="152">
        <f>PRODUCT(C376:F376)</f>
        <v>40.716499999999996</v>
      </c>
      <c r="H376" s="6"/>
      <c r="I376" s="7"/>
      <c r="J376" s="153"/>
      <c r="K376" s="23"/>
    </row>
    <row r="377" spans="1:18" ht="15" hidden="1" customHeight="1" x14ac:dyDescent="0.25">
      <c r="A377" s="20"/>
      <c r="B377" s="150"/>
      <c r="C377" s="21">
        <f>0*-1</f>
        <v>0</v>
      </c>
      <c r="D377" s="22">
        <f>0.76+0.93+5</f>
        <v>6.6899999999999995</v>
      </c>
      <c r="E377" s="23"/>
      <c r="F377" s="23">
        <v>2.42</v>
      </c>
      <c r="G377" s="152">
        <f t="shared" si="79"/>
        <v>0</v>
      </c>
      <c r="H377" s="6"/>
      <c r="I377" s="7"/>
      <c r="J377" s="153"/>
      <c r="K377" s="23"/>
    </row>
    <row r="378" spans="1:18" ht="15" hidden="1" customHeight="1" x14ac:dyDescent="0.25">
      <c r="A378" s="20"/>
      <c r="B378" s="150" t="s">
        <v>95</v>
      </c>
      <c r="C378" s="21">
        <f>-1*1</f>
        <v>-1</v>
      </c>
      <c r="D378" s="22">
        <v>1.38</v>
      </c>
      <c r="E378" s="23"/>
      <c r="F378" s="23">
        <v>1.2</v>
      </c>
      <c r="G378" s="152">
        <f t="shared" si="79"/>
        <v>-1.6559999999999999</v>
      </c>
      <c r="H378" s="6"/>
      <c r="I378" s="7"/>
      <c r="J378" s="153"/>
      <c r="K378" s="23"/>
      <c r="Q378">
        <f>3.61*3.281</f>
        <v>11.84441</v>
      </c>
      <c r="R378">
        <f>3.635*3.281</f>
        <v>11.926435</v>
      </c>
    </row>
    <row r="379" spans="1:18" ht="15" hidden="1" customHeight="1" x14ac:dyDescent="0.25">
      <c r="A379" s="20"/>
      <c r="B379" s="150"/>
      <c r="C379" s="21">
        <f>-1*1</f>
        <v>-1</v>
      </c>
      <c r="D379" s="22">
        <v>1.42</v>
      </c>
      <c r="E379" s="23"/>
      <c r="F379" s="23">
        <v>1.2</v>
      </c>
      <c r="G379" s="152">
        <f t="shared" si="79"/>
        <v>-1.704</v>
      </c>
      <c r="H379" s="6"/>
      <c r="I379" s="7"/>
      <c r="J379" s="153"/>
      <c r="K379" s="23"/>
    </row>
    <row r="380" spans="1:18" ht="15" hidden="1" customHeight="1" x14ac:dyDescent="0.25">
      <c r="A380" s="20"/>
      <c r="B380" s="150"/>
      <c r="C380" s="21">
        <f>-1*1</f>
        <v>-1</v>
      </c>
      <c r="D380" s="22">
        <v>1.55</v>
      </c>
      <c r="E380" s="23"/>
      <c r="F380" s="23">
        <v>1.2</v>
      </c>
      <c r="G380" s="152">
        <f t="shared" si="79"/>
        <v>-1.8599999999999999</v>
      </c>
      <c r="H380" s="6"/>
      <c r="I380" s="7"/>
      <c r="J380" s="153"/>
      <c r="K380" s="23"/>
    </row>
    <row r="381" spans="1:18" ht="15" hidden="1" customHeight="1" x14ac:dyDescent="0.25">
      <c r="A381" s="20"/>
      <c r="B381" s="150" t="s">
        <v>151</v>
      </c>
      <c r="C381" s="21">
        <v>1</v>
      </c>
      <c r="D381" s="22">
        <f>7.17+4.8-0.23</f>
        <v>11.739999999999998</v>
      </c>
      <c r="E381" s="23"/>
      <c r="F381" s="23">
        <v>1</v>
      </c>
      <c r="G381" s="152">
        <f t="shared" ref="G381:G387" si="80">PRODUCT(C381:F381)</f>
        <v>11.739999999999998</v>
      </c>
      <c r="H381" s="6"/>
      <c r="I381" s="7"/>
      <c r="J381" s="153"/>
      <c r="K381" s="23"/>
    </row>
    <row r="382" spans="1:18" ht="15" hidden="1" customHeight="1" x14ac:dyDescent="0.25">
      <c r="A382" s="20"/>
      <c r="B382" s="150"/>
      <c r="C382" s="21">
        <v>1</v>
      </c>
      <c r="D382" s="22">
        <f>3+0.75-0.115</f>
        <v>3.6349999999999998</v>
      </c>
      <c r="E382" s="23"/>
      <c r="F382" s="23">
        <v>1.34</v>
      </c>
      <c r="G382" s="152">
        <f t="shared" si="80"/>
        <v>4.8708999999999998</v>
      </c>
      <c r="H382" s="6"/>
      <c r="I382" s="7"/>
      <c r="J382" s="153"/>
      <c r="K382" s="23"/>
    </row>
    <row r="383" spans="1:18" ht="15" hidden="1" customHeight="1" x14ac:dyDescent="0.25">
      <c r="A383" s="20"/>
      <c r="B383" s="150"/>
      <c r="C383" s="21">
        <v>1</v>
      </c>
      <c r="D383" s="22">
        <v>1.03</v>
      </c>
      <c r="E383" s="23"/>
      <c r="F383" s="23">
        <v>1</v>
      </c>
      <c r="G383" s="152">
        <f t="shared" si="80"/>
        <v>1.03</v>
      </c>
      <c r="H383" s="6"/>
      <c r="I383" s="7"/>
      <c r="J383" s="153"/>
      <c r="K383" s="23"/>
    </row>
    <row r="384" spans="1:18" ht="15" hidden="1" customHeight="1" x14ac:dyDescent="0.25">
      <c r="A384" s="20"/>
      <c r="B384" s="150"/>
      <c r="C384" s="21">
        <v>1</v>
      </c>
      <c r="D384" s="22">
        <f>17*0.13</f>
        <v>2.21</v>
      </c>
      <c r="E384" s="23"/>
      <c r="F384" s="23">
        <v>1</v>
      </c>
      <c r="G384" s="152">
        <f t="shared" si="80"/>
        <v>2.21</v>
      </c>
      <c r="H384" s="6"/>
      <c r="I384" s="7"/>
      <c r="J384" s="153"/>
      <c r="K384" s="23"/>
    </row>
    <row r="385" spans="1:15" ht="15" hidden="1" customHeight="1" x14ac:dyDescent="0.25">
      <c r="A385" s="20"/>
      <c r="B385" s="150"/>
      <c r="C385" s="21">
        <v>1</v>
      </c>
      <c r="D385" s="22">
        <f>5*0.13</f>
        <v>0.65</v>
      </c>
      <c r="E385" s="23"/>
      <c r="F385" s="23">
        <v>1.335</v>
      </c>
      <c r="G385" s="152">
        <f t="shared" si="80"/>
        <v>0.86775000000000002</v>
      </c>
      <c r="H385" s="6"/>
      <c r="I385" s="7"/>
      <c r="J385" s="153"/>
      <c r="K385" s="23"/>
    </row>
    <row r="386" spans="1:15" ht="15" hidden="1" customHeight="1" x14ac:dyDescent="0.25">
      <c r="A386" s="20"/>
      <c r="B386" s="150" t="s">
        <v>172</v>
      </c>
      <c r="C386" s="21">
        <v>1</v>
      </c>
      <c r="D386" s="22">
        <f>6.16+0.9+1</f>
        <v>8.06</v>
      </c>
      <c r="E386" s="23"/>
      <c r="F386" s="23">
        <f>0.14*10+0.23</f>
        <v>1.6300000000000001</v>
      </c>
      <c r="G386" s="152">
        <f t="shared" si="80"/>
        <v>13.137800000000002</v>
      </c>
      <c r="H386" s="6"/>
      <c r="I386" s="7"/>
      <c r="J386" s="153"/>
      <c r="K386" s="23"/>
    </row>
    <row r="387" spans="1:15" ht="15" hidden="1" customHeight="1" x14ac:dyDescent="0.25">
      <c r="A387" s="20"/>
      <c r="B387" s="150"/>
      <c r="C387" s="21">
        <v>1</v>
      </c>
      <c r="D387" s="22">
        <v>2.75</v>
      </c>
      <c r="E387" s="23"/>
      <c r="F387" s="23">
        <f>1.82</f>
        <v>1.82</v>
      </c>
      <c r="G387" s="152">
        <f t="shared" si="80"/>
        <v>5.0049999999999999</v>
      </c>
      <c r="H387" s="6"/>
      <c r="I387" s="7"/>
      <c r="J387" s="153"/>
      <c r="K387" s="23"/>
    </row>
    <row r="388" spans="1:15" ht="15" hidden="1" customHeight="1" x14ac:dyDescent="0.25">
      <c r="A388" s="20"/>
      <c r="B388" s="150"/>
      <c r="C388" s="21">
        <v>1</v>
      </c>
      <c r="D388" s="22">
        <v>0.73</v>
      </c>
      <c r="E388" s="23"/>
      <c r="F388" s="23">
        <v>1.27</v>
      </c>
      <c r="G388" s="152">
        <f t="shared" ref="G388:G394" si="81">PRODUCT(C388:F388)</f>
        <v>0.92710000000000004</v>
      </c>
      <c r="H388" s="6"/>
      <c r="I388" s="7"/>
      <c r="J388" s="153"/>
      <c r="K388" s="23"/>
    </row>
    <row r="389" spans="1:15" ht="15" hidden="1" customHeight="1" x14ac:dyDescent="0.25">
      <c r="A389" s="20"/>
      <c r="B389" s="150"/>
      <c r="C389" s="21">
        <v>1</v>
      </c>
      <c r="D389" s="22">
        <v>1.06</v>
      </c>
      <c r="E389" s="23"/>
      <c r="F389" s="23">
        <v>0.75</v>
      </c>
      <c r="G389" s="152">
        <f t="shared" si="81"/>
        <v>0.79500000000000004</v>
      </c>
      <c r="H389" s="6"/>
      <c r="I389" s="7"/>
      <c r="J389" s="153"/>
      <c r="K389" s="23"/>
    </row>
    <row r="390" spans="1:15" ht="15" hidden="1" customHeight="1" x14ac:dyDescent="0.25">
      <c r="A390" s="20"/>
      <c r="B390" s="150"/>
      <c r="C390" s="21">
        <v>1</v>
      </c>
      <c r="D390" s="22">
        <v>0.9</v>
      </c>
      <c r="E390" s="23"/>
      <c r="F390" s="23">
        <v>0.75</v>
      </c>
      <c r="G390" s="152">
        <f t="shared" si="81"/>
        <v>0.67500000000000004</v>
      </c>
      <c r="H390" s="6"/>
      <c r="I390" s="7"/>
      <c r="J390" s="153"/>
      <c r="K390" s="23"/>
      <c r="M390">
        <f>20957+923</f>
        <v>21880</v>
      </c>
      <c r="N390">
        <f>22705.57+1000.31</f>
        <v>23705.88</v>
      </c>
      <c r="O390">
        <f>N390-M390</f>
        <v>1825.880000000001</v>
      </c>
    </row>
    <row r="391" spans="1:15" ht="15" hidden="1" customHeight="1" x14ac:dyDescent="0.25">
      <c r="A391" s="20"/>
      <c r="B391" s="150"/>
      <c r="C391" s="21">
        <v>1</v>
      </c>
      <c r="D391" s="22">
        <v>3.35</v>
      </c>
      <c r="E391" s="23"/>
      <c r="F391" s="23">
        <v>1.21</v>
      </c>
      <c r="G391" s="152">
        <f t="shared" si="81"/>
        <v>4.0534999999999997</v>
      </c>
      <c r="H391" s="6"/>
      <c r="I391" s="7"/>
      <c r="J391" s="153"/>
      <c r="K391" s="23"/>
    </row>
    <row r="392" spans="1:15" ht="15" hidden="1" customHeight="1" x14ac:dyDescent="0.25">
      <c r="A392" s="20"/>
      <c r="B392" s="150"/>
      <c r="C392" s="21">
        <v>1</v>
      </c>
      <c r="D392" s="22">
        <v>2.02</v>
      </c>
      <c r="E392" s="23"/>
      <c r="F392" s="23">
        <v>0.62</v>
      </c>
      <c r="G392" s="152">
        <f t="shared" si="81"/>
        <v>1.2524</v>
      </c>
      <c r="H392" s="6"/>
      <c r="I392" s="7"/>
      <c r="J392" s="153"/>
      <c r="K392" s="23"/>
    </row>
    <row r="393" spans="1:15" ht="15" hidden="1" customHeight="1" x14ac:dyDescent="0.25">
      <c r="A393" s="20"/>
      <c r="B393" s="150"/>
      <c r="C393" s="21">
        <v>1</v>
      </c>
      <c r="D393" s="22">
        <v>1.1000000000000001</v>
      </c>
      <c r="E393" s="23"/>
      <c r="F393" s="23">
        <v>0.63</v>
      </c>
      <c r="G393" s="152">
        <f t="shared" si="81"/>
        <v>0.69300000000000006</v>
      </c>
      <c r="H393" s="6"/>
      <c r="I393" s="7"/>
      <c r="J393" s="153"/>
      <c r="K393" s="23"/>
      <c r="M393" s="44">
        <f>SUM(J368:J396)</f>
        <v>59880.214887994007</v>
      </c>
    </row>
    <row r="394" spans="1:15" ht="15" hidden="1" customHeight="1" x14ac:dyDescent="0.25">
      <c r="A394" s="20"/>
      <c r="B394" s="150"/>
      <c r="C394" s="21">
        <v>1</v>
      </c>
      <c r="D394" s="22">
        <v>4.75</v>
      </c>
      <c r="E394" s="23"/>
      <c r="F394" s="23">
        <v>1.21</v>
      </c>
      <c r="G394" s="152">
        <f t="shared" si="81"/>
        <v>5.7474999999999996</v>
      </c>
      <c r="H394" s="6"/>
      <c r="I394" s="7"/>
      <c r="J394" s="153"/>
      <c r="K394" s="23"/>
    </row>
    <row r="395" spans="1:15" ht="15" hidden="1" customHeight="1" x14ac:dyDescent="0.25">
      <c r="A395" s="182"/>
      <c r="B395" s="150" t="s">
        <v>16</v>
      </c>
      <c r="C395" s="151"/>
      <c r="D395" s="152"/>
      <c r="E395" s="152"/>
      <c r="F395" s="152"/>
      <c r="G395" s="153">
        <f>0*SUM(G373:G394)</f>
        <v>0</v>
      </c>
      <c r="H395" s="153" t="s">
        <v>23</v>
      </c>
      <c r="I395" s="6">
        <v>213.29</v>
      </c>
      <c r="J395" s="154">
        <f>G395*I395</f>
        <v>0</v>
      </c>
      <c r="K395" s="178"/>
    </row>
    <row r="396" spans="1:15" ht="15" hidden="1" customHeight="1" x14ac:dyDescent="0.25">
      <c r="A396" s="20"/>
      <c r="B396" s="150" t="s">
        <v>30</v>
      </c>
      <c r="C396" s="21"/>
      <c r="D396" s="22"/>
      <c r="E396" s="23"/>
      <c r="F396" s="23"/>
      <c r="G396" s="7"/>
      <c r="H396" s="6"/>
      <c r="I396" s="7"/>
      <c r="J396" s="153">
        <f>0.13*G395*7228.2/100</f>
        <v>0</v>
      </c>
      <c r="K396" s="23"/>
    </row>
    <row r="397" spans="1:15" ht="15" hidden="1" customHeight="1" x14ac:dyDescent="0.25">
      <c r="A397" s="20"/>
      <c r="B397" s="150"/>
      <c r="C397" s="21"/>
      <c r="D397" s="22"/>
      <c r="E397" s="23"/>
      <c r="F397" s="23"/>
      <c r="G397" s="7"/>
      <c r="H397" s="6"/>
      <c r="I397" s="7"/>
      <c r="J397" s="153"/>
      <c r="K397" s="23"/>
    </row>
    <row r="398" spans="1:15" ht="150" x14ac:dyDescent="0.25">
      <c r="A398" s="20">
        <v>22</v>
      </c>
      <c r="B398" s="139" t="s">
        <v>102</v>
      </c>
      <c r="C398" s="21"/>
      <c r="D398" s="22"/>
      <c r="E398" s="23"/>
      <c r="F398" s="23"/>
      <c r="G398" s="7"/>
      <c r="H398" s="6"/>
      <c r="I398" s="7"/>
      <c r="J398" s="153"/>
      <c r="K398" s="23"/>
    </row>
    <row r="399" spans="1:15" ht="15" customHeight="1" x14ac:dyDescent="0.25">
      <c r="A399" s="20"/>
      <c r="B399" s="150" t="str">
        <f>B69</f>
        <v>-Extending compound</v>
      </c>
      <c r="C399" s="151">
        <v>1</v>
      </c>
      <c r="D399" s="22">
        <f>1.76+6.86+6.83+0.71</f>
        <v>16.16</v>
      </c>
      <c r="E399" s="23"/>
      <c r="F399" s="23">
        <f>0.58+0.13</f>
        <v>0.71</v>
      </c>
      <c r="G399" s="152">
        <f>PRODUCT(C399:F399)</f>
        <v>11.473599999999999</v>
      </c>
      <c r="H399" s="6"/>
      <c r="I399" s="7"/>
      <c r="J399" s="153"/>
      <c r="K399" s="23"/>
    </row>
    <row r="400" spans="1:15" ht="15" customHeight="1" x14ac:dyDescent="0.25">
      <c r="A400" s="20"/>
      <c r="B400" s="150"/>
      <c r="C400" s="151">
        <v>1</v>
      </c>
      <c r="D400" s="22">
        <v>0.9</v>
      </c>
      <c r="E400" s="23"/>
      <c r="F400" s="23">
        <f>9.75/12/3.281</f>
        <v>0.24763791526973483</v>
      </c>
      <c r="G400" s="152">
        <f>PRODUCT(C400:F400)</f>
        <v>0.22287412374276136</v>
      </c>
      <c r="H400" s="6"/>
      <c r="I400" s="7"/>
      <c r="J400" s="153"/>
      <c r="K400" s="23"/>
    </row>
    <row r="401" spans="1:13" ht="15" customHeight="1" x14ac:dyDescent="0.25">
      <c r="A401" s="20"/>
      <c r="B401" s="150"/>
      <c r="C401" s="151">
        <v>1</v>
      </c>
      <c r="D401" s="22">
        <f>44/3.281</f>
        <v>13.41054556537641</v>
      </c>
      <c r="E401" s="23"/>
      <c r="F401" s="23">
        <f>2.333/3.281</f>
        <v>0.7110637000914356</v>
      </c>
      <c r="G401" s="152">
        <f>PRODUCT(C401:F401)</f>
        <v>9.5357521499613433</v>
      </c>
      <c r="H401" s="6"/>
      <c r="I401" s="7"/>
      <c r="J401" s="153"/>
      <c r="K401" s="23"/>
    </row>
    <row r="402" spans="1:13" ht="15" customHeight="1" x14ac:dyDescent="0.25">
      <c r="A402" s="182"/>
      <c r="B402" s="150" t="s">
        <v>16</v>
      </c>
      <c r="C402" s="151"/>
      <c r="D402" s="152"/>
      <c r="E402" s="152"/>
      <c r="F402" s="152"/>
      <c r="G402" s="153">
        <f>SUM(G399:G401)</f>
        <v>21.232226273704104</v>
      </c>
      <c r="H402" s="153" t="s">
        <v>23</v>
      </c>
      <c r="I402" s="6">
        <v>3213.56</v>
      </c>
      <c r="J402" s="154">
        <f>G402*I402</f>
        <v>68231.033064124553</v>
      </c>
      <c r="K402" s="178"/>
    </row>
    <row r="403" spans="1:13" ht="15" customHeight="1" x14ac:dyDescent="0.25">
      <c r="A403" s="20"/>
      <c r="B403" s="150" t="s">
        <v>30</v>
      </c>
      <c r="C403" s="21"/>
      <c r="D403" s="22"/>
      <c r="E403" s="23"/>
      <c r="F403" s="23"/>
      <c r="G403" s="7"/>
      <c r="H403" s="6"/>
      <c r="I403" s="7"/>
      <c r="J403" s="153">
        <f>0.13*G402*1672.66/10</f>
        <v>461.68584278666083</v>
      </c>
      <c r="K403" s="23"/>
    </row>
    <row r="404" spans="1:13" ht="15" customHeight="1" x14ac:dyDescent="0.25">
      <c r="A404" s="20"/>
      <c r="B404" s="150"/>
      <c r="C404" s="21"/>
      <c r="D404" s="22"/>
      <c r="E404" s="23"/>
      <c r="F404" s="23"/>
      <c r="G404" s="7"/>
      <c r="H404" s="6"/>
      <c r="I404" s="7"/>
      <c r="J404" s="153"/>
      <c r="K404" s="23"/>
    </row>
    <row r="405" spans="1:13" ht="60" x14ac:dyDescent="0.25">
      <c r="A405" s="20">
        <v>23</v>
      </c>
      <c r="B405" s="139" t="s">
        <v>236</v>
      </c>
      <c r="C405" s="151"/>
      <c r="D405" s="152"/>
      <c r="E405" s="152"/>
      <c r="F405" s="152"/>
      <c r="G405" s="153"/>
      <c r="H405" s="182"/>
      <c r="I405" s="153"/>
      <c r="J405" s="153"/>
      <c r="K405" s="23"/>
    </row>
    <row r="406" spans="1:13" x14ac:dyDescent="0.25">
      <c r="A406" s="20"/>
      <c r="B406" s="150" t="s">
        <v>237</v>
      </c>
      <c r="C406" s="151">
        <v>1</v>
      </c>
      <c r="D406" s="152">
        <f>6.15+0.9</f>
        <v>7.0500000000000007</v>
      </c>
      <c r="E406" s="152">
        <v>0.23</v>
      </c>
      <c r="F406" s="152">
        <v>0.75</v>
      </c>
      <c r="G406" s="152">
        <f>PRODUCT(C406:F406)</f>
        <v>1.2161250000000001</v>
      </c>
      <c r="H406" s="182"/>
      <c r="I406" s="153"/>
      <c r="J406" s="153"/>
      <c r="K406" s="23"/>
    </row>
    <row r="407" spans="1:13" x14ac:dyDescent="0.25">
      <c r="A407" s="20"/>
      <c r="B407" s="150" t="s">
        <v>157</v>
      </c>
      <c r="C407" s="151">
        <v>5</v>
      </c>
      <c r="D407" s="152">
        <v>0.23</v>
      </c>
      <c r="E407" s="152">
        <v>0.1</v>
      </c>
      <c r="F407" s="152">
        <v>0.75</v>
      </c>
      <c r="G407" s="152">
        <f>PRODUCT(C407:F407)</f>
        <v>8.6250000000000021E-2</v>
      </c>
      <c r="H407" s="182"/>
      <c r="I407" s="153"/>
      <c r="J407" s="153"/>
      <c r="K407" s="23"/>
    </row>
    <row r="408" spans="1:13" x14ac:dyDescent="0.25">
      <c r="A408" s="20"/>
      <c r="B408" s="150"/>
      <c r="C408" s="151">
        <v>1</v>
      </c>
      <c r="D408" s="152">
        <v>0.7</v>
      </c>
      <c r="E408" s="152">
        <v>0.23</v>
      </c>
      <c r="F408" s="152">
        <v>0.5</v>
      </c>
      <c r="G408" s="152">
        <f>PRODUCT(C408:F408)</f>
        <v>8.0500000000000002E-2</v>
      </c>
      <c r="H408" s="182"/>
      <c r="I408" s="153"/>
      <c r="J408" s="153"/>
      <c r="K408" s="23"/>
    </row>
    <row r="409" spans="1:13" x14ac:dyDescent="0.25">
      <c r="A409" s="20"/>
      <c r="B409" s="150" t="s">
        <v>238</v>
      </c>
      <c r="C409" s="151">
        <v>0.5</v>
      </c>
      <c r="D409" s="152">
        <v>2.75</v>
      </c>
      <c r="E409" s="152">
        <v>0.4</v>
      </c>
      <c r="F409" s="152">
        <f>1.82+0.23</f>
        <v>2.0500000000000003</v>
      </c>
      <c r="G409" s="152">
        <f>PRODUCT(C409:F409)</f>
        <v>1.1275000000000002</v>
      </c>
      <c r="H409" s="182"/>
      <c r="I409" s="153"/>
      <c r="J409" s="153"/>
      <c r="K409" s="23"/>
    </row>
    <row r="410" spans="1:13" x14ac:dyDescent="0.25">
      <c r="A410" s="20"/>
      <c r="B410" s="150"/>
      <c r="C410" s="151">
        <v>1</v>
      </c>
      <c r="D410" s="152">
        <v>2.75</v>
      </c>
      <c r="E410" s="152">
        <v>0.23</v>
      </c>
      <c r="F410" s="152">
        <v>1.9</v>
      </c>
      <c r="G410" s="152">
        <f>PRODUCT(C410:F410)</f>
        <v>1.2017500000000001</v>
      </c>
      <c r="H410" s="182"/>
      <c r="I410" s="153"/>
      <c r="J410" s="153"/>
      <c r="K410" s="23"/>
    </row>
    <row r="411" spans="1:13" ht="15" customHeight="1" x14ac:dyDescent="0.25">
      <c r="A411" s="182"/>
      <c r="B411" s="150" t="s">
        <v>16</v>
      </c>
      <c r="C411" s="151"/>
      <c r="D411" s="152"/>
      <c r="E411" s="152"/>
      <c r="F411" s="152"/>
      <c r="G411" s="153">
        <f>SUM(G406:G410)</f>
        <v>3.7121250000000003</v>
      </c>
      <c r="H411" s="153" t="s">
        <v>18</v>
      </c>
      <c r="I411" s="6">
        <v>5755.67</v>
      </c>
      <c r="J411" s="154">
        <f>G411*I411</f>
        <v>21365.766498750003</v>
      </c>
      <c r="K411" s="178"/>
      <c r="M411">
        <f>14520*G411</f>
        <v>53900.055000000008</v>
      </c>
    </row>
    <row r="412" spans="1:13" ht="15" customHeight="1" x14ac:dyDescent="0.25">
      <c r="A412" s="20"/>
      <c r="B412" s="150" t="s">
        <v>30</v>
      </c>
      <c r="C412" s="21"/>
      <c r="D412" s="22"/>
      <c r="E412" s="23"/>
      <c r="F412" s="23"/>
      <c r="G412" s="7"/>
      <c r="H412" s="6"/>
      <c r="I412" s="7"/>
      <c r="J412" s="153">
        <f>0.13*G411*1790.27</f>
        <v>863.94178308750008</v>
      </c>
      <c r="K412" s="23"/>
    </row>
    <row r="413" spans="1:13" ht="15" customHeight="1" x14ac:dyDescent="0.25">
      <c r="A413" s="20"/>
      <c r="B413" s="150"/>
      <c r="C413" s="21"/>
      <c r="D413" s="22"/>
      <c r="E413" s="23"/>
      <c r="F413" s="23"/>
      <c r="G413" s="7"/>
      <c r="H413" s="6"/>
      <c r="I413" s="7"/>
      <c r="J413" s="153"/>
      <c r="K413" s="23"/>
    </row>
    <row r="414" spans="1:13" ht="30" x14ac:dyDescent="0.25">
      <c r="A414" s="20">
        <v>24</v>
      </c>
      <c r="B414" s="211" t="s">
        <v>273</v>
      </c>
      <c r="C414" s="21"/>
      <c r="D414" s="22"/>
      <c r="E414" s="23"/>
      <c r="F414" s="23"/>
      <c r="G414" s="7"/>
      <c r="H414" s="6"/>
      <c r="I414" s="7"/>
      <c r="J414" s="153"/>
      <c r="K414" s="23"/>
    </row>
    <row r="415" spans="1:13" x14ac:dyDescent="0.25">
      <c r="A415" s="20"/>
      <c r="B415" s="150" t="s">
        <v>274</v>
      </c>
      <c r="C415" s="151">
        <v>1</v>
      </c>
      <c r="D415" s="152">
        <f>11.833/3.281</f>
        <v>3.6065224017067967</v>
      </c>
      <c r="E415" s="152">
        <f>9.583/3.281</f>
        <v>2.9207558671136846</v>
      </c>
      <c r="F415" s="152"/>
      <c r="G415" s="152">
        <f>PRODUCT(C415:F415)</f>
        <v>10.533771464662063</v>
      </c>
      <c r="H415" s="182"/>
      <c r="I415" s="153"/>
      <c r="J415" s="153"/>
      <c r="K415" s="23"/>
    </row>
    <row r="416" spans="1:13" x14ac:dyDescent="0.25">
      <c r="A416" s="20"/>
      <c r="B416" s="150"/>
      <c r="C416" s="151">
        <v>1</v>
      </c>
      <c r="D416" s="152">
        <f>5/3.281</f>
        <v>1.5239256324291375</v>
      </c>
      <c r="E416" s="152">
        <v>1.1000000000000001</v>
      </c>
      <c r="F416" s="152"/>
      <c r="G416" s="152">
        <f>PRODUCT(C416:F416)</f>
        <v>1.6763181956720514</v>
      </c>
      <c r="H416" s="182"/>
      <c r="I416" s="153"/>
      <c r="J416" s="153"/>
      <c r="K416" s="23"/>
    </row>
    <row r="417" spans="1:11" x14ac:dyDescent="0.25">
      <c r="A417" s="20"/>
      <c r="B417" s="150"/>
      <c r="C417" s="151">
        <v>1</v>
      </c>
      <c r="D417" s="152">
        <f>4.25/3.281</f>
        <v>1.2953367875647668</v>
      </c>
      <c r="E417" s="152">
        <f>1.917/3.281</f>
        <v>0.58427308747333129</v>
      </c>
      <c r="F417" s="152"/>
      <c r="G417" s="152">
        <f>PRODUCT(C417:F417)</f>
        <v>0.75683042418825297</v>
      </c>
      <c r="H417" s="182"/>
      <c r="I417" s="153"/>
      <c r="J417" s="153"/>
      <c r="K417" s="23"/>
    </row>
    <row r="418" spans="1:11" x14ac:dyDescent="0.25">
      <c r="A418" s="20"/>
      <c r="B418" s="150"/>
      <c r="C418" s="151">
        <v>1</v>
      </c>
      <c r="D418" s="152">
        <v>0.45</v>
      </c>
      <c r="E418" s="152">
        <v>0.55000000000000004</v>
      </c>
      <c r="F418" s="152"/>
      <c r="G418" s="152">
        <f t="shared" ref="G418:G419" si="82">PRODUCT(C418:F418)</f>
        <v>0.24750000000000003</v>
      </c>
      <c r="H418" s="182"/>
      <c r="I418" s="153"/>
      <c r="J418" s="153"/>
      <c r="K418" s="23"/>
    </row>
    <row r="419" spans="1:11" x14ac:dyDescent="0.25">
      <c r="A419" s="20"/>
      <c r="B419" s="150"/>
      <c r="C419" s="151">
        <v>1</v>
      </c>
      <c r="D419" s="152">
        <v>1.7</v>
      </c>
      <c r="E419" s="152">
        <v>0.4</v>
      </c>
      <c r="F419" s="152"/>
      <c r="G419" s="152">
        <f t="shared" si="82"/>
        <v>0.68</v>
      </c>
      <c r="H419" s="182"/>
      <c r="I419" s="153"/>
      <c r="J419" s="153"/>
      <c r="K419" s="23"/>
    </row>
    <row r="420" spans="1:11" ht="15" customHeight="1" x14ac:dyDescent="0.25">
      <c r="A420" s="182"/>
      <c r="B420" s="150" t="s">
        <v>16</v>
      </c>
      <c r="C420" s="151"/>
      <c r="D420" s="152"/>
      <c r="E420" s="152"/>
      <c r="F420" s="152"/>
      <c r="G420" s="153">
        <f>SUM(G415:G419)</f>
        <v>13.894420084522368</v>
      </c>
      <c r="H420" s="153" t="s">
        <v>18</v>
      </c>
      <c r="I420" s="6">
        <v>1885.53</v>
      </c>
      <c r="J420" s="154">
        <f>G420*I420</f>
        <v>26198.34590196946</v>
      </c>
      <c r="K420" s="178"/>
    </row>
    <row r="421" spans="1:11" ht="15" customHeight="1" x14ac:dyDescent="0.25">
      <c r="A421" s="20"/>
      <c r="B421" s="150" t="s">
        <v>30</v>
      </c>
      <c r="C421" s="21"/>
      <c r="D421" s="22"/>
      <c r="E421" s="23"/>
      <c r="F421" s="23"/>
      <c r="G421" s="7"/>
      <c r="H421" s="6"/>
      <c r="I421" s="7"/>
      <c r="J421" s="153">
        <f>0.13*G420*(12405.35/10)</f>
        <v>2240.7468745418846</v>
      </c>
      <c r="K421" s="23"/>
    </row>
    <row r="422" spans="1:11" ht="15" customHeight="1" x14ac:dyDescent="0.25">
      <c r="A422" s="20"/>
      <c r="B422" s="150"/>
      <c r="C422" s="21"/>
      <c r="D422" s="22"/>
      <c r="E422" s="23"/>
      <c r="F422" s="23"/>
      <c r="G422" s="7"/>
      <c r="H422" s="6"/>
      <c r="I422" s="7"/>
      <c r="J422" s="153"/>
      <c r="K422" s="23"/>
    </row>
    <row r="423" spans="1:11" ht="30" x14ac:dyDescent="0.25">
      <c r="A423" s="20">
        <v>25</v>
      </c>
      <c r="B423" s="190" t="s">
        <v>257</v>
      </c>
      <c r="C423" s="151">
        <v>1</v>
      </c>
      <c r="D423" s="152"/>
      <c r="E423" s="152"/>
      <c r="F423" s="152"/>
      <c r="G423" s="153">
        <f>PRODUCT(C423:F423)</f>
        <v>1</v>
      </c>
      <c r="H423" s="182" t="s">
        <v>242</v>
      </c>
      <c r="I423" s="153">
        <f>15000+12376</f>
        <v>27376</v>
      </c>
      <c r="J423" s="153">
        <f>G423*I423</f>
        <v>27376</v>
      </c>
      <c r="K423" s="23"/>
    </row>
    <row r="424" spans="1:11" ht="15" customHeight="1" x14ac:dyDescent="0.25">
      <c r="A424" s="20"/>
      <c r="B424" s="190"/>
      <c r="C424" s="151"/>
      <c r="D424" s="152"/>
      <c r="E424" s="152"/>
      <c r="F424" s="152"/>
      <c r="G424" s="153"/>
      <c r="H424" s="182"/>
      <c r="I424" s="153"/>
      <c r="J424" s="153"/>
      <c r="K424" s="23"/>
    </row>
    <row r="425" spans="1:11" ht="15" hidden="1" customHeight="1" x14ac:dyDescent="0.25">
      <c r="A425" s="20">
        <v>25</v>
      </c>
      <c r="B425" s="190" t="s">
        <v>114</v>
      </c>
      <c r="C425" s="151">
        <v>0</v>
      </c>
      <c r="D425" s="152"/>
      <c r="E425" s="152"/>
      <c r="F425" s="152"/>
      <c r="G425" s="153">
        <f>PRODUCT(C425:F425)</f>
        <v>0</v>
      </c>
      <c r="H425" s="182" t="s">
        <v>243</v>
      </c>
      <c r="I425" s="153">
        <v>12376</v>
      </c>
      <c r="J425" s="153">
        <f>G425*I425</f>
        <v>0</v>
      </c>
      <c r="K425" s="23"/>
    </row>
    <row r="426" spans="1:11" ht="15" hidden="1" customHeight="1" x14ac:dyDescent="0.25">
      <c r="A426" s="20"/>
      <c r="B426" s="190"/>
      <c r="C426" s="151"/>
      <c r="D426" s="152"/>
      <c r="E426" s="152"/>
      <c r="F426" s="152"/>
      <c r="G426" s="153"/>
      <c r="H426" s="182"/>
      <c r="I426" s="153"/>
      <c r="J426" s="153"/>
      <c r="K426" s="23"/>
    </row>
    <row r="427" spans="1:11" x14ac:dyDescent="0.25">
      <c r="A427" s="182">
        <v>26</v>
      </c>
      <c r="B427" s="10" t="s">
        <v>19</v>
      </c>
      <c r="C427" s="151">
        <v>1</v>
      </c>
      <c r="D427" s="152"/>
      <c r="E427" s="152"/>
      <c r="F427" s="152"/>
      <c r="G427" s="153">
        <f>PRODUCT(C427:F427)</f>
        <v>1</v>
      </c>
      <c r="H427" s="182" t="s">
        <v>20</v>
      </c>
      <c r="I427" s="153">
        <v>1000</v>
      </c>
      <c r="J427" s="153">
        <f>G427*I427</f>
        <v>1000</v>
      </c>
      <c r="K427" s="178"/>
    </row>
    <row r="428" spans="1:11" x14ac:dyDescent="0.25">
      <c r="A428" s="182"/>
      <c r="B428" s="191" t="s">
        <v>21</v>
      </c>
      <c r="C428" s="151"/>
      <c r="D428" s="152"/>
      <c r="E428" s="152"/>
      <c r="F428" s="152"/>
      <c r="G428" s="152"/>
      <c r="H428" s="178"/>
      <c r="I428" s="152"/>
      <c r="J428" s="153">
        <f>SUM(J9:J427)</f>
        <v>1592816.8198072687</v>
      </c>
      <c r="K428" s="178"/>
    </row>
    <row r="430" spans="1:11" s="9" customFormat="1" x14ac:dyDescent="0.25">
      <c r="B430" s="11" t="s">
        <v>258</v>
      </c>
      <c r="C430" s="219">
        <f>J428</f>
        <v>1592816.8198072687</v>
      </c>
      <c r="D430" s="220"/>
      <c r="E430" s="12">
        <v>100</v>
      </c>
      <c r="F430" s="13"/>
      <c r="G430" s="14"/>
      <c r="H430" s="13"/>
      <c r="I430" s="15"/>
      <c r="J430" s="16"/>
      <c r="K430" s="17"/>
    </row>
    <row r="431" spans="1:11" x14ac:dyDescent="0.25">
      <c r="A431" s="18"/>
      <c r="B431" s="11" t="s">
        <v>25</v>
      </c>
      <c r="C431" s="222">
        <v>1600000</v>
      </c>
      <c r="D431" s="223"/>
      <c r="E431" s="12"/>
      <c r="G431" s="18"/>
      <c r="H431" s="18"/>
      <c r="I431" s="18"/>
      <c r="J431" s="52"/>
    </row>
    <row r="432" spans="1:11" x14ac:dyDescent="0.25">
      <c r="A432" s="18"/>
      <c r="B432" s="11" t="s">
        <v>26</v>
      </c>
      <c r="C432" s="222">
        <f>83.79%*C430</f>
        <v>1334621.2133165107</v>
      </c>
      <c r="D432" s="223"/>
      <c r="E432" s="12">
        <f>C432/C430*100</f>
        <v>83.79000000000002</v>
      </c>
      <c r="G432" s="18"/>
      <c r="H432" s="18"/>
      <c r="I432" s="18"/>
      <c r="J432" s="18"/>
    </row>
    <row r="433" spans="1:10" x14ac:dyDescent="0.25">
      <c r="A433" s="18"/>
      <c r="B433" s="11" t="s">
        <v>27</v>
      </c>
      <c r="C433" s="224">
        <f>C430-C432</f>
        <v>258195.60649075801</v>
      </c>
      <c r="D433" s="224"/>
      <c r="E433" s="12">
        <f>100-E432</f>
        <v>16.20999999999998</v>
      </c>
      <c r="G433" s="18"/>
      <c r="H433" s="18"/>
      <c r="I433" s="18"/>
      <c r="J433" s="18"/>
    </row>
    <row r="434" spans="1:10" x14ac:dyDescent="0.25">
      <c r="A434" s="18"/>
      <c r="B434" s="11" t="s">
        <v>28</v>
      </c>
      <c r="C434" s="219">
        <f>C431*0.03</f>
        <v>48000</v>
      </c>
      <c r="D434" s="220"/>
      <c r="E434" s="12">
        <v>3</v>
      </c>
      <c r="G434" s="18"/>
      <c r="H434" s="18"/>
      <c r="I434" s="18"/>
      <c r="J434" s="18"/>
    </row>
    <row r="435" spans="1:10" x14ac:dyDescent="0.25">
      <c r="A435" s="18"/>
      <c r="B435" s="11" t="s">
        <v>29</v>
      </c>
      <c r="C435" s="219">
        <f>C431*0.02</f>
        <v>32000</v>
      </c>
      <c r="D435" s="220"/>
      <c r="E435" s="12">
        <v>2</v>
      </c>
      <c r="G435" s="18"/>
      <c r="H435" s="18"/>
      <c r="I435" s="18"/>
      <c r="J435" s="18"/>
    </row>
  </sheetData>
  <mergeCells count="25">
    <mergeCell ref="K204:K209"/>
    <mergeCell ref="K199:K202"/>
    <mergeCell ref="A6:F6"/>
    <mergeCell ref="H6:K6"/>
    <mergeCell ref="A1:K1"/>
    <mergeCell ref="A2:K2"/>
    <mergeCell ref="A3:K3"/>
    <mergeCell ref="A4:K4"/>
    <mergeCell ref="A5:K5"/>
    <mergeCell ref="C434:D434"/>
    <mergeCell ref="C435:D435"/>
    <mergeCell ref="A7:F7"/>
    <mergeCell ref="H7:K7"/>
    <mergeCell ref="C430:D430"/>
    <mergeCell ref="C431:D431"/>
    <mergeCell ref="C432:D432"/>
    <mergeCell ref="C433:D433"/>
    <mergeCell ref="F98:F99"/>
    <mergeCell ref="C98:C99"/>
    <mergeCell ref="C100:C101"/>
    <mergeCell ref="F100:F101"/>
    <mergeCell ref="C102:C103"/>
    <mergeCell ref="F102:F103"/>
    <mergeCell ref="K39:K40"/>
    <mergeCell ref="K210:K214"/>
  </mergeCells>
  <pageMargins left="0.7" right="0.7" top="0.75" bottom="0.75" header="0.3" footer="0.3"/>
  <pageSetup paperSize="9" scale="78" orientation="portrait" r:id="rId1"/>
  <headerFooter>
    <oddFooter>&amp;LPrepared By:
Kristal Suwal&amp;CChecked By:
Er. Milan Phuyal&amp;RApproved By:
Er. Prakash Singh Saud</oddFooter>
  </headerFooter>
  <rowBreaks count="1" manualBreakCount="1">
    <brk id="53" max="10"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view="pageBreakPreview" zoomScale="60" zoomScaleNormal="100" workbookViewId="0">
      <selection activeCell="H11" sqref="H11"/>
    </sheetView>
  </sheetViews>
  <sheetFormatPr defaultRowHeight="15" x14ac:dyDescent="0.25"/>
  <cols>
    <col min="1" max="1" width="7.28515625" customWidth="1"/>
    <col min="2" max="2" width="13" customWidth="1"/>
    <col min="3" max="3" width="20.28515625" customWidth="1"/>
    <col min="4" max="4" width="10.5703125" customWidth="1"/>
    <col min="5" max="5" width="12" customWidth="1"/>
    <col min="6" max="6" width="14.28515625" customWidth="1"/>
    <col min="7" max="7" width="16.28515625" customWidth="1"/>
    <col min="8" max="8" width="15" customWidth="1"/>
  </cols>
  <sheetData>
    <row r="1" spans="1:11" ht="15.75" x14ac:dyDescent="0.3">
      <c r="A1" s="65" t="e">
        <f>#REF!+1</f>
        <v>#REF!</v>
      </c>
      <c r="B1" s="255" t="s">
        <v>176</v>
      </c>
      <c r="C1" s="256"/>
      <c r="D1" s="256"/>
      <c r="E1" s="256"/>
      <c r="F1" s="256"/>
      <c r="G1" s="256"/>
      <c r="H1" s="256"/>
    </row>
    <row r="2" spans="1:11" x14ac:dyDescent="0.25">
      <c r="A2" s="66" t="s">
        <v>177</v>
      </c>
      <c r="B2" s="257" t="s">
        <v>178</v>
      </c>
      <c r="C2" s="256"/>
      <c r="D2" s="256"/>
      <c r="E2" s="256"/>
      <c r="F2" s="256"/>
      <c r="G2" s="256"/>
      <c r="H2" s="256"/>
    </row>
    <row r="3" spans="1:11" ht="15.75" x14ac:dyDescent="0.25">
      <c r="A3" s="67"/>
      <c r="B3" s="256" t="s">
        <v>179</v>
      </c>
      <c r="C3" s="256"/>
      <c r="D3" s="256"/>
      <c r="E3" s="256"/>
      <c r="F3" s="256"/>
      <c r="G3" s="256"/>
      <c r="H3" s="256"/>
    </row>
    <row r="4" spans="1:11" x14ac:dyDescent="0.25">
      <c r="A4" s="68"/>
      <c r="B4" s="256" t="s">
        <v>180</v>
      </c>
      <c r="C4" s="256"/>
      <c r="D4" s="256"/>
      <c r="E4" s="256"/>
      <c r="F4" s="256"/>
      <c r="G4" s="256"/>
      <c r="H4" s="256"/>
    </row>
    <row r="5" spans="1:11" x14ac:dyDescent="0.25">
      <c r="A5" s="68"/>
      <c r="B5" s="251" t="s">
        <v>181</v>
      </c>
      <c r="C5" s="251"/>
      <c r="D5" s="251"/>
      <c r="E5" s="251"/>
      <c r="F5" s="251"/>
      <c r="G5" s="251"/>
      <c r="H5" s="251"/>
    </row>
    <row r="6" spans="1:11" ht="31.5" x14ac:dyDescent="0.25">
      <c r="A6" s="69"/>
      <c r="B6" s="70" t="s">
        <v>182</v>
      </c>
      <c r="C6" s="70" t="s">
        <v>183</v>
      </c>
      <c r="D6" s="70" t="s">
        <v>184</v>
      </c>
      <c r="E6" s="70" t="s">
        <v>185</v>
      </c>
      <c r="F6" s="70" t="s">
        <v>186</v>
      </c>
      <c r="G6" s="70" t="s">
        <v>187</v>
      </c>
      <c r="H6" s="70" t="s">
        <v>188</v>
      </c>
    </row>
    <row r="7" spans="1:11" ht="16.5" x14ac:dyDescent="0.25">
      <c r="A7" s="71"/>
      <c r="B7" s="246" t="s">
        <v>189</v>
      </c>
      <c r="C7" s="72" t="s">
        <v>190</v>
      </c>
      <c r="D7" s="73">
        <v>7</v>
      </c>
      <c r="E7" s="74" t="s">
        <v>191</v>
      </c>
      <c r="F7" s="75">
        <v>1200</v>
      </c>
      <c r="G7" s="75">
        <f t="shared" ref="G7:G13" si="0">FLOOR(D7*F7,0.01)</f>
        <v>8400</v>
      </c>
      <c r="H7" s="76"/>
    </row>
    <row r="8" spans="1:11" ht="16.5" x14ac:dyDescent="0.25">
      <c r="A8" s="69"/>
      <c r="B8" s="248"/>
      <c r="C8" s="77" t="s">
        <v>192</v>
      </c>
      <c r="D8" s="78">
        <v>5</v>
      </c>
      <c r="E8" s="79" t="s">
        <v>191</v>
      </c>
      <c r="F8" s="80">
        <v>900</v>
      </c>
      <c r="G8" s="80">
        <f t="shared" si="0"/>
        <v>4500</v>
      </c>
      <c r="H8" s="81">
        <f>SUM(G7+G8)</f>
        <v>12900</v>
      </c>
    </row>
    <row r="9" spans="1:11" ht="17.25" x14ac:dyDescent="0.3">
      <c r="A9" s="69"/>
      <c r="B9" s="246" t="s">
        <v>193</v>
      </c>
      <c r="C9" s="72" t="s">
        <v>194</v>
      </c>
      <c r="D9" s="73">
        <v>35.51</v>
      </c>
      <c r="E9" s="74" t="s">
        <v>195</v>
      </c>
      <c r="F9" s="75">
        <v>93</v>
      </c>
      <c r="G9" s="82">
        <f t="shared" si="0"/>
        <v>3302.4300000000003</v>
      </c>
      <c r="H9" s="83"/>
    </row>
    <row r="10" spans="1:11" ht="17.25" x14ac:dyDescent="0.3">
      <c r="A10" s="69"/>
      <c r="B10" s="247"/>
      <c r="C10" s="84" t="s">
        <v>196</v>
      </c>
      <c r="D10" s="73">
        <v>32.06</v>
      </c>
      <c r="E10" s="74" t="s">
        <v>195</v>
      </c>
      <c r="F10" s="85">
        <v>93</v>
      </c>
      <c r="G10" s="86">
        <f t="shared" si="0"/>
        <v>2981.58</v>
      </c>
      <c r="H10" s="83"/>
    </row>
    <row r="11" spans="1:11" ht="17.25" x14ac:dyDescent="0.3">
      <c r="A11" s="69"/>
      <c r="B11" s="247"/>
      <c r="C11" s="84" t="s">
        <v>197</v>
      </c>
      <c r="D11" s="73">
        <v>25.19</v>
      </c>
      <c r="E11" s="74" t="s">
        <v>195</v>
      </c>
      <c r="F11" s="85">
        <v>93</v>
      </c>
      <c r="G11" s="86">
        <f t="shared" si="0"/>
        <v>2342.67</v>
      </c>
      <c r="H11" s="83"/>
      <c r="J11">
        <f>2+2+5+5</f>
        <v>14</v>
      </c>
      <c r="K11">
        <f>J11*1.17</f>
        <v>16.38</v>
      </c>
    </row>
    <row r="12" spans="1:11" ht="28.5" x14ac:dyDescent="0.3">
      <c r="A12" s="69"/>
      <c r="B12" s="247"/>
      <c r="C12" s="87" t="s">
        <v>198</v>
      </c>
      <c r="D12" s="202">
        <f>14.76/0.15*0.13</f>
        <v>12.792000000000002</v>
      </c>
      <c r="E12" s="74" t="s">
        <v>195</v>
      </c>
      <c r="F12" s="85">
        <v>154</v>
      </c>
      <c r="G12" s="86">
        <f t="shared" si="0"/>
        <v>1969.96</v>
      </c>
      <c r="H12" s="83"/>
      <c r="J12">
        <f>10+10</f>
        <v>20</v>
      </c>
      <c r="K12">
        <f>J12*1.17</f>
        <v>23.4</v>
      </c>
    </row>
    <row r="13" spans="1:11" ht="28.5" x14ac:dyDescent="0.3">
      <c r="A13" s="69"/>
      <c r="B13" s="248"/>
      <c r="C13" s="87" t="s">
        <v>199</v>
      </c>
      <c r="D13" s="78">
        <v>10</v>
      </c>
      <c r="E13" s="79" t="s">
        <v>200</v>
      </c>
      <c r="F13" s="80">
        <v>613</v>
      </c>
      <c r="G13" s="88">
        <f t="shared" si="0"/>
        <v>6130</v>
      </c>
      <c r="H13" s="81">
        <f>SUM(G9:G13)</f>
        <v>16726.64</v>
      </c>
    </row>
    <row r="14" spans="1:11" ht="18" x14ac:dyDescent="0.35">
      <c r="A14" s="69"/>
      <c r="B14" s="89"/>
      <c r="C14" s="90"/>
      <c r="D14" s="91"/>
      <c r="E14" s="92"/>
      <c r="F14" s="93" t="s">
        <v>201</v>
      </c>
      <c r="G14" s="94"/>
      <c r="H14" s="81">
        <f>H13*0.15</f>
        <v>2508.9959999999996</v>
      </c>
    </row>
    <row r="15" spans="1:11" ht="19.5" x14ac:dyDescent="0.4">
      <c r="A15" s="69"/>
      <c r="B15" s="69"/>
      <c r="C15" s="69"/>
      <c r="D15" s="69"/>
      <c r="E15" s="69"/>
      <c r="F15" s="95" t="s">
        <v>202</v>
      </c>
      <c r="G15" s="96"/>
      <c r="H15" s="88">
        <f>SUM(H8:H14)</f>
        <v>32135.635999999999</v>
      </c>
    </row>
    <row r="16" spans="1:11" ht="19.5" x14ac:dyDescent="0.4">
      <c r="A16" s="69"/>
      <c r="B16" s="69" t="s">
        <v>203</v>
      </c>
      <c r="C16" s="69"/>
      <c r="D16" s="69"/>
      <c r="E16" s="69"/>
      <c r="F16" s="95" t="s">
        <v>204</v>
      </c>
      <c r="G16" s="96"/>
      <c r="H16" s="88">
        <f>FLOOR(H15*0.15,0.01)</f>
        <v>4820.34</v>
      </c>
    </row>
    <row r="17" spans="1:8" ht="19.5" x14ac:dyDescent="0.4">
      <c r="A17" s="71"/>
      <c r="B17" s="97">
        <f>+H17</f>
        <v>36955.975999999995</v>
      </c>
      <c r="C17" s="71" t="s">
        <v>205</v>
      </c>
      <c r="D17" s="98">
        <f>FLOOR(B17/B18,0.01)</f>
        <v>3695.59</v>
      </c>
      <c r="E17" s="69" t="s">
        <v>206</v>
      </c>
      <c r="F17" s="95" t="s">
        <v>207</v>
      </c>
      <c r="G17" s="96"/>
      <c r="H17" s="98">
        <f>SUM(H15:H16)</f>
        <v>36955.975999999995</v>
      </c>
    </row>
    <row r="18" spans="1:8" ht="19.5" x14ac:dyDescent="0.4">
      <c r="A18" s="71"/>
      <c r="B18" s="99">
        <v>10</v>
      </c>
      <c r="C18" s="71"/>
      <c r="D18" s="100"/>
      <c r="E18" s="69"/>
      <c r="F18" s="95"/>
      <c r="G18" s="96"/>
      <c r="H18" s="100"/>
    </row>
    <row r="21" spans="1:8" ht="20.25" x14ac:dyDescent="0.3">
      <c r="A21" s="103">
        <f>+A4+1</f>
        <v>1</v>
      </c>
      <c r="B21" s="249" t="s">
        <v>260</v>
      </c>
      <c r="C21" s="249"/>
      <c r="D21" s="249"/>
      <c r="E21" s="249"/>
      <c r="F21" s="249"/>
      <c r="G21" s="249"/>
      <c r="H21" s="249"/>
    </row>
    <row r="22" spans="1:8" ht="19.5" x14ac:dyDescent="0.25">
      <c r="A22" s="104" t="s">
        <v>214</v>
      </c>
      <c r="B22" s="250" t="s">
        <v>215</v>
      </c>
      <c r="C22" s="249"/>
      <c r="D22" s="249"/>
      <c r="E22" s="249"/>
      <c r="F22" s="249"/>
      <c r="G22" s="249"/>
      <c r="H22" s="249"/>
    </row>
    <row r="23" spans="1:8" ht="19.5" x14ac:dyDescent="0.25">
      <c r="A23" s="105" t="s">
        <v>216</v>
      </c>
      <c r="B23" s="250" t="s">
        <v>217</v>
      </c>
      <c r="C23" s="249"/>
      <c r="D23" s="249"/>
      <c r="E23" s="249"/>
      <c r="F23" s="249"/>
      <c r="G23" s="249"/>
      <c r="H23" s="249"/>
    </row>
    <row r="24" spans="1:8" ht="15.75" x14ac:dyDescent="0.25">
      <c r="A24" s="69"/>
      <c r="B24" s="251" t="s">
        <v>218</v>
      </c>
      <c r="C24" s="251"/>
      <c r="D24" s="251"/>
      <c r="E24" s="251"/>
      <c r="F24" s="251"/>
      <c r="G24" s="251"/>
      <c r="H24" s="251"/>
    </row>
    <row r="25" spans="1:8" ht="31.5" x14ac:dyDescent="0.25">
      <c r="A25" s="69"/>
      <c r="B25" s="70" t="s">
        <v>182</v>
      </c>
      <c r="C25" s="70" t="s">
        <v>183</v>
      </c>
      <c r="D25" s="70" t="s">
        <v>184</v>
      </c>
      <c r="E25" s="70" t="s">
        <v>185</v>
      </c>
      <c r="F25" s="70" t="s">
        <v>186</v>
      </c>
      <c r="G25" s="70" t="s">
        <v>187</v>
      </c>
      <c r="H25" s="70" t="s">
        <v>188</v>
      </c>
    </row>
    <row r="26" spans="1:8" ht="17.25" x14ac:dyDescent="0.3">
      <c r="A26" s="69"/>
      <c r="B26" s="252" t="s">
        <v>219</v>
      </c>
      <c r="C26" s="101" t="s">
        <v>220</v>
      </c>
      <c r="D26" s="106">
        <v>1.5</v>
      </c>
      <c r="E26" s="107" t="s">
        <v>191</v>
      </c>
      <c r="F26" s="75">
        <v>1200</v>
      </c>
      <c r="G26" s="82">
        <f t="shared" ref="G26:G32" si="1">FLOOR(D26*F26,0.01)</f>
        <v>1800</v>
      </c>
      <c r="H26" s="76"/>
    </row>
    <row r="27" spans="1:8" ht="17.25" x14ac:dyDescent="0.3">
      <c r="A27" s="69"/>
      <c r="B27" s="253"/>
      <c r="C27" s="74" t="s">
        <v>221</v>
      </c>
      <c r="D27" s="73">
        <v>2.2000000000000002</v>
      </c>
      <c r="E27" s="74" t="s">
        <v>191</v>
      </c>
      <c r="F27" s="86">
        <v>900</v>
      </c>
      <c r="G27" s="86">
        <f t="shared" si="1"/>
        <v>1980</v>
      </c>
      <c r="H27" s="108"/>
    </row>
    <row r="28" spans="1:8" ht="17.25" x14ac:dyDescent="0.3">
      <c r="A28" s="69"/>
      <c r="B28" s="254"/>
      <c r="C28" s="79" t="s">
        <v>222</v>
      </c>
      <c r="D28" s="78">
        <v>0.2</v>
      </c>
      <c r="E28" s="79" t="s">
        <v>191</v>
      </c>
      <c r="F28" s="88">
        <v>900</v>
      </c>
      <c r="G28" s="88">
        <f t="shared" si="1"/>
        <v>180</v>
      </c>
      <c r="H28" s="81">
        <f>SUM(G26+G27+G28)</f>
        <v>3960</v>
      </c>
    </row>
    <row r="29" spans="1:8" ht="17.25" x14ac:dyDescent="0.3">
      <c r="A29" s="69"/>
      <c r="B29" s="109"/>
      <c r="C29" s="107" t="s">
        <v>223</v>
      </c>
      <c r="D29" s="203">
        <f>0*560</f>
        <v>0</v>
      </c>
      <c r="E29" s="107" t="s">
        <v>224</v>
      </c>
      <c r="F29" s="82">
        <v>15.651999999999999</v>
      </c>
      <c r="G29" s="82">
        <f t="shared" si="1"/>
        <v>0</v>
      </c>
      <c r="H29" s="76"/>
    </row>
    <row r="30" spans="1:8" ht="17.25" x14ac:dyDescent="0.3">
      <c r="A30" s="69"/>
      <c r="B30" s="74" t="s">
        <v>193</v>
      </c>
      <c r="C30" s="74" t="s">
        <v>225</v>
      </c>
      <c r="D30" s="73">
        <v>7.0000000000000007E-2</v>
      </c>
      <c r="E30" s="74" t="s">
        <v>226</v>
      </c>
      <c r="F30" s="86">
        <v>14431</v>
      </c>
      <c r="G30" s="86">
        <f t="shared" si="1"/>
        <v>1010.1700000000001</v>
      </c>
      <c r="H30" s="108"/>
    </row>
    <row r="31" spans="1:8" ht="17.25" x14ac:dyDescent="0.3">
      <c r="A31" s="69"/>
      <c r="B31" s="74"/>
      <c r="C31" s="74" t="s">
        <v>227</v>
      </c>
      <c r="D31" s="73">
        <v>0.3</v>
      </c>
      <c r="E31" s="74" t="s">
        <v>228</v>
      </c>
      <c r="F31" s="86">
        <v>2507.0100000000002</v>
      </c>
      <c r="G31" s="86">
        <f t="shared" si="1"/>
        <v>752.1</v>
      </c>
      <c r="H31" s="108"/>
    </row>
    <row r="32" spans="1:8" ht="17.25" x14ac:dyDescent="0.3">
      <c r="A32" s="69"/>
      <c r="B32" s="110"/>
      <c r="C32" s="79" t="s">
        <v>229</v>
      </c>
      <c r="D32" s="78">
        <v>100</v>
      </c>
      <c r="E32" s="79" t="s">
        <v>230</v>
      </c>
      <c r="F32" s="88">
        <v>0.28000000000000003</v>
      </c>
      <c r="G32" s="88">
        <f t="shared" si="1"/>
        <v>28</v>
      </c>
      <c r="H32" s="81">
        <f>SUM(G29:G32)</f>
        <v>1790.27</v>
      </c>
    </row>
    <row r="33" spans="1:8" ht="17.25" x14ac:dyDescent="0.3">
      <c r="A33" s="69"/>
      <c r="B33" s="111"/>
      <c r="C33" s="112" t="s">
        <v>231</v>
      </c>
      <c r="D33" s="244" t="s">
        <v>232</v>
      </c>
      <c r="E33" s="245"/>
      <c r="F33" s="113"/>
      <c r="G33" s="114"/>
      <c r="H33" s="81">
        <f>INT(G28*0.03*100)/100</f>
        <v>5.4</v>
      </c>
    </row>
    <row r="34" spans="1:8" ht="17.25" x14ac:dyDescent="0.3">
      <c r="A34" s="69"/>
      <c r="B34" s="69"/>
      <c r="C34" s="69"/>
      <c r="D34" s="69"/>
      <c r="E34" s="95"/>
      <c r="F34" s="95" t="s">
        <v>202</v>
      </c>
      <c r="G34" s="115"/>
      <c r="H34" s="98">
        <f>SUM(H28:H33)</f>
        <v>5755.67</v>
      </c>
    </row>
    <row r="35" spans="1:8" ht="17.25" x14ac:dyDescent="0.3">
      <c r="A35" s="69"/>
      <c r="B35" s="69" t="s">
        <v>233</v>
      </c>
      <c r="C35" s="69"/>
      <c r="D35" s="69"/>
      <c r="E35" s="95"/>
      <c r="F35" s="95" t="s">
        <v>234</v>
      </c>
      <c r="G35" s="115"/>
      <c r="H35" s="98">
        <f>FLOOR(H34*0.15,0.01)</f>
        <v>863.35</v>
      </c>
    </row>
    <row r="36" spans="1:8" ht="17.25" x14ac:dyDescent="0.3">
      <c r="A36" s="71" t="s">
        <v>235</v>
      </c>
      <c r="B36" s="98">
        <f>+H36</f>
        <v>6619.02</v>
      </c>
      <c r="C36" s="69" t="s">
        <v>206</v>
      </c>
      <c r="D36" s="69"/>
      <c r="E36" s="95"/>
      <c r="F36" s="95" t="s">
        <v>207</v>
      </c>
      <c r="G36" s="115"/>
      <c r="H36" s="98">
        <f>SUM(H34:H35)</f>
        <v>6619.02</v>
      </c>
    </row>
  </sheetData>
  <mergeCells count="13">
    <mergeCell ref="B7:B8"/>
    <mergeCell ref="B1:H1"/>
    <mergeCell ref="B2:H2"/>
    <mergeCell ref="B3:H3"/>
    <mergeCell ref="B4:H4"/>
    <mergeCell ref="B5:H5"/>
    <mergeCell ref="D33:E33"/>
    <mergeCell ref="B9:B13"/>
    <mergeCell ref="B21:H21"/>
    <mergeCell ref="B22:H22"/>
    <mergeCell ref="B23:H23"/>
    <mergeCell ref="B24:H24"/>
    <mergeCell ref="B26:B28"/>
  </mergeCells>
  <pageMargins left="0.7" right="0.7" top="0.75" bottom="0.75" header="0.3" footer="0.3"/>
  <pageSetup paperSize="9" scale="80"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35"/>
  <sheetViews>
    <sheetView tabSelected="1" topLeftCell="A367" zoomScale="89" zoomScaleNormal="89" workbookViewId="0">
      <selection activeCell="G320" sqref="G320"/>
    </sheetView>
  </sheetViews>
  <sheetFormatPr defaultRowHeight="15" x14ac:dyDescent="0.25"/>
  <cols>
    <col min="1" max="1" width="4.42578125" customWidth="1"/>
    <col min="2" max="2" width="31.28515625" customWidth="1"/>
    <col min="3" max="3" width="5.5703125" customWidth="1"/>
    <col min="4" max="4" width="9.140625" bestFit="1" customWidth="1"/>
    <col min="5" max="5" width="7.85546875" customWidth="1"/>
    <col min="6" max="6" width="8.28515625" customWidth="1"/>
    <col min="7" max="7" width="9.28515625" customWidth="1"/>
    <col min="8" max="8" width="5.28515625" bestFit="1" customWidth="1"/>
    <col min="9" max="9" width="9.5703125" hidden="1" customWidth="1"/>
    <col min="10" max="10" width="10.5703125" hidden="1" customWidth="1"/>
    <col min="11" max="11" width="9.140625" customWidth="1"/>
    <col min="14" max="14" width="9.5703125" bestFit="1" customWidth="1"/>
  </cols>
  <sheetData>
    <row r="1" spans="1:11" x14ac:dyDescent="0.25">
      <c r="A1" s="215" t="s">
        <v>0</v>
      </c>
      <c r="B1" s="215"/>
      <c r="C1" s="215"/>
      <c r="D1" s="215"/>
      <c r="E1" s="215"/>
      <c r="F1" s="215"/>
      <c r="G1" s="215"/>
      <c r="H1" s="215"/>
      <c r="I1" s="215"/>
      <c r="J1" s="215"/>
      <c r="K1" s="215"/>
    </row>
    <row r="2" spans="1:11" ht="22.5" x14ac:dyDescent="0.25">
      <c r="A2" s="216" t="s">
        <v>1</v>
      </c>
      <c r="B2" s="216"/>
      <c r="C2" s="216"/>
      <c r="D2" s="216"/>
      <c r="E2" s="216"/>
      <c r="F2" s="216"/>
      <c r="G2" s="216"/>
      <c r="H2" s="216"/>
      <c r="I2" s="216"/>
      <c r="J2" s="216"/>
      <c r="K2" s="216"/>
    </row>
    <row r="3" spans="1:11" x14ac:dyDescent="0.25">
      <c r="A3" s="217" t="s">
        <v>2</v>
      </c>
      <c r="B3" s="217"/>
      <c r="C3" s="217"/>
      <c r="D3" s="217"/>
      <c r="E3" s="217"/>
      <c r="F3" s="217"/>
      <c r="G3" s="217"/>
      <c r="H3" s="217"/>
      <c r="I3" s="217"/>
      <c r="J3" s="217"/>
      <c r="K3" s="217"/>
    </row>
    <row r="4" spans="1:11" x14ac:dyDescent="0.25">
      <c r="A4" s="217" t="s">
        <v>3</v>
      </c>
      <c r="B4" s="217"/>
      <c r="C4" s="217"/>
      <c r="D4" s="217"/>
      <c r="E4" s="217"/>
      <c r="F4" s="217"/>
      <c r="G4" s="217"/>
      <c r="H4" s="217"/>
      <c r="I4" s="217"/>
      <c r="J4" s="217"/>
      <c r="K4" s="217"/>
    </row>
    <row r="5" spans="1:11" ht="18.75" x14ac:dyDescent="0.3">
      <c r="A5" s="218" t="s">
        <v>268</v>
      </c>
      <c r="B5" s="218"/>
      <c r="C5" s="218"/>
      <c r="D5" s="218"/>
      <c r="E5" s="218"/>
      <c r="F5" s="218"/>
      <c r="G5" s="218"/>
      <c r="H5" s="218"/>
      <c r="I5" s="218"/>
      <c r="J5" s="218"/>
      <c r="K5" s="218"/>
    </row>
    <row r="6" spans="1:11" ht="15.75" x14ac:dyDescent="0.25">
      <c r="A6" s="213" t="s">
        <v>111</v>
      </c>
      <c r="B6" s="213"/>
      <c r="C6" s="213"/>
      <c r="D6" s="213"/>
      <c r="E6" s="213"/>
      <c r="F6" s="213"/>
      <c r="G6" s="1"/>
      <c r="H6" s="258" t="s">
        <v>267</v>
      </c>
      <c r="I6" s="258"/>
      <c r="J6" s="258"/>
      <c r="K6" s="258"/>
    </row>
    <row r="7" spans="1:11" ht="15.75" x14ac:dyDescent="0.25">
      <c r="A7" s="221" t="s">
        <v>5</v>
      </c>
      <c r="B7" s="221"/>
      <c r="C7" s="221"/>
      <c r="D7" s="221"/>
      <c r="E7" s="221"/>
      <c r="F7" s="221"/>
      <c r="G7" s="2"/>
      <c r="H7" s="258" t="s">
        <v>261</v>
      </c>
      <c r="I7" s="258"/>
      <c r="J7" s="258"/>
      <c r="K7" s="258"/>
    </row>
    <row r="8" spans="1:11" ht="15" customHeight="1" x14ac:dyDescent="0.25">
      <c r="A8" s="184" t="s">
        <v>6</v>
      </c>
      <c r="B8" s="185" t="s">
        <v>7</v>
      </c>
      <c r="C8" s="186" t="s">
        <v>8</v>
      </c>
      <c r="D8" s="187" t="s">
        <v>9</v>
      </c>
      <c r="E8" s="187" t="s">
        <v>10</v>
      </c>
      <c r="F8" s="187" t="s">
        <v>11</v>
      </c>
      <c r="G8" s="187" t="s">
        <v>12</v>
      </c>
      <c r="H8" s="186" t="s">
        <v>13</v>
      </c>
      <c r="I8" s="187" t="s">
        <v>14</v>
      </c>
      <c r="J8" s="187" t="s">
        <v>15</v>
      </c>
      <c r="K8" s="185" t="s">
        <v>38</v>
      </c>
    </row>
    <row r="9" spans="1:11" ht="31.5" x14ac:dyDescent="0.25">
      <c r="A9" s="182">
        <v>1</v>
      </c>
      <c r="B9" s="124" t="s">
        <v>62</v>
      </c>
      <c r="C9" s="178"/>
      <c r="D9" s="178"/>
      <c r="E9" s="178"/>
      <c r="F9" s="178"/>
      <c r="G9" s="178"/>
      <c r="H9" s="178"/>
      <c r="I9" s="178"/>
      <c r="J9" s="152"/>
      <c r="K9" s="178"/>
    </row>
    <row r="10" spans="1:11" x14ac:dyDescent="0.25">
      <c r="A10" s="182"/>
      <c r="B10" s="173" t="s">
        <v>57</v>
      </c>
      <c r="C10" s="151">
        <v>6</v>
      </c>
      <c r="D10" s="152">
        <v>1.5</v>
      </c>
      <c r="E10" s="152">
        <v>1.5</v>
      </c>
      <c r="F10" s="152">
        <v>1.6</v>
      </c>
      <c r="G10" s="152">
        <f>PRODUCT(C10:F10)</f>
        <v>21.6</v>
      </c>
      <c r="H10" s="178"/>
      <c r="I10" s="178"/>
      <c r="J10" s="152"/>
      <c r="K10" s="178"/>
    </row>
    <row r="11" spans="1:11" x14ac:dyDescent="0.25">
      <c r="A11" s="182"/>
      <c r="B11" s="173" t="s">
        <v>61</v>
      </c>
      <c r="C11" s="151">
        <v>3</v>
      </c>
      <c r="D11" s="152">
        <f>3</f>
        <v>3</v>
      </c>
      <c r="E11" s="152">
        <v>0.23</v>
      </c>
      <c r="F11" s="152">
        <f>1.5/3.281</f>
        <v>0.45717768972874123</v>
      </c>
      <c r="G11" s="152">
        <f t="shared" ref="G11:G17" si="0">PRODUCT(C11:F11)</f>
        <v>0.94635781773849448</v>
      </c>
      <c r="H11" s="178"/>
      <c r="I11" s="178"/>
      <c r="J11" s="152"/>
      <c r="K11" s="178"/>
    </row>
    <row r="12" spans="1:11" x14ac:dyDescent="0.25">
      <c r="A12" s="182"/>
      <c r="B12" s="173"/>
      <c r="C12" s="151">
        <v>4</v>
      </c>
      <c r="D12" s="152">
        <f>8.5/3.281</f>
        <v>2.5906735751295336</v>
      </c>
      <c r="E12" s="152">
        <v>0.23</v>
      </c>
      <c r="F12" s="152">
        <f>1.5/3.281</f>
        <v>0.45717768972874123</v>
      </c>
      <c r="G12" s="152">
        <f t="shared" si="0"/>
        <v>1.0896463071254971</v>
      </c>
      <c r="H12" s="178"/>
      <c r="I12" s="178"/>
      <c r="J12" s="152"/>
      <c r="K12" s="178"/>
    </row>
    <row r="13" spans="1:11" x14ac:dyDescent="0.25">
      <c r="A13" s="182"/>
      <c r="B13" s="173" t="s">
        <v>149</v>
      </c>
      <c r="C13" s="151">
        <v>1</v>
      </c>
      <c r="D13" s="152">
        <f>(2.34+1.4)/2</f>
        <v>1.8699999999999999</v>
      </c>
      <c r="E13" s="152">
        <f>12/3.281</f>
        <v>3.6574215178299299</v>
      </c>
      <c r="F13" s="152">
        <v>0.125</v>
      </c>
      <c r="G13" s="152">
        <f t="shared" si="0"/>
        <v>0.85492227979274604</v>
      </c>
      <c r="H13" s="178"/>
      <c r="I13" s="178"/>
      <c r="J13" s="152"/>
      <c r="K13" s="178"/>
    </row>
    <row r="14" spans="1:11" x14ac:dyDescent="0.25">
      <c r="A14" s="182"/>
      <c r="B14" s="173"/>
      <c r="C14" s="151">
        <v>1</v>
      </c>
      <c r="D14" s="152">
        <v>7.5</v>
      </c>
      <c r="E14" s="152">
        <v>1.1499999999999999</v>
      </c>
      <c r="F14" s="152">
        <v>0.125</v>
      </c>
      <c r="G14" s="152">
        <f t="shared" si="0"/>
        <v>1.078125</v>
      </c>
      <c r="H14" s="178"/>
      <c r="I14" s="178"/>
      <c r="J14" s="152"/>
      <c r="K14" s="178"/>
    </row>
    <row r="15" spans="1:11" x14ac:dyDescent="0.25">
      <c r="A15" s="182"/>
      <c r="B15" s="173"/>
      <c r="C15" s="151">
        <v>1</v>
      </c>
      <c r="D15" s="152">
        <v>1.6</v>
      </c>
      <c r="E15" s="152">
        <v>1.55</v>
      </c>
      <c r="F15" s="152">
        <v>0.125</v>
      </c>
      <c r="G15" s="152">
        <f t="shared" si="0"/>
        <v>0.31000000000000005</v>
      </c>
      <c r="H15" s="178"/>
      <c r="I15" s="178"/>
      <c r="J15" s="152"/>
      <c r="K15" s="178"/>
    </row>
    <row r="16" spans="1:11" x14ac:dyDescent="0.25">
      <c r="A16" s="182"/>
      <c r="B16" s="173" t="s">
        <v>150</v>
      </c>
      <c r="C16" s="151">
        <v>1</v>
      </c>
      <c r="D16" s="152">
        <f>7+10/3.281</f>
        <v>10.047851264858275</v>
      </c>
      <c r="E16" s="152">
        <v>0.4</v>
      </c>
      <c r="F16" s="152">
        <v>0.1</v>
      </c>
      <c r="G16" s="152">
        <f t="shared" si="0"/>
        <v>0.40191405059433105</v>
      </c>
      <c r="H16" s="178"/>
      <c r="I16" s="178"/>
      <c r="J16" s="152"/>
      <c r="K16" s="178"/>
    </row>
    <row r="17" spans="1:11" x14ac:dyDescent="0.25">
      <c r="A17" s="182"/>
      <c r="B17" s="173" t="s">
        <v>266</v>
      </c>
      <c r="C17" s="151">
        <v>1</v>
      </c>
      <c r="D17" s="152">
        <f>12/3.281</f>
        <v>3.6574215178299299</v>
      </c>
      <c r="E17" s="152">
        <f>9/3.281</f>
        <v>2.7430661383724475</v>
      </c>
      <c r="F17" s="152">
        <v>0.1</v>
      </c>
      <c r="G17" s="152">
        <f t="shared" si="0"/>
        <v>1.003254911931404</v>
      </c>
      <c r="H17" s="178"/>
      <c r="I17" s="178"/>
      <c r="J17" s="152"/>
      <c r="K17" s="178"/>
    </row>
    <row r="18" spans="1:11" x14ac:dyDescent="0.25">
      <c r="A18" s="182"/>
      <c r="B18" s="179" t="s">
        <v>16</v>
      </c>
      <c r="C18" s="151"/>
      <c r="D18" s="152"/>
      <c r="E18" s="152"/>
      <c r="F18" s="152"/>
      <c r="G18" s="153">
        <f>SUM(G10:G17)</f>
        <v>27.284220367182474</v>
      </c>
      <c r="H18" s="6" t="s">
        <v>18</v>
      </c>
      <c r="I18" s="7">
        <v>648.9</v>
      </c>
      <c r="J18" s="153">
        <f>G18*I18</f>
        <v>17704.730596264708</v>
      </c>
      <c r="K18" s="178"/>
    </row>
    <row r="19" spans="1:11" x14ac:dyDescent="0.25">
      <c r="A19" s="182"/>
      <c r="B19" s="178"/>
      <c r="C19" s="151"/>
      <c r="D19" s="152"/>
      <c r="E19" s="152"/>
      <c r="F19" s="152"/>
      <c r="G19" s="152"/>
      <c r="H19" s="178"/>
      <c r="I19" s="152"/>
      <c r="J19" s="152"/>
      <c r="K19" s="178"/>
    </row>
    <row r="20" spans="1:11" ht="31.5" x14ac:dyDescent="0.25">
      <c r="A20" s="182">
        <v>2</v>
      </c>
      <c r="B20" s="124" t="s">
        <v>83</v>
      </c>
      <c r="C20" s="151"/>
      <c r="D20" s="152"/>
      <c r="E20" s="152"/>
      <c r="F20" s="152"/>
      <c r="G20" s="152"/>
      <c r="H20" s="178"/>
      <c r="I20" s="152"/>
      <c r="J20" s="152"/>
      <c r="K20" s="178"/>
    </row>
    <row r="21" spans="1:11" x14ac:dyDescent="0.25">
      <c r="A21" s="182"/>
      <c r="B21" s="173" t="s">
        <v>84</v>
      </c>
      <c r="C21" s="151">
        <v>1</v>
      </c>
      <c r="D21" s="152">
        <f>17/3.281</f>
        <v>5.1813471502590671</v>
      </c>
      <c r="E21" s="152">
        <f>15/3.281</f>
        <v>4.5717768972874122</v>
      </c>
      <c r="F21" s="152">
        <v>7.4999999999999997E-2</v>
      </c>
      <c r="G21" s="152">
        <f t="shared" ref="G21" si="1">PRODUCT(C21:F21)</f>
        <v>1.7765972398785279</v>
      </c>
      <c r="H21" s="178"/>
      <c r="I21" s="152"/>
      <c r="J21" s="152"/>
      <c r="K21" s="178"/>
    </row>
    <row r="22" spans="1:11" x14ac:dyDescent="0.25">
      <c r="A22" s="182"/>
      <c r="B22" s="179" t="s">
        <v>16</v>
      </c>
      <c r="C22" s="151"/>
      <c r="D22" s="152"/>
      <c r="E22" s="152"/>
      <c r="F22" s="152"/>
      <c r="G22" s="153">
        <f>SUM(G21)</f>
        <v>1.7765972398785279</v>
      </c>
      <c r="H22" s="6" t="s">
        <v>18</v>
      </c>
      <c r="I22" s="7">
        <v>3600</v>
      </c>
      <c r="J22" s="153">
        <f>G22*I22</f>
        <v>6395.7500635627002</v>
      </c>
      <c r="K22" s="178"/>
    </row>
    <row r="23" spans="1:11" x14ac:dyDescent="0.25">
      <c r="A23" s="182"/>
      <c r="B23" s="178"/>
      <c r="C23" s="151"/>
      <c r="D23" s="152"/>
      <c r="E23" s="152"/>
      <c r="F23" s="152"/>
      <c r="G23" s="152"/>
      <c r="H23" s="178"/>
      <c r="I23" s="152"/>
      <c r="J23" s="152"/>
      <c r="K23" s="178"/>
    </row>
    <row r="24" spans="1:11" ht="15.75" x14ac:dyDescent="0.25">
      <c r="A24" s="182">
        <v>3</v>
      </c>
      <c r="B24" s="124" t="s">
        <v>104</v>
      </c>
      <c r="C24" s="151"/>
      <c r="D24" s="152"/>
      <c r="E24" s="152"/>
      <c r="F24" s="152"/>
      <c r="G24" s="152"/>
      <c r="H24" s="178"/>
      <c r="I24" s="152"/>
      <c r="J24" s="152"/>
      <c r="K24" s="178"/>
    </row>
    <row r="25" spans="1:11" hidden="1" x14ac:dyDescent="0.25">
      <c r="A25" s="182"/>
      <c r="B25" s="173" t="str">
        <f>B45</f>
        <v>-Extending compound</v>
      </c>
      <c r="C25" s="151">
        <v>0</v>
      </c>
      <c r="D25" s="152">
        <f>D45</f>
        <v>16.259999999999998</v>
      </c>
      <c r="E25" s="152">
        <f>E45</f>
        <v>0.115</v>
      </c>
      <c r="F25" s="152">
        <v>0.15</v>
      </c>
      <c r="G25" s="152">
        <f>PRODUCT(C25:F25)</f>
        <v>0</v>
      </c>
      <c r="H25" s="178"/>
      <c r="I25" s="178"/>
      <c r="J25" s="152"/>
      <c r="K25" s="178"/>
    </row>
    <row r="26" spans="1:11" x14ac:dyDescent="0.25">
      <c r="A26" s="182"/>
      <c r="B26" s="173" t="s">
        <v>57</v>
      </c>
      <c r="C26" s="151">
        <f t="shared" ref="C26:E28" si="2">C10</f>
        <v>6</v>
      </c>
      <c r="D26" s="152">
        <f t="shared" si="2"/>
        <v>1.5</v>
      </c>
      <c r="E26" s="152">
        <f t="shared" si="2"/>
        <v>1.5</v>
      </c>
      <c r="F26" s="152"/>
      <c r="G26" s="152">
        <f>PRODUCT(C26:F26)</f>
        <v>13.5</v>
      </c>
      <c r="H26" s="178"/>
      <c r="I26" s="178"/>
      <c r="J26" s="152"/>
      <c r="K26" s="178"/>
    </row>
    <row r="27" spans="1:11" x14ac:dyDescent="0.25">
      <c r="A27" s="182"/>
      <c r="B27" s="173" t="s">
        <v>61</v>
      </c>
      <c r="C27" s="151">
        <f t="shared" si="2"/>
        <v>3</v>
      </c>
      <c r="D27" s="152">
        <f t="shared" si="2"/>
        <v>3</v>
      </c>
      <c r="E27" s="152">
        <f t="shared" si="2"/>
        <v>0.23</v>
      </c>
      <c r="F27" s="152"/>
      <c r="G27" s="152">
        <f t="shared" ref="G27:G34" si="3">PRODUCT(C27:F27)</f>
        <v>2.0700000000000003</v>
      </c>
      <c r="H27" s="178"/>
      <c r="I27" s="178"/>
      <c r="J27" s="152"/>
      <c r="K27" s="178"/>
    </row>
    <row r="28" spans="1:11" x14ac:dyDescent="0.25">
      <c r="A28" s="182"/>
      <c r="B28" s="173"/>
      <c r="C28" s="151">
        <f t="shared" si="2"/>
        <v>4</v>
      </c>
      <c r="D28" s="152">
        <f t="shared" si="2"/>
        <v>2.5906735751295336</v>
      </c>
      <c r="E28" s="152">
        <f t="shared" si="2"/>
        <v>0.23</v>
      </c>
      <c r="F28" s="152"/>
      <c r="G28" s="152">
        <f t="shared" si="3"/>
        <v>2.383419689119171</v>
      </c>
      <c r="H28" s="178"/>
      <c r="I28" s="178"/>
      <c r="J28" s="152"/>
      <c r="K28" s="178"/>
    </row>
    <row r="29" spans="1:11" x14ac:dyDescent="0.25">
      <c r="A29" s="182"/>
      <c r="B29" s="173" t="s">
        <v>63</v>
      </c>
      <c r="C29" s="151">
        <v>2</v>
      </c>
      <c r="D29" s="152">
        <f>2.975+0.075*2</f>
        <v>3.125</v>
      </c>
      <c r="E29" s="152">
        <f>2.595+0.075*2</f>
        <v>2.7450000000000001</v>
      </c>
      <c r="F29" s="152"/>
      <c r="G29" s="152">
        <f t="shared" si="3"/>
        <v>17.15625</v>
      </c>
      <c r="H29" s="178"/>
      <c r="I29" s="178"/>
      <c r="J29" s="152"/>
      <c r="K29" s="178"/>
    </row>
    <row r="30" spans="1:11" x14ac:dyDescent="0.25">
      <c r="A30" s="182"/>
      <c r="B30" s="173" t="s">
        <v>149</v>
      </c>
      <c r="C30" s="151">
        <f t="shared" ref="C30:E32" si="4">C13</f>
        <v>1</v>
      </c>
      <c r="D30" s="152">
        <f t="shared" si="4"/>
        <v>1.8699999999999999</v>
      </c>
      <c r="E30" s="152">
        <f t="shared" si="4"/>
        <v>3.6574215178299299</v>
      </c>
      <c r="F30" s="152"/>
      <c r="G30" s="152">
        <f t="shared" si="3"/>
        <v>6.8393782383419683</v>
      </c>
      <c r="H30" s="178"/>
      <c r="I30" s="178"/>
      <c r="J30" s="152"/>
      <c r="K30" s="178"/>
    </row>
    <row r="31" spans="1:11" x14ac:dyDescent="0.25">
      <c r="A31" s="182"/>
      <c r="B31" s="173"/>
      <c r="C31" s="151">
        <f t="shared" si="4"/>
        <v>1</v>
      </c>
      <c r="D31" s="152">
        <f t="shared" si="4"/>
        <v>7.5</v>
      </c>
      <c r="E31" s="152">
        <f t="shared" si="4"/>
        <v>1.1499999999999999</v>
      </c>
      <c r="F31" s="152"/>
      <c r="G31" s="152">
        <f t="shared" si="3"/>
        <v>8.625</v>
      </c>
      <c r="H31" s="178"/>
      <c r="I31" s="178"/>
      <c r="J31" s="152"/>
      <c r="K31" s="178"/>
    </row>
    <row r="32" spans="1:11" x14ac:dyDescent="0.25">
      <c r="A32" s="182"/>
      <c r="B32" s="173"/>
      <c r="C32" s="151">
        <f t="shared" si="4"/>
        <v>1</v>
      </c>
      <c r="D32" s="152">
        <f t="shared" si="4"/>
        <v>1.6</v>
      </c>
      <c r="E32" s="152">
        <f t="shared" si="4"/>
        <v>1.55</v>
      </c>
      <c r="F32" s="152"/>
      <c r="G32" s="152">
        <f t="shared" si="3"/>
        <v>2.4800000000000004</v>
      </c>
      <c r="H32" s="178"/>
      <c r="I32" s="178"/>
      <c r="J32" s="152"/>
      <c r="K32" s="178"/>
    </row>
    <row r="33" spans="1:11" x14ac:dyDescent="0.25">
      <c r="A33" s="182"/>
      <c r="B33" s="173" t="s">
        <v>151</v>
      </c>
      <c r="C33" s="151">
        <v>1</v>
      </c>
      <c r="D33" s="152">
        <f>3+0.75-0.23</f>
        <v>3.52</v>
      </c>
      <c r="E33" s="152">
        <v>0.23</v>
      </c>
      <c r="F33" s="152"/>
      <c r="G33" s="152">
        <f t="shared" si="3"/>
        <v>0.80959999999999999</v>
      </c>
      <c r="H33" s="178"/>
      <c r="I33" s="178"/>
      <c r="J33" s="152"/>
      <c r="K33" s="178"/>
    </row>
    <row r="34" spans="1:11" x14ac:dyDescent="0.25">
      <c r="A34" s="182"/>
      <c r="B34" s="173" t="str">
        <f>B47</f>
        <v>-compound base</v>
      </c>
      <c r="C34" s="151">
        <v>1</v>
      </c>
      <c r="D34" s="152">
        <f>D47</f>
        <v>14.369999999999997</v>
      </c>
      <c r="E34" s="152">
        <f>E47</f>
        <v>0.75</v>
      </c>
      <c r="F34" s="152"/>
      <c r="G34" s="152">
        <f t="shared" si="3"/>
        <v>10.777499999999998</v>
      </c>
      <c r="H34" s="178"/>
      <c r="I34" s="178"/>
      <c r="J34" s="152"/>
      <c r="K34" s="178"/>
    </row>
    <row r="35" spans="1:11" x14ac:dyDescent="0.25">
      <c r="A35" s="182"/>
      <c r="B35" s="173" t="s">
        <v>152</v>
      </c>
      <c r="C35" s="151">
        <v>1</v>
      </c>
      <c r="D35" s="152">
        <f>9/3.281</f>
        <v>2.7430661383724475</v>
      </c>
      <c r="E35" s="152">
        <v>0.4</v>
      </c>
      <c r="F35" s="152"/>
      <c r="G35" s="152">
        <f>PRODUCT(C35:F35)</f>
        <v>1.097226455348979</v>
      </c>
      <c r="H35" s="178"/>
      <c r="I35" s="178"/>
      <c r="J35" s="152"/>
      <c r="K35" s="178"/>
    </row>
    <row r="36" spans="1:11" x14ac:dyDescent="0.25">
      <c r="A36" s="182"/>
      <c r="B36" s="179" t="s">
        <v>16</v>
      </c>
      <c r="C36" s="151"/>
      <c r="D36" s="152"/>
      <c r="E36" s="152"/>
      <c r="F36" s="152"/>
      <c r="G36" s="153">
        <f>SUM(G25:G35)</f>
        <v>65.738374382810122</v>
      </c>
      <c r="H36" s="6" t="s">
        <v>23</v>
      </c>
      <c r="I36" s="6">
        <f>1500/10</f>
        <v>150</v>
      </c>
      <c r="J36" s="154">
        <f>G36*I36</f>
        <v>9860.7561574215179</v>
      </c>
      <c r="K36" s="178"/>
    </row>
    <row r="37" spans="1:11" hidden="1" x14ac:dyDescent="0.25">
      <c r="A37" s="182"/>
      <c r="B37" s="179" t="s">
        <v>17</v>
      </c>
      <c r="C37" s="151"/>
      <c r="D37" s="152"/>
      <c r="E37" s="152"/>
      <c r="F37" s="152"/>
      <c r="G37" s="152"/>
      <c r="H37" s="6"/>
      <c r="I37" s="152"/>
      <c r="J37" s="154">
        <f>0.13*G36*(8353.81)/10</f>
        <v>7139.1565609372192</v>
      </c>
      <c r="K37" s="178"/>
    </row>
    <row r="38" spans="1:11" x14ac:dyDescent="0.25">
      <c r="A38" s="182"/>
      <c r="B38" s="178"/>
      <c r="C38" s="151"/>
      <c r="D38" s="152"/>
      <c r="E38" s="152"/>
      <c r="F38" s="152"/>
      <c r="G38" s="152"/>
      <c r="H38" s="178"/>
      <c r="I38" s="152"/>
      <c r="J38" s="152"/>
      <c r="K38" s="178"/>
    </row>
    <row r="39" spans="1:11" ht="78" customHeight="1" x14ac:dyDescent="0.25">
      <c r="A39" s="182">
        <v>4</v>
      </c>
      <c r="B39" s="124" t="s">
        <v>99</v>
      </c>
      <c r="C39" s="151"/>
      <c r="D39" s="152"/>
      <c r="E39" s="152"/>
      <c r="F39" s="152"/>
      <c r="G39" s="151"/>
      <c r="H39" s="178"/>
      <c r="I39" s="152"/>
      <c r="J39" s="152"/>
      <c r="K39" s="225" t="s">
        <v>154</v>
      </c>
    </row>
    <row r="40" spans="1:11" x14ac:dyDescent="0.25">
      <c r="A40" s="182"/>
      <c r="B40" s="173" t="s">
        <v>153</v>
      </c>
      <c r="C40" s="177">
        <v>0.5</v>
      </c>
      <c r="D40" s="152">
        <f>G10</f>
        <v>21.6</v>
      </c>
      <c r="E40" s="152"/>
      <c r="F40" s="152"/>
      <c r="G40" s="152">
        <f>PRODUCT(C40:F40)</f>
        <v>10.8</v>
      </c>
      <c r="H40" s="178"/>
      <c r="I40" s="152"/>
      <c r="J40" s="152"/>
      <c r="K40" s="225"/>
    </row>
    <row r="41" spans="1:11" x14ac:dyDescent="0.25">
      <c r="A41" s="182"/>
      <c r="B41" s="179" t="str">
        <f>B45</f>
        <v>-Extending compound</v>
      </c>
      <c r="C41" s="151">
        <v>1</v>
      </c>
      <c r="D41" s="152">
        <f>D60</f>
        <v>14.5</v>
      </c>
      <c r="E41" s="152">
        <v>0.9</v>
      </c>
      <c r="F41" s="152">
        <v>0.3</v>
      </c>
      <c r="G41" s="152">
        <f>PRODUCT(C41:F41)</f>
        <v>3.915</v>
      </c>
      <c r="H41" s="178"/>
      <c r="I41" s="152"/>
      <c r="J41" s="152"/>
      <c r="K41" s="178"/>
    </row>
    <row r="42" spans="1:11" x14ac:dyDescent="0.25">
      <c r="A42" s="182"/>
      <c r="B42" s="179" t="s">
        <v>16</v>
      </c>
      <c r="C42" s="151"/>
      <c r="D42" s="152"/>
      <c r="E42" s="152"/>
      <c r="F42" s="152"/>
      <c r="G42" s="153">
        <f>SUM(G40:G41)</f>
        <v>14.715</v>
      </c>
      <c r="H42" s="6" t="s">
        <v>18</v>
      </c>
      <c r="I42" s="6">
        <v>451.4</v>
      </c>
      <c r="J42" s="154">
        <f>G42*I42</f>
        <v>6642.3509999999997</v>
      </c>
      <c r="K42" s="178"/>
    </row>
    <row r="43" spans="1:11" x14ac:dyDescent="0.25">
      <c r="A43" s="182"/>
      <c r="B43" s="178"/>
      <c r="C43" s="151"/>
      <c r="D43" s="152"/>
      <c r="E43" s="152"/>
      <c r="F43" s="152"/>
      <c r="G43" s="152"/>
      <c r="H43" s="178"/>
      <c r="I43" s="152"/>
      <c r="J43" s="152"/>
      <c r="K43" s="178"/>
    </row>
    <row r="44" spans="1:11" s="9" customFormat="1" ht="30" x14ac:dyDescent="0.25">
      <c r="A44" s="182">
        <v>5</v>
      </c>
      <c r="B44" s="139" t="s">
        <v>40</v>
      </c>
      <c r="C44" s="151"/>
      <c r="D44" s="152"/>
      <c r="E44" s="152"/>
      <c r="F44" s="152"/>
      <c r="G44" s="152"/>
      <c r="H44" s="178"/>
      <c r="I44" s="152"/>
      <c r="J44" s="152"/>
      <c r="K44" s="178"/>
    </row>
    <row r="45" spans="1:11" x14ac:dyDescent="0.25">
      <c r="A45" s="182"/>
      <c r="B45" s="173" t="str">
        <f>B69</f>
        <v>-Extending compound</v>
      </c>
      <c r="C45" s="151">
        <f>C69</f>
        <v>1</v>
      </c>
      <c r="D45" s="152">
        <f>3+7.17+4.8+1-0.23+0.75-0.23</f>
        <v>16.259999999999998</v>
      </c>
      <c r="E45" s="152">
        <v>0.115</v>
      </c>
      <c r="F45" s="152">
        <v>7.4999999999999997E-2</v>
      </c>
      <c r="G45" s="152">
        <f t="shared" ref="G45:G55" si="5">PRODUCT(C45:F45)</f>
        <v>0.14024249999999999</v>
      </c>
      <c r="H45" s="178"/>
      <c r="I45" s="178"/>
      <c r="J45" s="152"/>
      <c r="K45" s="178"/>
    </row>
    <row r="46" spans="1:11" x14ac:dyDescent="0.25">
      <c r="A46" s="182"/>
      <c r="B46" s="173"/>
      <c r="C46" s="151">
        <v>11</v>
      </c>
      <c r="D46" s="152">
        <v>0.23</v>
      </c>
      <c r="E46" s="152">
        <v>0.115</v>
      </c>
      <c r="F46" s="152">
        <v>7.4999999999999997E-2</v>
      </c>
      <c r="G46" s="152">
        <f t="shared" si="5"/>
        <v>2.1821250000000004E-2</v>
      </c>
      <c r="H46" s="178"/>
      <c r="I46" s="178"/>
      <c r="J46" s="152"/>
      <c r="K46" s="178"/>
    </row>
    <row r="47" spans="1:11" x14ac:dyDescent="0.25">
      <c r="A47" s="182"/>
      <c r="B47" s="173" t="s">
        <v>156</v>
      </c>
      <c r="C47" s="151">
        <v>1</v>
      </c>
      <c r="D47" s="152">
        <f>3+7.17+4.8-0.23-0.23-0.14</f>
        <v>14.369999999999997</v>
      </c>
      <c r="E47" s="152">
        <v>0.75</v>
      </c>
      <c r="F47" s="152">
        <v>0.05</v>
      </c>
      <c r="G47" s="152">
        <f t="shared" si="5"/>
        <v>0.53887499999999988</v>
      </c>
      <c r="H47" s="178"/>
      <c r="I47" s="178"/>
      <c r="J47" s="152"/>
      <c r="K47" s="178"/>
    </row>
    <row r="48" spans="1:11" x14ac:dyDescent="0.25">
      <c r="A48" s="182"/>
      <c r="B48" s="173" t="s">
        <v>57</v>
      </c>
      <c r="C48" s="151">
        <f>C26</f>
        <v>6</v>
      </c>
      <c r="D48" s="152">
        <f>D26</f>
        <v>1.5</v>
      </c>
      <c r="E48" s="152">
        <f>E26</f>
        <v>1.5</v>
      </c>
      <c r="F48" s="152">
        <v>0.05</v>
      </c>
      <c r="G48" s="152">
        <f t="shared" si="5"/>
        <v>0.67500000000000004</v>
      </c>
      <c r="H48" s="178"/>
      <c r="I48" s="178"/>
      <c r="J48" s="152"/>
      <c r="K48" s="178"/>
    </row>
    <row r="49" spans="1:14" x14ac:dyDescent="0.25">
      <c r="A49" s="182"/>
      <c r="B49" s="173" t="s">
        <v>63</v>
      </c>
      <c r="C49" s="151">
        <v>1</v>
      </c>
      <c r="D49" s="152">
        <f>2.975+0.075*2</f>
        <v>3.125</v>
      </c>
      <c r="E49" s="152">
        <f>2.595+0.075*2</f>
        <v>2.7450000000000001</v>
      </c>
      <c r="F49" s="152">
        <v>7.4999999999999997E-2</v>
      </c>
      <c r="G49" s="152">
        <f t="shared" si="5"/>
        <v>0.64335937499999996</v>
      </c>
      <c r="H49" s="178"/>
      <c r="I49" s="178"/>
      <c r="J49" s="152"/>
      <c r="K49" s="178"/>
    </row>
    <row r="50" spans="1:14" x14ac:dyDescent="0.25">
      <c r="A50" s="182"/>
      <c r="B50" s="173"/>
      <c r="C50" s="151">
        <v>1</v>
      </c>
      <c r="D50" s="152">
        <f>2.975+0.075*2</f>
        <v>3.125</v>
      </c>
      <c r="E50" s="152">
        <f>2.595+0.075*2</f>
        <v>2.7450000000000001</v>
      </c>
      <c r="F50" s="152">
        <v>7.4999999999999997E-2</v>
      </c>
      <c r="G50" s="152">
        <f t="shared" si="5"/>
        <v>0.64335937499999996</v>
      </c>
      <c r="H50" s="178"/>
      <c r="I50" s="178"/>
      <c r="J50" s="152"/>
      <c r="K50" s="178"/>
    </row>
    <row r="51" spans="1:14" x14ac:dyDescent="0.25">
      <c r="A51" s="182"/>
      <c r="B51" s="173" t="str">
        <f>B30</f>
        <v>-New path</v>
      </c>
      <c r="C51" s="151">
        <f>C30</f>
        <v>1</v>
      </c>
      <c r="D51" s="152">
        <f>D30</f>
        <v>1.8699999999999999</v>
      </c>
      <c r="E51" s="152">
        <f>E30</f>
        <v>3.6574215178299299</v>
      </c>
      <c r="F51" s="152">
        <f>2.25/12/3.281</f>
        <v>5.7147211216092654E-2</v>
      </c>
      <c r="G51" s="152">
        <f t="shared" si="5"/>
        <v>0.39085139277327613</v>
      </c>
      <c r="H51" s="178"/>
      <c r="I51" s="178"/>
      <c r="J51" s="152"/>
      <c r="K51" s="178"/>
    </row>
    <row r="52" spans="1:14" x14ac:dyDescent="0.25">
      <c r="A52" s="182"/>
      <c r="B52" s="173"/>
      <c r="C52" s="151">
        <f t="shared" ref="C52:E53" si="6">C31</f>
        <v>1</v>
      </c>
      <c r="D52" s="152">
        <f t="shared" si="6"/>
        <v>7.5</v>
      </c>
      <c r="E52" s="152">
        <f t="shared" si="6"/>
        <v>1.1499999999999999</v>
      </c>
      <c r="F52" s="152">
        <f>2.25/12/3.281</f>
        <v>5.7147211216092654E-2</v>
      </c>
      <c r="G52" s="152">
        <f t="shared" si="5"/>
        <v>0.49289469673879915</v>
      </c>
      <c r="H52" s="178"/>
      <c r="I52" s="178"/>
      <c r="J52" s="152"/>
      <c r="K52" s="178"/>
    </row>
    <row r="53" spans="1:14" x14ac:dyDescent="0.25">
      <c r="A53" s="182"/>
      <c r="B53" s="173"/>
      <c r="C53" s="151">
        <f t="shared" si="6"/>
        <v>1</v>
      </c>
      <c r="D53" s="152">
        <f t="shared" si="6"/>
        <v>1.6</v>
      </c>
      <c r="E53" s="152">
        <f t="shared" si="6"/>
        <v>1.55</v>
      </c>
      <c r="F53" s="152">
        <v>0.05</v>
      </c>
      <c r="G53" s="152">
        <f t="shared" si="5"/>
        <v>0.12400000000000003</v>
      </c>
      <c r="H53" s="178"/>
      <c r="I53" s="178"/>
      <c r="J53" s="152"/>
      <c r="K53" s="178"/>
    </row>
    <row r="54" spans="1:14" x14ac:dyDescent="0.25">
      <c r="A54" s="182"/>
      <c r="B54" s="173" t="str">
        <f>B16</f>
        <v>-drain</v>
      </c>
      <c r="C54" s="151">
        <f>C16</f>
        <v>1</v>
      </c>
      <c r="D54" s="152">
        <f>D16</f>
        <v>10.047851264858275</v>
      </c>
      <c r="E54" s="152">
        <f>E16</f>
        <v>0.4</v>
      </c>
      <c r="F54" s="152">
        <v>0.05</v>
      </c>
      <c r="G54" s="152">
        <f t="shared" si="5"/>
        <v>0.20095702529716553</v>
      </c>
      <c r="H54" s="178"/>
      <c r="I54" s="178"/>
      <c r="J54" s="152"/>
      <c r="K54" s="178"/>
    </row>
    <row r="55" spans="1:14" x14ac:dyDescent="0.25">
      <c r="A55" s="182"/>
      <c r="B55" s="173" t="s">
        <v>159</v>
      </c>
      <c r="C55" s="151">
        <v>1</v>
      </c>
      <c r="D55" s="152">
        <f>6.21+1.27+0.6</f>
        <v>8.08</v>
      </c>
      <c r="E55" s="152">
        <v>0.3</v>
      </c>
      <c r="F55" s="152">
        <v>0.05</v>
      </c>
      <c r="G55" s="152">
        <f t="shared" si="5"/>
        <v>0.1212</v>
      </c>
      <c r="H55" s="178"/>
      <c r="I55" s="178"/>
      <c r="J55" s="152"/>
      <c r="K55" s="178"/>
    </row>
    <row r="56" spans="1:14" x14ac:dyDescent="0.25">
      <c r="A56" s="182"/>
      <c r="B56" s="179" t="s">
        <v>16</v>
      </c>
      <c r="C56" s="151"/>
      <c r="D56" s="152"/>
      <c r="E56" s="152"/>
      <c r="F56" s="152"/>
      <c r="G56" s="153">
        <f>SUM(G45:G55)</f>
        <v>3.992560614809241</v>
      </c>
      <c r="H56" s="182" t="s">
        <v>18</v>
      </c>
      <c r="I56" s="6">
        <v>13509.07</v>
      </c>
      <c r="J56" s="154">
        <f>G56*I56</f>
        <v>53935.780824701069</v>
      </c>
      <c r="K56" s="178"/>
    </row>
    <row r="57" spans="1:14" hidden="1" x14ac:dyDescent="0.25">
      <c r="A57" s="182"/>
      <c r="B57" s="179" t="s">
        <v>17</v>
      </c>
      <c r="C57" s="151"/>
      <c r="D57" s="152"/>
      <c r="E57" s="152"/>
      <c r="F57" s="152"/>
      <c r="G57" s="152"/>
      <c r="H57" s="178"/>
      <c r="I57" s="152"/>
      <c r="J57" s="154">
        <f>0.13*G56*(8709.07)</f>
        <v>4520.293683570173</v>
      </c>
      <c r="K57" s="178"/>
    </row>
    <row r="58" spans="1:14" x14ac:dyDescent="0.25">
      <c r="A58" s="182"/>
      <c r="B58" s="179"/>
      <c r="C58" s="151"/>
      <c r="D58" s="152"/>
      <c r="E58" s="152"/>
      <c r="F58" s="152"/>
      <c r="G58" s="152"/>
      <c r="H58" s="178"/>
      <c r="I58" s="152"/>
      <c r="J58" s="154"/>
      <c r="K58" s="178"/>
    </row>
    <row r="59" spans="1:14" ht="45" x14ac:dyDescent="0.25">
      <c r="A59" s="20">
        <v>6</v>
      </c>
      <c r="B59" s="139" t="s">
        <v>81</v>
      </c>
      <c r="C59" s="21"/>
      <c r="D59" s="22"/>
      <c r="E59" s="23"/>
      <c r="F59" s="23"/>
      <c r="G59" s="7"/>
      <c r="H59" s="6"/>
      <c r="I59" s="7"/>
      <c r="J59" s="153"/>
      <c r="K59" s="23"/>
    </row>
    <row r="60" spans="1:14" x14ac:dyDescent="0.25">
      <c r="A60" s="182"/>
      <c r="B60" s="150" t="str">
        <f>B69</f>
        <v>-Extending compound</v>
      </c>
      <c r="C60" s="151">
        <v>1</v>
      </c>
      <c r="D60" s="152">
        <v>14.5</v>
      </c>
      <c r="E60" s="152">
        <f>0.23/2</f>
        <v>0.115</v>
      </c>
      <c r="F60" s="152">
        <v>2</v>
      </c>
      <c r="G60" s="152">
        <f>PRODUCT(C60:F60)</f>
        <v>3.335</v>
      </c>
      <c r="H60" s="178"/>
      <c r="I60" s="152"/>
      <c r="J60" s="154"/>
      <c r="K60" s="178"/>
      <c r="M60">
        <f>1+7.12+4.83-0.115+2.8+0.9</f>
        <v>16.535</v>
      </c>
      <c r="N60">
        <f>3+7.17+4.8-0.35</f>
        <v>14.62</v>
      </c>
    </row>
    <row r="61" spans="1:14" x14ac:dyDescent="0.25">
      <c r="A61" s="182"/>
      <c r="B61" s="150"/>
      <c r="C61" s="151">
        <v>9</v>
      </c>
      <c r="D61" s="152">
        <v>0.23</v>
      </c>
      <c r="E61" s="152">
        <f>0.23/2</f>
        <v>0.115</v>
      </c>
      <c r="F61" s="152">
        <v>2</v>
      </c>
      <c r="G61" s="152">
        <f>PRODUCT(C61:F61)</f>
        <v>0.47610000000000008</v>
      </c>
      <c r="H61" s="178"/>
      <c r="I61" s="152"/>
      <c r="J61" s="154"/>
      <c r="K61" s="178"/>
    </row>
    <row r="62" spans="1:14" x14ac:dyDescent="0.25">
      <c r="A62" s="182"/>
      <c r="B62" s="150" t="s">
        <v>82</v>
      </c>
      <c r="C62" s="151">
        <v>2</v>
      </c>
      <c r="D62" s="152">
        <f>17.667/3.281</f>
        <v>5.3846388296251142</v>
      </c>
      <c r="E62" s="152">
        <v>0.23</v>
      </c>
      <c r="F62" s="152">
        <f>5.667/3.281</f>
        <v>1.7272173117951843</v>
      </c>
      <c r="G62" s="152">
        <f>PRODUCT(C62:F62)</f>
        <v>4.2782030459748066</v>
      </c>
      <c r="H62" s="178"/>
      <c r="I62" s="152"/>
      <c r="J62" s="154"/>
      <c r="K62" s="178"/>
    </row>
    <row r="63" spans="1:14" x14ac:dyDescent="0.25">
      <c r="A63" s="182"/>
      <c r="B63" s="150"/>
      <c r="C63" s="151">
        <v>2</v>
      </c>
      <c r="D63" s="152">
        <f>10.25/3.281</f>
        <v>3.1240475464797317</v>
      </c>
      <c r="E63" s="152">
        <v>0.23</v>
      </c>
      <c r="F63" s="152">
        <f>5.667/3.281</f>
        <v>1.7272173117951843</v>
      </c>
      <c r="G63" s="152">
        <f>PRODUCT(C63:F63)</f>
        <v>2.4821181423694894</v>
      </c>
      <c r="H63" s="178"/>
      <c r="I63" s="152"/>
      <c r="J63" s="154"/>
      <c r="K63" s="178"/>
    </row>
    <row r="64" spans="1:14" x14ac:dyDescent="0.25">
      <c r="A64" s="182"/>
      <c r="B64" s="150" t="s">
        <v>269</v>
      </c>
      <c r="C64" s="151">
        <v>1</v>
      </c>
      <c r="D64" s="152">
        <f>(4.33-0.75)/3.281</f>
        <v>1.0911307528192624</v>
      </c>
      <c r="E64" s="152">
        <f>PI()</f>
        <v>3.1415926535897931</v>
      </c>
      <c r="F64" s="152">
        <v>0.6</v>
      </c>
      <c r="G64" s="152">
        <f>2*C64*F64*E64*D64/2</f>
        <v>2.0567330142977371</v>
      </c>
      <c r="H64" s="178"/>
      <c r="I64" s="152"/>
      <c r="J64" s="154"/>
      <c r="K64" s="178"/>
    </row>
    <row r="65" spans="1:17" x14ac:dyDescent="0.25">
      <c r="A65" s="182"/>
      <c r="B65" s="150" t="s">
        <v>270</v>
      </c>
      <c r="C65" s="151">
        <v>1</v>
      </c>
      <c r="D65" s="152">
        <f>1.05+1.05+(3-0.75)*2</f>
        <v>6.6</v>
      </c>
      <c r="E65" s="152">
        <v>0.1</v>
      </c>
      <c r="F65" s="152">
        <v>0.5</v>
      </c>
      <c r="G65" s="152">
        <f>PRODUCT(C65:F65)</f>
        <v>0.33</v>
      </c>
      <c r="H65" s="178"/>
      <c r="I65" s="152"/>
      <c r="J65" s="154"/>
      <c r="K65" s="178"/>
    </row>
    <row r="66" spans="1:17" ht="15" customHeight="1" x14ac:dyDescent="0.25">
      <c r="A66" s="182"/>
      <c r="B66" s="150" t="s">
        <v>16</v>
      </c>
      <c r="C66" s="151"/>
      <c r="D66" s="152"/>
      <c r="E66" s="152"/>
      <c r="F66" s="152"/>
      <c r="G66" s="153">
        <f>SUM(G60:G65)</f>
        <v>12.958154202642033</v>
      </c>
      <c r="H66" s="153" t="s">
        <v>18</v>
      </c>
      <c r="I66" s="6">
        <v>1908</v>
      </c>
      <c r="J66" s="154">
        <f>G66*I66</f>
        <v>24724.158218640998</v>
      </c>
      <c r="K66" s="178"/>
    </row>
    <row r="67" spans="1:17" ht="15" customHeight="1" x14ac:dyDescent="0.25">
      <c r="A67" s="20"/>
      <c r="B67" s="150"/>
      <c r="C67" s="21"/>
      <c r="D67" s="22"/>
      <c r="E67" s="23"/>
      <c r="F67" s="23"/>
      <c r="G67" s="7"/>
      <c r="H67" s="6"/>
      <c r="I67" s="7"/>
      <c r="J67" s="153"/>
      <c r="K67" s="23"/>
    </row>
    <row r="68" spans="1:17" ht="30" x14ac:dyDescent="0.25">
      <c r="A68" s="182">
        <v>7</v>
      </c>
      <c r="B68" s="139" t="s">
        <v>39</v>
      </c>
      <c r="C68" s="151"/>
      <c r="D68" s="152"/>
      <c r="E68" s="152"/>
      <c r="F68" s="152"/>
      <c r="G68" s="152"/>
      <c r="H68" s="178"/>
      <c r="I68" s="152"/>
      <c r="J68" s="154"/>
      <c r="K68" s="178"/>
    </row>
    <row r="69" spans="1:17" x14ac:dyDescent="0.25">
      <c r="A69" s="182"/>
      <c r="B69" s="150" t="s">
        <v>74</v>
      </c>
      <c r="C69" s="151">
        <v>1</v>
      </c>
      <c r="D69" s="180">
        <f>1.03+0.1+6.9+4.65</f>
        <v>12.680000000000001</v>
      </c>
      <c r="E69" s="180">
        <v>0.11</v>
      </c>
      <c r="F69" s="180">
        <f>1-0.025</f>
        <v>0.97499999999999998</v>
      </c>
      <c r="G69" s="152">
        <f t="shared" ref="G69:G80" si="7">PRODUCT(C69:F69)</f>
        <v>1.3599300000000003</v>
      </c>
      <c r="H69" s="178"/>
      <c r="I69" s="152"/>
      <c r="J69" s="154"/>
      <c r="K69" s="178"/>
      <c r="N69">
        <f>1.03+0.1+6.9+4.65</f>
        <v>12.680000000000001</v>
      </c>
      <c r="O69">
        <v>0.11</v>
      </c>
      <c r="P69">
        <f>1-0.025</f>
        <v>0.97499999999999998</v>
      </c>
      <c r="Q69" s="48">
        <f>PRODUCT(L69:P69)</f>
        <v>1.3599300000000003</v>
      </c>
    </row>
    <row r="70" spans="1:17" x14ac:dyDescent="0.25">
      <c r="A70" s="182"/>
      <c r="B70" s="150"/>
      <c r="C70" s="151">
        <v>1</v>
      </c>
      <c r="D70" s="180">
        <f>3+0.62</f>
        <v>3.62</v>
      </c>
      <c r="E70" s="180">
        <v>0.11</v>
      </c>
      <c r="F70" s="180">
        <f>1.27-0.025</f>
        <v>1.2450000000000001</v>
      </c>
      <c r="G70" s="152">
        <f t="shared" si="7"/>
        <v>0.49575900000000006</v>
      </c>
      <c r="H70" s="178"/>
      <c r="I70" s="152"/>
      <c r="J70" s="154"/>
      <c r="K70" s="178"/>
      <c r="N70">
        <f>3+0.62</f>
        <v>3.62</v>
      </c>
      <c r="O70">
        <v>0.11</v>
      </c>
      <c r="P70">
        <f>1.27-0.025</f>
        <v>1.2450000000000001</v>
      </c>
      <c r="Q70" s="48">
        <f t="shared" ref="Q70:Q90" si="8">PRODUCT(L70:P70)</f>
        <v>0.49575900000000006</v>
      </c>
    </row>
    <row r="71" spans="1:17" x14ac:dyDescent="0.25">
      <c r="A71" s="182"/>
      <c r="B71" s="150" t="s">
        <v>157</v>
      </c>
      <c r="C71" s="151">
        <v>1</v>
      </c>
      <c r="D71" s="180">
        <f>0.23+0.1</f>
        <v>0.33</v>
      </c>
      <c r="E71" s="180">
        <v>0.11</v>
      </c>
      <c r="F71" s="180">
        <f>1.27-0.025</f>
        <v>1.2450000000000001</v>
      </c>
      <c r="G71" s="152">
        <f t="shared" si="7"/>
        <v>4.5193500000000005E-2</v>
      </c>
      <c r="H71" s="178"/>
      <c r="I71" s="152"/>
      <c r="J71" s="154"/>
      <c r="K71" s="178"/>
      <c r="N71">
        <f>0.23+0.1</f>
        <v>0.33</v>
      </c>
      <c r="O71">
        <v>0.11</v>
      </c>
      <c r="P71">
        <f>1.27-0.025</f>
        <v>1.2450000000000001</v>
      </c>
      <c r="Q71" s="48">
        <f t="shared" si="8"/>
        <v>4.5193500000000005E-2</v>
      </c>
    </row>
    <row r="72" spans="1:17" x14ac:dyDescent="0.25">
      <c r="A72" s="182"/>
      <c r="B72" s="150" t="s">
        <v>157</v>
      </c>
      <c r="C72" s="151">
        <v>1</v>
      </c>
      <c r="D72" s="180">
        <f>7*0.23</f>
        <v>1.61</v>
      </c>
      <c r="E72" s="180">
        <v>0.11</v>
      </c>
      <c r="F72" s="180">
        <f>1-0.025</f>
        <v>0.97499999999999998</v>
      </c>
      <c r="G72" s="152">
        <f t="shared" si="7"/>
        <v>0.17267250000000001</v>
      </c>
      <c r="H72" s="178"/>
      <c r="I72" s="152"/>
      <c r="J72" s="154"/>
      <c r="K72" s="178"/>
      <c r="N72">
        <f>7*0.23</f>
        <v>1.61</v>
      </c>
      <c r="O72">
        <v>0.11</v>
      </c>
      <c r="P72">
        <f>1-0.025</f>
        <v>0.97499999999999998</v>
      </c>
      <c r="Q72" s="48">
        <f t="shared" si="8"/>
        <v>0.17267250000000001</v>
      </c>
    </row>
    <row r="73" spans="1:17" x14ac:dyDescent="0.25">
      <c r="A73" s="182"/>
      <c r="B73" s="150" t="s">
        <v>158</v>
      </c>
      <c r="C73" s="151">
        <v>1</v>
      </c>
      <c r="D73" s="180">
        <f>1.03+0.1+6.9+4.65+3+0.62</f>
        <v>16.3</v>
      </c>
      <c r="E73" s="180">
        <v>0.23</v>
      </c>
      <c r="F73" s="180">
        <v>0.4</v>
      </c>
      <c r="G73" s="152">
        <f t="shared" si="7"/>
        <v>1.4996</v>
      </c>
      <c r="H73" s="178"/>
      <c r="I73" s="152"/>
      <c r="J73" s="154"/>
      <c r="K73" s="178"/>
      <c r="N73">
        <f>1.03+0.1+6.9+4.65+3+0.62</f>
        <v>16.3</v>
      </c>
      <c r="O73">
        <v>0.23</v>
      </c>
      <c r="P73">
        <v>0.4</v>
      </c>
      <c r="Q73" s="48">
        <f t="shared" si="8"/>
        <v>1.4996</v>
      </c>
    </row>
    <row r="74" spans="1:17" x14ac:dyDescent="0.25">
      <c r="A74" s="182"/>
      <c r="B74" s="150" t="s">
        <v>159</v>
      </c>
      <c r="C74" s="151">
        <v>1</v>
      </c>
      <c r="D74" s="181">
        <f>1.6+6.45</f>
        <v>8.0500000000000007</v>
      </c>
      <c r="E74" s="180">
        <f>0.28-0.025</f>
        <v>0.255</v>
      </c>
      <c r="F74" s="180">
        <v>0.4</v>
      </c>
      <c r="G74" s="152">
        <f t="shared" si="7"/>
        <v>0.82110000000000005</v>
      </c>
      <c r="H74" s="178"/>
      <c r="I74" s="152"/>
      <c r="J74" s="154"/>
      <c r="K74" s="178"/>
      <c r="N74" s="44">
        <f>1.6+6.45</f>
        <v>8.0500000000000007</v>
      </c>
      <c r="O74">
        <f>0.28-0.025</f>
        <v>0.255</v>
      </c>
      <c r="P74">
        <v>0.4</v>
      </c>
      <c r="Q74" s="48">
        <f t="shared" si="8"/>
        <v>0.82110000000000005</v>
      </c>
    </row>
    <row r="75" spans="1:17" x14ac:dyDescent="0.25">
      <c r="A75" s="182"/>
      <c r="B75" s="179" t="s">
        <v>58</v>
      </c>
      <c r="C75" s="151">
        <v>1</v>
      </c>
      <c r="D75" s="180">
        <f>2.6+2.6+2.595+2.595</f>
        <v>10.39</v>
      </c>
      <c r="E75" s="180">
        <v>0.23</v>
      </c>
      <c r="F75" s="180">
        <v>0.4</v>
      </c>
      <c r="G75" s="152">
        <f t="shared" si="7"/>
        <v>0.95588000000000017</v>
      </c>
      <c r="H75" s="178"/>
      <c r="I75" s="178"/>
      <c r="J75" s="152"/>
      <c r="K75" s="178"/>
      <c r="N75">
        <f>2.6+2.6+2.595+2.595</f>
        <v>10.39</v>
      </c>
      <c r="O75">
        <v>0.23</v>
      </c>
      <c r="P75">
        <v>0.4</v>
      </c>
      <c r="Q75" s="48">
        <f t="shared" si="8"/>
        <v>0.95588000000000017</v>
      </c>
    </row>
    <row r="76" spans="1:17" x14ac:dyDescent="0.25">
      <c r="A76" s="182"/>
      <c r="B76" s="179"/>
      <c r="C76" s="151">
        <v>1</v>
      </c>
      <c r="D76" s="180">
        <f>2.99+3</f>
        <v>5.99</v>
      </c>
      <c r="E76" s="180">
        <v>0.23</v>
      </c>
      <c r="F76" s="180">
        <v>0.4</v>
      </c>
      <c r="G76" s="152">
        <f t="shared" si="7"/>
        <v>0.55108000000000013</v>
      </c>
      <c r="H76" s="178"/>
      <c r="I76" s="178"/>
      <c r="J76" s="152"/>
      <c r="K76" s="178"/>
      <c r="N76">
        <f>2.99+3</f>
        <v>5.99</v>
      </c>
      <c r="O76">
        <v>0.23</v>
      </c>
      <c r="P76">
        <v>0.4</v>
      </c>
      <c r="Q76" s="48">
        <f t="shared" si="8"/>
        <v>0.55108000000000013</v>
      </c>
    </row>
    <row r="77" spans="1:17" x14ac:dyDescent="0.25">
      <c r="A77" s="182"/>
      <c r="B77" s="173" t="s">
        <v>161</v>
      </c>
      <c r="C77" s="151">
        <v>2</v>
      </c>
      <c r="D77" s="180">
        <f>(2.6)</f>
        <v>2.6</v>
      </c>
      <c r="E77" s="152">
        <v>0.23</v>
      </c>
      <c r="F77" s="152">
        <v>2.42</v>
      </c>
      <c r="G77" s="152">
        <f t="shared" si="7"/>
        <v>2.8943200000000004</v>
      </c>
      <c r="H77" s="178"/>
      <c r="I77" s="178"/>
      <c r="J77" s="152"/>
      <c r="K77" s="178"/>
      <c r="N77">
        <f>2*(2.6)</f>
        <v>5.2</v>
      </c>
      <c r="O77">
        <v>0.23</v>
      </c>
      <c r="P77">
        <v>2.37</v>
      </c>
      <c r="Q77" s="48">
        <f t="shared" si="8"/>
        <v>2.8345200000000004</v>
      </c>
    </row>
    <row r="78" spans="1:17" x14ac:dyDescent="0.25">
      <c r="A78" s="182"/>
      <c r="B78" s="173"/>
      <c r="C78" s="151">
        <v>1</v>
      </c>
      <c r="D78" s="180">
        <v>3</v>
      </c>
      <c r="E78" s="180">
        <v>0.23</v>
      </c>
      <c r="F78" s="152">
        <v>2.42</v>
      </c>
      <c r="G78" s="152">
        <f t="shared" si="7"/>
        <v>1.6698000000000002</v>
      </c>
      <c r="H78" s="178"/>
      <c r="I78" s="178"/>
      <c r="J78" s="152"/>
      <c r="K78" s="178"/>
      <c r="N78">
        <v>3</v>
      </c>
      <c r="O78">
        <v>0.23</v>
      </c>
      <c r="P78">
        <v>2.37</v>
      </c>
      <c r="Q78" s="48">
        <f t="shared" si="8"/>
        <v>1.6353000000000002</v>
      </c>
    </row>
    <row r="79" spans="1:17" x14ac:dyDescent="0.25">
      <c r="A79" s="182"/>
      <c r="B79" s="173"/>
      <c r="C79" s="151">
        <v>1</v>
      </c>
      <c r="D79" s="180">
        <v>1.7</v>
      </c>
      <c r="E79" s="180">
        <v>0.11</v>
      </c>
      <c r="F79" s="152">
        <v>2.42</v>
      </c>
      <c r="G79" s="152">
        <f t="shared" si="7"/>
        <v>0.45254</v>
      </c>
      <c r="H79" s="178"/>
      <c r="I79" s="178"/>
      <c r="J79" s="152"/>
      <c r="K79" s="178"/>
      <c r="N79">
        <v>1.7</v>
      </c>
      <c r="O79">
        <v>0.11</v>
      </c>
      <c r="P79">
        <v>2.37</v>
      </c>
      <c r="Q79" s="48">
        <f t="shared" si="8"/>
        <v>0.44319000000000003</v>
      </c>
    </row>
    <row r="80" spans="1:17" x14ac:dyDescent="0.25">
      <c r="A80" s="182"/>
      <c r="B80" s="173"/>
      <c r="C80" s="151">
        <v>1</v>
      </c>
      <c r="D80" s="152">
        <f>(0.45+0.6)/2</f>
        <v>0.52500000000000002</v>
      </c>
      <c r="E80" s="180">
        <v>0.11</v>
      </c>
      <c r="F80" s="180">
        <v>2.2999999999999998</v>
      </c>
      <c r="G80" s="152">
        <f t="shared" si="7"/>
        <v>0.132825</v>
      </c>
      <c r="H80" s="178"/>
      <c r="I80" s="178"/>
      <c r="J80" s="152"/>
      <c r="K80" s="178"/>
      <c r="N80">
        <f>1.05/2</f>
        <v>0.52500000000000002</v>
      </c>
      <c r="O80">
        <v>0.11</v>
      </c>
      <c r="P80">
        <v>2.2999999999999998</v>
      </c>
      <c r="Q80" s="48">
        <f t="shared" si="8"/>
        <v>0.132825</v>
      </c>
    </row>
    <row r="81" spans="1:19" x14ac:dyDescent="0.25">
      <c r="A81" s="182"/>
      <c r="B81" s="179" t="s">
        <v>16</v>
      </c>
      <c r="C81" s="151"/>
      <c r="D81" s="152"/>
      <c r="E81" s="152"/>
      <c r="F81" s="152"/>
      <c r="G81" s="153">
        <f>SUM(G69:G80)</f>
        <v>11.050700000000003</v>
      </c>
      <c r="H81" s="182" t="s">
        <v>18</v>
      </c>
      <c r="I81" s="6">
        <v>14520.78</v>
      </c>
      <c r="J81" s="154">
        <f>G81*I81</f>
        <v>160464.78354600005</v>
      </c>
      <c r="K81" s="178"/>
    </row>
    <row r="82" spans="1:19" hidden="1" x14ac:dyDescent="0.25">
      <c r="A82" s="182"/>
      <c r="B82" s="179" t="s">
        <v>17</v>
      </c>
      <c r="C82" s="151"/>
      <c r="D82" s="152"/>
      <c r="E82" s="152"/>
      <c r="F82" s="152"/>
      <c r="G82" s="152"/>
      <c r="H82" s="178"/>
      <c r="I82" s="152"/>
      <c r="J82" s="154">
        <f>0.13*G81*(10555.39)</f>
        <v>15163.778275490004</v>
      </c>
      <c r="K82" s="178"/>
    </row>
    <row r="83" spans="1:19" x14ac:dyDescent="0.25">
      <c r="A83" s="182"/>
      <c r="B83" s="173"/>
      <c r="C83" s="151"/>
      <c r="D83" s="152"/>
      <c r="E83" s="180"/>
      <c r="F83" s="180"/>
      <c r="G83" s="152"/>
      <c r="H83" s="178"/>
      <c r="I83" s="178"/>
      <c r="J83" s="152"/>
      <c r="K83" s="178"/>
      <c r="Q83" s="48"/>
    </row>
    <row r="84" spans="1:19" ht="30" x14ac:dyDescent="0.25">
      <c r="A84" s="182">
        <v>8</v>
      </c>
      <c r="B84" s="139" t="s">
        <v>239</v>
      </c>
      <c r="C84" s="151"/>
      <c r="D84" s="152"/>
      <c r="E84" s="180"/>
      <c r="F84" s="180"/>
      <c r="G84" s="152"/>
      <c r="H84" s="178"/>
      <c r="I84" s="178"/>
      <c r="J84" s="152"/>
      <c r="K84" s="178"/>
      <c r="Q84" s="48"/>
    </row>
    <row r="85" spans="1:19" x14ac:dyDescent="0.25">
      <c r="A85" s="182"/>
      <c r="B85" s="173" t="s">
        <v>160</v>
      </c>
      <c r="C85" s="151">
        <v>2</v>
      </c>
      <c r="D85" s="152">
        <v>2.94</v>
      </c>
      <c r="E85" s="152">
        <v>0.23</v>
      </c>
      <c r="F85" s="152">
        <v>2.2200000000000002</v>
      </c>
      <c r="G85" s="152">
        <f t="shared" ref="G85:G86" si="9">PRODUCT(C85:F85)</f>
        <v>3.0023280000000003</v>
      </c>
      <c r="H85" s="178"/>
      <c r="I85" s="178"/>
      <c r="J85" s="152"/>
      <c r="K85" s="178"/>
      <c r="N85">
        <f>2*2.94</f>
        <v>5.88</v>
      </c>
      <c r="O85">
        <v>0.23</v>
      </c>
      <c r="P85">
        <v>2.42</v>
      </c>
      <c r="Q85" s="48">
        <f t="shared" si="8"/>
        <v>3.2728079999999999</v>
      </c>
      <c r="S85">
        <f>2.42-0.23</f>
        <v>2.19</v>
      </c>
    </row>
    <row r="86" spans="1:19" x14ac:dyDescent="0.25">
      <c r="A86" s="182"/>
      <c r="B86" s="173"/>
      <c r="C86" s="151">
        <v>2</v>
      </c>
      <c r="D86" s="152">
        <v>2.5350000000000001</v>
      </c>
      <c r="E86" s="152">
        <v>0.23</v>
      </c>
      <c r="F86" s="152">
        <v>2.2200000000000002</v>
      </c>
      <c r="G86" s="152">
        <f t="shared" si="9"/>
        <v>2.5887420000000003</v>
      </c>
      <c r="H86" s="178"/>
      <c r="I86" s="178"/>
      <c r="J86" s="152"/>
      <c r="K86" s="178"/>
      <c r="N86">
        <f>2*2.535</f>
        <v>5.07</v>
      </c>
      <c r="O86">
        <v>0.23</v>
      </c>
      <c r="P86">
        <v>2.42</v>
      </c>
      <c r="Q86" s="48">
        <f t="shared" si="8"/>
        <v>2.8219620000000001</v>
      </c>
    </row>
    <row r="87" spans="1:19" x14ac:dyDescent="0.25">
      <c r="A87" s="182"/>
      <c r="B87" s="180"/>
      <c r="C87" s="151">
        <v>2</v>
      </c>
      <c r="D87" s="152">
        <v>2.59</v>
      </c>
      <c r="E87" s="152">
        <v>0.23</v>
      </c>
      <c r="F87" s="152">
        <v>2.2200000000000002</v>
      </c>
      <c r="G87" s="152">
        <f>PRODUCT(C87:F87)</f>
        <v>2.6449080000000005</v>
      </c>
      <c r="H87" s="178"/>
      <c r="I87" s="178"/>
      <c r="J87" s="152"/>
      <c r="K87" s="178"/>
      <c r="N87">
        <f>2*2.595</f>
        <v>5.19</v>
      </c>
      <c r="O87">
        <v>0.23</v>
      </c>
      <c r="P87">
        <v>2.42</v>
      </c>
      <c r="Q87" s="48">
        <f t="shared" si="8"/>
        <v>2.8887540000000005</v>
      </c>
    </row>
    <row r="88" spans="1:19" x14ac:dyDescent="0.25">
      <c r="A88" s="182"/>
      <c r="B88" s="173" t="s">
        <v>75</v>
      </c>
      <c r="C88" s="151">
        <v>-1</v>
      </c>
      <c r="D88" s="152">
        <v>1.375</v>
      </c>
      <c r="E88" s="152">
        <v>0.23</v>
      </c>
      <c r="F88" s="152">
        <v>1.19</v>
      </c>
      <c r="G88" s="152">
        <f>PRODUCT(C88:F88)</f>
        <v>-0.37633750000000005</v>
      </c>
      <c r="H88" s="178"/>
      <c r="I88" s="178"/>
      <c r="J88" s="152"/>
      <c r="K88" s="178"/>
      <c r="N88">
        <f>4.48+4.49-0.075</f>
        <v>8.8950000000000014</v>
      </c>
      <c r="O88">
        <v>0.11</v>
      </c>
      <c r="P88">
        <v>0.15</v>
      </c>
      <c r="Q88" s="48">
        <f t="shared" si="8"/>
        <v>0.14676750000000002</v>
      </c>
    </row>
    <row r="89" spans="1:19" x14ac:dyDescent="0.25">
      <c r="A89" s="182"/>
      <c r="B89" s="173"/>
      <c r="C89" s="151">
        <v>-1</v>
      </c>
      <c r="D89" s="152">
        <v>1.41</v>
      </c>
      <c r="E89" s="152">
        <v>0.23</v>
      </c>
      <c r="F89" s="152">
        <v>1.18</v>
      </c>
      <c r="G89" s="152">
        <f t="shared" ref="G89" si="10">PRODUCT(C89:F89)</f>
        <v>-0.38267399999999996</v>
      </c>
      <c r="H89" s="178"/>
      <c r="I89" s="178"/>
      <c r="J89" s="152"/>
      <c r="K89" s="178"/>
      <c r="N89">
        <f>6.67*2-0.075*2</f>
        <v>13.19</v>
      </c>
      <c r="O89">
        <v>0.11</v>
      </c>
      <c r="P89">
        <v>0.15</v>
      </c>
      <c r="Q89" s="48">
        <f t="shared" si="8"/>
        <v>0.21763499999999997</v>
      </c>
    </row>
    <row r="90" spans="1:19" x14ac:dyDescent="0.25">
      <c r="A90" s="182"/>
      <c r="B90" s="173" t="s">
        <v>75</v>
      </c>
      <c r="C90" s="151">
        <v>-1</v>
      </c>
      <c r="D90" s="152">
        <v>1.54</v>
      </c>
      <c r="E90" s="152">
        <v>0.23</v>
      </c>
      <c r="F90" s="152">
        <v>1.18</v>
      </c>
      <c r="G90" s="152">
        <f>PRODUCT(C90:F90)</f>
        <v>-0.41795599999999999</v>
      </c>
      <c r="H90" s="178"/>
      <c r="I90" s="178"/>
      <c r="J90" s="152"/>
      <c r="K90" s="178"/>
      <c r="N90">
        <f>1.14*2+0.96*2-0.075*2</f>
        <v>4.0499999999999989</v>
      </c>
      <c r="O90">
        <v>0.11</v>
      </c>
      <c r="P90">
        <v>0.15</v>
      </c>
      <c r="Q90" s="48">
        <f t="shared" si="8"/>
        <v>6.6824999999999982E-2</v>
      </c>
    </row>
    <row r="91" spans="1:19" x14ac:dyDescent="0.25">
      <c r="A91" s="182"/>
      <c r="B91" s="173" t="s">
        <v>162</v>
      </c>
      <c r="C91" s="151">
        <v>1</v>
      </c>
      <c r="D91" s="152">
        <f>6.67*2-0.075*2+4.48+4.49-0.075+1.14+0.96-0.075</f>
        <v>24.110000000000007</v>
      </c>
      <c r="E91" s="152">
        <v>0.11</v>
      </c>
      <c r="F91" s="152">
        <v>0.15</v>
      </c>
      <c r="G91" s="152">
        <f>PRODUCT(C91:F91)</f>
        <v>0.39781500000000009</v>
      </c>
      <c r="H91" s="178"/>
      <c r="I91" s="178"/>
      <c r="J91" s="152"/>
      <c r="K91" s="178"/>
      <c r="Q91" s="44">
        <f>SUM(Q69:Q90)</f>
        <v>20.361801500000002</v>
      </c>
      <c r="R91" s="44">
        <f>Q91+G88+G89+G90</f>
        <v>19.184833999999999</v>
      </c>
    </row>
    <row r="92" spans="1:19" x14ac:dyDescent="0.25">
      <c r="A92" s="182"/>
      <c r="B92" s="179" t="s">
        <v>16</v>
      </c>
      <c r="C92" s="151"/>
      <c r="D92" s="152"/>
      <c r="E92" s="152"/>
      <c r="F92" s="152"/>
      <c r="G92" s="153">
        <f>SUM(G85:G91)</f>
        <v>7.4568255000000017</v>
      </c>
      <c r="H92" s="182" t="s">
        <v>18</v>
      </c>
      <c r="I92" s="6">
        <v>14984.29</v>
      </c>
      <c r="J92" s="154">
        <f>G92*I92</f>
        <v>111735.23577139503</v>
      </c>
      <c r="K92" s="178"/>
    </row>
    <row r="93" spans="1:19" hidden="1" x14ac:dyDescent="0.25">
      <c r="A93" s="182"/>
      <c r="B93" s="179" t="s">
        <v>17</v>
      </c>
      <c r="C93" s="151"/>
      <c r="D93" s="152"/>
      <c r="E93" s="152"/>
      <c r="F93" s="152"/>
      <c r="G93" s="152"/>
      <c r="H93" s="178"/>
      <c r="I93" s="152"/>
      <c r="J93" s="154">
        <f>0.13*G92*(10555.39)</f>
        <v>10232.261170877851</v>
      </c>
      <c r="K93" s="178"/>
      <c r="N93" s="44">
        <f>SUM(J81:J93)</f>
        <v>297596.05876376294</v>
      </c>
    </row>
    <row r="94" spans="1:19" x14ac:dyDescent="0.25">
      <c r="A94" s="182"/>
      <c r="B94" s="180"/>
      <c r="C94" s="180"/>
      <c r="D94" s="180"/>
      <c r="E94" s="180"/>
      <c r="F94" s="180"/>
      <c r="G94" s="180"/>
      <c r="H94" s="180"/>
      <c r="I94" s="180"/>
      <c r="J94" s="180"/>
      <c r="K94" s="178"/>
    </row>
    <row r="95" spans="1:19" s="9" customFormat="1" ht="33.75" x14ac:dyDescent="0.25">
      <c r="A95" s="20">
        <v>9</v>
      </c>
      <c r="B95" s="139" t="s">
        <v>248</v>
      </c>
      <c r="C95" s="21"/>
      <c r="D95" s="22"/>
      <c r="E95" s="23"/>
      <c r="F95" s="23"/>
      <c r="G95" s="7"/>
      <c r="H95" s="6"/>
      <c r="I95" s="7"/>
      <c r="J95" s="153"/>
      <c r="K95" s="23"/>
    </row>
    <row r="96" spans="1:19" x14ac:dyDescent="0.25">
      <c r="A96" s="182"/>
      <c r="B96" s="173" t="s">
        <v>57</v>
      </c>
      <c r="C96" s="180"/>
      <c r="D96" s="180"/>
      <c r="E96" s="180"/>
      <c r="F96" s="180"/>
      <c r="G96" s="180"/>
      <c r="H96" s="178"/>
      <c r="I96" s="178"/>
      <c r="J96" s="152"/>
      <c r="K96" s="178"/>
      <c r="M96">
        <f>0.4*3.281</f>
        <v>1.3124000000000002</v>
      </c>
    </row>
    <row r="97" spans="1:16" x14ac:dyDescent="0.25">
      <c r="A97" s="182"/>
      <c r="B97" s="173" t="s">
        <v>134</v>
      </c>
      <c r="C97" s="151">
        <f>C48</f>
        <v>6</v>
      </c>
      <c r="D97" s="152">
        <v>1.5</v>
      </c>
      <c r="E97" s="152">
        <v>1.5</v>
      </c>
      <c r="F97" s="152">
        <v>0.23</v>
      </c>
      <c r="G97" s="152">
        <f t="shared" ref="G97" si="11">PRODUCT(C97:F97)</f>
        <v>3.105</v>
      </c>
      <c r="H97" s="178"/>
      <c r="I97" s="178"/>
      <c r="J97" s="152"/>
      <c r="K97" s="178"/>
    </row>
    <row r="98" spans="1:16" x14ac:dyDescent="0.25">
      <c r="A98" s="182"/>
      <c r="B98" s="173" t="s">
        <v>135</v>
      </c>
      <c r="C98" s="226">
        <v>4</v>
      </c>
      <c r="D98" s="152">
        <v>0.4</v>
      </c>
      <c r="E98" s="152">
        <v>0.4</v>
      </c>
      <c r="F98" s="227">
        <v>0.23</v>
      </c>
      <c r="G98" s="152">
        <f>C98*((F98/3)*((D98*E98)+(D99*E99)+SQRT((D98*E98)*(D99*E99))))</f>
        <v>0.55506666666666682</v>
      </c>
      <c r="H98" s="178"/>
      <c r="I98" s="178"/>
      <c r="J98" s="152"/>
      <c r="K98" s="178"/>
      <c r="M98" s="44"/>
    </row>
    <row r="99" spans="1:16" x14ac:dyDescent="0.25">
      <c r="A99" s="182"/>
      <c r="B99" s="173"/>
      <c r="C99" s="226"/>
      <c r="D99" s="152">
        <v>1.1000000000000001</v>
      </c>
      <c r="E99" s="152">
        <v>1.1000000000000001</v>
      </c>
      <c r="F99" s="227"/>
      <c r="G99" s="152"/>
      <c r="H99" s="178"/>
      <c r="I99" s="178"/>
      <c r="J99" s="152"/>
      <c r="K99" s="178"/>
    </row>
    <row r="100" spans="1:16" x14ac:dyDescent="0.25">
      <c r="A100" s="182"/>
      <c r="B100" s="173" t="s">
        <v>136</v>
      </c>
      <c r="C100" s="226">
        <v>1</v>
      </c>
      <c r="D100" s="152">
        <v>0.4</v>
      </c>
      <c r="E100" s="152">
        <v>0.4</v>
      </c>
      <c r="F100" s="227">
        <v>0.23</v>
      </c>
      <c r="G100" s="152">
        <f>C100*((F100/3)*((D100*E100)+(D101*E101)+SQRT((D100*E100)*(D101*E101))))</f>
        <v>0.15857199961217766</v>
      </c>
      <c r="H100" s="178"/>
      <c r="I100" s="178"/>
      <c r="J100" s="152"/>
      <c r="K100" s="178"/>
    </row>
    <row r="101" spans="1:16" x14ac:dyDescent="0.25">
      <c r="A101" s="182"/>
      <c r="B101" s="173"/>
      <c r="C101" s="226"/>
      <c r="D101" s="152">
        <v>1.1000000000000001</v>
      </c>
      <c r="E101" s="152">
        <v>1.3</v>
      </c>
      <c r="F101" s="227"/>
      <c r="G101" s="152"/>
      <c r="H101" s="178"/>
      <c r="I101" s="178"/>
      <c r="J101" s="152"/>
      <c r="K101" s="178"/>
    </row>
    <row r="102" spans="1:16" x14ac:dyDescent="0.25">
      <c r="A102" s="182"/>
      <c r="B102" s="173" t="s">
        <v>137</v>
      </c>
      <c r="C102" s="226">
        <v>1</v>
      </c>
      <c r="D102" s="152">
        <v>0.4</v>
      </c>
      <c r="E102" s="152">
        <v>0.4</v>
      </c>
      <c r="F102" s="227">
        <v>0.23</v>
      </c>
      <c r="G102" s="152">
        <f>C102*((F102/3)*((D102*E102)+(D103*E103)+SQRT((D102*E102)*(D103*E103))))</f>
        <v>0.21792500000000004</v>
      </c>
      <c r="H102" s="178"/>
      <c r="I102" s="178"/>
      <c r="J102" s="152"/>
      <c r="K102" s="178"/>
    </row>
    <row r="103" spans="1:16" x14ac:dyDescent="0.25">
      <c r="A103" s="182"/>
      <c r="B103" s="173"/>
      <c r="C103" s="226"/>
      <c r="D103" s="152">
        <v>1.45</v>
      </c>
      <c r="E103" s="152">
        <v>1.45</v>
      </c>
      <c r="F103" s="227"/>
      <c r="G103" s="152"/>
      <c r="H103" s="178"/>
      <c r="I103" s="178"/>
      <c r="J103" s="152"/>
      <c r="K103" s="178"/>
      <c r="M103" s="44">
        <f>SUM(G97:G102)</f>
        <v>4.0365636662788447</v>
      </c>
      <c r="N103" s="44">
        <f>SUM(estimate!G69:G71)</f>
        <v>4.4527912069510363</v>
      </c>
      <c r="O103">
        <f>1.5-0.5-0.23</f>
        <v>0.77</v>
      </c>
    </row>
    <row r="104" spans="1:16" x14ac:dyDescent="0.25">
      <c r="A104" s="182"/>
      <c r="B104" s="173" t="s">
        <v>64</v>
      </c>
      <c r="C104" s="151">
        <v>3</v>
      </c>
      <c r="D104" s="152">
        <f>0.3</f>
        <v>0.3</v>
      </c>
      <c r="E104" s="152">
        <v>0.3</v>
      </c>
      <c r="F104" s="152">
        <f>1.5-F97-F98-F106</f>
        <v>0.81</v>
      </c>
      <c r="G104" s="152">
        <f t="shared" ref="G104:G117" si="12">PRODUCT(C104:F104)</f>
        <v>0.21869999999999998</v>
      </c>
      <c r="H104" s="178"/>
      <c r="I104" s="178"/>
      <c r="J104" s="152"/>
      <c r="K104" s="178"/>
      <c r="M104">
        <f>F104*3.281</f>
        <v>2.6576100000000005</v>
      </c>
    </row>
    <row r="105" spans="1:16" x14ac:dyDescent="0.25">
      <c r="A105" s="182"/>
      <c r="B105" s="173"/>
      <c r="C105" s="151">
        <v>3</v>
      </c>
      <c r="D105" s="152">
        <f>0.3</f>
        <v>0.3</v>
      </c>
      <c r="E105" s="152">
        <v>0.3</v>
      </c>
      <c r="F105" s="152">
        <f>0.4+0.23</f>
        <v>0.63</v>
      </c>
      <c r="G105" s="152">
        <f t="shared" si="12"/>
        <v>0.17009999999999997</v>
      </c>
      <c r="H105" s="178"/>
      <c r="I105" s="178"/>
      <c r="J105" s="152"/>
      <c r="K105" s="178"/>
    </row>
    <row r="106" spans="1:16" x14ac:dyDescent="0.25">
      <c r="A106" s="182"/>
      <c r="B106" s="173" t="s">
        <v>138</v>
      </c>
      <c r="C106" s="151">
        <v>2</v>
      </c>
      <c r="D106" s="152">
        <v>3.61</v>
      </c>
      <c r="E106" s="152">
        <v>0.23</v>
      </c>
      <c r="F106" s="152">
        <v>0.23</v>
      </c>
      <c r="G106" s="152">
        <f t="shared" si="12"/>
        <v>0.38193800000000006</v>
      </c>
      <c r="H106" s="178"/>
      <c r="I106" s="178"/>
      <c r="J106" s="152"/>
      <c r="K106" s="178"/>
      <c r="N106">
        <f>0.33+1.71+1.27+0.34</f>
        <v>3.65</v>
      </c>
    </row>
    <row r="107" spans="1:16" x14ac:dyDescent="0.25">
      <c r="A107" s="182"/>
      <c r="B107" s="173"/>
      <c r="C107" s="151">
        <v>4</v>
      </c>
      <c r="D107" s="152">
        <v>2.59</v>
      </c>
      <c r="E107" s="152">
        <v>0.23</v>
      </c>
      <c r="F107" s="152">
        <v>0.23</v>
      </c>
      <c r="G107" s="152">
        <f t="shared" si="12"/>
        <v>0.54804399999999998</v>
      </c>
      <c r="H107" s="178"/>
      <c r="I107" s="178"/>
      <c r="J107" s="152"/>
      <c r="K107" s="178"/>
    </row>
    <row r="108" spans="1:16" x14ac:dyDescent="0.25">
      <c r="A108" s="182"/>
      <c r="B108" s="173" t="s">
        <v>139</v>
      </c>
      <c r="C108" s="151">
        <v>3</v>
      </c>
      <c r="D108" s="152">
        <v>3.61</v>
      </c>
      <c r="E108" s="152">
        <v>0.23</v>
      </c>
      <c r="F108" s="152">
        <v>0.23</v>
      </c>
      <c r="G108" s="152">
        <f t="shared" si="12"/>
        <v>0.57290700000000006</v>
      </c>
      <c r="H108" s="178"/>
      <c r="I108" s="178"/>
      <c r="J108" s="152"/>
      <c r="K108" s="178"/>
    </row>
    <row r="109" spans="1:16" x14ac:dyDescent="0.25">
      <c r="A109" s="182"/>
      <c r="B109" s="173"/>
      <c r="C109" s="151">
        <v>4</v>
      </c>
      <c r="D109" s="152">
        <v>2.59</v>
      </c>
      <c r="E109" s="152">
        <v>0.23</v>
      </c>
      <c r="F109" s="152">
        <v>0.23</v>
      </c>
      <c r="G109" s="152">
        <f t="shared" si="12"/>
        <v>0.54804399999999998</v>
      </c>
      <c r="H109" s="178"/>
      <c r="I109" s="178"/>
      <c r="J109" s="152"/>
      <c r="K109" s="178"/>
    </row>
    <row r="110" spans="1:16" x14ac:dyDescent="0.25">
      <c r="A110" s="182"/>
      <c r="B110" s="173" t="s">
        <v>140</v>
      </c>
      <c r="C110" s="151">
        <v>6</v>
      </c>
      <c r="D110" s="181">
        <v>0.3</v>
      </c>
      <c r="E110" s="152">
        <v>0.3</v>
      </c>
      <c r="F110" s="152">
        <v>2.66</v>
      </c>
      <c r="G110" s="152">
        <f t="shared" si="12"/>
        <v>1.4363999999999999</v>
      </c>
      <c r="H110" s="178"/>
      <c r="I110" s="178"/>
      <c r="J110" s="152"/>
      <c r="K110" s="178"/>
      <c r="P110">
        <f>8.917/3.281</f>
        <v>2.7177689728741234</v>
      </c>
    </row>
    <row r="111" spans="1:16" x14ac:dyDescent="0.25">
      <c r="A111" s="182"/>
      <c r="B111" s="173" t="s">
        <v>141</v>
      </c>
      <c r="C111" s="151">
        <v>6</v>
      </c>
      <c r="D111" s="181">
        <v>0.3</v>
      </c>
      <c r="E111" s="152">
        <v>0.3</v>
      </c>
      <c r="F111" s="152">
        <v>2.4500000000000002</v>
      </c>
      <c r="G111" s="152">
        <f t="shared" si="12"/>
        <v>1.323</v>
      </c>
      <c r="H111" s="178"/>
      <c r="I111" s="178"/>
      <c r="J111" s="152"/>
      <c r="K111" s="178"/>
    </row>
    <row r="112" spans="1:16" x14ac:dyDescent="0.25">
      <c r="A112" s="182"/>
      <c r="B112" s="173" t="s">
        <v>71</v>
      </c>
      <c r="C112" s="151">
        <f>2*4</f>
        <v>8</v>
      </c>
      <c r="D112" s="152">
        <v>2.57</v>
      </c>
      <c r="E112" s="152">
        <v>0.23</v>
      </c>
      <c r="F112" s="152">
        <v>0.23</v>
      </c>
      <c r="G112" s="152">
        <f t="shared" si="12"/>
        <v>1.0876239999999999</v>
      </c>
      <c r="H112" s="178"/>
      <c r="I112" s="178"/>
      <c r="J112" s="152"/>
      <c r="K112" s="178"/>
    </row>
    <row r="113" spans="1:15" x14ac:dyDescent="0.25">
      <c r="A113" s="182"/>
      <c r="B113" s="173"/>
      <c r="C113" s="151">
        <f>2*3</f>
        <v>6</v>
      </c>
      <c r="D113" s="152">
        <v>2.9750000000000001</v>
      </c>
      <c r="E113" s="152">
        <v>0.23</v>
      </c>
      <c r="F113" s="152">
        <v>0.23</v>
      </c>
      <c r="G113" s="152">
        <f t="shared" si="12"/>
        <v>0.94426500000000002</v>
      </c>
      <c r="H113" s="178"/>
      <c r="I113" s="178"/>
      <c r="J113" s="152"/>
      <c r="K113" s="178"/>
    </row>
    <row r="114" spans="1:15" x14ac:dyDescent="0.25">
      <c r="A114" s="182"/>
      <c r="B114" s="173" t="s">
        <v>142</v>
      </c>
      <c r="C114" s="151">
        <v>1</v>
      </c>
      <c r="D114" s="152">
        <f>6.62-0.075</f>
        <v>6.5449999999999999</v>
      </c>
      <c r="E114" s="152">
        <f>(4.15+4.135)/2-0.075</f>
        <v>4.0674999999999999</v>
      </c>
      <c r="F114" s="152">
        <v>0.125</v>
      </c>
      <c r="G114" s="152">
        <f t="shared" si="12"/>
        <v>3.3277234375</v>
      </c>
      <c r="H114" s="178"/>
      <c r="I114" s="178"/>
      <c r="J114" s="152"/>
      <c r="K114" s="178"/>
    </row>
    <row r="115" spans="1:15" x14ac:dyDescent="0.25">
      <c r="A115" s="182"/>
      <c r="B115" s="173" t="s">
        <v>76</v>
      </c>
      <c r="C115" s="151">
        <v>-1</v>
      </c>
      <c r="D115" s="152">
        <v>1.08</v>
      </c>
      <c r="E115" s="152">
        <f>2.5/3.281</f>
        <v>0.76196281621456874</v>
      </c>
      <c r="F115" s="152">
        <v>0.125</v>
      </c>
      <c r="G115" s="152">
        <f t="shared" si="12"/>
        <v>-0.10286498018896678</v>
      </c>
      <c r="H115" s="178"/>
      <c r="I115" s="178"/>
      <c r="J115" s="152"/>
      <c r="K115" s="178"/>
    </row>
    <row r="116" spans="1:15" x14ac:dyDescent="0.25">
      <c r="A116" s="182"/>
      <c r="B116" s="173" t="s">
        <v>143</v>
      </c>
      <c r="C116" s="151">
        <v>1</v>
      </c>
      <c r="D116" s="152">
        <v>6.9</v>
      </c>
      <c r="E116" s="152">
        <f>4.45-0.025</f>
        <v>4.4249999999999998</v>
      </c>
      <c r="F116" s="152">
        <v>0.125</v>
      </c>
      <c r="G116" s="152">
        <f t="shared" si="12"/>
        <v>3.8165624999999999</v>
      </c>
      <c r="H116" s="178"/>
      <c r="I116" s="178"/>
      <c r="J116" s="152"/>
      <c r="K116" s="178"/>
    </row>
    <row r="117" spans="1:15" x14ac:dyDescent="0.25">
      <c r="A117" s="182"/>
      <c r="B117" s="173" t="s">
        <v>76</v>
      </c>
      <c r="C117" s="151">
        <v>-1</v>
      </c>
      <c r="D117" s="152">
        <v>0.93</v>
      </c>
      <c r="E117" s="152">
        <v>0.76</v>
      </c>
      <c r="F117" s="152">
        <v>0.125</v>
      </c>
      <c r="G117" s="152">
        <f t="shared" si="12"/>
        <v>-8.8350000000000012E-2</v>
      </c>
      <c r="H117" s="178"/>
      <c r="I117" s="178"/>
      <c r="J117" s="152"/>
      <c r="K117" s="178"/>
      <c r="M117" s="172">
        <v>17107.900000000001</v>
      </c>
      <c r="N117">
        <f>M117*G118</f>
        <v>311717.1714507133</v>
      </c>
      <c r="O117" s="44">
        <f>N117-J118</f>
        <v>0</v>
      </c>
    </row>
    <row r="118" spans="1:15" ht="15" customHeight="1" x14ac:dyDescent="0.25">
      <c r="A118" s="182"/>
      <c r="B118" s="150" t="s">
        <v>16</v>
      </c>
      <c r="C118" s="151"/>
      <c r="D118" s="152"/>
      <c r="E118" s="152"/>
      <c r="F118" s="152"/>
      <c r="G118" s="153">
        <f>SUM(G97:G117)</f>
        <v>18.220656623589878</v>
      </c>
      <c r="H118" s="153" t="s">
        <v>18</v>
      </c>
      <c r="I118" s="6">
        <v>17107.900000000001</v>
      </c>
      <c r="J118" s="154">
        <f>G118*I118</f>
        <v>311717.1714507133</v>
      </c>
      <c r="K118" s="178"/>
      <c r="N118" s="172">
        <f>9847.9*0.13*G118</f>
        <v>23326.576567248601</v>
      </c>
    </row>
    <row r="119" spans="1:15" ht="15" hidden="1" customHeight="1" x14ac:dyDescent="0.25">
      <c r="A119" s="20"/>
      <c r="B119" s="150" t="s">
        <v>41</v>
      </c>
      <c r="C119" s="21"/>
      <c r="D119" s="22"/>
      <c r="E119" s="23"/>
      <c r="F119" s="23"/>
      <c r="G119" s="7"/>
      <c r="H119" s="6"/>
      <c r="I119" s="7"/>
      <c r="J119" s="153">
        <f>0.13*G118*9847.9</f>
        <v>23326.576567248598</v>
      </c>
      <c r="K119" s="23"/>
    </row>
    <row r="120" spans="1:15" ht="15" customHeight="1" x14ac:dyDescent="0.25">
      <c r="A120" s="20"/>
      <c r="B120" s="150"/>
      <c r="C120" s="21"/>
      <c r="D120" s="22"/>
      <c r="E120" s="23"/>
      <c r="F120" s="23"/>
      <c r="G120" s="7"/>
      <c r="H120" s="6"/>
      <c r="I120" s="7"/>
      <c r="J120" s="153"/>
      <c r="K120" s="23"/>
    </row>
    <row r="121" spans="1:15" ht="30" x14ac:dyDescent="0.25">
      <c r="A121" s="20">
        <v>10</v>
      </c>
      <c r="B121" s="139" t="s">
        <v>32</v>
      </c>
      <c r="C121" s="151"/>
      <c r="D121" s="152"/>
      <c r="E121" s="152"/>
      <c r="F121" s="152"/>
      <c r="G121" s="153"/>
      <c r="H121" s="182"/>
      <c r="I121" s="153"/>
      <c r="J121" s="153"/>
      <c r="K121" s="23"/>
    </row>
    <row r="122" spans="1:15" x14ac:dyDescent="0.25">
      <c r="A122" s="182"/>
      <c r="B122" s="173" t="s">
        <v>64</v>
      </c>
      <c r="C122" s="151">
        <v>3</v>
      </c>
      <c r="D122" s="152">
        <f>0.3*4</f>
        <v>1.2</v>
      </c>
      <c r="E122" s="152"/>
      <c r="F122" s="152">
        <v>0.77</v>
      </c>
      <c r="G122" s="152">
        <f>PRODUCT(C122:F122)</f>
        <v>2.7719999999999998</v>
      </c>
      <c r="H122" s="178"/>
      <c r="I122" s="178"/>
      <c r="J122" s="152"/>
      <c r="K122" s="178"/>
    </row>
    <row r="123" spans="1:15" x14ac:dyDescent="0.25">
      <c r="A123" s="182"/>
      <c r="B123" s="173"/>
      <c r="C123" s="151">
        <v>3</v>
      </c>
      <c r="D123" s="152">
        <f>0.3*4</f>
        <v>1.2</v>
      </c>
      <c r="E123" s="152"/>
      <c r="F123" s="152">
        <v>0.4</v>
      </c>
      <c r="G123" s="152">
        <f>PRODUCT(C123:F123)</f>
        <v>1.44</v>
      </c>
      <c r="H123" s="178"/>
      <c r="I123" s="178"/>
      <c r="J123" s="152"/>
      <c r="K123" s="178"/>
    </row>
    <row r="124" spans="1:15" x14ac:dyDescent="0.25">
      <c r="A124" s="182"/>
      <c r="B124" s="150" t="s">
        <v>138</v>
      </c>
      <c r="C124" s="151">
        <f>C106</f>
        <v>2</v>
      </c>
      <c r="D124" s="152">
        <f>D106</f>
        <v>3.61</v>
      </c>
      <c r="E124" s="152"/>
      <c r="F124" s="152">
        <f>F106*2</f>
        <v>0.46</v>
      </c>
      <c r="G124" s="152">
        <f t="shared" ref="G124:G131" si="13">PRODUCT(C124:F124)</f>
        <v>3.3212000000000002</v>
      </c>
      <c r="H124" s="178"/>
      <c r="I124" s="178"/>
      <c r="J124" s="152"/>
      <c r="K124" s="178"/>
    </row>
    <row r="125" spans="1:15" x14ac:dyDescent="0.25">
      <c r="A125" s="182"/>
      <c r="B125" s="179"/>
      <c r="C125" s="151">
        <f>C107</f>
        <v>4</v>
      </c>
      <c r="D125" s="152">
        <f>D107</f>
        <v>2.59</v>
      </c>
      <c r="E125" s="152"/>
      <c r="F125" s="152">
        <f>F107*2</f>
        <v>0.46</v>
      </c>
      <c r="G125" s="152">
        <f t="shared" si="13"/>
        <v>4.7656000000000001</v>
      </c>
      <c r="H125" s="178"/>
      <c r="I125" s="178"/>
      <c r="J125" s="152"/>
      <c r="K125" s="178"/>
    </row>
    <row r="126" spans="1:15" x14ac:dyDescent="0.25">
      <c r="A126" s="182"/>
      <c r="B126" s="179" t="s">
        <v>139</v>
      </c>
      <c r="C126" s="151">
        <f t="shared" ref="C126:D135" si="14">C108</f>
        <v>3</v>
      </c>
      <c r="D126" s="152">
        <f t="shared" si="14"/>
        <v>3.61</v>
      </c>
      <c r="E126" s="152"/>
      <c r="F126" s="152">
        <f t="shared" ref="F126:F127" si="15">F108*2</f>
        <v>0.46</v>
      </c>
      <c r="G126" s="152">
        <f t="shared" si="13"/>
        <v>4.9818000000000007</v>
      </c>
      <c r="H126" s="178"/>
      <c r="I126" s="178"/>
      <c r="J126" s="152"/>
      <c r="K126" s="178"/>
    </row>
    <row r="127" spans="1:15" x14ac:dyDescent="0.25">
      <c r="A127" s="182"/>
      <c r="B127" s="179"/>
      <c r="C127" s="151">
        <f t="shared" si="14"/>
        <v>4</v>
      </c>
      <c r="D127" s="152">
        <f t="shared" si="14"/>
        <v>2.59</v>
      </c>
      <c r="E127" s="152"/>
      <c r="F127" s="152">
        <f t="shared" si="15"/>
        <v>0.46</v>
      </c>
      <c r="G127" s="152">
        <f t="shared" si="13"/>
        <v>4.7656000000000001</v>
      </c>
      <c r="H127" s="178"/>
      <c r="I127" s="178"/>
      <c r="J127" s="152"/>
      <c r="K127" s="178"/>
    </row>
    <row r="128" spans="1:15" x14ac:dyDescent="0.25">
      <c r="A128" s="182"/>
      <c r="B128" s="179" t="s">
        <v>140</v>
      </c>
      <c r="C128" s="151">
        <f t="shared" si="14"/>
        <v>6</v>
      </c>
      <c r="D128" s="152">
        <f>D110*4</f>
        <v>1.2</v>
      </c>
      <c r="E128" s="152"/>
      <c r="F128" s="152">
        <f>F110</f>
        <v>2.66</v>
      </c>
      <c r="G128" s="152">
        <f t="shared" si="13"/>
        <v>19.151999999999997</v>
      </c>
      <c r="H128" s="178"/>
      <c r="I128" s="178"/>
      <c r="J128" s="152"/>
      <c r="K128" s="178"/>
    </row>
    <row r="129" spans="1:15" x14ac:dyDescent="0.25">
      <c r="A129" s="182"/>
      <c r="B129" s="179" t="s">
        <v>141</v>
      </c>
      <c r="C129" s="151">
        <f t="shared" si="14"/>
        <v>6</v>
      </c>
      <c r="D129" s="152">
        <f>D111*4</f>
        <v>1.2</v>
      </c>
      <c r="E129" s="152"/>
      <c r="F129" s="152">
        <f>F111</f>
        <v>2.4500000000000002</v>
      </c>
      <c r="G129" s="152">
        <f t="shared" si="13"/>
        <v>17.64</v>
      </c>
      <c r="H129" s="178"/>
      <c r="I129" s="178"/>
      <c r="J129" s="152"/>
      <c r="K129" s="178"/>
    </row>
    <row r="130" spans="1:15" x14ac:dyDescent="0.25">
      <c r="A130" s="182"/>
      <c r="B130" s="179" t="s">
        <v>71</v>
      </c>
      <c r="C130" s="151">
        <f t="shared" si="14"/>
        <v>8</v>
      </c>
      <c r="D130" s="152">
        <f t="shared" si="14"/>
        <v>2.57</v>
      </c>
      <c r="E130" s="152"/>
      <c r="F130" s="152">
        <f>F112*2</f>
        <v>0.46</v>
      </c>
      <c r="G130" s="152">
        <f t="shared" si="13"/>
        <v>9.4575999999999993</v>
      </c>
      <c r="H130" s="178"/>
      <c r="I130" s="178"/>
      <c r="J130" s="152"/>
      <c r="K130" s="178"/>
    </row>
    <row r="131" spans="1:15" x14ac:dyDescent="0.25">
      <c r="A131" s="182"/>
      <c r="B131" s="179"/>
      <c r="C131" s="151">
        <f>C113</f>
        <v>6</v>
      </c>
      <c r="D131" s="152">
        <f t="shared" si="14"/>
        <v>2.9750000000000001</v>
      </c>
      <c r="E131" s="152"/>
      <c r="F131" s="152">
        <f>F113*2</f>
        <v>0.46</v>
      </c>
      <c r="G131" s="152">
        <f t="shared" si="13"/>
        <v>8.2110000000000003</v>
      </c>
      <c r="H131" s="178"/>
      <c r="I131" s="178"/>
      <c r="J131" s="152"/>
      <c r="K131" s="178"/>
    </row>
    <row r="132" spans="1:15" x14ac:dyDescent="0.25">
      <c r="A132" s="182"/>
      <c r="B132" s="179" t="s">
        <v>142</v>
      </c>
      <c r="C132" s="151">
        <f>C114</f>
        <v>1</v>
      </c>
      <c r="D132" s="152">
        <f t="shared" si="14"/>
        <v>6.5449999999999999</v>
      </c>
      <c r="E132" s="152">
        <f>E114</f>
        <v>4.0674999999999999</v>
      </c>
      <c r="F132" s="152"/>
      <c r="G132" s="152">
        <f>PRODUCT(C132:F132)</f>
        <v>26.6217875</v>
      </c>
      <c r="H132" s="178"/>
      <c r="I132" s="178"/>
      <c r="J132" s="152"/>
      <c r="K132" s="178"/>
    </row>
    <row r="133" spans="1:15" x14ac:dyDescent="0.25">
      <c r="A133" s="182"/>
      <c r="B133" s="179" t="s">
        <v>76</v>
      </c>
      <c r="C133" s="151">
        <f>C115</f>
        <v>-1</v>
      </c>
      <c r="D133" s="152">
        <f t="shared" si="14"/>
        <v>1.08</v>
      </c>
      <c r="E133" s="152">
        <f>E115</f>
        <v>0.76196281621456874</v>
      </c>
      <c r="F133" s="152"/>
      <c r="G133" s="152">
        <f>PRODUCT(C133:F133)</f>
        <v>-0.82291984151173425</v>
      </c>
      <c r="H133" s="178"/>
      <c r="I133" s="178"/>
      <c r="J133" s="152"/>
      <c r="K133" s="178"/>
    </row>
    <row r="134" spans="1:15" x14ac:dyDescent="0.25">
      <c r="A134" s="182"/>
      <c r="B134" s="179" t="s">
        <v>143</v>
      </c>
      <c r="C134" s="151">
        <f>C116</f>
        <v>1</v>
      </c>
      <c r="D134" s="152">
        <f t="shared" si="14"/>
        <v>6.9</v>
      </c>
      <c r="E134" s="152">
        <f>E116</f>
        <v>4.4249999999999998</v>
      </c>
      <c r="F134" s="152"/>
      <c r="G134" s="152">
        <f>PRODUCT(C134:F134)</f>
        <v>30.532499999999999</v>
      </c>
      <c r="H134" s="178"/>
      <c r="I134" s="178"/>
      <c r="J134" s="152"/>
      <c r="K134" s="178"/>
    </row>
    <row r="135" spans="1:15" x14ac:dyDescent="0.25">
      <c r="A135" s="182"/>
      <c r="B135" s="173" t="s">
        <v>76</v>
      </c>
      <c r="C135" s="151">
        <f>C117</f>
        <v>-1</v>
      </c>
      <c r="D135" s="152">
        <f t="shared" si="14"/>
        <v>0.93</v>
      </c>
      <c r="E135" s="152">
        <f>E117</f>
        <v>0.76</v>
      </c>
      <c r="F135" s="152"/>
      <c r="G135" s="152">
        <f>PRODUCT(C135:F135)</f>
        <v>-0.70680000000000009</v>
      </c>
      <c r="H135" s="178"/>
      <c r="I135" s="178"/>
      <c r="J135" s="152"/>
      <c r="K135" s="178"/>
    </row>
    <row r="136" spans="1:15" ht="15" customHeight="1" x14ac:dyDescent="0.25">
      <c r="A136" s="182"/>
      <c r="B136" s="150" t="s">
        <v>16</v>
      </c>
      <c r="C136" s="151"/>
      <c r="D136" s="152"/>
      <c r="E136" s="152"/>
      <c r="F136" s="152"/>
      <c r="G136" s="153">
        <f>SUM(G122:G135)</f>
        <v>132.13136765848827</v>
      </c>
      <c r="H136" s="153" t="s">
        <v>23</v>
      </c>
      <c r="I136" s="6">
        <v>905.97</v>
      </c>
      <c r="J136" s="154">
        <f>G136*I136</f>
        <v>119707.05515756062</v>
      </c>
      <c r="K136" s="178"/>
    </row>
    <row r="137" spans="1:15" ht="15" hidden="1" customHeight="1" x14ac:dyDescent="0.25">
      <c r="A137" s="20"/>
      <c r="B137" s="150" t="s">
        <v>30</v>
      </c>
      <c r="C137" s="21"/>
      <c r="D137" s="22"/>
      <c r="E137" s="23"/>
      <c r="F137" s="23"/>
      <c r="G137" s="7"/>
      <c r="H137" s="6"/>
      <c r="I137" s="7"/>
      <c r="J137" s="153">
        <f>0.13*G136*46827.87/100</f>
        <v>8043.659659924062</v>
      </c>
      <c r="K137" s="23"/>
    </row>
    <row r="138" spans="1:15" ht="15" customHeight="1" x14ac:dyDescent="0.25">
      <c r="A138" s="20"/>
      <c r="B138" s="150"/>
      <c r="C138" s="21"/>
      <c r="D138" s="22"/>
      <c r="E138" s="23"/>
      <c r="F138" s="23"/>
      <c r="G138" s="7"/>
      <c r="H138" s="6"/>
      <c r="I138" s="7"/>
      <c r="J138" s="153"/>
      <c r="K138" s="23"/>
    </row>
    <row r="139" spans="1:15" ht="45" x14ac:dyDescent="0.25">
      <c r="A139" s="20">
        <v>11</v>
      </c>
      <c r="B139" s="139" t="s">
        <v>33</v>
      </c>
      <c r="C139" s="151" t="s">
        <v>8</v>
      </c>
      <c r="D139" s="188" t="s">
        <v>22</v>
      </c>
      <c r="E139" s="188" t="s">
        <v>34</v>
      </c>
      <c r="F139" s="188" t="s">
        <v>35</v>
      </c>
      <c r="G139" s="188" t="s">
        <v>36</v>
      </c>
      <c r="H139" s="182"/>
      <c r="I139" s="153"/>
      <c r="J139" s="153"/>
      <c r="K139" s="23"/>
    </row>
    <row r="140" spans="1:15" ht="15" customHeight="1" x14ac:dyDescent="0.25">
      <c r="A140" s="20"/>
      <c r="B140" s="150" t="s">
        <v>57</v>
      </c>
      <c r="C140" s="21">
        <v>10</v>
      </c>
      <c r="D140" s="152">
        <f>1.5-0.1</f>
        <v>1.4</v>
      </c>
      <c r="E140" s="152">
        <f>12*12/162</f>
        <v>0.88888888888888884</v>
      </c>
      <c r="F140" s="152">
        <f t="shared" ref="F140:F173" si="16">PRODUCT(C140:E140)</f>
        <v>12.444444444444443</v>
      </c>
      <c r="G140" s="152">
        <f t="shared" ref="G140:G173" si="17">F140/1000</f>
        <v>1.2444444444444442E-2</v>
      </c>
      <c r="H140" s="6"/>
      <c r="I140" s="7"/>
      <c r="J140" s="153"/>
      <c r="K140" s="23"/>
    </row>
    <row r="141" spans="1:15" ht="15" customHeight="1" x14ac:dyDescent="0.25">
      <c r="A141" s="20"/>
      <c r="B141" s="150"/>
      <c r="C141" s="21">
        <v>10</v>
      </c>
      <c r="D141" s="152">
        <f>1.5-0.1</f>
        <v>1.4</v>
      </c>
      <c r="E141" s="152">
        <f>12*12/162</f>
        <v>0.88888888888888884</v>
      </c>
      <c r="F141" s="152">
        <f t="shared" si="16"/>
        <v>12.444444444444443</v>
      </c>
      <c r="G141" s="152">
        <f t="shared" si="17"/>
        <v>1.2444444444444442E-2</v>
      </c>
      <c r="H141" s="6"/>
      <c r="I141" s="7"/>
      <c r="J141" s="153"/>
      <c r="K141" s="23"/>
    </row>
    <row r="142" spans="1:15" ht="15" customHeight="1" x14ac:dyDescent="0.25">
      <c r="A142" s="20"/>
      <c r="B142" s="150" t="s">
        <v>169</v>
      </c>
      <c r="C142" s="21">
        <f>3*4</f>
        <v>12</v>
      </c>
      <c r="D142" s="152">
        <f>1.5+1.5/3.281+2.69+0.125+2.45+0.125</f>
        <v>7.3471776897287411</v>
      </c>
      <c r="E142" s="152">
        <f>16*16/162</f>
        <v>1.5802469135802468</v>
      </c>
      <c r="F142" s="152">
        <f t="shared" si="16"/>
        <v>139.3242584126339</v>
      </c>
      <c r="G142" s="152">
        <f t="shared" si="17"/>
        <v>0.13932425841263391</v>
      </c>
      <c r="H142" s="6"/>
      <c r="I142" s="7"/>
      <c r="J142" s="153"/>
      <c r="K142" s="23"/>
    </row>
    <row r="143" spans="1:15" ht="15" customHeight="1" x14ac:dyDescent="0.25">
      <c r="A143" s="20"/>
      <c r="B143" s="150"/>
      <c r="C143" s="21">
        <f>3*4</f>
        <v>12</v>
      </c>
      <c r="D143" s="152">
        <f>1.5+1.5/3.281+2.69+0.125+2.45+0.125</f>
        <v>7.3471776897287411</v>
      </c>
      <c r="E143" s="152">
        <f>12*12/162</f>
        <v>0.88888888888888884</v>
      </c>
      <c r="F143" s="152">
        <f t="shared" si="16"/>
        <v>78.369895357106557</v>
      </c>
      <c r="G143" s="152">
        <f t="shared" si="17"/>
        <v>7.8369895357106562E-2</v>
      </c>
      <c r="H143" s="6"/>
      <c r="I143" s="7"/>
      <c r="J143" s="153"/>
      <c r="K143" s="23"/>
    </row>
    <row r="144" spans="1:15" ht="15" customHeight="1" x14ac:dyDescent="0.25">
      <c r="A144" s="20"/>
      <c r="B144" s="150" t="s">
        <v>59</v>
      </c>
      <c r="C144" s="21">
        <f>3*(15+19+19)</f>
        <v>159</v>
      </c>
      <c r="D144" s="152">
        <f>(0.75*4+0.17*2)/3.281</f>
        <v>1.0179823224626636</v>
      </c>
      <c r="E144" s="152">
        <f>8*8/162</f>
        <v>0.39506172839506171</v>
      </c>
      <c r="F144" s="152">
        <f t="shared" si="16"/>
        <v>63.944371070247307</v>
      </c>
      <c r="G144" s="152">
        <f t="shared" si="17"/>
        <v>6.3944371070247308E-2</v>
      </c>
      <c r="H144" s="6"/>
      <c r="I144" s="7"/>
      <c r="J144" s="153"/>
      <c r="K144" s="23"/>
      <c r="N144">
        <f>C145/6</f>
        <v>26.5</v>
      </c>
      <c r="O144">
        <f>N144-31</f>
        <v>-4.5</v>
      </c>
    </row>
    <row r="145" spans="1:15" ht="15" customHeight="1" x14ac:dyDescent="0.25">
      <c r="A145" s="20"/>
      <c r="B145" s="150"/>
      <c r="C145" s="21">
        <f>3*(15+19+19)</f>
        <v>159</v>
      </c>
      <c r="D145" s="152">
        <f>(0.5*4+0.17*2)/3.281</f>
        <v>0.71319719597683628</v>
      </c>
      <c r="E145" s="152">
        <f>8*8/162</f>
        <v>0.39506172839506171</v>
      </c>
      <c r="F145" s="152">
        <f t="shared" si="16"/>
        <v>44.799349791730158</v>
      </c>
      <c r="G145" s="152">
        <f t="shared" si="17"/>
        <v>4.4799349791730156E-2</v>
      </c>
      <c r="H145" s="6"/>
      <c r="I145" s="7"/>
      <c r="J145" s="153"/>
      <c r="K145" s="23"/>
    </row>
    <row r="146" spans="1:15" ht="15" customHeight="1" x14ac:dyDescent="0.25">
      <c r="A146" s="20"/>
      <c r="B146" s="150" t="s">
        <v>169</v>
      </c>
      <c r="C146" s="21">
        <f>3*4</f>
        <v>12</v>
      </c>
      <c r="D146" s="152">
        <f>0.45+1.5/3.281+2.69+0.125+2.45+0.125</f>
        <v>6.2971776897287413</v>
      </c>
      <c r="E146" s="152">
        <f>16*16/162</f>
        <v>1.5802469135802468</v>
      </c>
      <c r="F146" s="152">
        <f t="shared" si="16"/>
        <v>119.41314730152278</v>
      </c>
      <c r="G146" s="152">
        <f t="shared" si="17"/>
        <v>0.11941314730152279</v>
      </c>
      <c r="H146" s="6"/>
      <c r="I146" s="7"/>
      <c r="J146" s="153"/>
      <c r="K146" s="23"/>
    </row>
    <row r="147" spans="1:15" ht="15" customHeight="1" x14ac:dyDescent="0.25">
      <c r="A147" s="20"/>
      <c r="B147" s="150"/>
      <c r="C147" s="21">
        <f>3*4</f>
        <v>12</v>
      </c>
      <c r="D147" s="152">
        <f>0.45+1.5/3.281+2.69+0.125+2.45+0.125</f>
        <v>6.2971776897287413</v>
      </c>
      <c r="E147" s="152">
        <f>12*12/162</f>
        <v>0.88888888888888884</v>
      </c>
      <c r="F147" s="152">
        <f t="shared" si="16"/>
        <v>67.169895357106569</v>
      </c>
      <c r="G147" s="152">
        <f t="shared" si="17"/>
        <v>6.7169895357106574E-2</v>
      </c>
      <c r="H147" s="6"/>
      <c r="I147" s="7"/>
      <c r="J147" s="153"/>
      <c r="K147" s="23"/>
    </row>
    <row r="148" spans="1:15" ht="15" customHeight="1" x14ac:dyDescent="0.25">
      <c r="A148" s="20"/>
      <c r="B148" s="150" t="s">
        <v>59</v>
      </c>
      <c r="C148" s="21">
        <f>3*(5+19+19)</f>
        <v>129</v>
      </c>
      <c r="D148" s="152">
        <f>(0.75*4+0.17*2)/3.281</f>
        <v>1.0179823224626636</v>
      </c>
      <c r="E148" s="152">
        <f>8*8/162</f>
        <v>0.39506172839506171</v>
      </c>
      <c r="F148" s="152">
        <f t="shared" si="16"/>
        <v>51.879395396615749</v>
      </c>
      <c r="G148" s="152">
        <f t="shared" si="17"/>
        <v>5.1879395396615749E-2</v>
      </c>
      <c r="H148" s="6"/>
      <c r="I148" s="7"/>
      <c r="J148" s="153"/>
      <c r="K148" s="23"/>
      <c r="N148">
        <f>C149/6</f>
        <v>21.5</v>
      </c>
      <c r="O148">
        <f>N148-31</f>
        <v>-9.5</v>
      </c>
    </row>
    <row r="149" spans="1:15" ht="15" customHeight="1" x14ac:dyDescent="0.25">
      <c r="A149" s="20"/>
      <c r="B149" s="150"/>
      <c r="C149" s="21">
        <f>3*(5+19+19)</f>
        <v>129</v>
      </c>
      <c r="D149" s="152">
        <f>(0.5*4+0.17*2)/3.281</f>
        <v>0.71319719597683628</v>
      </c>
      <c r="E149" s="152">
        <f>8*8/162</f>
        <v>0.39506172839506171</v>
      </c>
      <c r="F149" s="152">
        <f t="shared" si="16"/>
        <v>36.346642283856539</v>
      </c>
      <c r="G149" s="152">
        <f t="shared" si="17"/>
        <v>3.6346642283856541E-2</v>
      </c>
      <c r="H149" s="6"/>
      <c r="I149" s="7"/>
      <c r="J149" s="153"/>
      <c r="K149" s="23"/>
    </row>
    <row r="150" spans="1:15" ht="15" customHeight="1" x14ac:dyDescent="0.25">
      <c r="A150" s="20"/>
      <c r="B150" s="150" t="s">
        <v>166</v>
      </c>
      <c r="C150" s="21">
        <f>2*(4)</f>
        <v>8</v>
      </c>
      <c r="D150" s="152">
        <f>(19.75+(0.75*2))/3.281</f>
        <v>6.4766839378238341</v>
      </c>
      <c r="E150" s="152">
        <f>12*12/162</f>
        <v>0.88888888888888884</v>
      </c>
      <c r="F150" s="152">
        <f t="shared" si="16"/>
        <v>46.056419113413931</v>
      </c>
      <c r="G150" s="152">
        <f t="shared" si="17"/>
        <v>4.6056419113413932E-2</v>
      </c>
      <c r="H150" s="6"/>
      <c r="I150" s="7"/>
      <c r="J150" s="153"/>
      <c r="K150" s="23"/>
    </row>
    <row r="151" spans="1:15" ht="15" customHeight="1" x14ac:dyDescent="0.25">
      <c r="A151" s="20"/>
      <c r="B151" s="150" t="s">
        <v>59</v>
      </c>
      <c r="C151" s="21">
        <f>(19+20)*2</f>
        <v>78</v>
      </c>
      <c r="D151" s="152">
        <f>(0.583*4+0.17*2)/3.281</f>
        <v>0.81438585797013097</v>
      </c>
      <c r="E151" s="152">
        <f>8*8/162</f>
        <v>0.39506172839506171</v>
      </c>
      <c r="F151" s="152">
        <f>PRODUCT(C151:E151)</f>
        <v>25.095149401153666</v>
      </c>
      <c r="G151" s="152">
        <f>F151/1000</f>
        <v>2.5095149401153666E-2</v>
      </c>
      <c r="H151" s="6"/>
      <c r="I151" s="7"/>
      <c r="J151" s="153"/>
      <c r="K151" s="23"/>
    </row>
    <row r="152" spans="1:15" ht="15" customHeight="1" x14ac:dyDescent="0.25">
      <c r="A152" s="20"/>
      <c r="B152" s="150" t="s">
        <v>166</v>
      </c>
      <c r="C152" s="21">
        <f>4*2</f>
        <v>8</v>
      </c>
      <c r="D152" s="152">
        <f>(11.583+(0.75*2))/3.281</f>
        <v>3.9875038098140809</v>
      </c>
      <c r="E152" s="152">
        <f>12*12/162</f>
        <v>0.88888888888888884</v>
      </c>
      <c r="F152" s="152">
        <f t="shared" si="16"/>
        <v>28.355582647566795</v>
      </c>
      <c r="G152" s="152">
        <f t="shared" si="17"/>
        <v>2.8355582647566796E-2</v>
      </c>
      <c r="H152" s="6"/>
      <c r="I152" s="7"/>
      <c r="J152" s="153"/>
      <c r="K152" s="23"/>
      <c r="N152">
        <f>4/0.127</f>
        <v>31.496062992125985</v>
      </c>
      <c r="O152">
        <f>9.75/0.42</f>
        <v>23.214285714285715</v>
      </c>
    </row>
    <row r="153" spans="1:15" ht="15" customHeight="1" x14ac:dyDescent="0.25">
      <c r="A153" s="20"/>
      <c r="B153" s="150" t="s">
        <v>59</v>
      </c>
      <c r="C153" s="21">
        <f>(23)*2</f>
        <v>46</v>
      </c>
      <c r="D153" s="152">
        <f>(0.583*4+0.17*2)/3.281</f>
        <v>0.81438585797013097</v>
      </c>
      <c r="E153" s="152">
        <f>8*8/162</f>
        <v>0.39506172839506171</v>
      </c>
      <c r="F153" s="152">
        <f t="shared" si="16"/>
        <v>14.799703492988058</v>
      </c>
      <c r="G153" s="152">
        <f t="shared" si="17"/>
        <v>1.4799703492988059E-2</v>
      </c>
      <c r="H153" s="6"/>
      <c r="I153" s="7"/>
      <c r="J153" s="153"/>
      <c r="K153" s="23"/>
    </row>
    <row r="154" spans="1:15" ht="15" customHeight="1" x14ac:dyDescent="0.25">
      <c r="A154" s="20"/>
      <c r="B154" s="150" t="s">
        <v>167</v>
      </c>
      <c r="C154" s="21">
        <f>2*(4)</f>
        <v>8</v>
      </c>
      <c r="D154" s="152">
        <f>(19.75+(0.75*2))/3.281</f>
        <v>6.4766839378238341</v>
      </c>
      <c r="E154" s="152">
        <f>12*12/162</f>
        <v>0.88888888888888884</v>
      </c>
      <c r="F154" s="152">
        <f t="shared" si="16"/>
        <v>46.056419113413931</v>
      </c>
      <c r="G154" s="152">
        <f t="shared" si="17"/>
        <v>4.6056419113413932E-2</v>
      </c>
      <c r="H154" s="6"/>
      <c r="I154" s="7"/>
      <c r="J154" s="153"/>
      <c r="K154" s="23"/>
      <c r="N154">
        <f>17/0.42</f>
        <v>40.476190476190474</v>
      </c>
    </row>
    <row r="155" spans="1:15" ht="15" customHeight="1" x14ac:dyDescent="0.25">
      <c r="A155" s="20"/>
      <c r="B155" s="150" t="s">
        <v>59</v>
      </c>
      <c r="C155" s="21">
        <f>(19+20)*2</f>
        <v>78</v>
      </c>
      <c r="D155" s="152">
        <f>(0.583*4+0.17*2)/3.281</f>
        <v>0.81438585797013097</v>
      </c>
      <c r="E155" s="152">
        <f>8*8/162</f>
        <v>0.39506172839506171</v>
      </c>
      <c r="F155" s="152">
        <f>PRODUCT(C155:E155)</f>
        <v>25.095149401153666</v>
      </c>
      <c r="G155" s="152">
        <f>F155/1000</f>
        <v>2.5095149401153666E-2</v>
      </c>
      <c r="H155" s="6"/>
      <c r="I155" s="7"/>
      <c r="J155" s="153"/>
      <c r="K155" s="23"/>
    </row>
    <row r="156" spans="1:15" ht="15" customHeight="1" x14ac:dyDescent="0.25">
      <c r="A156" s="20"/>
      <c r="B156" s="150" t="s">
        <v>167</v>
      </c>
      <c r="C156" s="21">
        <f>4*3</f>
        <v>12</v>
      </c>
      <c r="D156" s="152">
        <f>(11.583+(0.75*2))/3.281</f>
        <v>3.9875038098140809</v>
      </c>
      <c r="E156" s="152">
        <f>12*12/162</f>
        <v>0.88888888888888884</v>
      </c>
      <c r="F156" s="152">
        <f t="shared" ref="F156:F158" si="18">PRODUCT(C156:E156)</f>
        <v>42.533373971350194</v>
      </c>
      <c r="G156" s="152">
        <f t="shared" ref="G156:G158" si="19">F156/1000</f>
        <v>4.2533373971350194E-2</v>
      </c>
      <c r="H156" s="6"/>
      <c r="I156" s="7"/>
      <c r="J156" s="153"/>
      <c r="K156" s="23"/>
      <c r="N156">
        <f>4/0.127</f>
        <v>31.496062992125985</v>
      </c>
      <c r="O156">
        <f>9.75/0.42</f>
        <v>23.214285714285715</v>
      </c>
    </row>
    <row r="157" spans="1:15" ht="15" customHeight="1" x14ac:dyDescent="0.25">
      <c r="A157" s="20"/>
      <c r="B157" s="150" t="s">
        <v>59</v>
      </c>
      <c r="C157" s="21">
        <f>(23)*3</f>
        <v>69</v>
      </c>
      <c r="D157" s="152">
        <f>(0.583*4+0.17*2)/3.281</f>
        <v>0.81438585797013097</v>
      </c>
      <c r="E157" s="152">
        <f>8*8/162</f>
        <v>0.39506172839506171</v>
      </c>
      <c r="F157" s="152">
        <f t="shared" si="18"/>
        <v>22.199555239482088</v>
      </c>
      <c r="G157" s="152">
        <f t="shared" si="19"/>
        <v>2.2199555239482086E-2</v>
      </c>
      <c r="H157" s="6"/>
      <c r="I157" s="7"/>
      <c r="J157" s="153"/>
      <c r="K157" s="23"/>
    </row>
    <row r="158" spans="1:15" ht="15" customHeight="1" x14ac:dyDescent="0.25">
      <c r="A158" s="20"/>
      <c r="B158" s="150" t="s">
        <v>71</v>
      </c>
      <c r="C158" s="21">
        <f>2*2*(4)</f>
        <v>16</v>
      </c>
      <c r="D158" s="152">
        <f>(19.75+(0.42*2))/3.281</f>
        <v>6.2755257543431879</v>
      </c>
      <c r="E158" s="152">
        <f>12*12/162</f>
        <v>0.88888888888888884</v>
      </c>
      <c r="F158" s="152">
        <f t="shared" si="18"/>
        <v>89.251921839547563</v>
      </c>
      <c r="G158" s="152">
        <f t="shared" si="19"/>
        <v>8.9251921839547568E-2</v>
      </c>
      <c r="H158" s="6"/>
      <c r="I158" s="7"/>
      <c r="J158" s="153"/>
      <c r="K158" s="23"/>
    </row>
    <row r="159" spans="1:15" ht="15" customHeight="1" x14ac:dyDescent="0.25">
      <c r="A159" s="20"/>
      <c r="B159" s="150" t="s">
        <v>59</v>
      </c>
      <c r="C159" s="21">
        <f>(19+20)*2*2</f>
        <v>156</v>
      </c>
      <c r="D159" s="152">
        <f>(0.583*4+0.17*2)/3.281</f>
        <v>0.81438585797013097</v>
      </c>
      <c r="E159" s="152">
        <f>8*8/162</f>
        <v>0.39506172839506171</v>
      </c>
      <c r="F159" s="152">
        <f>PRODUCT(C159:E159)</f>
        <v>50.190298802307332</v>
      </c>
      <c r="G159" s="152">
        <f>F159/1000</f>
        <v>5.0190298802307333E-2</v>
      </c>
      <c r="H159" s="6"/>
      <c r="I159" s="7"/>
      <c r="J159" s="153"/>
      <c r="K159" s="23"/>
    </row>
    <row r="160" spans="1:15" ht="15" customHeight="1" x14ac:dyDescent="0.25">
      <c r="A160" s="20"/>
      <c r="B160" s="150" t="s">
        <v>71</v>
      </c>
      <c r="C160" s="21">
        <f>4*3*2</f>
        <v>24</v>
      </c>
      <c r="D160" s="152">
        <f>(11.583+(0.42*2))/3.281</f>
        <v>3.7863456263334347</v>
      </c>
      <c r="E160" s="152">
        <f>12*12/162</f>
        <v>0.88888888888888884</v>
      </c>
      <c r="F160" s="152">
        <f t="shared" ref="F160:F161" si="20">PRODUCT(C160:E160)</f>
        <v>80.775373361779927</v>
      </c>
      <c r="G160" s="152">
        <f t="shared" ref="G160:G161" si="21">F160/1000</f>
        <v>8.0775373361779923E-2</v>
      </c>
      <c r="H160" s="6"/>
      <c r="I160" s="7"/>
      <c r="J160" s="153"/>
      <c r="K160" s="23"/>
    </row>
    <row r="161" spans="1:17" ht="15" customHeight="1" x14ac:dyDescent="0.25">
      <c r="A161" s="20"/>
      <c r="B161" s="150" t="s">
        <v>59</v>
      </c>
      <c r="C161" s="21">
        <f>(23)*3*2</f>
        <v>138</v>
      </c>
      <c r="D161" s="152">
        <f>(0.583*4+0.17*2)/3.281</f>
        <v>0.81438585797013097</v>
      </c>
      <c r="E161" s="152">
        <f>8*8/162</f>
        <v>0.39506172839506171</v>
      </c>
      <c r="F161" s="152">
        <f t="shared" si="20"/>
        <v>44.399110478964175</v>
      </c>
      <c r="G161" s="152">
        <f t="shared" si="21"/>
        <v>4.4399110478964172E-2</v>
      </c>
      <c r="H161" s="6"/>
      <c r="I161" s="7"/>
      <c r="J161" s="153"/>
      <c r="K161" s="23"/>
    </row>
    <row r="162" spans="1:17" ht="15" customHeight="1" x14ac:dyDescent="0.25">
      <c r="A162" s="20"/>
      <c r="B162" s="150" t="s">
        <v>66</v>
      </c>
      <c r="C162" s="21">
        <f>3*6</f>
        <v>18</v>
      </c>
      <c r="D162" s="152">
        <f>5.667/3.281</f>
        <v>1.7272173117951843</v>
      </c>
      <c r="E162" s="152">
        <f t="shared" ref="E162:E164" si="22">12*12/162</f>
        <v>0.88888888888888884</v>
      </c>
      <c r="F162" s="152">
        <f>PRODUCT(C162:E162)</f>
        <v>27.635476988722949</v>
      </c>
      <c r="G162" s="183">
        <f>F162/1000</f>
        <v>2.763547698872295E-2</v>
      </c>
      <c r="H162" s="6"/>
      <c r="I162" s="7"/>
      <c r="J162" s="153"/>
      <c r="K162" s="23"/>
      <c r="O162">
        <f>3.5/3.281</f>
        <v>1.0667479427003961</v>
      </c>
    </row>
    <row r="163" spans="1:17" ht="15" customHeight="1" x14ac:dyDescent="0.25">
      <c r="A163" s="20"/>
      <c r="B163" s="150"/>
      <c r="C163" s="21">
        <f>2*3</f>
        <v>6</v>
      </c>
      <c r="D163" s="152">
        <f>7.5/3.281</f>
        <v>2.2858884486437061</v>
      </c>
      <c r="E163" s="152">
        <f t="shared" si="22"/>
        <v>0.88888888888888884</v>
      </c>
      <c r="F163" s="152">
        <f>PRODUCT(C163:E163)</f>
        <v>12.191405059433098</v>
      </c>
      <c r="G163" s="183">
        <f>F163/1000</f>
        <v>1.2191405059433098E-2</v>
      </c>
      <c r="H163" s="6"/>
      <c r="I163" s="7"/>
      <c r="J163" s="153"/>
      <c r="K163" s="23"/>
    </row>
    <row r="164" spans="1:17" ht="15" customHeight="1" x14ac:dyDescent="0.25">
      <c r="A164" s="20"/>
      <c r="B164" s="150"/>
      <c r="C164" s="21">
        <f>3*4</f>
        <v>12</v>
      </c>
      <c r="D164" s="152">
        <f>5.5/3.281</f>
        <v>1.6763181956720512</v>
      </c>
      <c r="E164" s="152">
        <f t="shared" si="22"/>
        <v>0.88888888888888884</v>
      </c>
      <c r="F164" s="152">
        <f>PRODUCT(C164:E164)</f>
        <v>17.880727420501877</v>
      </c>
      <c r="G164" s="183">
        <f>F164/1000</f>
        <v>1.7880727420501875E-2</v>
      </c>
      <c r="H164" s="6"/>
      <c r="I164" s="7"/>
      <c r="J164" s="153"/>
      <c r="K164" s="23"/>
    </row>
    <row r="165" spans="1:17" ht="15" customHeight="1" x14ac:dyDescent="0.25">
      <c r="A165" s="20"/>
      <c r="B165" s="150"/>
      <c r="C165" s="21">
        <v>2</v>
      </c>
      <c r="D165" s="152">
        <f>(19.75+(0.42*2))/3.281</f>
        <v>6.2755257543431879</v>
      </c>
      <c r="E165" s="152">
        <f>12*12/162</f>
        <v>0.88888888888888884</v>
      </c>
      <c r="F165" s="152">
        <f t="shared" ref="F165:F166" si="23">PRODUCT(C165:E165)</f>
        <v>11.156490229943445</v>
      </c>
      <c r="G165" s="152">
        <f t="shared" ref="G165:G166" si="24">F165/1000</f>
        <v>1.1156490229943446E-2</v>
      </c>
      <c r="H165" s="6"/>
      <c r="I165" s="7"/>
      <c r="J165" s="153"/>
      <c r="K165" s="23"/>
    </row>
    <row r="166" spans="1:17" ht="15" customHeight="1" x14ac:dyDescent="0.25">
      <c r="A166" s="20"/>
      <c r="B166" s="150"/>
      <c r="C166" s="21">
        <v>3</v>
      </c>
      <c r="D166" s="152">
        <f>(11.583+(0.42*2))/3.281</f>
        <v>3.7863456263334347</v>
      </c>
      <c r="E166" s="152">
        <f>12*12/162</f>
        <v>0.88888888888888884</v>
      </c>
      <c r="F166" s="152">
        <f t="shared" si="23"/>
        <v>10.096921670222491</v>
      </c>
      <c r="G166" s="152">
        <f t="shared" si="24"/>
        <v>1.009692167022249E-2</v>
      </c>
      <c r="H166" s="6"/>
      <c r="I166" s="7"/>
      <c r="J166" s="153"/>
      <c r="K166" s="23"/>
    </row>
    <row r="167" spans="1:17" ht="15" customHeight="1" x14ac:dyDescent="0.25">
      <c r="A167" s="20"/>
      <c r="B167" s="150" t="s">
        <v>142</v>
      </c>
      <c r="C167" s="21"/>
      <c r="D167" s="152"/>
      <c r="E167" s="152"/>
      <c r="F167" s="152"/>
      <c r="G167" s="152"/>
      <c r="H167" s="6"/>
      <c r="I167" s="7"/>
      <c r="J167" s="153"/>
      <c r="K167" s="23"/>
    </row>
    <row r="168" spans="1:17" ht="15" customHeight="1" x14ac:dyDescent="0.25">
      <c r="A168" s="20"/>
      <c r="B168" s="150" t="s">
        <v>163</v>
      </c>
      <c r="C168" s="21">
        <v>25</v>
      </c>
      <c r="D168" s="152">
        <f>12.75/3.281</f>
        <v>3.8860103626943006</v>
      </c>
      <c r="E168" s="152">
        <f t="shared" ref="E168:E181" si="25">8*8/162</f>
        <v>0.39506172839506171</v>
      </c>
      <c r="F168" s="152">
        <f t="shared" si="16"/>
        <v>38.380349261178274</v>
      </c>
      <c r="G168" s="183">
        <f t="shared" si="17"/>
        <v>3.8380349261178275E-2</v>
      </c>
      <c r="H168" s="6"/>
      <c r="I168" s="7"/>
      <c r="J168" s="153"/>
      <c r="K168" s="23"/>
    </row>
    <row r="169" spans="1:17" ht="15" customHeight="1" x14ac:dyDescent="0.25">
      <c r="A169" s="20"/>
      <c r="B169" s="150"/>
      <c r="C169" s="21">
        <v>7</v>
      </c>
      <c r="D169" s="152">
        <f>8.5/3.281</f>
        <v>2.5906735751295336</v>
      </c>
      <c r="E169" s="152">
        <f t="shared" si="25"/>
        <v>0.39506172839506171</v>
      </c>
      <c r="F169" s="152">
        <f t="shared" si="16"/>
        <v>7.1643318620866117</v>
      </c>
      <c r="G169" s="183">
        <f t="shared" si="17"/>
        <v>7.1643318620866116E-3</v>
      </c>
      <c r="H169" s="6"/>
      <c r="I169" s="7"/>
      <c r="J169" s="153"/>
      <c r="K169" s="23"/>
    </row>
    <row r="170" spans="1:17" ht="15" customHeight="1" x14ac:dyDescent="0.25">
      <c r="A170" s="20"/>
      <c r="B170" s="150"/>
      <c r="C170" s="21">
        <v>7</v>
      </c>
      <c r="D170" s="152">
        <f>5.5/3.281</f>
        <v>1.6763181956720512</v>
      </c>
      <c r="E170" s="152">
        <f t="shared" si="25"/>
        <v>0.39506172839506171</v>
      </c>
      <c r="F170" s="152">
        <f t="shared" si="16"/>
        <v>4.6357441460560427</v>
      </c>
      <c r="G170" s="183">
        <f t="shared" si="17"/>
        <v>4.6357441460560429E-3</v>
      </c>
      <c r="H170" s="6"/>
      <c r="I170" s="7"/>
      <c r="J170" s="153"/>
      <c r="K170" s="23"/>
    </row>
    <row r="171" spans="1:17" ht="15" customHeight="1" x14ac:dyDescent="0.25">
      <c r="A171" s="20"/>
      <c r="B171" s="150" t="s">
        <v>164</v>
      </c>
      <c r="C171" s="21">
        <v>10</v>
      </c>
      <c r="D171" s="152">
        <f>21.25/3.281</f>
        <v>6.4766839378238341</v>
      </c>
      <c r="E171" s="152">
        <f t="shared" si="25"/>
        <v>0.39506172839506171</v>
      </c>
      <c r="F171" s="152">
        <f t="shared" si="16"/>
        <v>25.586899507452184</v>
      </c>
      <c r="G171" s="183">
        <f t="shared" si="17"/>
        <v>2.5586899507452184E-2</v>
      </c>
      <c r="H171" s="6"/>
      <c r="I171" s="7"/>
      <c r="J171" s="153"/>
      <c r="K171" s="23"/>
    </row>
    <row r="172" spans="1:17" ht="15" customHeight="1" x14ac:dyDescent="0.25">
      <c r="A172" s="20"/>
      <c r="B172" s="150"/>
      <c r="C172" s="21">
        <v>5</v>
      </c>
      <c r="D172" s="152">
        <f>17.5/3.281</f>
        <v>5.3337397135019806</v>
      </c>
      <c r="E172" s="152">
        <f t="shared" si="25"/>
        <v>0.39506172839506171</v>
      </c>
      <c r="F172" s="152">
        <f t="shared" si="16"/>
        <v>10.535782150127369</v>
      </c>
      <c r="G172" s="183">
        <f t="shared" si="17"/>
        <v>1.0535782150127369E-2</v>
      </c>
      <c r="H172" s="6"/>
      <c r="I172" s="7"/>
      <c r="J172" s="153"/>
      <c r="K172" s="23"/>
    </row>
    <row r="173" spans="1:17" ht="15" customHeight="1" x14ac:dyDescent="0.25">
      <c r="A173" s="20"/>
      <c r="B173" s="150"/>
      <c r="C173" s="21">
        <v>5</v>
      </c>
      <c r="D173" s="152">
        <f>16.583/3.281</f>
        <v>5.0542517525144763</v>
      </c>
      <c r="E173" s="152">
        <f t="shared" si="25"/>
        <v>0.39506172839506171</v>
      </c>
      <c r="F173" s="152">
        <f t="shared" si="16"/>
        <v>9.983707165460693</v>
      </c>
      <c r="G173" s="183">
        <f t="shared" si="17"/>
        <v>9.9837071654606934E-3</v>
      </c>
      <c r="H173" s="6"/>
      <c r="I173" s="7"/>
      <c r="J173" s="153"/>
      <c r="K173" s="23"/>
      <c r="O173" s="63">
        <f>SUM(G168:G181)</f>
        <v>0.18649779312991746</v>
      </c>
      <c r="P173" s="63">
        <f>SUM(G183:G194)</f>
        <v>0.25246864664115498</v>
      </c>
      <c r="Q173" s="63">
        <f>SUM(O173:P173)</f>
        <v>0.43896643977107241</v>
      </c>
    </row>
    <row r="174" spans="1:17" ht="15" customHeight="1" x14ac:dyDescent="0.25">
      <c r="A174" s="20"/>
      <c r="B174" s="173" t="s">
        <v>165</v>
      </c>
      <c r="C174" s="21">
        <v>20</v>
      </c>
      <c r="D174" s="152">
        <f>12.75/3.281</f>
        <v>3.8860103626943006</v>
      </c>
      <c r="E174" s="152">
        <f t="shared" si="25"/>
        <v>0.39506172839506171</v>
      </c>
      <c r="F174" s="152">
        <f>PRODUCT(C174:E174)</f>
        <v>30.704279408942622</v>
      </c>
      <c r="G174" s="183">
        <f>F174/1000</f>
        <v>3.070427940894262E-2</v>
      </c>
      <c r="H174" s="6"/>
      <c r="I174" s="7"/>
      <c r="J174" s="153"/>
      <c r="K174" s="23"/>
    </row>
    <row r="175" spans="1:17" ht="15" customHeight="1" x14ac:dyDescent="0.25">
      <c r="A175" s="20"/>
      <c r="B175" s="150"/>
      <c r="C175" s="21">
        <v>7</v>
      </c>
      <c r="D175" s="152">
        <f>9.5/3.281</f>
        <v>2.895458701615361</v>
      </c>
      <c r="E175" s="152">
        <f t="shared" si="25"/>
        <v>0.39506172839506171</v>
      </c>
      <c r="F175" s="152">
        <f>PRODUCT(C175:E175)</f>
        <v>8.0071944340967995</v>
      </c>
      <c r="G175" s="183">
        <f>F175/1000</f>
        <v>8.0071944340967989E-3</v>
      </c>
      <c r="H175" s="6"/>
      <c r="I175" s="7"/>
      <c r="J175" s="153"/>
      <c r="K175" s="23"/>
    </row>
    <row r="176" spans="1:17" ht="15" customHeight="1" x14ac:dyDescent="0.25">
      <c r="A176" s="20"/>
      <c r="B176" s="150" t="s">
        <v>69</v>
      </c>
      <c r="C176" s="21">
        <v>12</v>
      </c>
      <c r="D176" s="152">
        <f>4.17/3.281</f>
        <v>1.2709539774459007</v>
      </c>
      <c r="E176" s="152">
        <f t="shared" si="25"/>
        <v>0.39506172839506171</v>
      </c>
      <c r="F176" s="152">
        <f t="shared" ref="F176:F181" si="26">PRODUCT(C176:E176)</f>
        <v>6.0252633004842693</v>
      </c>
      <c r="G176" s="183">
        <f t="shared" ref="G176:G181" si="27">F176/1000</f>
        <v>6.0252633004842689E-3</v>
      </c>
      <c r="H176" s="6"/>
      <c r="I176" s="7"/>
      <c r="J176" s="153"/>
      <c r="K176" s="23"/>
    </row>
    <row r="177" spans="1:13" ht="15" customHeight="1" x14ac:dyDescent="0.25">
      <c r="A177" s="20"/>
      <c r="B177" s="150"/>
      <c r="C177" s="21">
        <v>12</v>
      </c>
      <c r="D177" s="152">
        <f>3/3.281</f>
        <v>0.91435537945748246</v>
      </c>
      <c r="E177" s="152">
        <f t="shared" si="25"/>
        <v>0.39506172839506171</v>
      </c>
      <c r="F177" s="152">
        <f t="shared" si="26"/>
        <v>4.3347217989095466</v>
      </c>
      <c r="G177" s="183">
        <f t="shared" si="27"/>
        <v>4.3347217989095467E-3</v>
      </c>
      <c r="H177" s="6"/>
      <c r="I177" s="7"/>
      <c r="J177" s="153"/>
      <c r="K177" s="23"/>
    </row>
    <row r="178" spans="1:13" ht="15" customHeight="1" x14ac:dyDescent="0.25">
      <c r="A178" s="20"/>
      <c r="B178" s="150" t="s">
        <v>76</v>
      </c>
      <c r="C178" s="21">
        <v>6</v>
      </c>
      <c r="D178" s="152">
        <f>21.25/3.281</f>
        <v>6.4766839378238341</v>
      </c>
      <c r="E178" s="152">
        <f t="shared" si="25"/>
        <v>0.39506172839506171</v>
      </c>
      <c r="F178" s="152">
        <f t="shared" si="26"/>
        <v>15.352139704471309</v>
      </c>
      <c r="G178" s="183">
        <f t="shared" si="27"/>
        <v>1.5352139704471308E-2</v>
      </c>
      <c r="H178" s="6"/>
      <c r="I178" s="7"/>
      <c r="J178" s="153"/>
      <c r="K178" s="23"/>
    </row>
    <row r="179" spans="1:13" ht="15" customHeight="1" x14ac:dyDescent="0.25">
      <c r="A179" s="20"/>
      <c r="B179" s="150"/>
      <c r="C179" s="21">
        <v>9</v>
      </c>
      <c r="D179" s="152">
        <f>12.5/3.281</f>
        <v>3.8098140810728434</v>
      </c>
      <c r="E179" s="152">
        <f t="shared" si="25"/>
        <v>0.39506172839506171</v>
      </c>
      <c r="F179" s="152">
        <f t="shared" si="26"/>
        <v>13.546005621592331</v>
      </c>
      <c r="G179" s="183">
        <f t="shared" si="27"/>
        <v>1.3546005621592331E-2</v>
      </c>
      <c r="H179" s="6"/>
      <c r="I179" s="7"/>
      <c r="J179" s="153"/>
      <c r="K179" s="23"/>
    </row>
    <row r="180" spans="1:13" ht="15" customHeight="1" x14ac:dyDescent="0.25">
      <c r="A180" s="20"/>
      <c r="B180" s="150"/>
      <c r="C180" s="21">
        <v>5</v>
      </c>
      <c r="D180" s="152">
        <f>16.583/3.281</f>
        <v>5.0542517525144763</v>
      </c>
      <c r="E180" s="152">
        <f t="shared" si="25"/>
        <v>0.39506172839506171</v>
      </c>
      <c r="F180" s="152">
        <f t="shared" si="26"/>
        <v>9.983707165460693</v>
      </c>
      <c r="G180" s="183">
        <f t="shared" si="27"/>
        <v>9.9837071654606934E-3</v>
      </c>
      <c r="H180" s="6"/>
      <c r="I180" s="7"/>
      <c r="J180" s="153"/>
      <c r="K180" s="23"/>
    </row>
    <row r="181" spans="1:13" ht="15" customHeight="1" x14ac:dyDescent="0.25">
      <c r="A181" s="20"/>
      <c r="B181" s="150"/>
      <c r="C181" s="21">
        <v>5</v>
      </c>
      <c r="D181" s="152">
        <f>3.75/3.281</f>
        <v>1.1429442243218531</v>
      </c>
      <c r="E181" s="152">
        <f t="shared" si="25"/>
        <v>0.39506172839506171</v>
      </c>
      <c r="F181" s="152">
        <f t="shared" si="26"/>
        <v>2.2576676035987222</v>
      </c>
      <c r="G181" s="183">
        <f t="shared" si="27"/>
        <v>2.2576676035987223E-3</v>
      </c>
      <c r="H181" s="6"/>
      <c r="I181" s="7"/>
      <c r="J181" s="153"/>
      <c r="K181" s="23"/>
    </row>
    <row r="182" spans="1:13" x14ac:dyDescent="0.25">
      <c r="A182" s="182"/>
      <c r="B182" s="173" t="s">
        <v>143</v>
      </c>
      <c r="C182" s="151"/>
      <c r="D182" s="152"/>
      <c r="E182" s="152"/>
      <c r="F182" s="152"/>
      <c r="G182" s="152"/>
      <c r="H182" s="178"/>
      <c r="I182" s="178"/>
      <c r="J182" s="152"/>
      <c r="K182" s="178"/>
    </row>
    <row r="183" spans="1:13" x14ac:dyDescent="0.25">
      <c r="A183" s="182"/>
      <c r="B183" s="173" t="s">
        <v>163</v>
      </c>
      <c r="C183" s="151">
        <v>35</v>
      </c>
      <c r="D183" s="152">
        <f>14/3.281</f>
        <v>4.2669917708015843</v>
      </c>
      <c r="E183" s="152">
        <f t="shared" ref="E183:E190" si="28">8*8/162</f>
        <v>0.39506172839506171</v>
      </c>
      <c r="F183" s="152">
        <f t="shared" ref="F183:F194" si="29">PRODUCT(C183:E183)</f>
        <v>59.00038004071326</v>
      </c>
      <c r="G183" s="183">
        <f t="shared" ref="G183:G194" si="30">F183/1000</f>
        <v>5.9000380040713257E-2</v>
      </c>
      <c r="H183" s="178"/>
      <c r="I183" s="178"/>
      <c r="J183" s="152"/>
      <c r="K183" s="178"/>
    </row>
    <row r="184" spans="1:13" x14ac:dyDescent="0.25">
      <c r="A184" s="182"/>
      <c r="B184" s="173"/>
      <c r="C184" s="151">
        <v>6</v>
      </c>
      <c r="D184" s="152">
        <f>9.5/3.281</f>
        <v>2.895458701615361</v>
      </c>
      <c r="E184" s="152">
        <f t="shared" si="28"/>
        <v>0.39506172839506171</v>
      </c>
      <c r="F184" s="152">
        <f t="shared" si="29"/>
        <v>6.8633095149401147</v>
      </c>
      <c r="G184" s="183">
        <f t="shared" si="30"/>
        <v>6.8633095149401146E-3</v>
      </c>
      <c r="H184" s="178"/>
      <c r="I184" s="178"/>
      <c r="J184" s="152"/>
      <c r="K184" s="178"/>
    </row>
    <row r="185" spans="1:13" x14ac:dyDescent="0.25">
      <c r="A185" s="182"/>
      <c r="B185" s="173" t="s">
        <v>164</v>
      </c>
      <c r="C185" s="151">
        <v>21</v>
      </c>
      <c r="D185" s="152">
        <f>22.17/3.281</f>
        <v>6.7570862541907957</v>
      </c>
      <c r="E185" s="152">
        <f t="shared" si="28"/>
        <v>0.39506172839506171</v>
      </c>
      <c r="F185" s="152">
        <f t="shared" si="29"/>
        <v>56.058789664397707</v>
      </c>
      <c r="G185" s="183">
        <f t="shared" si="30"/>
        <v>5.6058789664397708E-2</v>
      </c>
      <c r="H185" s="178"/>
      <c r="I185" s="178"/>
      <c r="J185" s="152"/>
      <c r="K185" s="178"/>
    </row>
    <row r="186" spans="1:13" x14ac:dyDescent="0.25">
      <c r="A186" s="182"/>
      <c r="B186" s="173"/>
      <c r="C186" s="151">
        <v>5</v>
      </c>
      <c r="D186" s="152">
        <f>17.583/3.281</f>
        <v>5.3590368790003042</v>
      </c>
      <c r="E186" s="152">
        <f t="shared" si="28"/>
        <v>0.39506172839506171</v>
      </c>
      <c r="F186" s="152">
        <f t="shared" si="29"/>
        <v>10.585751859753687</v>
      </c>
      <c r="G186" s="183">
        <f t="shared" si="30"/>
        <v>1.0585751859753688E-2</v>
      </c>
      <c r="H186" s="178"/>
      <c r="I186" s="178"/>
      <c r="J186" s="152"/>
      <c r="K186" s="178"/>
      <c r="M186" s="63"/>
    </row>
    <row r="187" spans="1:13" x14ac:dyDescent="0.25">
      <c r="A187" s="182"/>
      <c r="B187" s="173" t="s">
        <v>165</v>
      </c>
      <c r="C187" s="151">
        <v>26</v>
      </c>
      <c r="D187" s="152">
        <f>14/3.281</f>
        <v>4.2669917708015843</v>
      </c>
      <c r="E187" s="152">
        <f t="shared" si="28"/>
        <v>0.39506172839506171</v>
      </c>
      <c r="F187" s="152">
        <f t="shared" si="29"/>
        <v>43.828853744529852</v>
      </c>
      <c r="G187" s="183">
        <f t="shared" si="30"/>
        <v>4.3828853744529848E-2</v>
      </c>
      <c r="H187" s="178"/>
      <c r="I187" s="178"/>
      <c r="J187" s="152"/>
      <c r="K187" s="178"/>
      <c r="M187" s="63">
        <f>SUM(G183:G194)</f>
        <v>0.25246864664115498</v>
      </c>
    </row>
    <row r="188" spans="1:13" x14ac:dyDescent="0.25">
      <c r="A188" s="182"/>
      <c r="B188" s="173"/>
      <c r="C188" s="151">
        <v>9</v>
      </c>
      <c r="D188" s="152">
        <f>4.333/3.281</f>
        <v>1.3206339530630906</v>
      </c>
      <c r="E188" s="152">
        <f t="shared" si="28"/>
        <v>0.39506172839506171</v>
      </c>
      <c r="F188" s="152">
        <f t="shared" si="29"/>
        <v>4.6955873886687662</v>
      </c>
      <c r="G188" s="183">
        <f t="shared" si="30"/>
        <v>4.6955873886687666E-3</v>
      </c>
      <c r="H188" s="178"/>
      <c r="I188" s="178"/>
      <c r="J188" s="152"/>
      <c r="K188" s="178"/>
    </row>
    <row r="189" spans="1:13" x14ac:dyDescent="0.25">
      <c r="A189" s="182"/>
      <c r="B189" s="173"/>
      <c r="C189" s="151">
        <v>9</v>
      </c>
      <c r="D189" s="152">
        <f>4/3.281</f>
        <v>1.2191405059433098</v>
      </c>
      <c r="E189" s="152">
        <f t="shared" si="28"/>
        <v>0.39506172839506171</v>
      </c>
      <c r="F189" s="152">
        <f t="shared" si="29"/>
        <v>4.3347217989095457</v>
      </c>
      <c r="G189" s="183">
        <f t="shared" si="30"/>
        <v>4.3347217989095459E-3</v>
      </c>
      <c r="H189" s="178"/>
      <c r="I189" s="178"/>
      <c r="J189" s="152"/>
      <c r="K189" s="178"/>
    </row>
    <row r="190" spans="1:13" x14ac:dyDescent="0.25">
      <c r="A190" s="182"/>
      <c r="B190" s="173"/>
      <c r="C190" s="151">
        <v>6</v>
      </c>
      <c r="D190" s="152">
        <f>9.5/3.281</f>
        <v>2.895458701615361</v>
      </c>
      <c r="E190" s="152">
        <f t="shared" si="28"/>
        <v>0.39506172839506171</v>
      </c>
      <c r="F190" s="152">
        <f t="shared" si="29"/>
        <v>6.8633095149401147</v>
      </c>
      <c r="G190" s="183">
        <f t="shared" si="30"/>
        <v>6.8633095149401146E-3</v>
      </c>
      <c r="H190" s="178"/>
      <c r="I190" s="178"/>
      <c r="J190" s="152"/>
      <c r="K190" s="178"/>
    </row>
    <row r="191" spans="1:13" x14ac:dyDescent="0.25">
      <c r="A191" s="182"/>
      <c r="B191" s="173" t="s">
        <v>164</v>
      </c>
      <c r="C191" s="151">
        <v>10</v>
      </c>
      <c r="D191" s="152">
        <f>22.17/3.281</f>
        <v>6.7570862541907957</v>
      </c>
      <c r="E191" s="152">
        <f>8*8/162</f>
        <v>0.39506172839506171</v>
      </c>
      <c r="F191" s="152">
        <f t="shared" si="29"/>
        <v>26.69466174495129</v>
      </c>
      <c r="G191" s="183">
        <f t="shared" si="30"/>
        <v>2.669466174495129E-2</v>
      </c>
      <c r="H191" s="178"/>
      <c r="I191" s="178"/>
      <c r="J191" s="152"/>
      <c r="K191" s="178"/>
    </row>
    <row r="192" spans="1:13" x14ac:dyDescent="0.25">
      <c r="A192" s="182"/>
      <c r="B192" s="173"/>
      <c r="C192" s="151">
        <v>5</v>
      </c>
      <c r="D192" s="152">
        <f>17.583/3.281</f>
        <v>5.3590368790003042</v>
      </c>
      <c r="E192" s="152">
        <f>8*8/162</f>
        <v>0.39506172839506171</v>
      </c>
      <c r="F192" s="152">
        <f t="shared" si="29"/>
        <v>10.585751859753687</v>
      </c>
      <c r="G192" s="183">
        <f t="shared" si="30"/>
        <v>1.0585751859753688E-2</v>
      </c>
      <c r="H192" s="178"/>
      <c r="I192" s="178"/>
      <c r="J192" s="152"/>
      <c r="K192" s="178"/>
    </row>
    <row r="193" spans="1:19" x14ac:dyDescent="0.25">
      <c r="A193" s="182"/>
      <c r="B193" s="173"/>
      <c r="C193" s="151">
        <v>11</v>
      </c>
      <c r="D193" s="152">
        <f>13/3.281</f>
        <v>3.9622066443157573</v>
      </c>
      <c r="E193" s="152">
        <f t="shared" ref="E193:E194" si="31">8*8/162</f>
        <v>0.39506172839506171</v>
      </c>
      <c r="F193" s="152">
        <f t="shared" si="29"/>
        <v>17.218478256779584</v>
      </c>
      <c r="G193" s="183">
        <f t="shared" si="30"/>
        <v>1.7218478256779583E-2</v>
      </c>
      <c r="H193" s="178"/>
      <c r="I193" s="178"/>
      <c r="J193" s="152"/>
      <c r="K193" s="178"/>
    </row>
    <row r="194" spans="1:19" x14ac:dyDescent="0.25">
      <c r="A194" s="182"/>
      <c r="B194" s="173"/>
      <c r="C194" s="151">
        <v>11</v>
      </c>
      <c r="D194" s="152">
        <f>4.333/3.281</f>
        <v>1.3206339530630906</v>
      </c>
      <c r="E194" s="152">
        <f t="shared" si="31"/>
        <v>0.39506172839506171</v>
      </c>
      <c r="F194" s="152">
        <f t="shared" si="29"/>
        <v>5.7390512528173812</v>
      </c>
      <c r="G194" s="183">
        <f t="shared" si="30"/>
        <v>5.739051252817381E-3</v>
      </c>
      <c r="H194" s="178"/>
      <c r="I194" s="178"/>
      <c r="J194" s="152"/>
      <c r="K194" s="178"/>
    </row>
    <row r="195" spans="1:19" ht="15" customHeight="1" x14ac:dyDescent="0.25">
      <c r="A195" s="182"/>
      <c r="B195" s="150" t="s">
        <v>16</v>
      </c>
      <c r="C195" s="151"/>
      <c r="D195" s="152"/>
      <c r="E195" s="152"/>
      <c r="F195" s="152"/>
      <c r="G195" s="153">
        <f>SUM(G140:G194)</f>
        <v>1.6588713618627273</v>
      </c>
      <c r="H195" s="153" t="s">
        <v>37</v>
      </c>
      <c r="I195" s="6">
        <v>130210</v>
      </c>
      <c r="J195" s="154">
        <f>G195*I195</f>
        <v>216001.64002814572</v>
      </c>
      <c r="K195" s="178"/>
    </row>
    <row r="196" spans="1:19" ht="15" hidden="1" customHeight="1" x14ac:dyDescent="0.25">
      <c r="A196" s="20"/>
      <c r="B196" s="150" t="s">
        <v>30</v>
      </c>
      <c r="C196" s="21"/>
      <c r="D196" s="22"/>
      <c r="E196" s="23"/>
      <c r="F196" s="23"/>
      <c r="G196" s="7"/>
      <c r="H196" s="6"/>
      <c r="I196" s="7"/>
      <c r="J196" s="153">
        <f>0.13*G195*105010</f>
        <v>22645.750622196651</v>
      </c>
      <c r="K196" s="23"/>
    </row>
    <row r="197" spans="1:19" ht="15" customHeight="1" x14ac:dyDescent="0.25">
      <c r="A197" s="20"/>
      <c r="B197" s="150"/>
      <c r="C197" s="21"/>
      <c r="D197" s="22"/>
      <c r="E197" s="23"/>
      <c r="F197" s="23"/>
      <c r="G197" s="7"/>
      <c r="H197" s="6"/>
      <c r="I197" s="7"/>
      <c r="J197" s="153"/>
      <c r="K197" s="23"/>
      <c r="M197" s="64"/>
      <c r="N197" s="64"/>
      <c r="O197" s="64"/>
      <c r="P197" s="64"/>
      <c r="Q197" s="64"/>
      <c r="R197" s="64"/>
      <c r="S197" s="64"/>
    </row>
    <row r="198" spans="1:19" ht="45" x14ac:dyDescent="0.25">
      <c r="A198" s="20">
        <v>12</v>
      </c>
      <c r="B198" s="139" t="s">
        <v>174</v>
      </c>
      <c r="C198" s="21" t="s">
        <v>8</v>
      </c>
      <c r="D198" s="205" t="s">
        <v>22</v>
      </c>
      <c r="E198" s="204" t="s">
        <v>263</v>
      </c>
      <c r="F198" s="23"/>
      <c r="G198" s="7"/>
      <c r="H198" s="6"/>
      <c r="I198" s="7"/>
      <c r="J198" s="153"/>
      <c r="K198" s="23"/>
    </row>
    <row r="199" spans="1:19" ht="15" customHeight="1" x14ac:dyDescent="0.25">
      <c r="A199" s="20"/>
      <c r="B199" s="150" t="s">
        <v>253</v>
      </c>
      <c r="C199" s="21">
        <v>6</v>
      </c>
      <c r="D199" s="22">
        <v>1.52</v>
      </c>
      <c r="E199" s="23">
        <v>0.77</v>
      </c>
      <c r="F199" s="23"/>
      <c r="G199" s="152">
        <f t="shared" ref="G199:G224" si="32">PRODUCT(C199:F199)</f>
        <v>7.0224000000000011</v>
      </c>
      <c r="H199" s="6"/>
      <c r="I199" s="7"/>
      <c r="J199" s="153"/>
      <c r="K199" s="228" t="s">
        <v>208</v>
      </c>
    </row>
    <row r="200" spans="1:19" ht="15" customHeight="1" x14ac:dyDescent="0.25">
      <c r="A200" s="20"/>
      <c r="B200" s="150"/>
      <c r="C200" s="21">
        <v>12</v>
      </c>
      <c r="D200" s="22">
        <v>2.145</v>
      </c>
      <c r="E200" s="23">
        <v>0.77</v>
      </c>
      <c r="F200" s="23"/>
      <c r="G200" s="152">
        <f t="shared" si="32"/>
        <v>19.819800000000001</v>
      </c>
      <c r="H200" s="6"/>
      <c r="I200" s="7"/>
      <c r="J200" s="153"/>
      <c r="K200" s="228"/>
    </row>
    <row r="201" spans="1:19" ht="15" customHeight="1" x14ac:dyDescent="0.25">
      <c r="A201" s="20"/>
      <c r="B201" s="150" t="s">
        <v>254</v>
      </c>
      <c r="C201" s="21">
        <v>2</v>
      </c>
      <c r="D201" s="22">
        <v>1.52</v>
      </c>
      <c r="E201" s="23">
        <v>1.17</v>
      </c>
      <c r="F201" s="23"/>
      <c r="G201" s="152">
        <f t="shared" si="32"/>
        <v>3.5568</v>
      </c>
      <c r="H201" s="6"/>
      <c r="I201" s="7"/>
      <c r="J201" s="153"/>
      <c r="K201" s="228"/>
    </row>
    <row r="202" spans="1:19" ht="15" customHeight="1" x14ac:dyDescent="0.25">
      <c r="A202" s="20"/>
      <c r="B202" s="150"/>
      <c r="C202" s="21">
        <v>2</v>
      </c>
      <c r="D202" s="22">
        <v>2.145</v>
      </c>
      <c r="E202" s="23">
        <v>1.17</v>
      </c>
      <c r="F202" s="23"/>
      <c r="G202" s="152">
        <f t="shared" si="32"/>
        <v>5.0192999999999994</v>
      </c>
      <c r="H202" s="6"/>
      <c r="I202" s="7"/>
      <c r="J202" s="153"/>
      <c r="K202" s="228"/>
    </row>
    <row r="203" spans="1:19" ht="15" customHeight="1" x14ac:dyDescent="0.25">
      <c r="A203" s="20"/>
      <c r="B203" s="150"/>
      <c r="C203" s="21">
        <v>6</v>
      </c>
      <c r="D203" s="22">
        <v>1.2749999999999999</v>
      </c>
      <c r="E203" s="23">
        <v>0.77</v>
      </c>
      <c r="F203" s="23"/>
      <c r="G203" s="152">
        <f t="shared" si="32"/>
        <v>5.8904999999999994</v>
      </c>
      <c r="H203" s="6"/>
      <c r="I203" s="7"/>
      <c r="J203" s="153"/>
      <c r="K203" s="210"/>
    </row>
    <row r="204" spans="1:19" ht="15" customHeight="1" x14ac:dyDescent="0.25">
      <c r="A204" s="20"/>
      <c r="B204" s="150"/>
      <c r="C204" s="21">
        <v>10</v>
      </c>
      <c r="D204" s="22">
        <v>2.3849999999999998</v>
      </c>
      <c r="E204" s="23">
        <v>0.77</v>
      </c>
      <c r="F204" s="23"/>
      <c r="G204" s="152">
        <f t="shared" si="32"/>
        <v>18.3645</v>
      </c>
      <c r="H204" s="6"/>
      <c r="I204" s="7"/>
      <c r="J204" s="153"/>
      <c r="K204" s="229" t="s">
        <v>209</v>
      </c>
    </row>
    <row r="205" spans="1:19" ht="15" customHeight="1" x14ac:dyDescent="0.25">
      <c r="A205" s="20"/>
      <c r="B205" s="150"/>
      <c r="C205" s="21">
        <v>2</v>
      </c>
      <c r="D205" s="22">
        <v>1.2749999999999999</v>
      </c>
      <c r="E205" s="23">
        <v>1.17</v>
      </c>
      <c r="F205" s="23"/>
      <c r="G205" s="152">
        <f t="shared" si="32"/>
        <v>2.9834999999999998</v>
      </c>
      <c r="H205" s="6"/>
      <c r="I205" s="7"/>
      <c r="J205" s="153"/>
      <c r="K205" s="229"/>
    </row>
    <row r="206" spans="1:19" ht="15" customHeight="1" x14ac:dyDescent="0.25">
      <c r="A206" s="20"/>
      <c r="B206" s="150"/>
      <c r="C206" s="21">
        <v>2</v>
      </c>
      <c r="D206" s="22">
        <v>2.3849999999999998</v>
      </c>
      <c r="E206" s="23">
        <v>1.17</v>
      </c>
      <c r="F206" s="23"/>
      <c r="G206" s="152">
        <f t="shared" si="32"/>
        <v>5.5808999999999989</v>
      </c>
      <c r="H206" s="6"/>
      <c r="I206" s="7"/>
      <c r="J206" s="153"/>
      <c r="K206" s="229"/>
    </row>
    <row r="207" spans="1:19" ht="15" customHeight="1" x14ac:dyDescent="0.25">
      <c r="A207" s="20"/>
      <c r="B207" s="150"/>
      <c r="C207" s="21">
        <v>6</v>
      </c>
      <c r="D207" s="22">
        <v>1.2649999999999999</v>
      </c>
      <c r="E207" s="23">
        <v>0.77</v>
      </c>
      <c r="F207" s="23"/>
      <c r="G207" s="152">
        <f t="shared" si="32"/>
        <v>5.8442999999999996</v>
      </c>
      <c r="H207" s="6"/>
      <c r="I207" s="7"/>
      <c r="J207" s="153"/>
      <c r="K207" s="229"/>
    </row>
    <row r="208" spans="1:19" ht="15" customHeight="1" x14ac:dyDescent="0.25">
      <c r="A208" s="20"/>
      <c r="B208" s="150"/>
      <c r="C208" s="21">
        <v>10</v>
      </c>
      <c r="D208" s="22">
        <v>2.36</v>
      </c>
      <c r="E208" s="23">
        <v>0.77</v>
      </c>
      <c r="F208" s="23"/>
      <c r="G208" s="152">
        <f t="shared" si="32"/>
        <v>18.171999999999997</v>
      </c>
      <c r="H208" s="6"/>
      <c r="I208" s="7"/>
      <c r="J208" s="153"/>
      <c r="K208" s="229"/>
    </row>
    <row r="209" spans="1:14" ht="15" customHeight="1" x14ac:dyDescent="0.25">
      <c r="A209" s="20"/>
      <c r="B209" s="150"/>
      <c r="C209" s="21">
        <v>2</v>
      </c>
      <c r="D209" s="22">
        <v>1.2649999999999999</v>
      </c>
      <c r="E209" s="23">
        <v>1.17</v>
      </c>
      <c r="F209" s="23"/>
      <c r="G209" s="152">
        <f t="shared" si="32"/>
        <v>2.9600999999999997</v>
      </c>
      <c r="H209" s="6"/>
      <c r="I209" s="7"/>
      <c r="J209" s="153"/>
      <c r="K209" s="229"/>
    </row>
    <row r="210" spans="1:14" ht="15" customHeight="1" x14ac:dyDescent="0.25">
      <c r="A210" s="20"/>
      <c r="B210" s="150"/>
      <c r="C210" s="21">
        <v>2</v>
      </c>
      <c r="D210" s="22">
        <v>2.36</v>
      </c>
      <c r="E210" s="23">
        <v>1.17</v>
      </c>
      <c r="F210" s="23"/>
      <c r="G210" s="152">
        <f t="shared" si="32"/>
        <v>5.5223999999999993</v>
      </c>
      <c r="H210" s="6"/>
      <c r="I210" s="7"/>
      <c r="J210" s="153"/>
      <c r="K210" s="228" t="s">
        <v>210</v>
      </c>
    </row>
    <row r="211" spans="1:14" ht="15" customHeight="1" x14ac:dyDescent="0.25">
      <c r="A211" s="20"/>
      <c r="B211" s="150"/>
      <c r="C211" s="21">
        <v>6</v>
      </c>
      <c r="D211" s="22">
        <v>2.57</v>
      </c>
      <c r="E211" s="23">
        <v>0.77</v>
      </c>
      <c r="F211" s="23"/>
      <c r="G211" s="152">
        <f t="shared" si="32"/>
        <v>11.873399999999998</v>
      </c>
      <c r="H211" s="6"/>
      <c r="I211" s="7"/>
      <c r="J211" s="153"/>
      <c r="K211" s="228"/>
    </row>
    <row r="212" spans="1:14" ht="15" customHeight="1" x14ac:dyDescent="0.25">
      <c r="A212" s="20"/>
      <c r="B212" s="150"/>
      <c r="C212" s="21">
        <v>22</v>
      </c>
      <c r="D212" s="22">
        <v>2.39</v>
      </c>
      <c r="E212" s="23">
        <v>0.77</v>
      </c>
      <c r="F212" s="23"/>
      <c r="G212" s="152">
        <f t="shared" si="32"/>
        <v>40.486600000000003</v>
      </c>
      <c r="H212" s="6"/>
      <c r="I212" s="7"/>
      <c r="J212" s="153"/>
      <c r="K212" s="228"/>
    </row>
    <row r="213" spans="1:14" ht="15" customHeight="1" x14ac:dyDescent="0.25">
      <c r="A213" s="20"/>
      <c r="B213" s="150"/>
      <c r="C213" s="21">
        <v>2</v>
      </c>
      <c r="D213" s="22">
        <v>2.39</v>
      </c>
      <c r="E213" s="23">
        <v>1.17</v>
      </c>
      <c r="F213" s="23"/>
      <c r="G213" s="152">
        <f t="shared" si="32"/>
        <v>5.5926</v>
      </c>
      <c r="H213" s="6"/>
      <c r="I213" s="7"/>
      <c r="J213" s="153"/>
      <c r="K213" s="228"/>
    </row>
    <row r="214" spans="1:14" ht="15" customHeight="1" x14ac:dyDescent="0.25">
      <c r="A214" s="20"/>
      <c r="B214" s="150"/>
      <c r="C214" s="21">
        <v>2</v>
      </c>
      <c r="D214" s="22">
        <v>2.57</v>
      </c>
      <c r="E214" s="23">
        <v>1.17</v>
      </c>
      <c r="F214" s="23"/>
      <c r="G214" s="152">
        <f t="shared" si="32"/>
        <v>6.0137999999999989</v>
      </c>
      <c r="H214" s="6"/>
      <c r="I214" s="7"/>
      <c r="J214" s="153"/>
      <c r="K214" s="228"/>
    </row>
    <row r="215" spans="1:14" ht="15" customHeight="1" x14ac:dyDescent="0.25">
      <c r="A215" s="20"/>
      <c r="B215" s="150"/>
      <c r="C215" s="21">
        <f>1</f>
        <v>1</v>
      </c>
      <c r="D215" s="22">
        <v>2.36</v>
      </c>
      <c r="E215" s="23">
        <v>1.17</v>
      </c>
      <c r="F215" s="23"/>
      <c r="G215" s="152">
        <f t="shared" si="32"/>
        <v>2.7611999999999997</v>
      </c>
      <c r="H215" s="6"/>
      <c r="I215" s="7"/>
      <c r="J215" s="153"/>
      <c r="K215" s="23"/>
    </row>
    <row r="216" spans="1:14" ht="15" customHeight="1" x14ac:dyDescent="0.25">
      <c r="A216" s="20"/>
      <c r="B216" s="150"/>
      <c r="C216" s="21">
        <v>10</v>
      </c>
      <c r="D216" s="22">
        <v>0.30499999999999999</v>
      </c>
      <c r="E216" s="23">
        <v>0.77</v>
      </c>
      <c r="F216" s="23"/>
      <c r="G216" s="152">
        <f t="shared" si="32"/>
        <v>2.3485</v>
      </c>
      <c r="H216" s="6"/>
      <c r="I216" s="7"/>
      <c r="J216" s="153"/>
      <c r="K216" s="23"/>
    </row>
    <row r="217" spans="1:14" ht="15" customHeight="1" x14ac:dyDescent="0.25">
      <c r="A217" s="20"/>
      <c r="B217" s="150"/>
      <c r="C217" s="21">
        <v>2</v>
      </c>
      <c r="D217" s="22">
        <f>0.305</f>
        <v>0.30499999999999999</v>
      </c>
      <c r="E217" s="23">
        <v>1.17</v>
      </c>
      <c r="F217" s="23"/>
      <c r="G217" s="152">
        <f t="shared" si="32"/>
        <v>0.71369999999999989</v>
      </c>
      <c r="H217" s="6"/>
      <c r="I217" s="7"/>
      <c r="J217" s="153"/>
      <c r="K217" s="23"/>
    </row>
    <row r="218" spans="1:14" ht="15" customHeight="1" x14ac:dyDescent="0.25">
      <c r="A218" s="20"/>
      <c r="B218" s="150"/>
      <c r="C218" s="21">
        <v>2</v>
      </c>
      <c r="D218" s="22">
        <v>1.3049999999999999</v>
      </c>
      <c r="E218" s="23">
        <v>1.17</v>
      </c>
      <c r="F218" s="23"/>
      <c r="G218" s="152">
        <f t="shared" si="32"/>
        <v>3.0536999999999996</v>
      </c>
      <c r="H218" s="6"/>
      <c r="I218" s="7"/>
      <c r="J218" s="153"/>
      <c r="K218" s="23"/>
      <c r="N218">
        <f>0.02+0.003*1*7850</f>
        <v>23.57</v>
      </c>
    </row>
    <row r="219" spans="1:14" ht="15" customHeight="1" x14ac:dyDescent="0.25">
      <c r="A219" s="20"/>
      <c r="B219" s="150" t="s">
        <v>212</v>
      </c>
      <c r="C219" s="21">
        <v>2</v>
      </c>
      <c r="D219" s="22">
        <v>1.05</v>
      </c>
      <c r="E219" s="23">
        <v>0.47</v>
      </c>
      <c r="F219" s="23"/>
      <c r="G219" s="152">
        <f t="shared" si="32"/>
        <v>0.98699999999999999</v>
      </c>
      <c r="H219" s="6"/>
      <c r="I219" s="7"/>
      <c r="J219" s="153"/>
      <c r="K219" s="23"/>
    </row>
    <row r="220" spans="1:14" ht="15" customHeight="1" x14ac:dyDescent="0.25">
      <c r="A220" s="20"/>
      <c r="B220" s="180"/>
      <c r="C220" s="21">
        <v>2</v>
      </c>
      <c r="D220" s="22">
        <v>1.18</v>
      </c>
      <c r="E220" s="23">
        <v>0.47</v>
      </c>
      <c r="F220" s="23"/>
      <c r="G220" s="152">
        <f t="shared" si="32"/>
        <v>1.1092</v>
      </c>
      <c r="H220" s="6"/>
      <c r="I220" s="7"/>
      <c r="J220" s="153"/>
      <c r="K220" s="23"/>
    </row>
    <row r="221" spans="1:14" ht="15" customHeight="1" x14ac:dyDescent="0.25">
      <c r="A221" s="20"/>
      <c r="B221" s="150" t="s">
        <v>211</v>
      </c>
      <c r="C221" s="21">
        <v>2</v>
      </c>
      <c r="D221" s="22">
        <v>1.05</v>
      </c>
      <c r="E221" s="23">
        <v>1.17</v>
      </c>
      <c r="F221" s="23"/>
      <c r="G221" s="152">
        <f t="shared" si="32"/>
        <v>2.4569999999999999</v>
      </c>
      <c r="H221" s="6"/>
      <c r="I221" s="7"/>
      <c r="J221" s="153"/>
      <c r="K221" s="23"/>
    </row>
    <row r="222" spans="1:14" ht="15" customHeight="1" x14ac:dyDescent="0.25">
      <c r="A222" s="20"/>
      <c r="B222" s="150"/>
      <c r="C222" s="21">
        <v>2</v>
      </c>
      <c r="D222" s="22">
        <v>1.18</v>
      </c>
      <c r="E222" s="23">
        <v>1.17</v>
      </c>
      <c r="F222" s="23"/>
      <c r="G222" s="152">
        <f t="shared" si="32"/>
        <v>2.7611999999999997</v>
      </c>
      <c r="H222" s="6"/>
      <c r="I222" s="7"/>
      <c r="J222" s="153"/>
      <c r="K222" s="23"/>
    </row>
    <row r="223" spans="1:14" ht="15" customHeight="1" x14ac:dyDescent="0.25">
      <c r="A223" s="20"/>
      <c r="B223" s="173" t="s">
        <v>255</v>
      </c>
      <c r="C223" s="21">
        <v>2</v>
      </c>
      <c r="D223" s="22">
        <v>1.05</v>
      </c>
      <c r="E223" s="23">
        <f>1.26/1.4</f>
        <v>0.9</v>
      </c>
      <c r="F223" s="23"/>
      <c r="G223" s="152">
        <f t="shared" si="32"/>
        <v>1.8900000000000001</v>
      </c>
      <c r="H223" s="6"/>
      <c r="I223" s="7"/>
      <c r="J223" s="153"/>
      <c r="K223" s="23"/>
    </row>
    <row r="224" spans="1:14" ht="15" customHeight="1" x14ac:dyDescent="0.25">
      <c r="A224" s="20"/>
      <c r="B224" s="150"/>
      <c r="C224" s="21">
        <v>2</v>
      </c>
      <c r="D224" s="22">
        <v>1.18</v>
      </c>
      <c r="E224" s="23">
        <v>0.71</v>
      </c>
      <c r="F224" s="23"/>
      <c r="G224" s="152">
        <f t="shared" si="32"/>
        <v>1.6755999999999998</v>
      </c>
      <c r="H224" s="6"/>
      <c r="I224" s="7"/>
      <c r="J224" s="153"/>
      <c r="K224" s="23"/>
    </row>
    <row r="225" spans="1:14" ht="15" customHeight="1" x14ac:dyDescent="0.25">
      <c r="A225" s="20"/>
      <c r="B225" s="150" t="s">
        <v>249</v>
      </c>
      <c r="C225" s="21"/>
      <c r="D225" s="22"/>
      <c r="E225" s="23"/>
      <c r="F225" s="23"/>
      <c r="G225" s="152"/>
      <c r="H225" s="6"/>
      <c r="I225" s="7"/>
      <c r="J225" s="153"/>
      <c r="K225" s="23"/>
    </row>
    <row r="226" spans="1:14" ht="30" x14ac:dyDescent="0.25">
      <c r="A226" s="20"/>
      <c r="B226" s="150" t="s">
        <v>250</v>
      </c>
      <c r="C226" s="21">
        <v>1</v>
      </c>
      <c r="D226" s="22">
        <f>(12/3.281)*2+(10/12/3.281)*11</f>
        <v>10.108706695113279</v>
      </c>
      <c r="E226" s="23">
        <f>1.98/1.15</f>
        <v>1.7217391304347827</v>
      </c>
      <c r="F226" s="23"/>
      <c r="G226" s="152">
        <f>PRODUCT(C226:F226)</f>
        <v>17.404555875064602</v>
      </c>
      <c r="H226" s="6"/>
      <c r="I226" s="7"/>
      <c r="J226" s="153"/>
      <c r="K226" s="210"/>
    </row>
    <row r="227" spans="1:14" ht="15" customHeight="1" x14ac:dyDescent="0.25">
      <c r="A227" s="20"/>
      <c r="B227" s="150" t="s">
        <v>251</v>
      </c>
      <c r="C227" s="21"/>
      <c r="D227" s="22"/>
      <c r="E227" s="23"/>
      <c r="F227" s="23"/>
      <c r="G227" s="152"/>
      <c r="H227" s="6"/>
      <c r="I227" s="7"/>
      <c r="J227" s="153"/>
      <c r="K227" s="210"/>
    </row>
    <row r="228" spans="1:14" ht="15" customHeight="1" x14ac:dyDescent="0.25">
      <c r="A228" s="20"/>
      <c r="B228" s="150" t="s">
        <v>252</v>
      </c>
      <c r="C228" s="21">
        <v>10</v>
      </c>
      <c r="D228" s="22">
        <f>3.833/3.281</f>
        <v>1.1682413898201769</v>
      </c>
      <c r="E228" s="23">
        <v>0.47</v>
      </c>
      <c r="F228" s="23"/>
      <c r="G228" s="152">
        <f>PRODUCT(C228:F228)</f>
        <v>5.4907345321548311</v>
      </c>
      <c r="H228" s="6"/>
      <c r="I228" s="7"/>
      <c r="J228" s="153"/>
      <c r="K228" s="210"/>
    </row>
    <row r="229" spans="1:14" ht="15" customHeight="1" x14ac:dyDescent="0.25">
      <c r="A229" s="20"/>
      <c r="B229" s="173" t="s">
        <v>213</v>
      </c>
      <c r="C229" s="21">
        <f>2*4</f>
        <v>8</v>
      </c>
      <c r="D229" s="22">
        <f>3.833/3.281</f>
        <v>1.1682413898201769</v>
      </c>
      <c r="E229" s="23">
        <f>1.26/1.4</f>
        <v>0.9</v>
      </c>
      <c r="F229" s="23"/>
      <c r="G229" s="152">
        <f t="shared" ref="G229:G233" si="33">PRODUCT(C229:F229)</f>
        <v>8.4113380067052734</v>
      </c>
      <c r="H229" s="6"/>
      <c r="I229" s="7"/>
      <c r="J229" s="153"/>
      <c r="K229" s="210"/>
    </row>
    <row r="230" spans="1:14" ht="15" customHeight="1" x14ac:dyDescent="0.25">
      <c r="A230" s="20"/>
      <c r="B230" s="150"/>
      <c r="C230" s="21">
        <v>4</v>
      </c>
      <c r="D230" s="22">
        <f>14/12/3.281</f>
        <v>0.35558264756679875</v>
      </c>
      <c r="E230" s="23">
        <f>1.26/1.4</f>
        <v>0.9</v>
      </c>
      <c r="F230" s="23"/>
      <c r="G230" s="152">
        <f t="shared" si="33"/>
        <v>1.2800975312404754</v>
      </c>
      <c r="H230" s="6"/>
      <c r="I230" s="7"/>
      <c r="J230" s="153"/>
      <c r="K230" s="210"/>
    </row>
    <row r="231" spans="1:14" ht="15" customHeight="1" x14ac:dyDescent="0.25">
      <c r="A231" s="20"/>
      <c r="B231" s="150" t="s">
        <v>256</v>
      </c>
      <c r="C231" s="21">
        <v>5</v>
      </c>
      <c r="D231" s="22">
        <f>3.833/3.281</f>
        <v>1.1682413898201769</v>
      </c>
      <c r="E231" s="21">
        <v>1.7</v>
      </c>
      <c r="F231" s="23"/>
      <c r="G231" s="152">
        <f t="shared" si="33"/>
        <v>9.9300518134715041</v>
      </c>
      <c r="H231" s="6"/>
      <c r="I231" s="7"/>
      <c r="J231" s="153"/>
      <c r="K231" s="210"/>
    </row>
    <row r="232" spans="1:14" ht="15" customHeight="1" x14ac:dyDescent="0.25">
      <c r="A232" s="20"/>
      <c r="B232" s="150"/>
      <c r="C232" s="21">
        <v>2</v>
      </c>
      <c r="D232" s="22">
        <f>3.833/3.281</f>
        <v>1.1682413898201769</v>
      </c>
      <c r="E232" s="21">
        <v>1.7</v>
      </c>
      <c r="F232" s="23"/>
      <c r="G232" s="152">
        <f t="shared" si="33"/>
        <v>3.9720207253886013</v>
      </c>
      <c r="H232" s="6"/>
      <c r="I232" s="7"/>
      <c r="J232" s="153"/>
      <c r="K232" s="210"/>
    </row>
    <row r="233" spans="1:14" ht="15" customHeight="1" x14ac:dyDescent="0.25">
      <c r="A233" s="20"/>
      <c r="B233" s="150"/>
      <c r="C233" s="21">
        <v>4</v>
      </c>
      <c r="D233" s="22">
        <f>3.5/3.281</f>
        <v>1.0667479427003961</v>
      </c>
      <c r="E233" s="21">
        <v>1.7</v>
      </c>
      <c r="F233" s="23"/>
      <c r="G233" s="152">
        <f t="shared" si="33"/>
        <v>7.2538860103626934</v>
      </c>
      <c r="H233" s="6"/>
      <c r="I233" s="7"/>
      <c r="J233" s="153"/>
      <c r="K233" s="210"/>
    </row>
    <row r="234" spans="1:14" ht="15" customHeight="1" x14ac:dyDescent="0.25">
      <c r="A234" s="182"/>
      <c r="B234" s="150" t="s">
        <v>16</v>
      </c>
      <c r="C234" s="151"/>
      <c r="D234" s="152"/>
      <c r="E234" s="152"/>
      <c r="F234" s="152"/>
      <c r="G234" s="153">
        <f>SUM(G199:G233)</f>
        <v>238.20268449438794</v>
      </c>
      <c r="H234" s="153" t="s">
        <v>175</v>
      </c>
      <c r="I234" s="6">
        <v>154</v>
      </c>
      <c r="J234" s="154">
        <f>G234*I234</f>
        <v>36683.213412135745</v>
      </c>
      <c r="K234" s="178"/>
      <c r="N234">
        <f>14.76/0.15*0.13</f>
        <v>12.792000000000002</v>
      </c>
    </row>
    <row r="235" spans="1:14" ht="15" hidden="1" customHeight="1" x14ac:dyDescent="0.25">
      <c r="A235" s="20"/>
      <c r="B235" s="150" t="s">
        <v>30</v>
      </c>
      <c r="C235" s="21"/>
      <c r="D235" s="22"/>
      <c r="E235" s="23"/>
      <c r="F235" s="23"/>
      <c r="G235" s="7"/>
      <c r="H235" s="6"/>
      <c r="I235" s="7"/>
      <c r="J235" s="153">
        <f>0.13*J234</f>
        <v>4768.817743577647</v>
      </c>
      <c r="K235" s="23"/>
    </row>
    <row r="236" spans="1:14" ht="15" customHeight="1" x14ac:dyDescent="0.25">
      <c r="A236" s="20"/>
      <c r="B236" s="150"/>
      <c r="C236" s="21"/>
      <c r="D236" s="22"/>
      <c r="E236" s="23"/>
      <c r="F236" s="23"/>
      <c r="G236" s="7"/>
      <c r="H236" s="6"/>
      <c r="I236" s="7"/>
      <c r="J236" s="153"/>
      <c r="K236" s="23"/>
    </row>
    <row r="237" spans="1:14" ht="30" x14ac:dyDescent="0.25">
      <c r="A237" s="20">
        <v>13</v>
      </c>
      <c r="B237" s="139" t="s">
        <v>105</v>
      </c>
      <c r="C237" s="21"/>
      <c r="D237" s="22"/>
      <c r="E237" s="23"/>
      <c r="F237" s="23"/>
      <c r="G237" s="7"/>
      <c r="H237" s="6"/>
      <c r="I237" s="7"/>
      <c r="J237" s="153"/>
      <c r="K237" s="23"/>
    </row>
    <row r="238" spans="1:14" ht="15" customHeight="1" x14ac:dyDescent="0.25">
      <c r="A238" s="20"/>
      <c r="B238" s="150" t="s">
        <v>78</v>
      </c>
      <c r="C238" s="21">
        <f>0*1</f>
        <v>0</v>
      </c>
      <c r="D238" s="22">
        <f>D29</f>
        <v>3.125</v>
      </c>
      <c r="E238" s="23">
        <f>F77</f>
        <v>2.42</v>
      </c>
      <c r="F238" s="23"/>
      <c r="G238" s="152">
        <f t="shared" ref="G238" si="34">PRODUCT(C238:F238)</f>
        <v>0</v>
      </c>
      <c r="H238" s="6"/>
      <c r="I238" s="7"/>
      <c r="J238" s="153"/>
      <c r="K238" s="23"/>
    </row>
    <row r="239" spans="1:14" ht="15" customHeight="1" x14ac:dyDescent="0.25">
      <c r="A239" s="182"/>
      <c r="B239" s="150" t="s">
        <v>16</v>
      </c>
      <c r="C239" s="151"/>
      <c r="D239" s="152"/>
      <c r="E239" s="152"/>
      <c r="F239" s="152"/>
      <c r="G239" s="153">
        <f>SUM(G238:G238)</f>
        <v>0</v>
      </c>
      <c r="H239" s="153" t="s">
        <v>23</v>
      </c>
      <c r="I239" s="6">
        <v>6391.43</v>
      </c>
      <c r="J239" s="154">
        <f>G239*I239</f>
        <v>0</v>
      </c>
      <c r="K239" s="178"/>
    </row>
    <row r="240" spans="1:14" ht="15" hidden="1" customHeight="1" x14ac:dyDescent="0.25">
      <c r="A240" s="20"/>
      <c r="B240" s="150" t="s">
        <v>30</v>
      </c>
      <c r="C240" s="21"/>
      <c r="D240" s="22"/>
      <c r="E240" s="23"/>
      <c r="F240" s="23"/>
      <c r="G240" s="7"/>
      <c r="H240" s="6"/>
      <c r="I240" s="7"/>
      <c r="J240" s="153">
        <f>0.13*J239</f>
        <v>0</v>
      </c>
      <c r="K240" s="23"/>
    </row>
    <row r="241" spans="1:13" ht="15" customHeight="1" x14ac:dyDescent="0.25">
      <c r="A241" s="20"/>
      <c r="B241" s="160"/>
      <c r="C241" s="21"/>
      <c r="D241" s="22"/>
      <c r="E241" s="23"/>
      <c r="F241" s="23"/>
      <c r="G241" s="7"/>
      <c r="H241" s="6"/>
      <c r="I241" s="7"/>
      <c r="J241" s="153"/>
      <c r="K241" s="23"/>
    </row>
    <row r="242" spans="1:13" ht="47.25" x14ac:dyDescent="0.25">
      <c r="A242" s="20">
        <v>14</v>
      </c>
      <c r="B242" s="161" t="s">
        <v>79</v>
      </c>
      <c r="C242" s="21"/>
      <c r="D242" s="22"/>
      <c r="E242" s="23"/>
      <c r="F242" s="23"/>
      <c r="G242" s="7"/>
      <c r="H242" s="6"/>
      <c r="I242" s="7"/>
      <c r="J242" s="153"/>
      <c r="K242" s="23"/>
    </row>
    <row r="243" spans="1:13" ht="15" customHeight="1" x14ac:dyDescent="0.25">
      <c r="A243" s="20"/>
      <c r="B243" s="150" t="s">
        <v>80</v>
      </c>
      <c r="C243" s="21">
        <v>1</v>
      </c>
      <c r="D243" s="22">
        <v>1.54</v>
      </c>
      <c r="E243" s="23"/>
      <c r="F243" s="23">
        <v>1.19</v>
      </c>
      <c r="G243" s="152">
        <f t="shared" ref="G243:G245" si="35">PRODUCT(C243:F243)</f>
        <v>1.8326</v>
      </c>
      <c r="H243" s="6"/>
      <c r="I243" s="7"/>
      <c r="J243" s="153"/>
      <c r="K243" s="23"/>
    </row>
    <row r="244" spans="1:13" ht="15" customHeight="1" x14ac:dyDescent="0.25">
      <c r="A244" s="20"/>
      <c r="B244" s="150"/>
      <c r="C244" s="21">
        <v>1</v>
      </c>
      <c r="D244" s="22">
        <v>1.37</v>
      </c>
      <c r="E244" s="23"/>
      <c r="F244" s="23">
        <v>1.19</v>
      </c>
      <c r="G244" s="152">
        <f t="shared" si="35"/>
        <v>1.6303000000000001</v>
      </c>
      <c r="H244" s="6"/>
      <c r="I244" s="7"/>
      <c r="J244" s="153"/>
      <c r="K244" s="23"/>
    </row>
    <row r="245" spans="1:13" ht="15" customHeight="1" x14ac:dyDescent="0.25">
      <c r="A245" s="20"/>
      <c r="B245" s="150"/>
      <c r="C245" s="151">
        <v>1</v>
      </c>
      <c r="D245" s="152">
        <v>1.41</v>
      </c>
      <c r="E245" s="152"/>
      <c r="F245" s="152">
        <v>1.19</v>
      </c>
      <c r="G245" s="152">
        <f t="shared" si="35"/>
        <v>1.6778999999999997</v>
      </c>
      <c r="H245" s="6"/>
      <c r="I245" s="7"/>
      <c r="J245" s="153"/>
      <c r="K245" s="23"/>
    </row>
    <row r="246" spans="1:13" ht="15" customHeight="1" x14ac:dyDescent="0.25">
      <c r="A246" s="182"/>
      <c r="B246" s="150" t="s">
        <v>16</v>
      </c>
      <c r="C246" s="180"/>
      <c r="D246" s="180"/>
      <c r="E246" s="180"/>
      <c r="F246" s="180"/>
      <c r="G246" s="153">
        <f>SUM(G243:G245)</f>
        <v>5.1408000000000005</v>
      </c>
      <c r="H246" s="153" t="s">
        <v>23</v>
      </c>
      <c r="I246" s="6">
        <v>6997</v>
      </c>
      <c r="J246" s="154">
        <f>G246*I246</f>
        <v>35970.177600000003</v>
      </c>
      <c r="K246" s="178"/>
    </row>
    <row r="247" spans="1:13" ht="15" hidden="1" customHeight="1" x14ac:dyDescent="0.25">
      <c r="A247" s="20"/>
      <c r="B247" s="150" t="s">
        <v>30</v>
      </c>
      <c r="C247" s="21"/>
      <c r="D247" s="22"/>
      <c r="E247" s="23"/>
      <c r="F247" s="23"/>
      <c r="G247" s="7"/>
      <c r="H247" s="6"/>
      <c r="I247" s="7"/>
      <c r="J247" s="153">
        <f>0.13*J246</f>
        <v>4676.1230880000003</v>
      </c>
      <c r="K247" s="23"/>
    </row>
    <row r="248" spans="1:13" ht="15" customHeight="1" x14ac:dyDescent="0.25">
      <c r="A248" s="20"/>
      <c r="B248" s="150"/>
      <c r="C248" s="21"/>
      <c r="D248" s="22"/>
      <c r="E248" s="23"/>
      <c r="F248" s="23"/>
      <c r="G248" s="7"/>
      <c r="H248" s="6"/>
      <c r="I248" s="7"/>
      <c r="J248" s="153"/>
      <c r="K248" s="23"/>
    </row>
    <row r="249" spans="1:13" ht="63" x14ac:dyDescent="0.25">
      <c r="A249" s="20">
        <v>15</v>
      </c>
      <c r="B249" s="161" t="s">
        <v>107</v>
      </c>
      <c r="C249" s="21"/>
      <c r="D249" s="22"/>
      <c r="E249" s="23"/>
      <c r="F249" s="23"/>
      <c r="G249" s="7"/>
      <c r="H249" s="6"/>
      <c r="I249" s="7"/>
      <c r="J249" s="153"/>
      <c r="K249" s="23"/>
    </row>
    <row r="250" spans="1:13" ht="15.75" x14ac:dyDescent="0.25">
      <c r="A250" s="20"/>
      <c r="B250" s="189" t="s">
        <v>144</v>
      </c>
      <c r="C250" s="21">
        <v>0</v>
      </c>
      <c r="D250" s="22">
        <v>0.75</v>
      </c>
      <c r="E250" s="23"/>
      <c r="F250" s="23">
        <v>1.8</v>
      </c>
      <c r="G250" s="152">
        <f t="shared" ref="G250" si="36">PRODUCT(C250:F250)</f>
        <v>0</v>
      </c>
      <c r="H250" s="6"/>
      <c r="I250" s="7"/>
      <c r="J250" s="153"/>
      <c r="K250" s="23"/>
    </row>
    <row r="251" spans="1:13" ht="15" customHeight="1" x14ac:dyDescent="0.25">
      <c r="A251" s="182"/>
      <c r="B251" s="150" t="s">
        <v>16</v>
      </c>
      <c r="C251" s="151"/>
      <c r="D251" s="152"/>
      <c r="E251" s="152"/>
      <c r="F251" s="152"/>
      <c r="G251" s="153">
        <f>SUM(G249:G250)</f>
        <v>0</v>
      </c>
      <c r="H251" s="153" t="s">
        <v>23</v>
      </c>
      <c r="I251" s="6">
        <v>8744</v>
      </c>
      <c r="J251" s="154">
        <f>G251*I251</f>
        <v>0</v>
      </c>
      <c r="K251" s="178"/>
    </row>
    <row r="252" spans="1:13" ht="15" hidden="1" customHeight="1" x14ac:dyDescent="0.25">
      <c r="A252" s="20"/>
      <c r="B252" s="150" t="s">
        <v>30</v>
      </c>
      <c r="C252" s="21"/>
      <c r="D252" s="22"/>
      <c r="E252" s="23"/>
      <c r="F252" s="23"/>
      <c r="G252" s="7"/>
      <c r="H252" s="6"/>
      <c r="I252" s="7"/>
      <c r="J252" s="153">
        <f>0.13*J251</f>
        <v>0</v>
      </c>
      <c r="K252" s="23"/>
    </row>
    <row r="253" spans="1:13" ht="15.75" x14ac:dyDescent="0.25">
      <c r="A253" s="20"/>
      <c r="B253" s="161"/>
      <c r="C253" s="21"/>
      <c r="D253" s="22"/>
      <c r="E253" s="23"/>
      <c r="F253" s="23"/>
      <c r="G253" s="7"/>
      <c r="H253" s="6"/>
      <c r="I253" s="7"/>
      <c r="J253" s="153"/>
      <c r="K253" s="23"/>
    </row>
    <row r="254" spans="1:13" ht="30" x14ac:dyDescent="0.25">
      <c r="A254" s="20">
        <v>16</v>
      </c>
      <c r="B254" s="139" t="s">
        <v>85</v>
      </c>
      <c r="C254" s="21"/>
      <c r="D254" s="22"/>
      <c r="E254" s="23"/>
      <c r="F254" s="23"/>
      <c r="G254" s="7"/>
      <c r="H254" s="6"/>
      <c r="I254" s="7"/>
      <c r="J254" s="153"/>
      <c r="K254" s="23"/>
    </row>
    <row r="255" spans="1:13" x14ac:dyDescent="0.25">
      <c r="A255" s="20"/>
      <c r="B255" s="150" t="s">
        <v>145</v>
      </c>
      <c r="C255" s="21">
        <v>1</v>
      </c>
      <c r="D255" s="22">
        <v>3.4</v>
      </c>
      <c r="E255" s="23">
        <f>2.62+0.32+2.595+0.075*2</f>
        <v>5.6850000000000005</v>
      </c>
      <c r="F255" s="23"/>
      <c r="G255" s="152">
        <f>PRODUCT(C255:F255)</f>
        <v>19.329000000000001</v>
      </c>
      <c r="H255" s="6"/>
      <c r="I255" s="7"/>
      <c r="J255" s="153"/>
      <c r="K255" s="23"/>
      <c r="M255">
        <f>2.62+0.32+2.595+0.075*2</f>
        <v>5.6850000000000005</v>
      </c>
    </row>
    <row r="256" spans="1:13" ht="15" customHeight="1" x14ac:dyDescent="0.25">
      <c r="A256" s="20"/>
      <c r="B256" s="150" t="str">
        <f>B114</f>
        <v>-1st  floor slab</v>
      </c>
      <c r="C256" s="21">
        <f>C114</f>
        <v>1</v>
      </c>
      <c r="D256" s="22">
        <f>(2.94+0.075*2+3+0.075*2)/2</f>
        <v>3.12</v>
      </c>
      <c r="E256" s="22">
        <f>6.15-0.34*2+0.075*2</f>
        <v>5.620000000000001</v>
      </c>
      <c r="F256" s="23"/>
      <c r="G256" s="152">
        <f t="shared" ref="G256:G259" si="37">PRODUCT(C256:F256)</f>
        <v>17.534400000000005</v>
      </c>
      <c r="H256" s="6"/>
      <c r="I256" s="7"/>
      <c r="J256" s="153"/>
      <c r="K256" s="23"/>
      <c r="M256">
        <f>2.575+0.34+2.57+0.075*2</f>
        <v>5.6349999999999998</v>
      </c>
    </row>
    <row r="257" spans="1:14" ht="15" customHeight="1" x14ac:dyDescent="0.25">
      <c r="A257" s="20"/>
      <c r="B257" s="150" t="str">
        <f>B115</f>
        <v>-Deduction for opening</v>
      </c>
      <c r="C257" s="21">
        <f>C115</f>
        <v>-1</v>
      </c>
      <c r="D257" s="22">
        <f t="shared" ref="D257:E257" si="38">D115</f>
        <v>1.08</v>
      </c>
      <c r="E257" s="22">
        <f t="shared" si="38"/>
        <v>0.76196281621456874</v>
      </c>
      <c r="F257" s="23"/>
      <c r="G257" s="152">
        <f t="shared" si="37"/>
        <v>-0.82291984151173425</v>
      </c>
      <c r="H257" s="6"/>
      <c r="I257" s="7"/>
      <c r="J257" s="153"/>
      <c r="K257" s="23"/>
    </row>
    <row r="258" spans="1:14" ht="15" customHeight="1" x14ac:dyDescent="0.25">
      <c r="A258" s="20"/>
      <c r="B258" s="150" t="str">
        <f>B116</f>
        <v>-2nd floor slab</v>
      </c>
      <c r="C258" s="21">
        <f>1</f>
        <v>1</v>
      </c>
      <c r="D258" s="22">
        <v>6.63</v>
      </c>
      <c r="E258" s="22">
        <v>4.2300000000000004</v>
      </c>
      <c r="F258" s="23"/>
      <c r="G258" s="152">
        <f t="shared" si="37"/>
        <v>28.044900000000002</v>
      </c>
      <c r="H258" s="6"/>
      <c r="I258" s="7"/>
      <c r="J258" s="153"/>
      <c r="K258" s="23"/>
    </row>
    <row r="259" spans="1:14" ht="15" customHeight="1" x14ac:dyDescent="0.25">
      <c r="A259" s="20"/>
      <c r="B259" s="150" t="str">
        <f>B117</f>
        <v>-Deduction for opening</v>
      </c>
      <c r="C259" s="21">
        <v>-1</v>
      </c>
      <c r="D259" s="22">
        <f>(0.97+1.03)/2</f>
        <v>1</v>
      </c>
      <c r="E259" s="22">
        <v>1.1499999999999999</v>
      </c>
      <c r="F259" s="23"/>
      <c r="G259" s="152">
        <f t="shared" si="37"/>
        <v>-1.1499999999999999</v>
      </c>
      <c r="H259" s="6"/>
      <c r="I259" s="7"/>
      <c r="J259" s="153"/>
      <c r="K259" s="23"/>
    </row>
    <row r="260" spans="1:14" ht="15" customHeight="1" x14ac:dyDescent="0.25">
      <c r="A260" s="182"/>
      <c r="B260" s="150" t="s">
        <v>16</v>
      </c>
      <c r="C260" s="151"/>
      <c r="D260" s="152"/>
      <c r="E260" s="152"/>
      <c r="F260" s="152"/>
      <c r="G260" s="153">
        <f>SUM(G255:G259)</f>
        <v>62.935380158488279</v>
      </c>
      <c r="H260" s="153" t="s">
        <v>23</v>
      </c>
      <c r="I260" s="6">
        <v>692.38</v>
      </c>
      <c r="J260" s="154">
        <f>G260*I260</f>
        <v>43575.198514134114</v>
      </c>
      <c r="K260" s="178"/>
    </row>
    <row r="261" spans="1:14" ht="15" hidden="1" customHeight="1" x14ac:dyDescent="0.25">
      <c r="A261" s="20"/>
      <c r="B261" s="150" t="s">
        <v>30</v>
      </c>
      <c r="C261" s="21"/>
      <c r="D261" s="22"/>
      <c r="E261" s="23"/>
      <c r="F261" s="23"/>
      <c r="G261" s="7"/>
      <c r="H261" s="6"/>
      <c r="I261" s="7"/>
      <c r="J261" s="153">
        <f>0.13*G260*3623.87/10</f>
        <v>2964.9052692342316</v>
      </c>
      <c r="K261" s="23"/>
    </row>
    <row r="262" spans="1:14" ht="15" customHeight="1" x14ac:dyDescent="0.25">
      <c r="A262" s="20"/>
      <c r="B262" s="150"/>
      <c r="C262" s="21"/>
      <c r="D262" s="22"/>
      <c r="E262" s="23"/>
      <c r="F262" s="23"/>
      <c r="G262" s="7"/>
      <c r="H262" s="6"/>
      <c r="I262" s="7"/>
      <c r="J262" s="153"/>
      <c r="K262" s="23"/>
    </row>
    <row r="263" spans="1:14" ht="30" x14ac:dyDescent="0.25">
      <c r="A263" s="20">
        <v>17</v>
      </c>
      <c r="B263" s="139" t="s">
        <v>88</v>
      </c>
      <c r="C263" s="21"/>
      <c r="D263" s="22"/>
      <c r="E263" s="23"/>
      <c r="F263" s="23"/>
      <c r="G263" s="7"/>
      <c r="H263" s="6"/>
      <c r="I263" s="7"/>
      <c r="J263" s="153"/>
      <c r="K263" s="23"/>
    </row>
    <row r="264" spans="1:14" x14ac:dyDescent="0.25">
      <c r="A264" s="20"/>
      <c r="B264" s="150" t="s">
        <v>173</v>
      </c>
      <c r="C264" s="21">
        <v>1</v>
      </c>
      <c r="D264" s="22">
        <v>3.61</v>
      </c>
      <c r="E264" s="23"/>
      <c r="F264" s="23">
        <v>1.34</v>
      </c>
      <c r="G264" s="152">
        <f t="shared" ref="G264" si="39">PRODUCT(C264:F264)</f>
        <v>4.8373999999999997</v>
      </c>
      <c r="H264" s="6"/>
      <c r="I264" s="7"/>
      <c r="J264" s="153"/>
      <c r="K264" s="23"/>
      <c r="N264">
        <f>2.685*3.281</f>
        <v>8.8094850000000005</v>
      </c>
    </row>
    <row r="265" spans="1:14" ht="15" customHeight="1" x14ac:dyDescent="0.25">
      <c r="A265" s="20"/>
      <c r="B265" s="150" t="s">
        <v>89</v>
      </c>
      <c r="C265" s="21">
        <v>1</v>
      </c>
      <c r="D265" s="22"/>
      <c r="E265" s="23"/>
      <c r="F265" s="23"/>
      <c r="G265" s="22">
        <f>G260</f>
        <v>62.935380158488279</v>
      </c>
      <c r="H265" s="6"/>
      <c r="I265" s="7"/>
      <c r="J265" s="153"/>
      <c r="K265" s="23"/>
      <c r="M265">
        <f>2.63-1.29</f>
        <v>1.3399999999999999</v>
      </c>
    </row>
    <row r="266" spans="1:14" ht="15" customHeight="1" x14ac:dyDescent="0.25">
      <c r="A266" s="182"/>
      <c r="B266" s="150" t="s">
        <v>16</v>
      </c>
      <c r="C266" s="151"/>
      <c r="D266" s="152"/>
      <c r="E266" s="152"/>
      <c r="F266" s="152"/>
      <c r="G266" s="153">
        <f>SUM(G264:G265)</f>
        <v>67.772780158488274</v>
      </c>
      <c r="H266" s="153" t="s">
        <v>23</v>
      </c>
      <c r="I266" s="6">
        <v>286.77</v>
      </c>
      <c r="J266" s="154">
        <f>G266*I266</f>
        <v>19435.200166049683</v>
      </c>
      <c r="K266" s="178"/>
    </row>
    <row r="267" spans="1:14" ht="15" hidden="1" customHeight="1" x14ac:dyDescent="0.25">
      <c r="A267" s="20"/>
      <c r="B267" s="150" t="s">
        <v>30</v>
      </c>
      <c r="C267" s="21"/>
      <c r="D267" s="22"/>
      <c r="E267" s="23"/>
      <c r="F267" s="23"/>
      <c r="G267" s="7"/>
      <c r="H267" s="6"/>
      <c r="I267" s="7"/>
      <c r="J267" s="153">
        <f>0.13*G266*767.72/10</f>
        <v>676.39674418257005</v>
      </c>
      <c r="K267" s="23"/>
    </row>
    <row r="268" spans="1:14" ht="15" customHeight="1" x14ac:dyDescent="0.25">
      <c r="A268" s="20"/>
      <c r="B268" s="150"/>
      <c r="C268" s="21"/>
      <c r="D268" s="22"/>
      <c r="E268" s="23"/>
      <c r="F268" s="23"/>
      <c r="G268" s="7"/>
      <c r="H268" s="6"/>
      <c r="I268" s="7"/>
      <c r="J268" s="153"/>
      <c r="K268" s="23"/>
    </row>
    <row r="269" spans="1:14" ht="30" x14ac:dyDescent="0.25">
      <c r="A269" s="20">
        <v>18</v>
      </c>
      <c r="B269" s="139" t="s">
        <v>90</v>
      </c>
      <c r="C269" s="21"/>
      <c r="D269" s="22"/>
      <c r="E269" s="23"/>
      <c r="F269" s="23"/>
      <c r="G269" s="7"/>
      <c r="H269" s="6"/>
      <c r="I269" s="7"/>
      <c r="J269" s="153"/>
      <c r="K269" s="23"/>
    </row>
    <row r="270" spans="1:14" ht="15" customHeight="1" x14ac:dyDescent="0.25">
      <c r="A270" s="20"/>
      <c r="B270" s="150" t="s">
        <v>78</v>
      </c>
      <c r="C270" s="21">
        <v>1</v>
      </c>
      <c r="D270" s="22">
        <f>6.21+3.42+0.23+0.33+1.71+0.33*4+0.335*4+0.33+3.42+2.595+0.32+2.62+0.075*7</f>
        <v>24.369999999999997</v>
      </c>
      <c r="E270" s="23"/>
      <c r="F270" s="23">
        <v>2.63</v>
      </c>
      <c r="G270" s="152">
        <f t="shared" ref="G270:G295" si="40">PRODUCT(C270:F270)</f>
        <v>64.093099999999993</v>
      </c>
      <c r="H270" s="6"/>
      <c r="I270" s="7"/>
      <c r="J270" s="153"/>
      <c r="K270" s="23"/>
    </row>
    <row r="271" spans="1:14" ht="15" customHeight="1" x14ac:dyDescent="0.25">
      <c r="A271" s="20"/>
      <c r="B271" s="150"/>
      <c r="C271" s="21">
        <v>1</v>
      </c>
      <c r="D271" s="22">
        <v>3.61</v>
      </c>
      <c r="E271" s="23"/>
      <c r="F271" s="23">
        <v>2.63</v>
      </c>
      <c r="G271" s="152">
        <f t="shared" si="40"/>
        <v>9.4942999999999991</v>
      </c>
      <c r="H271" s="6"/>
      <c r="I271" s="7"/>
      <c r="J271" s="153"/>
      <c r="K271" s="23"/>
    </row>
    <row r="272" spans="1:14" ht="15" customHeight="1" x14ac:dyDescent="0.25">
      <c r="A272" s="20"/>
      <c r="B272" s="150" t="s">
        <v>168</v>
      </c>
      <c r="C272" s="21">
        <v>1</v>
      </c>
      <c r="D272" s="22">
        <f>6.16*2+3.65*2</f>
        <v>19.62</v>
      </c>
      <c r="E272" s="23"/>
      <c r="F272" s="23">
        <v>2.42</v>
      </c>
      <c r="G272" s="152">
        <f t="shared" si="40"/>
        <v>47.480400000000003</v>
      </c>
      <c r="H272" s="6"/>
      <c r="I272" s="7"/>
      <c r="J272" s="153"/>
      <c r="K272" s="23"/>
    </row>
    <row r="273" spans="1:18" ht="15" customHeight="1" x14ac:dyDescent="0.25">
      <c r="A273" s="20"/>
      <c r="B273" s="150"/>
      <c r="C273" s="21">
        <v>1</v>
      </c>
      <c r="D273" s="22">
        <f>3+3+2.575+2.57+0.34+2.59+0.34+2.53+0.065*12</f>
        <v>17.725000000000001</v>
      </c>
      <c r="E273" s="23"/>
      <c r="F273" s="23">
        <v>2.42</v>
      </c>
      <c r="G273" s="152">
        <f t="shared" si="40"/>
        <v>42.894500000000001</v>
      </c>
      <c r="H273" s="6"/>
      <c r="I273" s="7"/>
      <c r="J273" s="153"/>
      <c r="K273" s="23"/>
    </row>
    <row r="274" spans="1:18" ht="15" customHeight="1" x14ac:dyDescent="0.25">
      <c r="A274" s="20"/>
      <c r="B274" s="150" t="s">
        <v>95</v>
      </c>
      <c r="C274" s="21">
        <f>-1*2</f>
        <v>-2</v>
      </c>
      <c r="D274" s="22">
        <v>1.38</v>
      </c>
      <c r="E274" s="23"/>
      <c r="F274" s="23">
        <v>1.2</v>
      </c>
      <c r="G274" s="152">
        <f t="shared" si="40"/>
        <v>-3.3119999999999998</v>
      </c>
      <c r="H274" s="6"/>
      <c r="I274" s="7"/>
      <c r="J274" s="153"/>
      <c r="K274" s="23"/>
      <c r="Q274">
        <f>3.61*3.281</f>
        <v>11.84441</v>
      </c>
      <c r="R274">
        <f>3.635*3.281</f>
        <v>11.926435</v>
      </c>
    </row>
    <row r="275" spans="1:18" ht="15" customHeight="1" x14ac:dyDescent="0.25">
      <c r="A275" s="20"/>
      <c r="B275" s="150"/>
      <c r="C275" s="21">
        <f>-1*2</f>
        <v>-2</v>
      </c>
      <c r="D275" s="22">
        <v>1.42</v>
      </c>
      <c r="E275" s="23"/>
      <c r="F275" s="23">
        <v>1.2</v>
      </c>
      <c r="G275" s="152">
        <f t="shared" si="40"/>
        <v>-3.4079999999999999</v>
      </c>
      <c r="H275" s="6"/>
      <c r="I275" s="7"/>
      <c r="J275" s="153"/>
      <c r="K275" s="23"/>
    </row>
    <row r="276" spans="1:18" ht="15" customHeight="1" x14ac:dyDescent="0.25">
      <c r="A276" s="20"/>
      <c r="B276" s="150"/>
      <c r="C276" s="21">
        <f>-1*2</f>
        <v>-2</v>
      </c>
      <c r="D276" s="22">
        <v>1.55</v>
      </c>
      <c r="E276" s="23"/>
      <c r="F276" s="23">
        <v>1.2</v>
      </c>
      <c r="G276" s="152">
        <f t="shared" si="40"/>
        <v>-3.7199999999999998</v>
      </c>
      <c r="H276" s="6"/>
      <c r="I276" s="7"/>
      <c r="J276" s="153"/>
      <c r="K276" s="23"/>
    </row>
    <row r="277" spans="1:18" ht="15" customHeight="1" x14ac:dyDescent="0.25">
      <c r="A277" s="20"/>
      <c r="B277" s="150" t="s">
        <v>244</v>
      </c>
      <c r="C277" s="21">
        <v>1</v>
      </c>
      <c r="D277" s="22">
        <f>4.23*2+6.6*2</f>
        <v>21.66</v>
      </c>
      <c r="E277" s="23"/>
      <c r="F277" s="23">
        <v>0.15</v>
      </c>
      <c r="G277" s="152">
        <f t="shared" si="40"/>
        <v>3.2490000000000001</v>
      </c>
      <c r="H277" s="6"/>
      <c r="I277" s="7"/>
      <c r="J277" s="153"/>
      <c r="K277" s="23"/>
      <c r="M277">
        <f>4.235*2+6.65*2</f>
        <v>21.770000000000003</v>
      </c>
    </row>
    <row r="278" spans="1:18" ht="15" customHeight="1" x14ac:dyDescent="0.25">
      <c r="A278" s="20"/>
      <c r="B278" s="150"/>
      <c r="C278" s="21">
        <v>1</v>
      </c>
      <c r="D278">
        <f>(4.23+0.23)*2+(6.6+0.23)*2</f>
        <v>22.580000000000002</v>
      </c>
      <c r="E278" s="23"/>
      <c r="F278" s="23">
        <v>0.15</v>
      </c>
      <c r="G278" s="152">
        <f t="shared" si="40"/>
        <v>3.387</v>
      </c>
      <c r="H278" s="6"/>
      <c r="I278" s="7"/>
      <c r="J278" s="153"/>
      <c r="K278" s="23"/>
      <c r="M278">
        <f>(4.235+0.23)*2+(6.65+0.23)*2</f>
        <v>22.690000000000005</v>
      </c>
    </row>
    <row r="279" spans="1:18" ht="15" customHeight="1" x14ac:dyDescent="0.25">
      <c r="A279" s="20"/>
      <c r="B279" s="150"/>
      <c r="C279" s="21">
        <v>1</v>
      </c>
      <c r="D279" s="22">
        <f>1.14+0.96+0.96+1.14</f>
        <v>4.1999999999999993</v>
      </c>
      <c r="E279" s="23"/>
      <c r="F279" s="23">
        <v>0.15</v>
      </c>
      <c r="G279" s="152">
        <f t="shared" si="40"/>
        <v>0.62999999999999989</v>
      </c>
      <c r="H279" s="6"/>
      <c r="I279" s="7"/>
      <c r="J279" s="153"/>
      <c r="K279" s="23"/>
    </row>
    <row r="280" spans="1:18" ht="15" customHeight="1" x14ac:dyDescent="0.25">
      <c r="A280" s="20"/>
      <c r="B280" s="150" t="s">
        <v>170</v>
      </c>
      <c r="C280" s="21">
        <v>2</v>
      </c>
      <c r="D280" s="22">
        <v>3.8</v>
      </c>
      <c r="E280" s="23"/>
      <c r="F280" s="23">
        <v>1.3</v>
      </c>
      <c r="G280" s="152">
        <f t="shared" si="40"/>
        <v>9.879999999999999</v>
      </c>
      <c r="H280" s="6"/>
      <c r="I280" s="7"/>
      <c r="J280" s="153"/>
      <c r="K280" s="23"/>
    </row>
    <row r="281" spans="1:18" ht="15" customHeight="1" x14ac:dyDescent="0.25">
      <c r="A281" s="20"/>
      <c r="B281" s="150"/>
      <c r="C281" s="21">
        <v>2</v>
      </c>
      <c r="D281" s="22">
        <v>3.81</v>
      </c>
      <c r="E281" s="23"/>
      <c r="F281" s="23">
        <v>1.3</v>
      </c>
      <c r="G281" s="152">
        <f t="shared" si="40"/>
        <v>9.9060000000000006</v>
      </c>
      <c r="H281" s="6"/>
      <c r="I281" s="7"/>
      <c r="J281" s="153"/>
      <c r="K281" s="23"/>
    </row>
    <row r="282" spans="1:18" ht="15" customHeight="1" x14ac:dyDescent="0.25">
      <c r="A282" s="20"/>
      <c r="B282" s="150" t="s">
        <v>76</v>
      </c>
      <c r="C282" s="21">
        <v>-1</v>
      </c>
      <c r="D282" s="22">
        <v>0.64</v>
      </c>
      <c r="E282" s="23"/>
      <c r="F282" s="23">
        <v>0.78</v>
      </c>
      <c r="G282" s="152">
        <f t="shared" si="40"/>
        <v>-0.49920000000000003</v>
      </c>
      <c r="H282" s="6"/>
      <c r="I282" s="7"/>
      <c r="J282" s="153"/>
      <c r="K282" s="23"/>
    </row>
    <row r="283" spans="1:18" ht="15" customHeight="1" x14ac:dyDescent="0.25">
      <c r="A283" s="20"/>
      <c r="B283" s="150"/>
      <c r="C283" s="21">
        <v>-1</v>
      </c>
      <c r="D283" s="22">
        <v>0.62</v>
      </c>
      <c r="E283" s="23"/>
      <c r="F283" s="23">
        <v>0.81</v>
      </c>
      <c r="G283" s="152">
        <f t="shared" si="40"/>
        <v>-0.50219999999999998</v>
      </c>
      <c r="H283" s="6"/>
      <c r="I283" s="7"/>
      <c r="J283" s="153"/>
      <c r="K283" s="23"/>
    </row>
    <row r="284" spans="1:18" ht="15" customHeight="1" x14ac:dyDescent="0.25">
      <c r="A284" s="20"/>
      <c r="B284" s="150" t="s">
        <v>171</v>
      </c>
      <c r="C284" s="21">
        <v>-1</v>
      </c>
      <c r="D284" s="22">
        <v>1.1200000000000001</v>
      </c>
      <c r="E284" s="23"/>
      <c r="F284" s="23">
        <v>1.7</v>
      </c>
      <c r="G284" s="152">
        <f t="shared" si="40"/>
        <v>-1.9040000000000001</v>
      </c>
      <c r="H284" s="6"/>
      <c r="I284" s="7"/>
      <c r="J284" s="153"/>
      <c r="K284" s="23"/>
      <c r="Q284">
        <f>0.14*10</f>
        <v>1.4000000000000001</v>
      </c>
      <c r="R284">
        <f>1.4+0.32</f>
        <v>1.72</v>
      </c>
    </row>
    <row r="285" spans="1:18" ht="15" customHeight="1" x14ac:dyDescent="0.25">
      <c r="A285" s="20"/>
      <c r="B285" s="150"/>
      <c r="C285" s="21">
        <v>-1</v>
      </c>
      <c r="D285" s="22">
        <v>0.74</v>
      </c>
      <c r="E285" s="23"/>
      <c r="F285" s="23">
        <v>0.86</v>
      </c>
      <c r="G285" s="152">
        <f t="shared" si="40"/>
        <v>-0.63639999999999997</v>
      </c>
      <c r="H285" s="6"/>
      <c r="I285" s="7"/>
      <c r="J285" s="153"/>
      <c r="K285" s="23"/>
    </row>
    <row r="286" spans="1:18" ht="15" customHeight="1" x14ac:dyDescent="0.25">
      <c r="A286" s="20"/>
      <c r="B286" s="150"/>
      <c r="C286" s="21">
        <v>-1</v>
      </c>
      <c r="D286" s="22">
        <v>0.375</v>
      </c>
      <c r="E286" s="23"/>
      <c r="F286" s="23">
        <v>0.45</v>
      </c>
      <c r="G286" s="152">
        <f t="shared" si="40"/>
        <v>-0.16875000000000001</v>
      </c>
      <c r="H286" s="6"/>
      <c r="I286" s="7"/>
      <c r="J286" s="153"/>
      <c r="K286" s="23"/>
    </row>
    <row r="287" spans="1:18" ht="15" customHeight="1" x14ac:dyDescent="0.25">
      <c r="A287" s="20"/>
      <c r="B287" s="150"/>
      <c r="C287" s="21">
        <v>-1</v>
      </c>
      <c r="D287" s="22">
        <v>0.74</v>
      </c>
      <c r="E287" s="23"/>
      <c r="F287" s="23">
        <v>0.87</v>
      </c>
      <c r="G287" s="152">
        <f t="shared" si="40"/>
        <v>-0.64380000000000004</v>
      </c>
      <c r="H287" s="6"/>
      <c r="I287" s="7"/>
      <c r="J287" s="153"/>
      <c r="K287" s="23"/>
    </row>
    <row r="288" spans="1:18" ht="15" customHeight="1" x14ac:dyDescent="0.25">
      <c r="A288" s="20"/>
      <c r="B288" s="150"/>
      <c r="C288" s="21">
        <v>-1</v>
      </c>
      <c r="D288" s="22">
        <v>0.45</v>
      </c>
      <c r="E288" s="23"/>
      <c r="F288" s="23">
        <v>0.27</v>
      </c>
      <c r="G288" s="152">
        <f t="shared" si="40"/>
        <v>-0.12150000000000001</v>
      </c>
      <c r="H288" s="6"/>
      <c r="I288" s="7"/>
      <c r="J288" s="153"/>
      <c r="K288" s="23"/>
    </row>
    <row r="289" spans="1:18" ht="15" customHeight="1" x14ac:dyDescent="0.25">
      <c r="A289" s="20"/>
      <c r="B289" s="150" t="s">
        <v>151</v>
      </c>
      <c r="C289" s="21">
        <v>1</v>
      </c>
      <c r="D289" s="22">
        <f>7.17+4.8-0.23</f>
        <v>11.739999999999998</v>
      </c>
      <c r="E289" s="23"/>
      <c r="F289" s="23">
        <v>1</v>
      </c>
      <c r="G289" s="152">
        <f t="shared" si="40"/>
        <v>11.739999999999998</v>
      </c>
      <c r="H289" s="6"/>
      <c r="I289" s="7"/>
      <c r="J289" s="153"/>
      <c r="K289" s="23"/>
    </row>
    <row r="290" spans="1:18" ht="15" customHeight="1" x14ac:dyDescent="0.25">
      <c r="A290" s="20"/>
      <c r="B290" s="150"/>
      <c r="C290" s="21">
        <v>1</v>
      </c>
      <c r="D290" s="22">
        <f>3+0.75-0.115</f>
        <v>3.6349999999999998</v>
      </c>
      <c r="E290" s="23"/>
      <c r="F290" s="23">
        <v>1.34</v>
      </c>
      <c r="G290" s="152">
        <f t="shared" si="40"/>
        <v>4.8708999999999998</v>
      </c>
      <c r="H290" s="6"/>
      <c r="I290" s="7"/>
      <c r="J290" s="153"/>
      <c r="K290" s="23"/>
    </row>
    <row r="291" spans="1:18" ht="15" customHeight="1" x14ac:dyDescent="0.25">
      <c r="A291" s="20"/>
      <c r="B291" s="150"/>
      <c r="C291" s="21">
        <v>1</v>
      </c>
      <c r="D291" s="22">
        <v>1.03</v>
      </c>
      <c r="E291" s="23"/>
      <c r="F291" s="23">
        <v>1</v>
      </c>
      <c r="G291" s="152">
        <f t="shared" si="40"/>
        <v>1.03</v>
      </c>
      <c r="H291" s="6"/>
      <c r="I291" s="7"/>
      <c r="J291" s="153"/>
      <c r="K291" s="23"/>
    </row>
    <row r="292" spans="1:18" ht="15" customHeight="1" x14ac:dyDescent="0.25">
      <c r="A292" s="20"/>
      <c r="B292" s="150"/>
      <c r="C292" s="21">
        <v>1</v>
      </c>
      <c r="D292" s="22">
        <f>17*0.13</f>
        <v>2.21</v>
      </c>
      <c r="E292" s="23"/>
      <c r="F292" s="23">
        <v>1</v>
      </c>
      <c r="G292" s="152">
        <f t="shared" si="40"/>
        <v>2.21</v>
      </c>
      <c r="H292" s="6"/>
      <c r="I292" s="7"/>
      <c r="J292" s="153"/>
      <c r="K292" s="23"/>
    </row>
    <row r="293" spans="1:18" ht="15" customHeight="1" x14ac:dyDescent="0.25">
      <c r="A293" s="20"/>
      <c r="B293" s="150"/>
      <c r="C293" s="21">
        <v>1</v>
      </c>
      <c r="D293" s="22">
        <f>5*0.13</f>
        <v>0.65</v>
      </c>
      <c r="E293" s="23"/>
      <c r="F293" s="23">
        <v>1.335</v>
      </c>
      <c r="G293" s="152">
        <f t="shared" si="40"/>
        <v>0.86775000000000002</v>
      </c>
      <c r="H293" s="6"/>
      <c r="I293" s="7"/>
      <c r="J293" s="153"/>
      <c r="K293" s="23"/>
    </row>
    <row r="294" spans="1:18" ht="15" customHeight="1" x14ac:dyDescent="0.25">
      <c r="A294" s="20"/>
      <c r="B294" s="150" t="s">
        <v>172</v>
      </c>
      <c r="C294" s="21">
        <v>1</v>
      </c>
      <c r="D294" s="22">
        <v>6.16</v>
      </c>
      <c r="E294" s="23"/>
      <c r="F294" s="23">
        <v>0.75</v>
      </c>
      <c r="G294" s="152">
        <f t="shared" si="40"/>
        <v>4.62</v>
      </c>
      <c r="H294" s="6"/>
      <c r="I294" s="7"/>
      <c r="J294" s="153"/>
      <c r="K294" s="23"/>
    </row>
    <row r="295" spans="1:18" ht="15" customHeight="1" x14ac:dyDescent="0.25">
      <c r="A295" s="20"/>
      <c r="B295" s="150"/>
      <c r="C295" s="21">
        <v>1</v>
      </c>
      <c r="D295" s="22">
        <v>2.5</v>
      </c>
      <c r="E295" s="23"/>
      <c r="F295" s="23">
        <f>1.87+0.45</f>
        <v>2.3200000000000003</v>
      </c>
      <c r="G295" s="152">
        <f t="shared" si="40"/>
        <v>5.8000000000000007</v>
      </c>
      <c r="H295" s="6"/>
      <c r="I295" s="7"/>
      <c r="J295" s="153"/>
      <c r="K295" s="23"/>
    </row>
    <row r="296" spans="1:18" ht="15" customHeight="1" x14ac:dyDescent="0.25">
      <c r="A296" s="182"/>
      <c r="B296" s="150" t="s">
        <v>16</v>
      </c>
      <c r="C296" s="151"/>
      <c r="D296" s="152"/>
      <c r="E296" s="152"/>
      <c r="F296" s="152"/>
      <c r="G296" s="153">
        <f>SUM(G270:G295)</f>
        <v>207.23710000000005</v>
      </c>
      <c r="H296" s="153" t="s">
        <v>23</v>
      </c>
      <c r="I296" s="6">
        <v>402.23</v>
      </c>
      <c r="J296" s="154">
        <f>G296*I296</f>
        <v>83356.978733000025</v>
      </c>
      <c r="K296" s="178"/>
    </row>
    <row r="297" spans="1:18" ht="15" hidden="1" customHeight="1" x14ac:dyDescent="0.25">
      <c r="A297" s="20"/>
      <c r="B297" s="150" t="s">
        <v>30</v>
      </c>
      <c r="C297" s="21"/>
      <c r="D297" s="22"/>
      <c r="E297" s="23"/>
      <c r="F297" s="23"/>
      <c r="G297" s="7"/>
      <c r="H297" s="6"/>
      <c r="I297" s="7"/>
      <c r="J297" s="153">
        <f>0.13*G296*11424.1/100</f>
        <v>3077.746560343001</v>
      </c>
      <c r="K297" s="23"/>
      <c r="P297">
        <f>115/12</f>
        <v>9.5833333333333339</v>
      </c>
    </row>
    <row r="298" spans="1:18" ht="15" customHeight="1" x14ac:dyDescent="0.25">
      <c r="A298" s="20"/>
      <c r="B298" s="150"/>
      <c r="C298" s="21"/>
      <c r="D298" s="22"/>
      <c r="E298" s="23"/>
      <c r="F298" s="23"/>
      <c r="G298" s="7"/>
      <c r="H298" s="6"/>
      <c r="I298" s="7"/>
      <c r="J298" s="153"/>
      <c r="K298" s="23"/>
      <c r="P298">
        <f>212/12</f>
        <v>17.666666666666668</v>
      </c>
      <c r="R298">
        <f>10/0.5</f>
        <v>20</v>
      </c>
    </row>
    <row r="299" spans="1:18" ht="30" x14ac:dyDescent="0.25">
      <c r="A299" s="20">
        <v>19</v>
      </c>
      <c r="B299" s="139" t="s">
        <v>240</v>
      </c>
      <c r="C299" s="21"/>
      <c r="D299" s="22"/>
      <c r="E299" s="23"/>
      <c r="F299" s="23"/>
      <c r="G299" s="7" t="s">
        <v>271</v>
      </c>
      <c r="H299" s="6"/>
      <c r="I299" s="7"/>
      <c r="J299" s="153"/>
      <c r="K299" s="23"/>
    </row>
    <row r="300" spans="1:18" ht="15" customHeight="1" x14ac:dyDescent="0.25">
      <c r="A300" s="20"/>
      <c r="B300" s="150" t="s">
        <v>264</v>
      </c>
      <c r="C300" s="21">
        <v>1</v>
      </c>
      <c r="D300" s="22">
        <f>3.15</f>
        <v>3.15</v>
      </c>
      <c r="E300" s="23">
        <f>2.62+2.6+0.075*2+0.075*2</f>
        <v>5.5200000000000014</v>
      </c>
      <c r="F300" s="23"/>
      <c r="G300" s="152">
        <f t="shared" ref="G300:G310" si="41">PRODUCT(C300:F300)</f>
        <v>17.388000000000005</v>
      </c>
      <c r="H300" s="6"/>
      <c r="I300" s="7"/>
      <c r="J300" s="153"/>
      <c r="K300" s="23"/>
      <c r="M300">
        <f>2.975+0.075*2</f>
        <v>3.125</v>
      </c>
      <c r="O300">
        <f>3.43-0.24</f>
        <v>3.1900000000000004</v>
      </c>
      <c r="P300">
        <f>5.78-0.24</f>
        <v>5.54</v>
      </c>
    </row>
    <row r="301" spans="1:18" ht="15" customHeight="1" x14ac:dyDescent="0.25">
      <c r="A301" s="20"/>
      <c r="B301" s="150" t="s">
        <v>87</v>
      </c>
      <c r="C301" s="21">
        <v>1</v>
      </c>
      <c r="D301" s="22">
        <f>3.65</f>
        <v>3.65</v>
      </c>
      <c r="E301" s="23">
        <f>10/12/3.281</f>
        <v>0.25398760540485626</v>
      </c>
      <c r="F301" s="23"/>
      <c r="G301" s="152">
        <f t="shared" si="41"/>
        <v>0.92705475972772533</v>
      </c>
      <c r="H301" s="6"/>
      <c r="I301" s="7"/>
      <c r="J301" s="153"/>
      <c r="K301" s="23"/>
    </row>
    <row r="302" spans="1:18" ht="15" customHeight="1" x14ac:dyDescent="0.25">
      <c r="A302" s="20"/>
      <c r="B302" s="150"/>
      <c r="C302" s="21">
        <v>1</v>
      </c>
      <c r="D302" s="22">
        <v>3.65</v>
      </c>
      <c r="E302" s="23">
        <f>4/12/3.281</f>
        <v>0.10159504216194248</v>
      </c>
      <c r="F302" s="23"/>
      <c r="G302" s="152">
        <f t="shared" si="41"/>
        <v>0.37082190389109004</v>
      </c>
      <c r="H302" s="6"/>
      <c r="I302" s="7"/>
      <c r="J302" s="153"/>
      <c r="K302" s="23"/>
    </row>
    <row r="303" spans="1:18" ht="15" customHeight="1" x14ac:dyDescent="0.25">
      <c r="A303" s="20"/>
      <c r="B303" s="150"/>
      <c r="C303" s="21">
        <v>1</v>
      </c>
      <c r="D303" s="22">
        <f>6.15+(4/12/3.281)+(10/12/3.281)</f>
        <v>6.5055826475667997</v>
      </c>
      <c r="E303" s="23">
        <f>10/12/3.281</f>
        <v>0.25398760540485626</v>
      </c>
      <c r="F303" s="23"/>
      <c r="G303" s="152">
        <f t="shared" si="41"/>
        <v>1.6523373584188765</v>
      </c>
      <c r="H303" s="6"/>
      <c r="I303" s="7"/>
      <c r="J303" s="153"/>
      <c r="K303" s="23"/>
      <c r="O303" s="44">
        <f>SUM(G301:G304)</f>
        <v>3.6111489654052424</v>
      </c>
    </row>
    <row r="304" spans="1:18" ht="15" customHeight="1" x14ac:dyDescent="0.25">
      <c r="A304" s="20"/>
      <c r="B304" s="150"/>
      <c r="C304" s="21">
        <v>1</v>
      </c>
      <c r="D304" s="22">
        <f>6.15+(4/12/3.281)+(10/12/3.281)</f>
        <v>6.5055826475667997</v>
      </c>
      <c r="E304" s="23">
        <f>4/12/3.281</f>
        <v>0.10159504216194248</v>
      </c>
      <c r="F304" s="23"/>
      <c r="G304" s="152">
        <f t="shared" si="41"/>
        <v>0.66093494336755043</v>
      </c>
      <c r="H304" s="6"/>
      <c r="I304" s="7"/>
      <c r="J304" s="153"/>
      <c r="K304" s="23"/>
    </row>
    <row r="305" spans="1:17" ht="15" customHeight="1" x14ac:dyDescent="0.25">
      <c r="A305" s="20"/>
      <c r="B305" s="150" t="s">
        <v>241</v>
      </c>
      <c r="C305" s="21">
        <v>1</v>
      </c>
      <c r="D305" s="22">
        <f>2.535+0.075*2</f>
        <v>2.6850000000000001</v>
      </c>
      <c r="E305" s="23">
        <f>0.075*2+(2.94+3)/2</f>
        <v>3.1199999999999997</v>
      </c>
      <c r="F305" s="23"/>
      <c r="G305" s="152">
        <f t="shared" si="41"/>
        <v>8.3771999999999984</v>
      </c>
      <c r="H305" s="6"/>
      <c r="I305" s="7"/>
      <c r="J305" s="153"/>
      <c r="K305" s="23"/>
      <c r="M305">
        <f>2.975+0.075*2</f>
        <v>3.125</v>
      </c>
    </row>
    <row r="306" spans="1:17" ht="15" customHeight="1" x14ac:dyDescent="0.25">
      <c r="A306" s="20"/>
      <c r="B306" s="150"/>
      <c r="C306" s="21">
        <v>1</v>
      </c>
      <c r="D306" s="22">
        <f>0.075*2+2.595</f>
        <v>2.7450000000000001</v>
      </c>
      <c r="E306" s="23">
        <f>0.075*2+2.94</f>
        <v>3.09</v>
      </c>
      <c r="F306" s="23"/>
      <c r="G306" s="152">
        <f t="shared" si="41"/>
        <v>8.4820499999999992</v>
      </c>
      <c r="H306" s="6"/>
      <c r="I306" s="7"/>
      <c r="J306" s="153"/>
      <c r="K306" s="23"/>
      <c r="O306" s="44"/>
    </row>
    <row r="307" spans="1:17" ht="15" customHeight="1" x14ac:dyDescent="0.25">
      <c r="A307" s="20"/>
      <c r="B307" s="150" t="s">
        <v>87</v>
      </c>
      <c r="C307" s="21">
        <v>1</v>
      </c>
      <c r="D307" s="22">
        <f>3.65</f>
        <v>3.65</v>
      </c>
      <c r="E307" s="23">
        <f>0.435</f>
        <v>0.435</v>
      </c>
      <c r="F307" s="23"/>
      <c r="G307" s="152">
        <f t="shared" si="41"/>
        <v>1.58775</v>
      </c>
      <c r="H307" s="6"/>
      <c r="I307" s="7"/>
      <c r="J307" s="153"/>
      <c r="K307" s="23"/>
      <c r="N307">
        <f>5.66</f>
        <v>5.66</v>
      </c>
      <c r="O307">
        <v>3.16</v>
      </c>
      <c r="P307">
        <f>N307*O307</f>
        <v>17.8856</v>
      </c>
      <c r="Q307" s="44">
        <f>SUM(G307:G310)</f>
        <v>6.8880749999999997</v>
      </c>
    </row>
    <row r="308" spans="1:17" ht="15" customHeight="1" x14ac:dyDescent="0.25">
      <c r="A308" s="20"/>
      <c r="B308" s="150"/>
      <c r="C308" s="21">
        <v>1</v>
      </c>
      <c r="D308" s="22">
        <f>3.65</f>
        <v>3.65</v>
      </c>
      <c r="E308" s="23">
        <v>0.27</v>
      </c>
      <c r="F308" s="23"/>
      <c r="G308" s="152">
        <f t="shared" si="41"/>
        <v>0.98550000000000004</v>
      </c>
      <c r="H308" s="6"/>
      <c r="I308" s="7"/>
      <c r="J308" s="153"/>
      <c r="K308" s="23"/>
    </row>
    <row r="309" spans="1:17" ht="15" customHeight="1" x14ac:dyDescent="0.25">
      <c r="A309" s="20"/>
      <c r="B309" s="150"/>
      <c r="C309" s="21">
        <v>1</v>
      </c>
      <c r="D309" s="22">
        <f>6.16+0.375+0.26</f>
        <v>6.7949999999999999</v>
      </c>
      <c r="E309" s="23">
        <v>0.375</v>
      </c>
      <c r="F309" s="23"/>
      <c r="G309" s="152">
        <f t="shared" si="41"/>
        <v>2.5481249999999998</v>
      </c>
      <c r="H309" s="6"/>
      <c r="I309" s="7"/>
      <c r="J309" s="153"/>
      <c r="K309" s="23"/>
      <c r="M309">
        <f>6.9-0.05</f>
        <v>6.8500000000000005</v>
      </c>
    </row>
    <row r="310" spans="1:17" ht="15" customHeight="1" x14ac:dyDescent="0.25">
      <c r="A310" s="20"/>
      <c r="B310" s="150"/>
      <c r="C310" s="21">
        <v>1</v>
      </c>
      <c r="D310" s="22">
        <f>6.16+0.375+0.26</f>
        <v>6.7949999999999999</v>
      </c>
      <c r="E310" s="23">
        <v>0.26</v>
      </c>
      <c r="F310" s="23"/>
      <c r="G310" s="152">
        <f t="shared" si="41"/>
        <v>1.7666999999999999</v>
      </c>
      <c r="H310" s="6"/>
      <c r="I310" s="7"/>
      <c r="J310" s="153"/>
      <c r="K310" s="23"/>
    </row>
    <row r="311" spans="1:17" ht="15" customHeight="1" x14ac:dyDescent="0.25">
      <c r="A311" s="182"/>
      <c r="B311" s="150" t="s">
        <v>16</v>
      </c>
      <c r="C311" s="151"/>
      <c r="D311" s="152"/>
      <c r="E311" s="152"/>
      <c r="F311" s="152"/>
      <c r="G311" s="153">
        <f>SUM(G300:G310)</f>
        <v>44.746473965405244</v>
      </c>
      <c r="H311" s="153" t="s">
        <v>23</v>
      </c>
      <c r="I311" s="6">
        <v>277.02999999999997</v>
      </c>
      <c r="J311" s="154">
        <f>G311*I311</f>
        <v>12396.115682636213</v>
      </c>
      <c r="K311" s="178"/>
    </row>
    <row r="312" spans="1:17" ht="15" hidden="1" customHeight="1" x14ac:dyDescent="0.25">
      <c r="A312" s="20"/>
      <c r="B312" s="150" t="s">
        <v>30</v>
      </c>
      <c r="C312" s="21"/>
      <c r="D312" s="22"/>
      <c r="E312" s="23"/>
      <c r="F312" s="23"/>
      <c r="G312" s="7"/>
      <c r="H312" s="6"/>
      <c r="I312" s="7"/>
      <c r="J312" s="153">
        <f>0.13*G311*670.32/10</f>
        <v>389.92793357037579</v>
      </c>
      <c r="K312" s="23"/>
    </row>
    <row r="313" spans="1:17" ht="15" customHeight="1" x14ac:dyDescent="0.25">
      <c r="A313" s="20"/>
      <c r="B313" s="150"/>
      <c r="C313" s="21"/>
      <c r="D313" s="22"/>
      <c r="E313" s="23"/>
      <c r="F313" s="23"/>
      <c r="G313" s="7"/>
      <c r="H313" s="6"/>
      <c r="I313" s="7"/>
      <c r="J313" s="153"/>
      <c r="K313" s="23"/>
    </row>
    <row r="314" spans="1:17" ht="30" x14ac:dyDescent="0.25">
      <c r="A314" s="20">
        <v>20</v>
      </c>
      <c r="B314" s="139" t="s">
        <v>100</v>
      </c>
      <c r="C314" s="21"/>
      <c r="D314" s="22"/>
      <c r="E314" s="23"/>
      <c r="F314" s="23"/>
      <c r="G314" s="7"/>
      <c r="H314" s="6"/>
      <c r="I314" s="7"/>
      <c r="J314" s="153"/>
      <c r="K314" s="23"/>
      <c r="N314">
        <f>8704/16</f>
        <v>544</v>
      </c>
      <c r="O314">
        <f>4817/9</f>
        <v>535.22222222222217</v>
      </c>
    </row>
    <row r="315" spans="1:17" ht="15" customHeight="1" x14ac:dyDescent="0.25">
      <c r="A315" s="20"/>
      <c r="B315" s="150" t="s">
        <v>147</v>
      </c>
      <c r="C315" s="21">
        <v>1</v>
      </c>
      <c r="D315" s="22">
        <f>6.6*2+4.135+4.15</f>
        <v>21.484999999999999</v>
      </c>
      <c r="E315" s="23"/>
      <c r="F315" s="23"/>
      <c r="G315" s="152">
        <f t="shared" ref="G315:G316" si="42">PRODUCT(C315:F315)</f>
        <v>21.484999999999999</v>
      </c>
      <c r="H315" s="6"/>
      <c r="I315" s="7"/>
      <c r="J315" s="153"/>
      <c r="K315" s="23"/>
    </row>
    <row r="316" spans="1:17" ht="15" customHeight="1" x14ac:dyDescent="0.25">
      <c r="A316" s="20"/>
      <c r="B316" s="150" t="s">
        <v>146</v>
      </c>
      <c r="C316" s="21">
        <v>1</v>
      </c>
      <c r="D316" s="22">
        <f>6.91*2+4.44*2</f>
        <v>22.700000000000003</v>
      </c>
      <c r="E316" s="23"/>
      <c r="F316" s="23"/>
      <c r="G316" s="152">
        <f t="shared" si="42"/>
        <v>22.700000000000003</v>
      </c>
      <c r="H316" s="6"/>
      <c r="I316" s="7"/>
      <c r="J316" s="153"/>
      <c r="K316" s="23"/>
    </row>
    <row r="317" spans="1:17" ht="15" customHeight="1" x14ac:dyDescent="0.25">
      <c r="A317" s="182"/>
      <c r="B317" s="150" t="s">
        <v>16</v>
      </c>
      <c r="C317" s="151"/>
      <c r="D317" s="152"/>
      <c r="E317" s="152"/>
      <c r="F317" s="152"/>
      <c r="G317" s="153">
        <f>SUM(G315:G316)</f>
        <v>44.185000000000002</v>
      </c>
      <c r="H317" s="153" t="s">
        <v>148</v>
      </c>
      <c r="I317" s="6">
        <v>150.04</v>
      </c>
      <c r="J317" s="154">
        <f>G317*I317</f>
        <v>6629.5173999999997</v>
      </c>
      <c r="K317" s="178"/>
    </row>
    <row r="318" spans="1:17" ht="15" hidden="1" customHeight="1" x14ac:dyDescent="0.25">
      <c r="A318" s="20"/>
      <c r="B318" s="150" t="s">
        <v>30</v>
      </c>
      <c r="C318" s="21"/>
      <c r="D318" s="22"/>
      <c r="E318" s="23"/>
      <c r="F318" s="23"/>
      <c r="G318" s="7"/>
      <c r="H318" s="6"/>
      <c r="I318" s="7"/>
      <c r="J318" s="153">
        <f>0.13*G317*111.05</f>
        <v>637.87675250000007</v>
      </c>
      <c r="K318" s="23"/>
    </row>
    <row r="319" spans="1:17" ht="15" customHeight="1" x14ac:dyDescent="0.25">
      <c r="A319" s="20"/>
      <c r="B319" s="150"/>
      <c r="C319" s="21"/>
      <c r="D319" s="22"/>
      <c r="E319" s="23"/>
      <c r="F319" s="23"/>
      <c r="G319" s="7"/>
      <c r="H319" s="6"/>
      <c r="I319" s="7"/>
      <c r="J319" s="153"/>
      <c r="K319" s="23"/>
    </row>
    <row r="320" spans="1:17" ht="30" x14ac:dyDescent="0.25">
      <c r="A320" s="20">
        <v>21</v>
      </c>
      <c r="B320" s="139" t="s">
        <v>246</v>
      </c>
      <c r="C320" s="21"/>
      <c r="D320" s="22"/>
      <c r="E320" s="23"/>
      <c r="F320" s="23"/>
      <c r="G320" s="7"/>
      <c r="H320" s="6"/>
      <c r="I320" s="7"/>
      <c r="J320" s="153"/>
      <c r="K320" s="23"/>
    </row>
    <row r="321" spans="1:18" ht="15" customHeight="1" x14ac:dyDescent="0.25">
      <c r="A321" s="20"/>
      <c r="B321" s="150" t="s">
        <v>78</v>
      </c>
      <c r="C321" s="21">
        <v>1</v>
      </c>
      <c r="D321" s="22">
        <f>0.33+1.71+0.1+0.33*4*2+0.33</f>
        <v>5.1100000000000003</v>
      </c>
      <c r="E321" s="23"/>
      <c r="F321" s="23">
        <v>2.63</v>
      </c>
      <c r="G321" s="152">
        <f t="shared" ref="G321:G367" si="43">PRODUCT(C321:F321)</f>
        <v>13.439300000000001</v>
      </c>
      <c r="H321" s="6"/>
      <c r="I321" s="7"/>
      <c r="J321" s="153"/>
      <c r="K321" s="23"/>
      <c r="N321">
        <v>18.16</v>
      </c>
    </row>
    <row r="322" spans="1:18" ht="15" customHeight="1" x14ac:dyDescent="0.25">
      <c r="A322" s="20"/>
      <c r="B322" s="150"/>
      <c r="C322" s="21">
        <v>1</v>
      </c>
      <c r="D322" s="22">
        <f>3.42</f>
        <v>3.42</v>
      </c>
      <c r="E322" s="23"/>
      <c r="F322" s="23">
        <v>1.29</v>
      </c>
      <c r="G322" s="152">
        <f t="shared" si="43"/>
        <v>4.4118000000000004</v>
      </c>
      <c r="H322" s="6"/>
      <c r="I322" s="7"/>
      <c r="J322" s="153"/>
      <c r="K322" s="23"/>
    </row>
    <row r="323" spans="1:18" ht="15" customHeight="1" x14ac:dyDescent="0.25">
      <c r="A323" s="20"/>
      <c r="B323" s="150"/>
      <c r="C323" s="21">
        <v>1</v>
      </c>
      <c r="D323" s="22">
        <f>0.23+0.33+2.595+0.32+2.62+0.33</f>
        <v>6.4250000000000007</v>
      </c>
      <c r="E323" s="23"/>
      <c r="F323" s="23">
        <f>F321/2</f>
        <v>1.3149999999999999</v>
      </c>
      <c r="G323" s="152">
        <f t="shared" si="43"/>
        <v>8.448875000000001</v>
      </c>
      <c r="H323" s="6"/>
      <c r="I323" s="7"/>
      <c r="J323" s="153"/>
      <c r="K323" s="23"/>
    </row>
    <row r="324" spans="1:18" ht="15" customHeight="1" x14ac:dyDescent="0.25">
      <c r="A324" s="20"/>
      <c r="B324" s="150" t="s">
        <v>168</v>
      </c>
      <c r="C324" s="21">
        <v>1</v>
      </c>
      <c r="D324" s="22">
        <f>6.16*2+3.65*2</f>
        <v>19.62</v>
      </c>
      <c r="E324" s="23"/>
      <c r="F324" s="23">
        <v>2.42</v>
      </c>
      <c r="G324" s="152">
        <f t="shared" si="43"/>
        <v>47.480400000000003</v>
      </c>
      <c r="H324" s="6"/>
      <c r="I324" s="7"/>
      <c r="J324" s="153"/>
      <c r="K324" s="23"/>
    </row>
    <row r="325" spans="1:18" ht="15" hidden="1" customHeight="1" x14ac:dyDescent="0.25">
      <c r="A325" s="20"/>
      <c r="B325" s="150"/>
      <c r="C325" s="21">
        <v>0</v>
      </c>
      <c r="D325" s="22">
        <f>5.66</f>
        <v>5.66</v>
      </c>
      <c r="E325" s="23"/>
      <c r="F325" s="23">
        <v>2.42</v>
      </c>
      <c r="G325" s="152">
        <f t="shared" si="43"/>
        <v>0</v>
      </c>
      <c r="H325" s="6"/>
      <c r="I325" s="7"/>
      <c r="J325" s="153"/>
      <c r="K325" s="23"/>
      <c r="N325">
        <f>6.16-0.6+0.15</f>
        <v>5.7100000000000009</v>
      </c>
    </row>
    <row r="326" spans="1:18" ht="15" hidden="1" customHeight="1" x14ac:dyDescent="0.25">
      <c r="A326" s="20"/>
      <c r="B326" s="150"/>
      <c r="C326" s="21">
        <v>0</v>
      </c>
      <c r="D326" s="22">
        <v>3.16</v>
      </c>
      <c r="E326" s="23"/>
      <c r="F326" s="23">
        <v>2.42</v>
      </c>
      <c r="G326" s="152">
        <f t="shared" si="43"/>
        <v>0</v>
      </c>
      <c r="H326" s="6"/>
      <c r="I326" s="7"/>
      <c r="J326" s="153"/>
      <c r="K326" s="23"/>
    </row>
    <row r="327" spans="1:18" ht="15" hidden="1" customHeight="1" x14ac:dyDescent="0.25">
      <c r="A327" s="20"/>
      <c r="B327" s="150"/>
      <c r="C327" s="21">
        <v>0</v>
      </c>
      <c r="D327" s="22">
        <f>0.15*2</f>
        <v>0.3</v>
      </c>
      <c r="E327" s="23"/>
      <c r="F327" s="23">
        <v>2.42</v>
      </c>
      <c r="G327" s="152">
        <f t="shared" si="43"/>
        <v>0</v>
      </c>
      <c r="H327" s="6"/>
      <c r="I327" s="7"/>
      <c r="J327" s="153"/>
      <c r="K327" s="23"/>
    </row>
    <row r="328" spans="1:18" ht="15" customHeight="1" x14ac:dyDescent="0.25">
      <c r="A328" s="20"/>
      <c r="B328" s="150" t="s">
        <v>95</v>
      </c>
      <c r="C328" s="21">
        <f>-1</f>
        <v>-1</v>
      </c>
      <c r="D328" s="22">
        <v>1.38</v>
      </c>
      <c r="E328" s="23"/>
      <c r="F328" s="23">
        <v>1.2</v>
      </c>
      <c r="G328" s="152">
        <f t="shared" si="43"/>
        <v>-1.6559999999999999</v>
      </c>
      <c r="H328" s="6"/>
      <c r="I328" s="7"/>
      <c r="J328" s="153"/>
      <c r="K328" s="23"/>
      <c r="Q328">
        <f>3.61*3.281</f>
        <v>11.84441</v>
      </c>
      <c r="R328">
        <f>3.635*3.281</f>
        <v>11.926435</v>
      </c>
    </row>
    <row r="329" spans="1:18" ht="15" customHeight="1" x14ac:dyDescent="0.25">
      <c r="A329" s="20"/>
      <c r="B329" s="150"/>
      <c r="C329" s="21">
        <f>-1</f>
        <v>-1</v>
      </c>
      <c r="D329" s="22">
        <v>1.42</v>
      </c>
      <c r="E329" s="23"/>
      <c r="F329" s="23">
        <v>1.2</v>
      </c>
      <c r="G329" s="152">
        <f t="shared" si="43"/>
        <v>-1.704</v>
      </c>
      <c r="H329" s="6"/>
      <c r="I329" s="7"/>
      <c r="J329" s="153"/>
      <c r="K329" s="23"/>
    </row>
    <row r="330" spans="1:18" ht="15" customHeight="1" x14ac:dyDescent="0.25">
      <c r="A330" s="20"/>
      <c r="B330" s="150"/>
      <c r="C330" s="21">
        <f>-1</f>
        <v>-1</v>
      </c>
      <c r="D330" s="22">
        <v>1.55</v>
      </c>
      <c r="E330" s="23"/>
      <c r="F330" s="23">
        <v>1.2</v>
      </c>
      <c r="G330" s="152">
        <f t="shared" si="43"/>
        <v>-1.8599999999999999</v>
      </c>
      <c r="H330" s="6"/>
      <c r="I330" s="7"/>
      <c r="J330" s="153"/>
      <c r="K330" s="23"/>
    </row>
    <row r="331" spans="1:18" ht="15" customHeight="1" x14ac:dyDescent="0.25">
      <c r="A331" s="20"/>
      <c r="B331" s="150" t="s">
        <v>244</v>
      </c>
      <c r="C331" s="21">
        <v>1</v>
      </c>
      <c r="D331" s="22">
        <f>4.47*2+6.92*2</f>
        <v>22.78</v>
      </c>
      <c r="E331" s="23"/>
      <c r="F331" s="23">
        <v>0.15</v>
      </c>
      <c r="G331" s="152">
        <f t="shared" si="43"/>
        <v>3.4170000000000003</v>
      </c>
      <c r="H331" s="6"/>
      <c r="I331" s="7"/>
      <c r="J331" s="153"/>
      <c r="K331" s="23"/>
    </row>
    <row r="332" spans="1:18" ht="15" customHeight="1" x14ac:dyDescent="0.25">
      <c r="A332" s="20"/>
      <c r="B332" s="150"/>
      <c r="C332" s="21">
        <v>1</v>
      </c>
      <c r="D332" s="22">
        <f>4.235*2+6.65*2</f>
        <v>21.770000000000003</v>
      </c>
      <c r="E332" s="23"/>
      <c r="F332" s="23">
        <v>0.15</v>
      </c>
      <c r="G332" s="152">
        <f t="shared" si="43"/>
        <v>3.2655000000000003</v>
      </c>
      <c r="H332" s="6"/>
      <c r="I332" s="7"/>
      <c r="J332" s="153"/>
      <c r="K332" s="23"/>
    </row>
    <row r="333" spans="1:18" ht="15" hidden="1" customHeight="1" x14ac:dyDescent="0.25">
      <c r="A333" s="20"/>
      <c r="B333" s="150"/>
      <c r="C333" s="21">
        <v>1</v>
      </c>
      <c r="D333" s="22">
        <f>1.14+0.96+0.96-0.23+1.14-0.23</f>
        <v>3.7399999999999998</v>
      </c>
      <c r="E333" s="23"/>
      <c r="F333" s="23">
        <v>0.15</v>
      </c>
      <c r="G333" s="152">
        <f>0*PRODUCT(C333:F333)</f>
        <v>0</v>
      </c>
      <c r="H333" s="6"/>
      <c r="I333" s="7"/>
      <c r="J333" s="153"/>
      <c r="K333" s="23"/>
    </row>
    <row r="334" spans="1:18" ht="15" customHeight="1" x14ac:dyDescent="0.25">
      <c r="A334" s="20"/>
      <c r="B334" s="150" t="s">
        <v>247</v>
      </c>
      <c r="C334" s="21">
        <v>1</v>
      </c>
      <c r="D334" s="22">
        <f>6.65*2+4.15*2+6.93*2+4.45*2</f>
        <v>44.36</v>
      </c>
      <c r="E334" s="23"/>
      <c r="F334" s="23">
        <v>0.13</v>
      </c>
      <c r="G334" s="152">
        <f t="shared" si="43"/>
        <v>5.7667999999999999</v>
      </c>
      <c r="H334" s="6"/>
      <c r="I334" s="7"/>
      <c r="J334" s="153"/>
      <c r="K334" s="23"/>
    </row>
    <row r="335" spans="1:18" ht="15" customHeight="1" x14ac:dyDescent="0.25">
      <c r="A335" s="20"/>
      <c r="B335" s="150" t="s">
        <v>170</v>
      </c>
      <c r="C335" s="21">
        <v>2</v>
      </c>
      <c r="D335" s="22">
        <v>3.8</v>
      </c>
      <c r="E335" s="23"/>
      <c r="F335" s="23">
        <v>1.74</v>
      </c>
      <c r="G335" s="152">
        <f t="shared" si="43"/>
        <v>13.224</v>
      </c>
      <c r="H335" s="6"/>
      <c r="I335" s="7"/>
      <c r="J335" s="153"/>
      <c r="K335" s="23"/>
    </row>
    <row r="336" spans="1:18" ht="15" customHeight="1" x14ac:dyDescent="0.25">
      <c r="A336" s="20"/>
      <c r="B336" s="150"/>
      <c r="C336" s="21">
        <v>2</v>
      </c>
      <c r="D336" s="22">
        <v>3.81</v>
      </c>
      <c r="E336" s="23"/>
      <c r="F336" s="23">
        <v>1.74</v>
      </c>
      <c r="G336" s="152">
        <f t="shared" si="43"/>
        <v>13.258800000000001</v>
      </c>
      <c r="H336" s="6"/>
      <c r="I336" s="7"/>
      <c r="J336" s="153"/>
      <c r="K336" s="23"/>
    </row>
    <row r="337" spans="1:18" ht="15" customHeight="1" x14ac:dyDescent="0.25">
      <c r="A337" s="20"/>
      <c r="B337" s="150" t="s">
        <v>76</v>
      </c>
      <c r="C337" s="21">
        <v>-1</v>
      </c>
      <c r="D337" s="22">
        <v>0.64</v>
      </c>
      <c r="E337" s="23"/>
      <c r="F337" s="23">
        <v>0.78</v>
      </c>
      <c r="G337" s="152">
        <f t="shared" si="43"/>
        <v>-0.49920000000000003</v>
      </c>
      <c r="H337" s="6"/>
      <c r="I337" s="7"/>
      <c r="J337" s="153"/>
      <c r="K337" s="23"/>
    </row>
    <row r="338" spans="1:18" ht="15" customHeight="1" x14ac:dyDescent="0.25">
      <c r="A338" s="20"/>
      <c r="B338" s="150"/>
      <c r="C338" s="21">
        <v>-1</v>
      </c>
      <c r="D338" s="22">
        <v>0.62</v>
      </c>
      <c r="E338" s="23"/>
      <c r="F338" s="23">
        <v>0.81</v>
      </c>
      <c r="G338" s="152">
        <f t="shared" si="43"/>
        <v>-0.50219999999999998</v>
      </c>
      <c r="H338" s="6"/>
      <c r="I338" s="7"/>
      <c r="J338" s="153"/>
      <c r="K338" s="23"/>
    </row>
    <row r="339" spans="1:18" ht="15" customHeight="1" x14ac:dyDescent="0.25">
      <c r="A339" s="20"/>
      <c r="B339" s="150" t="s">
        <v>171</v>
      </c>
      <c r="C339" s="21">
        <v>-1</v>
      </c>
      <c r="D339" s="22">
        <v>1.1200000000000001</v>
      </c>
      <c r="E339" s="23"/>
      <c r="F339" s="23">
        <v>1.74</v>
      </c>
      <c r="G339" s="152">
        <f t="shared" si="43"/>
        <v>-1.9488000000000001</v>
      </c>
      <c r="H339" s="6"/>
      <c r="I339" s="7"/>
      <c r="J339" s="153"/>
      <c r="K339" s="23"/>
      <c r="N339" s="44">
        <f>SUM(J368:J396)</f>
        <v>59880.214887994007</v>
      </c>
      <c r="Q339">
        <f>0.14*10</f>
        <v>1.4000000000000001</v>
      </c>
      <c r="R339">
        <f>1.4+0.32</f>
        <v>1.72</v>
      </c>
    </row>
    <row r="340" spans="1:18" ht="15" customHeight="1" x14ac:dyDescent="0.25">
      <c r="A340" s="20"/>
      <c r="B340" s="150"/>
      <c r="C340" s="21">
        <v>-1</v>
      </c>
      <c r="D340" s="22">
        <v>0.74</v>
      </c>
      <c r="E340" s="23"/>
      <c r="F340" s="23">
        <v>0.86</v>
      </c>
      <c r="G340" s="152">
        <f t="shared" si="43"/>
        <v>-0.63639999999999997</v>
      </c>
      <c r="H340" s="6"/>
      <c r="I340" s="7"/>
      <c r="J340" s="153"/>
      <c r="K340" s="23"/>
    </row>
    <row r="341" spans="1:18" ht="15" customHeight="1" x14ac:dyDescent="0.25">
      <c r="A341" s="20"/>
      <c r="B341" s="150"/>
      <c r="C341" s="21">
        <v>-1</v>
      </c>
      <c r="D341" s="22">
        <v>0.375</v>
      </c>
      <c r="E341" s="23"/>
      <c r="F341" s="23">
        <v>0.45</v>
      </c>
      <c r="G341" s="152">
        <f t="shared" si="43"/>
        <v>-0.16875000000000001</v>
      </c>
      <c r="H341" s="6"/>
      <c r="I341" s="7"/>
      <c r="J341" s="153"/>
      <c r="K341" s="23"/>
    </row>
    <row r="342" spans="1:18" ht="15" customHeight="1" x14ac:dyDescent="0.25">
      <c r="A342" s="20"/>
      <c r="B342" s="150"/>
      <c r="C342" s="21">
        <v>-1</v>
      </c>
      <c r="D342" s="22">
        <v>0.74</v>
      </c>
      <c r="E342" s="23"/>
      <c r="F342" s="23">
        <v>0.87</v>
      </c>
      <c r="G342" s="152">
        <f t="shared" si="43"/>
        <v>-0.64380000000000004</v>
      </c>
      <c r="H342" s="6"/>
      <c r="I342" s="7"/>
      <c r="J342" s="153"/>
      <c r="K342" s="23"/>
    </row>
    <row r="343" spans="1:18" ht="15" customHeight="1" x14ac:dyDescent="0.25">
      <c r="A343" s="20"/>
      <c r="B343" s="150"/>
      <c r="C343" s="21">
        <v>-1</v>
      </c>
      <c r="D343" s="22">
        <v>0.45</v>
      </c>
      <c r="E343" s="23"/>
      <c r="F343" s="23">
        <v>0.27</v>
      </c>
      <c r="G343" s="152">
        <f t="shared" si="43"/>
        <v>-0.12150000000000001</v>
      </c>
      <c r="H343" s="6"/>
      <c r="I343" s="7"/>
      <c r="J343" s="153"/>
      <c r="K343" s="23"/>
    </row>
    <row r="344" spans="1:18" ht="15" customHeight="1" x14ac:dyDescent="0.25">
      <c r="A344" s="20"/>
      <c r="B344" s="150" t="s">
        <v>272</v>
      </c>
      <c r="C344" s="21">
        <v>1</v>
      </c>
      <c r="D344" s="22">
        <v>4.91</v>
      </c>
      <c r="E344" s="23"/>
      <c r="F344" s="23">
        <v>1.24</v>
      </c>
      <c r="G344" s="152">
        <f t="shared" si="43"/>
        <v>6.0884</v>
      </c>
      <c r="H344" s="6"/>
      <c r="I344" s="7"/>
      <c r="J344" s="153"/>
      <c r="K344" s="23"/>
    </row>
    <row r="345" spans="1:18" ht="15" customHeight="1" x14ac:dyDescent="0.25">
      <c r="A345" s="20"/>
      <c r="B345" s="150"/>
      <c r="C345" s="21">
        <v>1</v>
      </c>
      <c r="D345" s="22">
        <v>0.49</v>
      </c>
      <c r="E345" s="23"/>
      <c r="F345" s="23">
        <v>1.38</v>
      </c>
      <c r="G345" s="152">
        <f t="shared" si="43"/>
        <v>0.67619999999999991</v>
      </c>
      <c r="H345" s="6"/>
      <c r="I345" s="7"/>
      <c r="J345" s="153"/>
      <c r="K345" s="23"/>
    </row>
    <row r="346" spans="1:18" ht="15" customHeight="1" x14ac:dyDescent="0.25">
      <c r="A346" s="20"/>
      <c r="B346" s="150"/>
      <c r="C346" s="21">
        <v>1</v>
      </c>
      <c r="D346" s="22">
        <v>0.63</v>
      </c>
      <c r="E346" s="23"/>
      <c r="F346" s="23">
        <v>1.0900000000000001</v>
      </c>
      <c r="G346" s="152">
        <f t="shared" si="43"/>
        <v>0.68670000000000009</v>
      </c>
      <c r="H346" s="6"/>
      <c r="I346" s="7"/>
      <c r="J346" s="153"/>
      <c r="K346" s="23"/>
    </row>
    <row r="347" spans="1:18" ht="15" customHeight="1" x14ac:dyDescent="0.25">
      <c r="A347" s="20"/>
      <c r="B347" s="150"/>
      <c r="C347" s="21">
        <v>1</v>
      </c>
      <c r="D347" s="22">
        <v>0.62</v>
      </c>
      <c r="E347" s="23"/>
      <c r="F347" s="23">
        <v>1.1599999999999999</v>
      </c>
      <c r="G347" s="152">
        <f t="shared" si="43"/>
        <v>0.71919999999999995</v>
      </c>
      <c r="H347" s="6"/>
      <c r="I347" s="7"/>
      <c r="J347" s="153"/>
      <c r="K347" s="23"/>
    </row>
    <row r="348" spans="1:18" ht="15" customHeight="1" x14ac:dyDescent="0.25">
      <c r="A348" s="20"/>
      <c r="B348" s="150"/>
      <c r="C348" s="192">
        <v>0.5</v>
      </c>
      <c r="D348" s="22">
        <v>0.92</v>
      </c>
      <c r="E348" s="23"/>
      <c r="F348" s="23">
        <v>1.1200000000000001</v>
      </c>
      <c r="G348" s="152">
        <f t="shared" si="43"/>
        <v>0.5152000000000001</v>
      </c>
      <c r="H348" s="6"/>
      <c r="I348" s="7"/>
      <c r="J348" s="153"/>
      <c r="K348" s="23"/>
    </row>
    <row r="349" spans="1:18" ht="15" customHeight="1" x14ac:dyDescent="0.25">
      <c r="A349" s="20"/>
      <c r="B349" s="150"/>
      <c r="C349" s="21">
        <v>1</v>
      </c>
      <c r="D349" s="22">
        <v>0.62</v>
      </c>
      <c r="E349" s="23"/>
      <c r="F349" s="23">
        <v>1.1499999999999999</v>
      </c>
      <c r="G349" s="152">
        <f t="shared" si="43"/>
        <v>0.71299999999999997</v>
      </c>
      <c r="H349" s="6"/>
      <c r="I349" s="7"/>
      <c r="J349" s="153"/>
      <c r="K349" s="23"/>
    </row>
    <row r="350" spans="1:18" ht="15" customHeight="1" x14ac:dyDescent="0.25">
      <c r="A350" s="20"/>
      <c r="B350" s="150"/>
      <c r="C350" s="21">
        <v>1</v>
      </c>
      <c r="D350" s="22">
        <v>0.63</v>
      </c>
      <c r="E350" s="23"/>
      <c r="F350" s="23">
        <v>2.02</v>
      </c>
      <c r="G350" s="152">
        <f t="shared" si="43"/>
        <v>1.2726</v>
      </c>
      <c r="H350" s="6"/>
      <c r="I350" s="7"/>
      <c r="J350" s="153"/>
      <c r="K350" s="23"/>
    </row>
    <row r="351" spans="1:18" ht="15" customHeight="1" x14ac:dyDescent="0.25">
      <c r="A351" s="20"/>
      <c r="B351" s="150"/>
      <c r="C351" s="21">
        <v>1</v>
      </c>
      <c r="D351" s="22">
        <v>0.63</v>
      </c>
      <c r="E351" s="23"/>
      <c r="F351" s="23">
        <v>1.23</v>
      </c>
      <c r="G351" s="152">
        <f t="shared" si="43"/>
        <v>0.77490000000000003</v>
      </c>
      <c r="H351" s="6"/>
      <c r="I351" s="7"/>
      <c r="J351" s="153"/>
      <c r="K351" s="23"/>
    </row>
    <row r="352" spans="1:18" ht="15" customHeight="1" x14ac:dyDescent="0.25">
      <c r="A352" s="20"/>
      <c r="B352" s="150"/>
      <c r="C352" s="21">
        <v>1</v>
      </c>
      <c r="D352" s="22">
        <v>4.37</v>
      </c>
      <c r="E352" s="23"/>
      <c r="F352" s="23">
        <v>1.24</v>
      </c>
      <c r="G352" s="152">
        <f t="shared" si="43"/>
        <v>5.4188000000000001</v>
      </c>
      <c r="H352" s="6"/>
      <c r="I352" s="7"/>
      <c r="J352" s="153"/>
      <c r="K352" s="23"/>
    </row>
    <row r="353" spans="1:16" ht="15" customHeight="1" x14ac:dyDescent="0.25">
      <c r="A353" s="20"/>
      <c r="B353" s="150"/>
      <c r="C353" s="21">
        <v>7</v>
      </c>
      <c r="D353" s="22">
        <v>0.13</v>
      </c>
      <c r="E353" s="23"/>
      <c r="F353" s="23">
        <v>1.24</v>
      </c>
      <c r="G353" s="152">
        <f t="shared" si="43"/>
        <v>1.1284000000000001</v>
      </c>
      <c r="H353" s="6"/>
      <c r="I353" s="7"/>
      <c r="J353" s="153"/>
      <c r="K353" s="23"/>
    </row>
    <row r="354" spans="1:16" ht="15" customHeight="1" x14ac:dyDescent="0.25">
      <c r="A354" s="20"/>
      <c r="B354" s="150"/>
      <c r="C354" s="21">
        <v>1</v>
      </c>
      <c r="D354" s="22">
        <v>1.8</v>
      </c>
      <c r="E354" s="23"/>
      <c r="F354" s="23">
        <v>1.24</v>
      </c>
      <c r="G354" s="152">
        <f t="shared" si="43"/>
        <v>2.2320000000000002</v>
      </c>
      <c r="H354" s="6"/>
      <c r="I354" s="7"/>
      <c r="J354" s="153"/>
      <c r="K354" s="23"/>
    </row>
    <row r="355" spans="1:16" ht="15" customHeight="1" x14ac:dyDescent="0.25">
      <c r="A355" s="20"/>
      <c r="B355" s="150"/>
      <c r="C355" s="21">
        <v>1</v>
      </c>
      <c r="D355" s="22">
        <v>7.5</v>
      </c>
      <c r="E355" s="23"/>
      <c r="F355" s="23">
        <v>2.0750000000000002</v>
      </c>
      <c r="G355" s="152">
        <f t="shared" si="43"/>
        <v>15.562500000000002</v>
      </c>
      <c r="H355" s="6"/>
      <c r="I355" s="7"/>
      <c r="J355" s="153"/>
      <c r="K355" s="23"/>
    </row>
    <row r="356" spans="1:16" ht="15" customHeight="1" x14ac:dyDescent="0.25">
      <c r="A356" s="20"/>
      <c r="B356" s="150"/>
      <c r="C356" s="21">
        <v>1</v>
      </c>
      <c r="D356" s="22">
        <v>2.06</v>
      </c>
      <c r="E356" s="23"/>
      <c r="F356" s="23">
        <v>0.64</v>
      </c>
      <c r="G356" s="152">
        <f t="shared" si="43"/>
        <v>1.3184</v>
      </c>
      <c r="H356" s="6"/>
      <c r="I356" s="7"/>
      <c r="J356" s="153"/>
      <c r="K356" s="23"/>
    </row>
    <row r="357" spans="1:16" ht="15" customHeight="1" x14ac:dyDescent="0.25">
      <c r="A357" s="20"/>
      <c r="B357" s="150"/>
      <c r="C357" s="21">
        <v>1</v>
      </c>
      <c r="D357" s="22">
        <v>0.5</v>
      </c>
      <c r="E357" s="23"/>
      <c r="F357" s="23">
        <v>1.92</v>
      </c>
      <c r="G357" s="152">
        <f t="shared" si="43"/>
        <v>0.96</v>
      </c>
      <c r="H357" s="6"/>
      <c r="I357" s="7"/>
      <c r="J357" s="153"/>
      <c r="K357" s="23"/>
    </row>
    <row r="358" spans="1:16" ht="15" customHeight="1" x14ac:dyDescent="0.25">
      <c r="A358" s="20"/>
      <c r="B358" s="150"/>
      <c r="C358" s="21">
        <v>1</v>
      </c>
      <c r="D358" s="22">
        <v>2.75</v>
      </c>
      <c r="E358" s="23"/>
      <c r="F358" s="23">
        <v>1.92</v>
      </c>
      <c r="G358" s="152">
        <f t="shared" si="43"/>
        <v>5.2799999999999994</v>
      </c>
      <c r="H358" s="6"/>
      <c r="I358" s="7"/>
      <c r="J358" s="153"/>
      <c r="K358" s="23"/>
    </row>
    <row r="359" spans="1:16" ht="15" customHeight="1" x14ac:dyDescent="0.25">
      <c r="A359" s="20"/>
      <c r="B359" s="150"/>
      <c r="C359" s="21">
        <v>1</v>
      </c>
      <c r="D359" s="22">
        <v>0.4</v>
      </c>
      <c r="E359" s="23"/>
      <c r="F359" s="23">
        <v>1.75</v>
      </c>
      <c r="G359" s="152">
        <f t="shared" si="43"/>
        <v>0.70000000000000007</v>
      </c>
      <c r="H359" s="6"/>
      <c r="I359" s="7"/>
      <c r="J359" s="153"/>
      <c r="K359" s="23"/>
    </row>
    <row r="360" spans="1:16" ht="15" customHeight="1" x14ac:dyDescent="0.25">
      <c r="A360" s="20"/>
      <c r="B360" s="150"/>
      <c r="C360" s="21">
        <v>1</v>
      </c>
      <c r="D360" s="22">
        <f>(3.4-(0.11/2))</f>
        <v>3.3449999999999998</v>
      </c>
      <c r="E360" s="23"/>
      <c r="F360" s="23">
        <v>2.3199999999999998</v>
      </c>
      <c r="G360" s="152">
        <f t="shared" si="43"/>
        <v>7.7603999999999989</v>
      </c>
      <c r="H360" s="6"/>
      <c r="I360" s="7"/>
      <c r="J360" s="153"/>
      <c r="K360" s="23"/>
    </row>
    <row r="361" spans="1:16" ht="15" customHeight="1" x14ac:dyDescent="0.25">
      <c r="A361" s="20"/>
      <c r="B361" s="150"/>
      <c r="C361" s="21">
        <v>6</v>
      </c>
      <c r="D361" s="22">
        <v>0.13</v>
      </c>
      <c r="E361" s="23"/>
      <c r="F361" s="23">
        <v>2.3199999999999998</v>
      </c>
      <c r="G361" s="152">
        <f t="shared" si="43"/>
        <v>1.8095999999999999</v>
      </c>
      <c r="H361" s="6"/>
      <c r="I361" s="7"/>
      <c r="J361" s="153"/>
      <c r="K361" s="23"/>
    </row>
    <row r="362" spans="1:16" ht="15" customHeight="1" x14ac:dyDescent="0.25">
      <c r="A362" s="20"/>
      <c r="B362" s="150"/>
      <c r="C362" s="21">
        <v>1</v>
      </c>
      <c r="D362" s="22">
        <v>0.93</v>
      </c>
      <c r="E362" s="23"/>
      <c r="F362" s="23">
        <v>1.34</v>
      </c>
      <c r="G362" s="152">
        <f t="shared" si="43"/>
        <v>1.2462000000000002</v>
      </c>
      <c r="H362" s="6"/>
      <c r="I362" s="7"/>
      <c r="J362" s="153"/>
      <c r="K362" s="23"/>
    </row>
    <row r="363" spans="1:16" ht="15" customHeight="1" x14ac:dyDescent="0.25">
      <c r="A363" s="20"/>
      <c r="B363" s="150"/>
      <c r="C363" s="21">
        <v>1</v>
      </c>
      <c r="D363" s="22">
        <v>2.75</v>
      </c>
      <c r="E363" s="23"/>
      <c r="F363" s="23">
        <v>1.29</v>
      </c>
      <c r="G363" s="152">
        <f t="shared" si="43"/>
        <v>3.5475000000000003</v>
      </c>
      <c r="H363" s="6"/>
      <c r="I363" s="7"/>
      <c r="J363" s="153"/>
      <c r="K363" s="23"/>
    </row>
    <row r="364" spans="1:16" ht="15" customHeight="1" x14ac:dyDescent="0.25">
      <c r="A364" s="20"/>
      <c r="B364" s="150"/>
      <c r="C364" s="21">
        <v>2</v>
      </c>
      <c r="D364" s="22">
        <v>1.29</v>
      </c>
      <c r="E364" s="23"/>
      <c r="F364" s="23">
        <v>0.13</v>
      </c>
      <c r="G364" s="152">
        <f t="shared" si="43"/>
        <v>0.33540000000000003</v>
      </c>
      <c r="H364" s="6"/>
      <c r="I364" s="7"/>
      <c r="J364" s="153"/>
      <c r="K364" s="23"/>
    </row>
    <row r="365" spans="1:16" ht="15" customHeight="1" x14ac:dyDescent="0.25">
      <c r="A365" s="20"/>
      <c r="B365" s="150"/>
      <c r="C365" s="21">
        <v>1</v>
      </c>
      <c r="D365" s="22">
        <f>6.75+4.8</f>
        <v>11.55</v>
      </c>
      <c r="E365" s="23"/>
      <c r="F365" s="23">
        <v>1</v>
      </c>
      <c r="G365" s="152">
        <f t="shared" si="43"/>
        <v>11.55</v>
      </c>
      <c r="H365" s="6"/>
      <c r="I365" s="7"/>
      <c r="J365" s="153"/>
      <c r="K365" s="23"/>
    </row>
    <row r="366" spans="1:16" ht="15" customHeight="1" x14ac:dyDescent="0.25">
      <c r="A366" s="20"/>
      <c r="B366" s="150"/>
      <c r="C366" s="21">
        <v>14</v>
      </c>
      <c r="D366" s="22">
        <v>0.12</v>
      </c>
      <c r="E366" s="23"/>
      <c r="F366" s="23">
        <v>1</v>
      </c>
      <c r="G366" s="152">
        <f t="shared" si="43"/>
        <v>1.68</v>
      </c>
      <c r="H366" s="6"/>
      <c r="I366" s="7"/>
      <c r="J366" s="153"/>
      <c r="K366" s="23"/>
    </row>
    <row r="367" spans="1:16" ht="15" customHeight="1" x14ac:dyDescent="0.25">
      <c r="A367" s="20"/>
      <c r="B367" s="150"/>
      <c r="C367" s="21">
        <v>1</v>
      </c>
      <c r="D367" s="22">
        <v>0.8</v>
      </c>
      <c r="E367" s="23"/>
      <c r="F367" s="23">
        <v>1</v>
      </c>
      <c r="G367" s="152">
        <f t="shared" si="43"/>
        <v>0.8</v>
      </c>
      <c r="H367" s="6"/>
      <c r="I367" s="7"/>
      <c r="J367" s="153"/>
      <c r="K367" s="23"/>
      <c r="N367">
        <f>1.83+0.53+0.53</f>
        <v>2.8900000000000006</v>
      </c>
      <c r="O367">
        <f>1.38+0.53+1.35</f>
        <v>3.26</v>
      </c>
      <c r="P367">
        <f>2.89-0.53-0.89</f>
        <v>1.4700000000000002</v>
      </c>
    </row>
    <row r="368" spans="1:16" ht="15" customHeight="1" x14ac:dyDescent="0.25">
      <c r="A368" s="182"/>
      <c r="B368" s="150" t="s">
        <v>16</v>
      </c>
      <c r="C368" s="151"/>
      <c r="D368" s="152"/>
      <c r="E368" s="152"/>
      <c r="F368" s="152"/>
      <c r="G368" s="153">
        <f>SUM(G321:G367)</f>
        <v>175.74722500000001</v>
      </c>
      <c r="H368" s="153" t="s">
        <v>23</v>
      </c>
      <c r="I368" s="6">
        <v>326.37</v>
      </c>
      <c r="J368" s="154">
        <f>G368*I368</f>
        <v>57358.621823250003</v>
      </c>
      <c r="K368" s="178"/>
    </row>
    <row r="369" spans="1:18" ht="15" hidden="1" customHeight="1" x14ac:dyDescent="0.25">
      <c r="A369" s="20"/>
      <c r="B369" s="150" t="s">
        <v>30</v>
      </c>
      <c r="C369" s="21"/>
      <c r="D369" s="22"/>
      <c r="E369" s="23"/>
      <c r="F369" s="23"/>
      <c r="G369" s="7"/>
      <c r="H369" s="6"/>
      <c r="I369" s="7"/>
      <c r="J369" s="153">
        <f>0.13*G368*11036.8/100</f>
        <v>2521.593064744</v>
      </c>
      <c r="K369" s="23"/>
    </row>
    <row r="370" spans="1:18" ht="15" customHeight="1" x14ac:dyDescent="0.25">
      <c r="A370" s="20"/>
      <c r="B370" s="150"/>
      <c r="C370" s="21"/>
      <c r="D370" s="22"/>
      <c r="E370" s="23"/>
      <c r="F370" s="23"/>
      <c r="G370" s="7"/>
      <c r="H370" s="6"/>
      <c r="I370" s="7"/>
      <c r="J370" s="153"/>
      <c r="K370" s="23"/>
    </row>
    <row r="371" spans="1:18" ht="30" hidden="1" x14ac:dyDescent="0.25">
      <c r="A371" s="20">
        <v>22</v>
      </c>
      <c r="B371" s="139" t="s">
        <v>245</v>
      </c>
      <c r="C371" s="21"/>
      <c r="D371" s="22"/>
      <c r="E371" s="23"/>
      <c r="F371" s="23"/>
      <c r="G371" s="7"/>
      <c r="H371" s="6"/>
      <c r="I371" s="7"/>
      <c r="J371" s="153"/>
      <c r="K371" s="23"/>
    </row>
    <row r="372" spans="1:18" ht="15" hidden="1" customHeight="1" x14ac:dyDescent="0.25">
      <c r="A372" s="20"/>
      <c r="B372" s="150" t="s">
        <v>78</v>
      </c>
      <c r="C372" s="21"/>
      <c r="D372" s="22"/>
      <c r="E372" s="23"/>
      <c r="F372" s="23"/>
      <c r="G372" s="152"/>
      <c r="H372" s="6"/>
      <c r="I372" s="7"/>
      <c r="J372" s="153"/>
      <c r="K372" s="23"/>
    </row>
    <row r="373" spans="1:18" ht="15" hidden="1" customHeight="1" x14ac:dyDescent="0.25">
      <c r="A373" s="20"/>
      <c r="B373" s="150"/>
      <c r="C373" s="21">
        <v>1</v>
      </c>
      <c r="D373" s="22">
        <f>1.71+0.15+2.62+0.32+2.595+0.15+2.975+0.15</f>
        <v>10.670000000000002</v>
      </c>
      <c r="E373" s="23"/>
      <c r="F373" s="23">
        <v>2.63</v>
      </c>
      <c r="G373" s="152">
        <f>PRODUCT(C373:F373)</f>
        <v>28.062100000000004</v>
      </c>
      <c r="H373" s="6"/>
      <c r="I373" s="7"/>
      <c r="J373" s="153"/>
      <c r="K373" s="23"/>
    </row>
    <row r="374" spans="1:18" ht="15" hidden="1" customHeight="1" x14ac:dyDescent="0.25">
      <c r="A374" s="20"/>
      <c r="B374" s="150"/>
      <c r="C374" s="47">
        <v>0</v>
      </c>
      <c r="D374" s="61">
        <v>6.21</v>
      </c>
      <c r="E374" s="62"/>
      <c r="F374" s="62">
        <v>1.32</v>
      </c>
      <c r="G374" s="129">
        <f t="shared" ref="G374:G394" si="44">PRODUCT(C374:F374)</f>
        <v>0</v>
      </c>
      <c r="H374" s="6"/>
      <c r="I374" s="7"/>
      <c r="J374" s="153"/>
      <c r="K374" s="23"/>
    </row>
    <row r="375" spans="1:18" ht="15" hidden="1" customHeight="1" x14ac:dyDescent="0.25">
      <c r="A375" s="20"/>
      <c r="B375" s="150" t="s">
        <v>168</v>
      </c>
      <c r="C375" s="21"/>
      <c r="D375" s="22"/>
      <c r="E375" s="23"/>
      <c r="F375" s="23"/>
      <c r="G375" s="152"/>
      <c r="H375" s="6"/>
      <c r="I375" s="7"/>
      <c r="J375" s="153"/>
      <c r="K375" s="23"/>
    </row>
    <row r="376" spans="1:18" ht="15" hidden="1" customHeight="1" x14ac:dyDescent="0.25">
      <c r="A376" s="20"/>
      <c r="B376" s="150"/>
      <c r="C376" s="21">
        <v>1</v>
      </c>
      <c r="D376" s="22">
        <f>3+3-0.9+2.575+2.57+0.34+2.59+0.34+2.53+0.065*12</f>
        <v>16.824999999999999</v>
      </c>
      <c r="E376" s="23"/>
      <c r="F376" s="23">
        <v>2.42</v>
      </c>
      <c r="G376" s="152">
        <f>PRODUCT(C376:F376)</f>
        <v>40.716499999999996</v>
      </c>
      <c r="H376" s="6"/>
      <c r="I376" s="7"/>
      <c r="J376" s="153"/>
      <c r="K376" s="23"/>
    </row>
    <row r="377" spans="1:18" ht="15" hidden="1" customHeight="1" x14ac:dyDescent="0.25">
      <c r="A377" s="20"/>
      <c r="B377" s="150"/>
      <c r="C377" s="21">
        <f>0*-1</f>
        <v>0</v>
      </c>
      <c r="D377" s="22">
        <f>0.76+0.93+5</f>
        <v>6.6899999999999995</v>
      </c>
      <c r="E377" s="23"/>
      <c r="F377" s="23">
        <v>2.42</v>
      </c>
      <c r="G377" s="152">
        <f t="shared" si="44"/>
        <v>0</v>
      </c>
      <c r="H377" s="6"/>
      <c r="I377" s="7"/>
      <c r="J377" s="153"/>
      <c r="K377" s="23"/>
    </row>
    <row r="378" spans="1:18" ht="15" hidden="1" customHeight="1" x14ac:dyDescent="0.25">
      <c r="A378" s="20"/>
      <c r="B378" s="150" t="s">
        <v>95</v>
      </c>
      <c r="C378" s="21">
        <f>-1*1</f>
        <v>-1</v>
      </c>
      <c r="D378" s="22">
        <v>1.38</v>
      </c>
      <c r="E378" s="23"/>
      <c r="F378" s="23">
        <v>1.2</v>
      </c>
      <c r="G378" s="152">
        <f t="shared" si="44"/>
        <v>-1.6559999999999999</v>
      </c>
      <c r="H378" s="6"/>
      <c r="I378" s="7"/>
      <c r="J378" s="153"/>
      <c r="K378" s="23"/>
      <c r="Q378">
        <f>3.61*3.281</f>
        <v>11.84441</v>
      </c>
      <c r="R378">
        <f>3.635*3.281</f>
        <v>11.926435</v>
      </c>
    </row>
    <row r="379" spans="1:18" ht="15" hidden="1" customHeight="1" x14ac:dyDescent="0.25">
      <c r="A379" s="20"/>
      <c r="B379" s="150"/>
      <c r="C379" s="21">
        <f>-1*1</f>
        <v>-1</v>
      </c>
      <c r="D379" s="22">
        <v>1.42</v>
      </c>
      <c r="E379" s="23"/>
      <c r="F379" s="23">
        <v>1.2</v>
      </c>
      <c r="G379" s="152">
        <f t="shared" si="44"/>
        <v>-1.704</v>
      </c>
      <c r="H379" s="6"/>
      <c r="I379" s="7"/>
      <c r="J379" s="153"/>
      <c r="K379" s="23"/>
    </row>
    <row r="380" spans="1:18" ht="15" hidden="1" customHeight="1" x14ac:dyDescent="0.25">
      <c r="A380" s="20"/>
      <c r="B380" s="150"/>
      <c r="C380" s="21">
        <f>-1*1</f>
        <v>-1</v>
      </c>
      <c r="D380" s="22">
        <v>1.55</v>
      </c>
      <c r="E380" s="23"/>
      <c r="F380" s="23">
        <v>1.2</v>
      </c>
      <c r="G380" s="152">
        <f t="shared" si="44"/>
        <v>-1.8599999999999999</v>
      </c>
      <c r="H380" s="6"/>
      <c r="I380" s="7"/>
      <c r="J380" s="153"/>
      <c r="K380" s="23"/>
    </row>
    <row r="381" spans="1:18" ht="15" hidden="1" customHeight="1" x14ac:dyDescent="0.25">
      <c r="A381" s="20"/>
      <c r="B381" s="150" t="s">
        <v>151</v>
      </c>
      <c r="C381" s="21">
        <v>1</v>
      </c>
      <c r="D381" s="22">
        <f>7.17+4.8-0.23</f>
        <v>11.739999999999998</v>
      </c>
      <c r="E381" s="23"/>
      <c r="F381" s="23">
        <v>1</v>
      </c>
      <c r="G381" s="152">
        <f t="shared" si="44"/>
        <v>11.739999999999998</v>
      </c>
      <c r="H381" s="6"/>
      <c r="I381" s="7"/>
      <c r="J381" s="153"/>
      <c r="K381" s="23"/>
    </row>
    <row r="382" spans="1:18" ht="15" hidden="1" customHeight="1" x14ac:dyDescent="0.25">
      <c r="A382" s="20"/>
      <c r="B382" s="150"/>
      <c r="C382" s="21">
        <v>1</v>
      </c>
      <c r="D382" s="22">
        <f>3+0.75-0.115</f>
        <v>3.6349999999999998</v>
      </c>
      <c r="E382" s="23"/>
      <c r="F382" s="23">
        <v>1.34</v>
      </c>
      <c r="G382" s="152">
        <f t="shared" si="44"/>
        <v>4.8708999999999998</v>
      </c>
      <c r="H382" s="6"/>
      <c r="I382" s="7"/>
      <c r="J382" s="153"/>
      <c r="K382" s="23"/>
    </row>
    <row r="383" spans="1:18" ht="15" hidden="1" customHeight="1" x14ac:dyDescent="0.25">
      <c r="A383" s="20"/>
      <c r="B383" s="150"/>
      <c r="C383" s="21">
        <v>1</v>
      </c>
      <c r="D383" s="22">
        <v>1.03</v>
      </c>
      <c r="E383" s="23"/>
      <c r="F383" s="23">
        <v>1</v>
      </c>
      <c r="G383" s="152">
        <f t="shared" si="44"/>
        <v>1.03</v>
      </c>
      <c r="H383" s="6"/>
      <c r="I383" s="7"/>
      <c r="J383" s="153"/>
      <c r="K383" s="23"/>
    </row>
    <row r="384" spans="1:18" ht="15" hidden="1" customHeight="1" x14ac:dyDescent="0.25">
      <c r="A384" s="20"/>
      <c r="B384" s="150"/>
      <c r="C384" s="21">
        <v>1</v>
      </c>
      <c r="D384" s="22">
        <f>17*0.13</f>
        <v>2.21</v>
      </c>
      <c r="E384" s="23"/>
      <c r="F384" s="23">
        <v>1</v>
      </c>
      <c r="G384" s="152">
        <f t="shared" si="44"/>
        <v>2.21</v>
      </c>
      <c r="H384" s="6"/>
      <c r="I384" s="7"/>
      <c r="J384" s="153"/>
      <c r="K384" s="23"/>
    </row>
    <row r="385" spans="1:15" ht="15" hidden="1" customHeight="1" x14ac:dyDescent="0.25">
      <c r="A385" s="20"/>
      <c r="B385" s="150"/>
      <c r="C385" s="21">
        <v>1</v>
      </c>
      <c r="D385" s="22">
        <f>5*0.13</f>
        <v>0.65</v>
      </c>
      <c r="E385" s="23"/>
      <c r="F385" s="23">
        <v>1.335</v>
      </c>
      <c r="G385" s="152">
        <f t="shared" si="44"/>
        <v>0.86775000000000002</v>
      </c>
      <c r="H385" s="6"/>
      <c r="I385" s="7"/>
      <c r="J385" s="153"/>
      <c r="K385" s="23"/>
    </row>
    <row r="386" spans="1:15" ht="15" hidden="1" customHeight="1" x14ac:dyDescent="0.25">
      <c r="A386" s="20"/>
      <c r="B386" s="150" t="s">
        <v>172</v>
      </c>
      <c r="C386" s="21">
        <v>1</v>
      </c>
      <c r="D386" s="22">
        <f>6.16+0.9+1</f>
        <v>8.06</v>
      </c>
      <c r="E386" s="23"/>
      <c r="F386" s="23">
        <f>0.14*10+0.23</f>
        <v>1.6300000000000001</v>
      </c>
      <c r="G386" s="152">
        <f t="shared" si="44"/>
        <v>13.137800000000002</v>
      </c>
      <c r="H386" s="6"/>
      <c r="I386" s="7"/>
      <c r="J386" s="153"/>
      <c r="K386" s="23"/>
    </row>
    <row r="387" spans="1:15" ht="15" hidden="1" customHeight="1" x14ac:dyDescent="0.25">
      <c r="A387" s="20"/>
      <c r="B387" s="150"/>
      <c r="C387" s="21">
        <v>1</v>
      </c>
      <c r="D387" s="22">
        <v>2.75</v>
      </c>
      <c r="E387" s="23"/>
      <c r="F387" s="23">
        <f>1.82</f>
        <v>1.82</v>
      </c>
      <c r="G387" s="152">
        <f t="shared" si="44"/>
        <v>5.0049999999999999</v>
      </c>
      <c r="H387" s="6"/>
      <c r="I387" s="7"/>
      <c r="J387" s="153"/>
      <c r="K387" s="23"/>
    </row>
    <row r="388" spans="1:15" ht="15" hidden="1" customHeight="1" x14ac:dyDescent="0.25">
      <c r="A388" s="20"/>
      <c r="B388" s="150"/>
      <c r="C388" s="21">
        <v>1</v>
      </c>
      <c r="D388" s="22">
        <v>0.73</v>
      </c>
      <c r="E388" s="23"/>
      <c r="F388" s="23">
        <v>1.27</v>
      </c>
      <c r="G388" s="152">
        <f t="shared" si="44"/>
        <v>0.92710000000000004</v>
      </c>
      <c r="H388" s="6"/>
      <c r="I388" s="7"/>
      <c r="J388" s="153"/>
      <c r="K388" s="23"/>
    </row>
    <row r="389" spans="1:15" ht="15" hidden="1" customHeight="1" x14ac:dyDescent="0.25">
      <c r="A389" s="20"/>
      <c r="B389" s="150"/>
      <c r="C389" s="21">
        <v>1</v>
      </c>
      <c r="D389" s="22">
        <v>1.06</v>
      </c>
      <c r="E389" s="23"/>
      <c r="F389" s="23">
        <v>0.75</v>
      </c>
      <c r="G389" s="152">
        <f t="shared" si="44"/>
        <v>0.79500000000000004</v>
      </c>
      <c r="H389" s="6"/>
      <c r="I389" s="7"/>
      <c r="J389" s="153"/>
      <c r="K389" s="23"/>
    </row>
    <row r="390" spans="1:15" ht="15" hidden="1" customHeight="1" x14ac:dyDescent="0.25">
      <c r="A390" s="20"/>
      <c r="B390" s="150"/>
      <c r="C390" s="21">
        <v>1</v>
      </c>
      <c r="D390" s="22">
        <v>0.9</v>
      </c>
      <c r="E390" s="23"/>
      <c r="F390" s="23">
        <v>0.75</v>
      </c>
      <c r="G390" s="152">
        <f t="shared" si="44"/>
        <v>0.67500000000000004</v>
      </c>
      <c r="H390" s="6"/>
      <c r="I390" s="7"/>
      <c r="J390" s="153"/>
      <c r="K390" s="23"/>
      <c r="M390">
        <f>20957+923</f>
        <v>21880</v>
      </c>
      <c r="N390">
        <f>22705.57+1000.31</f>
        <v>23705.88</v>
      </c>
      <c r="O390">
        <f>N390-M390</f>
        <v>1825.880000000001</v>
      </c>
    </row>
    <row r="391" spans="1:15" ht="15" hidden="1" customHeight="1" x14ac:dyDescent="0.25">
      <c r="A391" s="20"/>
      <c r="B391" s="150"/>
      <c r="C391" s="21">
        <v>1</v>
      </c>
      <c r="D391" s="22">
        <v>3.35</v>
      </c>
      <c r="E391" s="23"/>
      <c r="F391" s="23">
        <v>1.21</v>
      </c>
      <c r="G391" s="152">
        <f t="shared" si="44"/>
        <v>4.0534999999999997</v>
      </c>
      <c r="H391" s="6"/>
      <c r="I391" s="7"/>
      <c r="J391" s="153"/>
      <c r="K391" s="23"/>
    </row>
    <row r="392" spans="1:15" ht="15" hidden="1" customHeight="1" x14ac:dyDescent="0.25">
      <c r="A392" s="20"/>
      <c r="B392" s="150"/>
      <c r="C392" s="21">
        <v>1</v>
      </c>
      <c r="D392" s="22">
        <v>2.02</v>
      </c>
      <c r="E392" s="23"/>
      <c r="F392" s="23">
        <v>0.62</v>
      </c>
      <c r="G392" s="152">
        <f t="shared" si="44"/>
        <v>1.2524</v>
      </c>
      <c r="H392" s="6"/>
      <c r="I392" s="7"/>
      <c r="J392" s="153"/>
      <c r="K392" s="23"/>
    </row>
    <row r="393" spans="1:15" ht="15" hidden="1" customHeight="1" x14ac:dyDescent="0.25">
      <c r="A393" s="20"/>
      <c r="B393" s="150"/>
      <c r="C393" s="21">
        <v>1</v>
      </c>
      <c r="D393" s="22">
        <v>1.1000000000000001</v>
      </c>
      <c r="E393" s="23"/>
      <c r="F393" s="23">
        <v>0.63</v>
      </c>
      <c r="G393" s="152">
        <f t="shared" si="44"/>
        <v>0.69300000000000006</v>
      </c>
      <c r="H393" s="6"/>
      <c r="I393" s="7"/>
      <c r="J393" s="153"/>
      <c r="K393" s="23"/>
      <c r="M393" s="44">
        <f>SUM(J368:J396)</f>
        <v>59880.214887994007</v>
      </c>
    </row>
    <row r="394" spans="1:15" ht="15" hidden="1" customHeight="1" x14ac:dyDescent="0.25">
      <c r="A394" s="20"/>
      <c r="B394" s="150"/>
      <c r="C394" s="21">
        <v>1</v>
      </c>
      <c r="D394" s="22">
        <v>4.75</v>
      </c>
      <c r="E394" s="23"/>
      <c r="F394" s="23">
        <v>1.21</v>
      </c>
      <c r="G394" s="152">
        <f t="shared" si="44"/>
        <v>5.7474999999999996</v>
      </c>
      <c r="H394" s="6"/>
      <c r="I394" s="7"/>
      <c r="J394" s="153"/>
      <c r="K394" s="23"/>
    </row>
    <row r="395" spans="1:15" ht="15" hidden="1" customHeight="1" x14ac:dyDescent="0.25">
      <c r="A395" s="182"/>
      <c r="B395" s="150" t="s">
        <v>16</v>
      </c>
      <c r="C395" s="151"/>
      <c r="D395" s="152"/>
      <c r="E395" s="152"/>
      <c r="F395" s="152"/>
      <c r="G395" s="153">
        <f>0*SUM(G373:G394)</f>
        <v>0</v>
      </c>
      <c r="H395" s="153" t="s">
        <v>23</v>
      </c>
      <c r="I395" s="6">
        <v>213.29</v>
      </c>
      <c r="J395" s="154">
        <f>G395*I395</f>
        <v>0</v>
      </c>
      <c r="K395" s="178"/>
    </row>
    <row r="396" spans="1:15" ht="15" hidden="1" customHeight="1" x14ac:dyDescent="0.25">
      <c r="A396" s="20"/>
      <c r="B396" s="150" t="s">
        <v>30</v>
      </c>
      <c r="C396" s="21"/>
      <c r="D396" s="22"/>
      <c r="E396" s="23"/>
      <c r="F396" s="23"/>
      <c r="G396" s="7"/>
      <c r="H396" s="6"/>
      <c r="I396" s="7"/>
      <c r="J396" s="153">
        <f>0.13*G395*7228.2/100</f>
        <v>0</v>
      </c>
      <c r="K396" s="23"/>
    </row>
    <row r="397" spans="1:15" ht="15" hidden="1" customHeight="1" x14ac:dyDescent="0.25">
      <c r="A397" s="20"/>
      <c r="B397" s="150"/>
      <c r="C397" s="21"/>
      <c r="D397" s="22"/>
      <c r="E397" s="23"/>
      <c r="F397" s="23"/>
      <c r="G397" s="7"/>
      <c r="H397" s="6"/>
      <c r="I397" s="7"/>
      <c r="J397" s="153"/>
      <c r="K397" s="23"/>
    </row>
    <row r="398" spans="1:15" ht="150" x14ac:dyDescent="0.25">
      <c r="A398" s="20">
        <v>22</v>
      </c>
      <c r="B398" s="139" t="s">
        <v>102</v>
      </c>
      <c r="C398" s="21"/>
      <c r="D398" s="22"/>
      <c r="E398" s="23"/>
      <c r="F398" s="23"/>
      <c r="G398" s="7"/>
      <c r="H398" s="6"/>
      <c r="I398" s="7"/>
      <c r="J398" s="153"/>
      <c r="K398" s="23"/>
    </row>
    <row r="399" spans="1:15" ht="15" customHeight="1" x14ac:dyDescent="0.25">
      <c r="A399" s="20"/>
      <c r="B399" s="150" t="str">
        <f>B69</f>
        <v>-Extending compound</v>
      </c>
      <c r="C399" s="151">
        <v>1</v>
      </c>
      <c r="D399" s="22">
        <f>1.76+6.86+6.83+0.71</f>
        <v>16.16</v>
      </c>
      <c r="E399" s="23"/>
      <c r="F399" s="23">
        <f>0.58+0.13</f>
        <v>0.71</v>
      </c>
      <c r="G399" s="152">
        <f>PRODUCT(C399:F399)</f>
        <v>11.473599999999999</v>
      </c>
      <c r="H399" s="6"/>
      <c r="I399" s="7"/>
      <c r="J399" s="153"/>
      <c r="K399" s="23"/>
    </row>
    <row r="400" spans="1:15" ht="15" customHeight="1" x14ac:dyDescent="0.25">
      <c r="A400" s="20"/>
      <c r="B400" s="150"/>
      <c r="C400" s="151">
        <v>1</v>
      </c>
      <c r="D400" s="22">
        <v>0.9</v>
      </c>
      <c r="E400" s="23"/>
      <c r="F400" s="23">
        <f>9.75/12/3.281</f>
        <v>0.24763791526973483</v>
      </c>
      <c r="G400" s="152">
        <f>PRODUCT(C400:F400)</f>
        <v>0.22287412374276136</v>
      </c>
      <c r="H400" s="6"/>
      <c r="I400" s="7"/>
      <c r="J400" s="153"/>
      <c r="K400" s="23"/>
    </row>
    <row r="401" spans="1:13" ht="15" customHeight="1" x14ac:dyDescent="0.25">
      <c r="A401" s="20"/>
      <c r="B401" s="150"/>
      <c r="C401" s="151">
        <v>1</v>
      </c>
      <c r="D401" s="22">
        <f>44/3.281</f>
        <v>13.41054556537641</v>
      </c>
      <c r="E401" s="23"/>
      <c r="F401" s="23">
        <f>2.333/3.281</f>
        <v>0.7110637000914356</v>
      </c>
      <c r="G401" s="152">
        <f>PRODUCT(C401:F401)</f>
        <v>9.5357521499613433</v>
      </c>
      <c r="H401" s="6"/>
      <c r="I401" s="7"/>
      <c r="J401" s="153"/>
      <c r="K401" s="23"/>
    </row>
    <row r="402" spans="1:13" ht="15" customHeight="1" x14ac:dyDescent="0.25">
      <c r="A402" s="182"/>
      <c r="B402" s="150" t="s">
        <v>16</v>
      </c>
      <c r="C402" s="151"/>
      <c r="D402" s="152"/>
      <c r="E402" s="152"/>
      <c r="F402" s="152"/>
      <c r="G402" s="153">
        <f>SUM(G399:G401)</f>
        <v>21.232226273704104</v>
      </c>
      <c r="H402" s="153" t="s">
        <v>23</v>
      </c>
      <c r="I402" s="6">
        <v>3213.56</v>
      </c>
      <c r="J402" s="154">
        <f>G402*I402</f>
        <v>68231.033064124553</v>
      </c>
      <c r="K402" s="178"/>
    </row>
    <row r="403" spans="1:13" ht="15" hidden="1" customHeight="1" x14ac:dyDescent="0.25">
      <c r="A403" s="20"/>
      <c r="B403" s="150" t="s">
        <v>30</v>
      </c>
      <c r="C403" s="21"/>
      <c r="D403" s="22"/>
      <c r="E403" s="23"/>
      <c r="F403" s="23"/>
      <c r="G403" s="7"/>
      <c r="H403" s="6"/>
      <c r="I403" s="7"/>
      <c r="J403" s="153">
        <f>0.13*G402*1672.66/10</f>
        <v>461.68584278666083</v>
      </c>
      <c r="K403" s="23"/>
    </row>
    <row r="404" spans="1:13" ht="15" customHeight="1" x14ac:dyDescent="0.25">
      <c r="A404" s="20"/>
      <c r="B404" s="150"/>
      <c r="C404" s="21"/>
      <c r="D404" s="22"/>
      <c r="E404" s="23"/>
      <c r="F404" s="23"/>
      <c r="G404" s="7"/>
      <c r="H404" s="6"/>
      <c r="I404" s="7"/>
      <c r="J404" s="153"/>
      <c r="K404" s="23"/>
    </row>
    <row r="405" spans="1:13" ht="60" x14ac:dyDescent="0.25">
      <c r="A405" s="20">
        <v>23</v>
      </c>
      <c r="B405" s="139" t="s">
        <v>236</v>
      </c>
      <c r="C405" s="151"/>
      <c r="D405" s="152"/>
      <c r="E405" s="152"/>
      <c r="F405" s="152"/>
      <c r="G405" s="153"/>
      <c r="H405" s="182"/>
      <c r="I405" s="153"/>
      <c r="J405" s="153"/>
      <c r="K405" s="23"/>
    </row>
    <row r="406" spans="1:13" x14ac:dyDescent="0.25">
      <c r="A406" s="20"/>
      <c r="B406" s="150" t="s">
        <v>237</v>
      </c>
      <c r="C406" s="151">
        <v>1</v>
      </c>
      <c r="D406" s="152">
        <f>6.15+0.9</f>
        <v>7.0500000000000007</v>
      </c>
      <c r="E406" s="152">
        <v>0.23</v>
      </c>
      <c r="F406" s="152">
        <v>0.75</v>
      </c>
      <c r="G406" s="152">
        <f>PRODUCT(C406:F406)</f>
        <v>1.2161250000000001</v>
      </c>
      <c r="H406" s="182"/>
      <c r="I406" s="153"/>
      <c r="J406" s="153"/>
      <c r="K406" s="23"/>
    </row>
    <row r="407" spans="1:13" x14ac:dyDescent="0.25">
      <c r="A407" s="20"/>
      <c r="B407" s="150" t="s">
        <v>157</v>
      </c>
      <c r="C407" s="151">
        <v>5</v>
      </c>
      <c r="D407" s="152">
        <v>0.23</v>
      </c>
      <c r="E407" s="152">
        <v>0.1</v>
      </c>
      <c r="F407" s="152">
        <v>0.75</v>
      </c>
      <c r="G407" s="152">
        <f>PRODUCT(C407:F407)</f>
        <v>8.6250000000000021E-2</v>
      </c>
      <c r="H407" s="182"/>
      <c r="I407" s="153"/>
      <c r="J407" s="153"/>
      <c r="K407" s="23"/>
    </row>
    <row r="408" spans="1:13" x14ac:dyDescent="0.25">
      <c r="A408" s="20"/>
      <c r="B408" s="150"/>
      <c r="C408" s="151">
        <v>1</v>
      </c>
      <c r="D408" s="152">
        <v>0.7</v>
      </c>
      <c r="E408" s="152">
        <v>0.23</v>
      </c>
      <c r="F408" s="152">
        <v>0.5</v>
      </c>
      <c r="G408" s="152">
        <f>PRODUCT(C408:F408)</f>
        <v>8.0500000000000002E-2</v>
      </c>
      <c r="H408" s="182"/>
      <c r="I408" s="153"/>
      <c r="J408" s="153"/>
      <c r="K408" s="23"/>
    </row>
    <row r="409" spans="1:13" x14ac:dyDescent="0.25">
      <c r="A409" s="20"/>
      <c r="B409" s="150" t="s">
        <v>238</v>
      </c>
      <c r="C409" s="151">
        <v>0.5</v>
      </c>
      <c r="D409" s="152">
        <v>2.75</v>
      </c>
      <c r="E409" s="152">
        <v>0.4</v>
      </c>
      <c r="F409" s="152">
        <f>1.82+0.23</f>
        <v>2.0500000000000003</v>
      </c>
      <c r="G409" s="152">
        <f>PRODUCT(C409:F409)</f>
        <v>1.1275000000000002</v>
      </c>
      <c r="H409" s="182"/>
      <c r="I409" s="153"/>
      <c r="J409" s="153"/>
      <c r="K409" s="23"/>
    </row>
    <row r="410" spans="1:13" x14ac:dyDescent="0.25">
      <c r="A410" s="20"/>
      <c r="B410" s="150"/>
      <c r="C410" s="151">
        <v>1</v>
      </c>
      <c r="D410" s="152">
        <v>2.75</v>
      </c>
      <c r="E410" s="152">
        <v>0.23</v>
      </c>
      <c r="F410" s="152">
        <v>1.9</v>
      </c>
      <c r="G410" s="152">
        <f>PRODUCT(C410:F410)</f>
        <v>1.2017500000000001</v>
      </c>
      <c r="H410" s="182"/>
      <c r="I410" s="153"/>
      <c r="J410" s="153"/>
      <c r="K410" s="23"/>
    </row>
    <row r="411" spans="1:13" ht="15" customHeight="1" x14ac:dyDescent="0.25">
      <c r="A411" s="182"/>
      <c r="B411" s="150" t="s">
        <v>16</v>
      </c>
      <c r="C411" s="151"/>
      <c r="D411" s="152"/>
      <c r="E411" s="152"/>
      <c r="F411" s="152"/>
      <c r="G411" s="153">
        <f>SUM(G406:G410)</f>
        <v>3.7121250000000003</v>
      </c>
      <c r="H411" s="153" t="s">
        <v>18</v>
      </c>
      <c r="I411" s="6">
        <v>5755.67</v>
      </c>
      <c r="J411" s="154">
        <f>G411*I411</f>
        <v>21365.766498750003</v>
      </c>
      <c r="K411" s="178"/>
      <c r="M411">
        <f>14520*G411</f>
        <v>53900.055000000008</v>
      </c>
    </row>
    <row r="412" spans="1:13" ht="15" hidden="1" customHeight="1" x14ac:dyDescent="0.25">
      <c r="A412" s="20"/>
      <c r="B412" s="150" t="s">
        <v>30</v>
      </c>
      <c r="C412" s="21"/>
      <c r="D412" s="22"/>
      <c r="E412" s="23"/>
      <c r="F412" s="23"/>
      <c r="G412" s="7"/>
      <c r="H412" s="6"/>
      <c r="I412" s="7"/>
      <c r="J412" s="153">
        <f>0.13*G411*1790.27</f>
        <v>863.94178308750008</v>
      </c>
      <c r="K412" s="23"/>
    </row>
    <row r="413" spans="1:13" ht="15" customHeight="1" x14ac:dyDescent="0.25">
      <c r="A413" s="20"/>
      <c r="B413" s="150"/>
      <c r="C413" s="21"/>
      <c r="D413" s="22"/>
      <c r="E413" s="23"/>
      <c r="F413" s="23"/>
      <c r="G413" s="7"/>
      <c r="H413" s="6"/>
      <c r="I413" s="7"/>
      <c r="J413" s="153"/>
      <c r="K413" s="23"/>
    </row>
    <row r="414" spans="1:13" ht="30" x14ac:dyDescent="0.25">
      <c r="A414" s="20">
        <v>24</v>
      </c>
      <c r="B414" s="211" t="s">
        <v>273</v>
      </c>
      <c r="C414" s="21"/>
      <c r="D414" s="22"/>
      <c r="E414" s="23"/>
      <c r="F414" s="23"/>
      <c r="G414" s="7"/>
      <c r="H414" s="6"/>
      <c r="I414" s="7"/>
      <c r="J414" s="153"/>
      <c r="K414" s="23"/>
    </row>
    <row r="415" spans="1:13" x14ac:dyDescent="0.25">
      <c r="A415" s="20"/>
      <c r="B415" s="150" t="s">
        <v>274</v>
      </c>
      <c r="C415" s="151">
        <v>1</v>
      </c>
      <c r="D415" s="152">
        <f>11.833/3.281</f>
        <v>3.6065224017067967</v>
      </c>
      <c r="E415" s="152">
        <f>9.583/3.281</f>
        <v>2.9207558671136846</v>
      </c>
      <c r="F415" s="152"/>
      <c r="G415" s="152">
        <f>PRODUCT(C415:F415)</f>
        <v>10.533771464662063</v>
      </c>
      <c r="H415" s="182"/>
      <c r="I415" s="153"/>
      <c r="J415" s="153"/>
      <c r="K415" s="23"/>
    </row>
    <row r="416" spans="1:13" x14ac:dyDescent="0.25">
      <c r="A416" s="20"/>
      <c r="B416" s="150"/>
      <c r="C416" s="151">
        <v>1</v>
      </c>
      <c r="D416" s="152">
        <f>5/3.281</f>
        <v>1.5239256324291375</v>
      </c>
      <c r="E416" s="152">
        <v>1.1000000000000001</v>
      </c>
      <c r="F416" s="152"/>
      <c r="G416" s="152">
        <f>PRODUCT(C416:F416)</f>
        <v>1.6763181956720514</v>
      </c>
      <c r="H416" s="182"/>
      <c r="I416" s="153"/>
      <c r="J416" s="153"/>
      <c r="K416" s="23"/>
    </row>
    <row r="417" spans="1:11" x14ac:dyDescent="0.25">
      <c r="A417" s="20"/>
      <c r="B417" s="150"/>
      <c r="C417" s="151">
        <v>1</v>
      </c>
      <c r="D417" s="152">
        <f>4.25/3.281</f>
        <v>1.2953367875647668</v>
      </c>
      <c r="E417" s="152">
        <f>1.917/3.281</f>
        <v>0.58427308747333129</v>
      </c>
      <c r="F417" s="152"/>
      <c r="G417" s="152">
        <f>PRODUCT(C417:F417)</f>
        <v>0.75683042418825297</v>
      </c>
      <c r="H417" s="182"/>
      <c r="I417" s="153"/>
      <c r="J417" s="153"/>
      <c r="K417" s="23"/>
    </row>
    <row r="418" spans="1:11" x14ac:dyDescent="0.25">
      <c r="A418" s="20"/>
      <c r="B418" s="150"/>
      <c r="C418" s="151">
        <v>1</v>
      </c>
      <c r="D418" s="152">
        <v>0.45</v>
      </c>
      <c r="E418" s="152">
        <v>0.55000000000000004</v>
      </c>
      <c r="F418" s="152"/>
      <c r="G418" s="152">
        <f t="shared" ref="G418:G419" si="45">PRODUCT(C418:F418)</f>
        <v>0.24750000000000003</v>
      </c>
      <c r="H418" s="182"/>
      <c r="I418" s="153"/>
      <c r="J418" s="153"/>
      <c r="K418" s="23"/>
    </row>
    <row r="419" spans="1:11" x14ac:dyDescent="0.25">
      <c r="A419" s="20"/>
      <c r="B419" s="150"/>
      <c r="C419" s="151">
        <v>1</v>
      </c>
      <c r="D419" s="152">
        <v>1.7</v>
      </c>
      <c r="E419" s="152">
        <v>0.4</v>
      </c>
      <c r="F419" s="152"/>
      <c r="G419" s="152">
        <f t="shared" si="45"/>
        <v>0.68</v>
      </c>
      <c r="H419" s="182"/>
      <c r="I419" s="153"/>
      <c r="J419" s="153"/>
      <c r="K419" s="23"/>
    </row>
    <row r="420" spans="1:11" ht="15" customHeight="1" x14ac:dyDescent="0.25">
      <c r="A420" s="182"/>
      <c r="B420" s="150" t="s">
        <v>16</v>
      </c>
      <c r="C420" s="151"/>
      <c r="D420" s="152"/>
      <c r="E420" s="152"/>
      <c r="F420" s="152"/>
      <c r="G420" s="153">
        <f>SUM(G415:G419)</f>
        <v>13.894420084522368</v>
      </c>
      <c r="H420" s="153" t="s">
        <v>18</v>
      </c>
      <c r="I420" s="6">
        <v>1885.53</v>
      </c>
      <c r="J420" s="154">
        <f>G420*I420</f>
        <v>26198.34590196946</v>
      </c>
      <c r="K420" s="178"/>
    </row>
    <row r="421" spans="1:11" ht="15" hidden="1" customHeight="1" x14ac:dyDescent="0.25">
      <c r="A421" s="20"/>
      <c r="B421" s="150" t="s">
        <v>30</v>
      </c>
      <c r="C421" s="21"/>
      <c r="D421" s="22"/>
      <c r="E421" s="23"/>
      <c r="F421" s="23"/>
      <c r="G421" s="7"/>
      <c r="H421" s="6"/>
      <c r="I421" s="7"/>
      <c r="J421" s="153">
        <f>0.13*G420*(12405.35/10)</f>
        <v>2240.7468745418846</v>
      </c>
      <c r="K421" s="23"/>
    </row>
    <row r="422" spans="1:11" ht="15" customHeight="1" x14ac:dyDescent="0.25">
      <c r="A422" s="20"/>
      <c r="B422" s="150"/>
      <c r="C422" s="21"/>
      <c r="D422" s="22"/>
      <c r="E422" s="23"/>
      <c r="F422" s="23"/>
      <c r="G422" s="7"/>
      <c r="H422" s="6"/>
      <c r="I422" s="7"/>
      <c r="J422" s="153"/>
      <c r="K422" s="23"/>
    </row>
    <row r="423" spans="1:11" ht="30" x14ac:dyDescent="0.25">
      <c r="A423" s="20">
        <v>25</v>
      </c>
      <c r="B423" s="190" t="s">
        <v>257</v>
      </c>
      <c r="C423" s="151">
        <v>1</v>
      </c>
      <c r="D423" s="152"/>
      <c r="E423" s="152"/>
      <c r="F423" s="152"/>
      <c r="G423" s="153">
        <f>PRODUCT(C423:F423)</f>
        <v>1</v>
      </c>
      <c r="H423" s="182" t="s">
        <v>242</v>
      </c>
      <c r="I423" s="153">
        <f>15000+12376</f>
        <v>27376</v>
      </c>
      <c r="J423" s="153">
        <f>G423*I423</f>
        <v>27376</v>
      </c>
      <c r="K423" s="23"/>
    </row>
    <row r="424" spans="1:11" ht="15" customHeight="1" x14ac:dyDescent="0.25">
      <c r="A424" s="20"/>
      <c r="B424" s="190"/>
      <c r="C424" s="151"/>
      <c r="D424" s="152"/>
      <c r="E424" s="152"/>
      <c r="F424" s="152"/>
      <c r="G424" s="153"/>
      <c r="H424" s="182"/>
      <c r="I424" s="153"/>
      <c r="J424" s="153"/>
      <c r="K424" s="23"/>
    </row>
    <row r="425" spans="1:11" ht="15" hidden="1" customHeight="1" x14ac:dyDescent="0.25">
      <c r="A425" s="20">
        <v>25</v>
      </c>
      <c r="B425" s="190" t="s">
        <v>114</v>
      </c>
      <c r="C425" s="151">
        <v>0</v>
      </c>
      <c r="D425" s="152"/>
      <c r="E425" s="152"/>
      <c r="F425" s="152"/>
      <c r="G425" s="153">
        <f>PRODUCT(C425:F425)</f>
        <v>0</v>
      </c>
      <c r="H425" s="182" t="s">
        <v>243</v>
      </c>
      <c r="I425" s="153">
        <v>12376</v>
      </c>
      <c r="J425" s="153">
        <f>G425*I425</f>
        <v>0</v>
      </c>
      <c r="K425" s="23"/>
    </row>
    <row r="426" spans="1:11" ht="15" hidden="1" customHeight="1" x14ac:dyDescent="0.25">
      <c r="A426" s="20"/>
      <c r="B426" s="190"/>
      <c r="C426" s="151"/>
      <c r="D426" s="152"/>
      <c r="E426" s="152"/>
      <c r="F426" s="152"/>
      <c r="G426" s="153"/>
      <c r="H426" s="182"/>
      <c r="I426" s="153"/>
      <c r="J426" s="153"/>
      <c r="K426" s="23"/>
    </row>
    <row r="427" spans="1:11" x14ac:dyDescent="0.25">
      <c r="A427" s="182">
        <v>26</v>
      </c>
      <c r="B427" s="10" t="s">
        <v>19</v>
      </c>
      <c r="C427" s="151">
        <v>1</v>
      </c>
      <c r="D427" s="152"/>
      <c r="E427" s="152"/>
      <c r="F427" s="152"/>
      <c r="G427" s="153">
        <f>PRODUCT(C427:F427)</f>
        <v>1</v>
      </c>
      <c r="H427" s="182" t="s">
        <v>20</v>
      </c>
      <c r="I427" s="153">
        <v>1000</v>
      </c>
      <c r="J427" s="153">
        <f>G427*I427</f>
        <v>1000</v>
      </c>
      <c r="K427" s="178"/>
    </row>
    <row r="428" spans="1:11" x14ac:dyDescent="0.25">
      <c r="A428" s="182"/>
      <c r="B428" s="191" t="s">
        <v>21</v>
      </c>
      <c r="C428" s="151"/>
      <c r="D428" s="152"/>
      <c r="E428" s="152"/>
      <c r="F428" s="152"/>
      <c r="G428" s="152"/>
      <c r="H428" s="178"/>
      <c r="I428" s="152"/>
      <c r="J428" s="153">
        <f>SUM(J9:J427)</f>
        <v>1592816.8198072687</v>
      </c>
      <c r="K428" s="178"/>
    </row>
    <row r="430" spans="1:11" s="9" customFormat="1" hidden="1" x14ac:dyDescent="0.25">
      <c r="B430" s="11" t="s">
        <v>258</v>
      </c>
      <c r="C430" s="219">
        <f>J428</f>
        <v>1592816.8198072687</v>
      </c>
      <c r="D430" s="220"/>
      <c r="E430" s="12">
        <v>100</v>
      </c>
      <c r="F430" s="13"/>
      <c r="G430" s="14"/>
      <c r="H430" s="13"/>
      <c r="I430" s="15"/>
      <c r="J430" s="16"/>
      <c r="K430" s="17"/>
    </row>
    <row r="431" spans="1:11" hidden="1" x14ac:dyDescent="0.25">
      <c r="A431" s="18"/>
      <c r="B431" s="11" t="s">
        <v>25</v>
      </c>
      <c r="C431" s="222">
        <v>1600000</v>
      </c>
      <c r="D431" s="223"/>
      <c r="E431" s="12"/>
      <c r="G431" s="18"/>
      <c r="H431" s="18"/>
      <c r="I431" s="18"/>
      <c r="J431" s="52"/>
    </row>
    <row r="432" spans="1:11" hidden="1" x14ac:dyDescent="0.25">
      <c r="A432" s="18"/>
      <c r="B432" s="11" t="s">
        <v>26</v>
      </c>
      <c r="C432" s="222">
        <f>83.79%*C430</f>
        <v>1334621.2133165107</v>
      </c>
      <c r="D432" s="223"/>
      <c r="E432" s="12">
        <f>C432/C430*100</f>
        <v>83.79000000000002</v>
      </c>
      <c r="G432" s="18"/>
      <c r="H432" s="18"/>
      <c r="I432" s="18"/>
      <c r="J432" s="18"/>
    </row>
    <row r="433" spans="1:10" hidden="1" x14ac:dyDescent="0.25">
      <c r="A433" s="18"/>
      <c r="B433" s="11" t="s">
        <v>27</v>
      </c>
      <c r="C433" s="224">
        <f>C430-C432</f>
        <v>258195.60649075801</v>
      </c>
      <c r="D433" s="224"/>
      <c r="E433" s="12">
        <f>100-E432</f>
        <v>16.20999999999998</v>
      </c>
      <c r="G433" s="18"/>
      <c r="H433" s="18"/>
      <c r="I433" s="18"/>
      <c r="J433" s="18"/>
    </row>
    <row r="434" spans="1:10" hidden="1" x14ac:dyDescent="0.25">
      <c r="A434" s="18"/>
      <c r="B434" s="11" t="s">
        <v>28</v>
      </c>
      <c r="C434" s="219">
        <f>C431*0.03</f>
        <v>48000</v>
      </c>
      <c r="D434" s="220"/>
      <c r="E434" s="12">
        <v>3</v>
      </c>
      <c r="G434" s="18"/>
      <c r="H434" s="18"/>
      <c r="I434" s="18"/>
      <c r="J434" s="18"/>
    </row>
    <row r="435" spans="1:10" hidden="1" x14ac:dyDescent="0.25">
      <c r="A435" s="18"/>
      <c r="B435" s="11" t="s">
        <v>29</v>
      </c>
      <c r="C435" s="219">
        <f>C431*0.02</f>
        <v>32000</v>
      </c>
      <c r="D435" s="220"/>
      <c r="E435" s="12">
        <v>2</v>
      </c>
      <c r="G435" s="18"/>
      <c r="H435" s="18"/>
      <c r="I435" s="18"/>
      <c r="J435" s="18"/>
    </row>
  </sheetData>
  <mergeCells count="25">
    <mergeCell ref="C431:D431"/>
    <mergeCell ref="C432:D432"/>
    <mergeCell ref="C433:D433"/>
    <mergeCell ref="C434:D434"/>
    <mergeCell ref="C435:D435"/>
    <mergeCell ref="C430:D430"/>
    <mergeCell ref="A7:F7"/>
    <mergeCell ref="H7:K7"/>
    <mergeCell ref="K39:K40"/>
    <mergeCell ref="C98:C99"/>
    <mergeCell ref="F98:F99"/>
    <mergeCell ref="C100:C101"/>
    <mergeCell ref="F100:F101"/>
    <mergeCell ref="C102:C103"/>
    <mergeCell ref="F102:F103"/>
    <mergeCell ref="K199:K202"/>
    <mergeCell ref="K204:K209"/>
    <mergeCell ref="K210:K214"/>
    <mergeCell ref="A6:F6"/>
    <mergeCell ref="H6:K6"/>
    <mergeCell ref="A1:K1"/>
    <mergeCell ref="A2:K2"/>
    <mergeCell ref="A3:K3"/>
    <mergeCell ref="A4:K4"/>
    <mergeCell ref="A5:K5"/>
  </mergeCells>
  <pageMargins left="0.7" right="0.7" top="0.75" bottom="0.75" header="0.3" footer="0.3"/>
  <pageSetup paperSize="9" scale="90" orientation="portrait" r:id="rId1"/>
  <headerFooter>
    <oddFooter>&amp;LPrepared By:
Kristal Suwal&amp;CChecked By:
Er. Milan Phuyal&amp;RApproved By:
Er. Prakash Singh Saud</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97"/>
  <sheetViews>
    <sheetView topLeftCell="A273" zoomScale="89" zoomScaleNormal="89" workbookViewId="0">
      <selection activeCell="P381" sqref="P381"/>
    </sheetView>
  </sheetViews>
  <sheetFormatPr defaultRowHeight="15" x14ac:dyDescent="0.25"/>
  <cols>
    <col min="1" max="1" width="4.42578125" customWidth="1"/>
    <col min="2" max="2" width="36.7109375" customWidth="1"/>
    <col min="3" max="3" width="5.5703125" customWidth="1"/>
    <col min="4" max="4" width="9.140625" bestFit="1" customWidth="1"/>
    <col min="5" max="5" width="9.7109375" customWidth="1"/>
    <col min="6" max="6" width="8.28515625" customWidth="1"/>
    <col min="7" max="7" width="9.28515625" customWidth="1"/>
    <col min="8" max="8" width="5.28515625" bestFit="1" customWidth="1"/>
    <col min="9" max="9" width="10.85546875" customWidth="1"/>
    <col min="10" max="10" width="12.140625" customWidth="1"/>
    <col min="11" max="11" width="9.140625" customWidth="1"/>
    <col min="14" max="14" width="9.5703125" bestFit="1" customWidth="1"/>
  </cols>
  <sheetData>
    <row r="1" spans="1:11" x14ac:dyDescent="0.25">
      <c r="A1" s="215" t="s">
        <v>0</v>
      </c>
      <c r="B1" s="215"/>
      <c r="C1" s="215"/>
      <c r="D1" s="215"/>
      <c r="E1" s="215"/>
      <c r="F1" s="215"/>
      <c r="G1" s="215"/>
      <c r="H1" s="215"/>
      <c r="I1" s="215"/>
      <c r="J1" s="215"/>
      <c r="K1" s="215"/>
    </row>
    <row r="2" spans="1:11" ht="22.5" x14ac:dyDescent="0.25">
      <c r="A2" s="216" t="s">
        <v>1</v>
      </c>
      <c r="B2" s="216"/>
      <c r="C2" s="216"/>
      <c r="D2" s="216"/>
      <c r="E2" s="216"/>
      <c r="F2" s="216"/>
      <c r="G2" s="216"/>
      <c r="H2" s="216"/>
      <c r="I2" s="216"/>
      <c r="J2" s="216"/>
      <c r="K2" s="216"/>
    </row>
    <row r="3" spans="1:11" x14ac:dyDescent="0.25">
      <c r="A3" s="217" t="s">
        <v>2</v>
      </c>
      <c r="B3" s="217"/>
      <c r="C3" s="217"/>
      <c r="D3" s="217"/>
      <c r="E3" s="217"/>
      <c r="F3" s="217"/>
      <c r="G3" s="217"/>
      <c r="H3" s="217"/>
      <c r="I3" s="217"/>
      <c r="J3" s="217"/>
      <c r="K3" s="217"/>
    </row>
    <row r="4" spans="1:11" x14ac:dyDescent="0.25">
      <c r="A4" s="217" t="s">
        <v>3</v>
      </c>
      <c r="B4" s="217"/>
      <c r="C4" s="217"/>
      <c r="D4" s="217"/>
      <c r="E4" s="217"/>
      <c r="F4" s="217"/>
      <c r="G4" s="217"/>
      <c r="H4" s="217"/>
      <c r="I4" s="217"/>
      <c r="J4" s="217"/>
      <c r="K4" s="217"/>
    </row>
    <row r="5" spans="1:11" ht="18.75" x14ac:dyDescent="0.3">
      <c r="A5" s="218" t="s">
        <v>268</v>
      </c>
      <c r="B5" s="218"/>
      <c r="C5" s="218"/>
      <c r="D5" s="218"/>
      <c r="E5" s="218"/>
      <c r="F5" s="218"/>
      <c r="G5" s="218"/>
      <c r="H5" s="218"/>
      <c r="I5" s="218"/>
      <c r="J5" s="218"/>
      <c r="K5" s="218"/>
    </row>
    <row r="6" spans="1:11" ht="15.75" x14ac:dyDescent="0.25">
      <c r="A6" s="213" t="s">
        <v>111</v>
      </c>
      <c r="B6" s="213"/>
      <c r="C6" s="213"/>
      <c r="D6" s="213"/>
      <c r="E6" s="213"/>
      <c r="F6" s="213"/>
      <c r="G6" s="1"/>
      <c r="H6" s="214" t="s">
        <v>267</v>
      </c>
      <c r="I6" s="214"/>
      <c r="J6" s="214"/>
      <c r="K6" s="214"/>
    </row>
    <row r="7" spans="1:11" ht="15.75" x14ac:dyDescent="0.25">
      <c r="A7" s="221" t="s">
        <v>5</v>
      </c>
      <c r="B7" s="221"/>
      <c r="C7" s="221"/>
      <c r="D7" s="221"/>
      <c r="E7" s="221"/>
      <c r="F7" s="221"/>
      <c r="G7" s="2"/>
      <c r="H7" s="214" t="s">
        <v>261</v>
      </c>
      <c r="I7" s="214"/>
      <c r="J7" s="214"/>
      <c r="K7" s="214"/>
    </row>
    <row r="8" spans="1:11" ht="15" customHeight="1" x14ac:dyDescent="0.25">
      <c r="A8" s="184" t="s">
        <v>6</v>
      </c>
      <c r="B8" s="185" t="s">
        <v>7</v>
      </c>
      <c r="C8" s="186" t="s">
        <v>8</v>
      </c>
      <c r="D8" s="187" t="s">
        <v>9</v>
      </c>
      <c r="E8" s="187" t="s">
        <v>10</v>
      </c>
      <c r="F8" s="187" t="s">
        <v>11</v>
      </c>
      <c r="G8" s="187" t="s">
        <v>12</v>
      </c>
      <c r="H8" s="186" t="s">
        <v>13</v>
      </c>
      <c r="I8" s="187" t="s">
        <v>14</v>
      </c>
      <c r="J8" s="187" t="s">
        <v>15</v>
      </c>
      <c r="K8" s="185" t="s">
        <v>38</v>
      </c>
    </row>
    <row r="9" spans="1:11" ht="31.5" x14ac:dyDescent="0.25">
      <c r="A9" s="182">
        <v>1</v>
      </c>
      <c r="B9" s="124" t="s">
        <v>62</v>
      </c>
      <c r="C9" s="178"/>
      <c r="D9" s="178"/>
      <c r="E9" s="178"/>
      <c r="F9" s="178"/>
      <c r="G9" s="178"/>
      <c r="H9" s="178"/>
      <c r="I9" s="178"/>
      <c r="J9" s="152"/>
      <c r="K9" s="178"/>
    </row>
    <row r="10" spans="1:11" x14ac:dyDescent="0.25">
      <c r="A10" s="182"/>
      <c r="B10" s="173" t="s">
        <v>57</v>
      </c>
      <c r="C10" s="151">
        <v>6</v>
      </c>
      <c r="D10" s="152">
        <v>1.5</v>
      </c>
      <c r="E10" s="152">
        <v>1.5</v>
      </c>
      <c r="F10" s="152">
        <v>1.6</v>
      </c>
      <c r="G10" s="152">
        <f>PRODUCT(C10:F10)</f>
        <v>21.6</v>
      </c>
      <c r="H10" s="178"/>
      <c r="I10" s="178"/>
      <c r="J10" s="152"/>
      <c r="K10" s="178"/>
    </row>
    <row r="11" spans="1:11" x14ac:dyDescent="0.25">
      <c r="A11" s="182"/>
      <c r="B11" s="173" t="s">
        <v>61</v>
      </c>
      <c r="C11" s="151">
        <v>3</v>
      </c>
      <c r="D11" s="152">
        <f>3</f>
        <v>3</v>
      </c>
      <c r="E11" s="152">
        <v>0.23</v>
      </c>
      <c r="F11" s="152">
        <f>1.5/3.281</f>
        <v>0.45717768972874123</v>
      </c>
      <c r="G11" s="152">
        <f t="shared" ref="G11:G17" si="0">PRODUCT(C11:F11)</f>
        <v>0.94635781773849448</v>
      </c>
      <c r="H11" s="178"/>
      <c r="I11" s="178"/>
      <c r="J11" s="152"/>
      <c r="K11" s="178"/>
    </row>
    <row r="12" spans="1:11" x14ac:dyDescent="0.25">
      <c r="A12" s="182"/>
      <c r="B12" s="173"/>
      <c r="C12" s="151">
        <v>4</v>
      </c>
      <c r="D12" s="152">
        <f>8.5/3.281</f>
        <v>2.5906735751295336</v>
      </c>
      <c r="E12" s="152">
        <v>0.23</v>
      </c>
      <c r="F12" s="152">
        <f>1.5/3.281</f>
        <v>0.45717768972874123</v>
      </c>
      <c r="G12" s="152">
        <f t="shared" si="0"/>
        <v>1.0896463071254971</v>
      </c>
      <c r="H12" s="178"/>
      <c r="I12" s="178"/>
      <c r="J12" s="152"/>
      <c r="K12" s="178"/>
    </row>
    <row r="13" spans="1:11" x14ac:dyDescent="0.25">
      <c r="A13" s="182"/>
      <c r="B13" s="173" t="s">
        <v>149</v>
      </c>
      <c r="C13" s="151">
        <v>1</v>
      </c>
      <c r="D13" s="152">
        <f>(2.34+1.4)/2</f>
        <v>1.8699999999999999</v>
      </c>
      <c r="E13" s="152">
        <f>12/3.281</f>
        <v>3.6574215178299299</v>
      </c>
      <c r="F13" s="152">
        <v>0.125</v>
      </c>
      <c r="G13" s="152">
        <f t="shared" si="0"/>
        <v>0.85492227979274604</v>
      </c>
      <c r="H13" s="178"/>
      <c r="I13" s="178"/>
      <c r="J13" s="152"/>
      <c r="K13" s="178"/>
    </row>
    <row r="14" spans="1:11" x14ac:dyDescent="0.25">
      <c r="A14" s="182"/>
      <c r="B14" s="173"/>
      <c r="C14" s="151">
        <v>1</v>
      </c>
      <c r="D14" s="152">
        <v>7.5</v>
      </c>
      <c r="E14" s="152">
        <v>1.1499999999999999</v>
      </c>
      <c r="F14" s="152">
        <v>0.125</v>
      </c>
      <c r="G14" s="152">
        <f t="shared" si="0"/>
        <v>1.078125</v>
      </c>
      <c r="H14" s="178"/>
      <c r="I14" s="178"/>
      <c r="J14" s="152"/>
      <c r="K14" s="178"/>
    </row>
    <row r="15" spans="1:11" x14ac:dyDescent="0.25">
      <c r="A15" s="182"/>
      <c r="B15" s="173"/>
      <c r="C15" s="151">
        <v>1</v>
      </c>
      <c r="D15" s="152">
        <v>1.6</v>
      </c>
      <c r="E15" s="152">
        <v>1.55</v>
      </c>
      <c r="F15" s="152">
        <v>0.125</v>
      </c>
      <c r="G15" s="152">
        <f t="shared" si="0"/>
        <v>0.31000000000000005</v>
      </c>
      <c r="H15" s="178"/>
      <c r="I15" s="178"/>
      <c r="J15" s="152"/>
      <c r="K15" s="178"/>
    </row>
    <row r="16" spans="1:11" x14ac:dyDescent="0.25">
      <c r="A16" s="182"/>
      <c r="B16" s="173" t="s">
        <v>150</v>
      </c>
      <c r="C16" s="151">
        <v>1</v>
      </c>
      <c r="D16" s="152">
        <f>7+10/3.281</f>
        <v>10.047851264858275</v>
      </c>
      <c r="E16" s="152">
        <v>0.4</v>
      </c>
      <c r="F16" s="152">
        <v>0.1</v>
      </c>
      <c r="G16" s="152">
        <f t="shared" si="0"/>
        <v>0.40191405059433105</v>
      </c>
      <c r="H16" s="178"/>
      <c r="I16" s="178"/>
      <c r="J16" s="152"/>
      <c r="K16" s="178"/>
    </row>
    <row r="17" spans="1:11" x14ac:dyDescent="0.25">
      <c r="A17" s="182"/>
      <c r="B17" s="173" t="s">
        <v>266</v>
      </c>
      <c r="C17" s="151">
        <v>1</v>
      </c>
      <c r="D17" s="152">
        <f>12/3.281</f>
        <v>3.6574215178299299</v>
      </c>
      <c r="E17" s="152">
        <f>9/3.281</f>
        <v>2.7430661383724475</v>
      </c>
      <c r="F17" s="152">
        <v>0.1</v>
      </c>
      <c r="G17" s="152">
        <f t="shared" si="0"/>
        <v>1.003254911931404</v>
      </c>
      <c r="H17" s="178"/>
      <c r="I17" s="178"/>
      <c r="J17" s="152"/>
      <c r="K17" s="178"/>
    </row>
    <row r="18" spans="1:11" x14ac:dyDescent="0.25">
      <c r="A18" s="182"/>
      <c r="B18" s="179" t="s">
        <v>16</v>
      </c>
      <c r="C18" s="151"/>
      <c r="D18" s="152"/>
      <c r="E18" s="152"/>
      <c r="F18" s="152"/>
      <c r="G18" s="153">
        <f>SUM(G10:G17)</f>
        <v>27.284220367182474</v>
      </c>
      <c r="H18" s="6" t="s">
        <v>18</v>
      </c>
      <c r="I18" s="7">
        <v>648.9</v>
      </c>
      <c r="J18" s="153">
        <f>G18*I18</f>
        <v>17704.730596264708</v>
      </c>
      <c r="K18" s="178"/>
    </row>
    <row r="19" spans="1:11" x14ac:dyDescent="0.25">
      <c r="A19" s="182"/>
      <c r="B19" s="178"/>
      <c r="C19" s="151"/>
      <c r="D19" s="152"/>
      <c r="E19" s="152"/>
      <c r="F19" s="152"/>
      <c r="G19" s="152"/>
      <c r="H19" s="178"/>
      <c r="I19" s="152"/>
      <c r="J19" s="152"/>
      <c r="K19" s="178"/>
    </row>
    <row r="20" spans="1:11" ht="31.5" x14ac:dyDescent="0.25">
      <c r="A20" s="182">
        <v>2</v>
      </c>
      <c r="B20" s="124" t="s">
        <v>83</v>
      </c>
      <c r="C20" s="151"/>
      <c r="D20" s="152"/>
      <c r="E20" s="152"/>
      <c r="F20" s="152"/>
      <c r="G20" s="152"/>
      <c r="H20" s="178"/>
      <c r="I20" s="152"/>
      <c r="J20" s="152"/>
      <c r="K20" s="178"/>
    </row>
    <row r="21" spans="1:11" x14ac:dyDescent="0.25">
      <c r="A21" s="182"/>
      <c r="B21" s="173" t="s">
        <v>84</v>
      </c>
      <c r="C21" s="151">
        <v>1</v>
      </c>
      <c r="D21" s="152">
        <f>17/3.281</f>
        <v>5.1813471502590671</v>
      </c>
      <c r="E21" s="152">
        <f>15/3.281</f>
        <v>4.5717768972874122</v>
      </c>
      <c r="F21" s="152">
        <v>7.4999999999999997E-2</v>
      </c>
      <c r="G21" s="152">
        <f t="shared" ref="G21" si="1">PRODUCT(C21:F21)</f>
        <v>1.7765972398785279</v>
      </c>
      <c r="H21" s="178"/>
      <c r="I21" s="152"/>
      <c r="J21" s="152"/>
      <c r="K21" s="178"/>
    </row>
    <row r="22" spans="1:11" x14ac:dyDescent="0.25">
      <c r="A22" s="182"/>
      <c r="B22" s="179" t="s">
        <v>16</v>
      </c>
      <c r="C22" s="151"/>
      <c r="D22" s="152"/>
      <c r="E22" s="152"/>
      <c r="F22" s="152"/>
      <c r="G22" s="153">
        <f>SUM(G21)</f>
        <v>1.7765972398785279</v>
      </c>
      <c r="H22" s="6" t="s">
        <v>18</v>
      </c>
      <c r="I22" s="7">
        <v>3600</v>
      </c>
      <c r="J22" s="153">
        <f>G22*I22</f>
        <v>6395.7500635627002</v>
      </c>
      <c r="K22" s="178"/>
    </row>
    <row r="23" spans="1:11" x14ac:dyDescent="0.25">
      <c r="A23" s="182"/>
      <c r="B23" s="178"/>
      <c r="C23" s="151"/>
      <c r="D23" s="152"/>
      <c r="E23" s="152"/>
      <c r="F23" s="152"/>
      <c r="G23" s="152"/>
      <c r="H23" s="178"/>
      <c r="I23" s="152"/>
      <c r="J23" s="152"/>
      <c r="K23" s="178"/>
    </row>
    <row r="24" spans="1:11" ht="15.75" x14ac:dyDescent="0.25">
      <c r="A24" s="182">
        <v>3</v>
      </c>
      <c r="B24" s="124" t="s">
        <v>104</v>
      </c>
      <c r="C24" s="151"/>
      <c r="D24" s="152"/>
      <c r="E24" s="152"/>
      <c r="F24" s="152"/>
      <c r="G24" s="152"/>
      <c r="H24" s="178"/>
      <c r="I24" s="152"/>
      <c r="J24" s="152"/>
      <c r="K24" s="178"/>
    </row>
    <row r="25" spans="1:11" hidden="1" x14ac:dyDescent="0.25">
      <c r="A25" s="182"/>
      <c r="B25" s="173" t="str">
        <f>B45</f>
        <v>-Extending compound</v>
      </c>
      <c r="C25" s="151">
        <v>0</v>
      </c>
      <c r="D25" s="152">
        <f>D45</f>
        <v>16.259999999999998</v>
      </c>
      <c r="E25" s="152">
        <f>E45</f>
        <v>0.115</v>
      </c>
      <c r="F25" s="152">
        <v>0.15</v>
      </c>
      <c r="G25" s="152">
        <f>PRODUCT(C25:F25)</f>
        <v>0</v>
      </c>
      <c r="H25" s="178"/>
      <c r="I25" s="178"/>
      <c r="J25" s="152"/>
      <c r="K25" s="178"/>
    </row>
    <row r="26" spans="1:11" x14ac:dyDescent="0.25">
      <c r="A26" s="182"/>
      <c r="B26" s="173" t="s">
        <v>57</v>
      </c>
      <c r="C26" s="151">
        <f t="shared" ref="C26:E28" si="2">C10</f>
        <v>6</v>
      </c>
      <c r="D26" s="152">
        <f t="shared" si="2"/>
        <v>1.5</v>
      </c>
      <c r="E26" s="152">
        <f t="shared" si="2"/>
        <v>1.5</v>
      </c>
      <c r="F26" s="152"/>
      <c r="G26" s="152">
        <f>PRODUCT(C26:F26)</f>
        <v>13.5</v>
      </c>
      <c r="H26" s="178"/>
      <c r="I26" s="178"/>
      <c r="J26" s="152"/>
      <c r="K26" s="178"/>
    </row>
    <row r="27" spans="1:11" x14ac:dyDescent="0.25">
      <c r="A27" s="182"/>
      <c r="B27" s="173" t="s">
        <v>61</v>
      </c>
      <c r="C27" s="151">
        <f t="shared" si="2"/>
        <v>3</v>
      </c>
      <c r="D27" s="152">
        <f t="shared" si="2"/>
        <v>3</v>
      </c>
      <c r="E27" s="152">
        <f t="shared" si="2"/>
        <v>0.23</v>
      </c>
      <c r="F27" s="152"/>
      <c r="G27" s="152">
        <f t="shared" ref="G27:G34" si="3">PRODUCT(C27:F27)</f>
        <v>2.0700000000000003</v>
      </c>
      <c r="H27" s="178"/>
      <c r="I27" s="178"/>
      <c r="J27" s="152"/>
      <c r="K27" s="178"/>
    </row>
    <row r="28" spans="1:11" x14ac:dyDescent="0.25">
      <c r="A28" s="182"/>
      <c r="B28" s="173"/>
      <c r="C28" s="151">
        <f t="shared" si="2"/>
        <v>4</v>
      </c>
      <c r="D28" s="152">
        <f t="shared" si="2"/>
        <v>2.5906735751295336</v>
      </c>
      <c r="E28" s="152">
        <f t="shared" si="2"/>
        <v>0.23</v>
      </c>
      <c r="F28" s="152"/>
      <c r="G28" s="152">
        <f t="shared" si="3"/>
        <v>2.383419689119171</v>
      </c>
      <c r="H28" s="178"/>
      <c r="I28" s="178"/>
      <c r="J28" s="152"/>
      <c r="K28" s="178"/>
    </row>
    <row r="29" spans="1:11" x14ac:dyDescent="0.25">
      <c r="A29" s="182"/>
      <c r="B29" s="173" t="s">
        <v>63</v>
      </c>
      <c r="C29" s="151">
        <v>2</v>
      </c>
      <c r="D29" s="152">
        <f>2.975+0.075*2</f>
        <v>3.125</v>
      </c>
      <c r="E29" s="152">
        <f>2.595+0.075*2</f>
        <v>2.7450000000000001</v>
      </c>
      <c r="F29" s="152"/>
      <c r="G29" s="152">
        <f t="shared" si="3"/>
        <v>17.15625</v>
      </c>
      <c r="H29" s="178"/>
      <c r="I29" s="178"/>
      <c r="J29" s="152"/>
      <c r="K29" s="178"/>
    </row>
    <row r="30" spans="1:11" x14ac:dyDescent="0.25">
      <c r="A30" s="182"/>
      <c r="B30" s="173" t="s">
        <v>149</v>
      </c>
      <c r="C30" s="151">
        <f t="shared" ref="C30:E32" si="4">C13</f>
        <v>1</v>
      </c>
      <c r="D30" s="152">
        <f t="shared" si="4"/>
        <v>1.8699999999999999</v>
      </c>
      <c r="E30" s="152">
        <f t="shared" si="4"/>
        <v>3.6574215178299299</v>
      </c>
      <c r="F30" s="152"/>
      <c r="G30" s="152">
        <f t="shared" si="3"/>
        <v>6.8393782383419683</v>
      </c>
      <c r="H30" s="178"/>
      <c r="I30" s="178"/>
      <c r="J30" s="152"/>
      <c r="K30" s="178"/>
    </row>
    <row r="31" spans="1:11" x14ac:dyDescent="0.25">
      <c r="A31" s="182"/>
      <c r="B31" s="173"/>
      <c r="C31" s="151">
        <f t="shared" si="4"/>
        <v>1</v>
      </c>
      <c r="D31" s="152">
        <f t="shared" si="4"/>
        <v>7.5</v>
      </c>
      <c r="E31" s="152">
        <f t="shared" si="4"/>
        <v>1.1499999999999999</v>
      </c>
      <c r="F31" s="152"/>
      <c r="G31" s="152">
        <f t="shared" si="3"/>
        <v>8.625</v>
      </c>
      <c r="H31" s="178"/>
      <c r="I31" s="178"/>
      <c r="J31" s="152"/>
      <c r="K31" s="178"/>
    </row>
    <row r="32" spans="1:11" x14ac:dyDescent="0.25">
      <c r="A32" s="182"/>
      <c r="B32" s="173"/>
      <c r="C32" s="151">
        <f t="shared" si="4"/>
        <v>1</v>
      </c>
      <c r="D32" s="152">
        <f t="shared" si="4"/>
        <v>1.6</v>
      </c>
      <c r="E32" s="152">
        <f t="shared" si="4"/>
        <v>1.55</v>
      </c>
      <c r="F32" s="152"/>
      <c r="G32" s="152">
        <f t="shared" si="3"/>
        <v>2.4800000000000004</v>
      </c>
      <c r="H32" s="178"/>
      <c r="I32" s="178"/>
      <c r="J32" s="152"/>
      <c r="K32" s="178"/>
    </row>
    <row r="33" spans="1:11" x14ac:dyDescent="0.25">
      <c r="A33" s="182"/>
      <c r="B33" s="173" t="s">
        <v>151</v>
      </c>
      <c r="C33" s="151">
        <v>1</v>
      </c>
      <c r="D33" s="152">
        <f>3+0.75-0.23</f>
        <v>3.52</v>
      </c>
      <c r="E33" s="152">
        <v>0.23</v>
      </c>
      <c r="F33" s="152"/>
      <c r="G33" s="152">
        <f t="shared" si="3"/>
        <v>0.80959999999999999</v>
      </c>
      <c r="H33" s="178"/>
      <c r="I33" s="178"/>
      <c r="J33" s="152"/>
      <c r="K33" s="178"/>
    </row>
    <row r="34" spans="1:11" x14ac:dyDescent="0.25">
      <c r="A34" s="182"/>
      <c r="B34" s="173" t="str">
        <f>B47</f>
        <v>-compound base</v>
      </c>
      <c r="C34" s="151">
        <v>1</v>
      </c>
      <c r="D34" s="152">
        <f>D47</f>
        <v>14.369999999999997</v>
      </c>
      <c r="E34" s="152">
        <f>E47</f>
        <v>0.75</v>
      </c>
      <c r="F34" s="152"/>
      <c r="G34" s="152">
        <f t="shared" si="3"/>
        <v>10.777499999999998</v>
      </c>
      <c r="H34" s="178"/>
      <c r="I34" s="178"/>
      <c r="J34" s="152"/>
      <c r="K34" s="178"/>
    </row>
    <row r="35" spans="1:11" x14ac:dyDescent="0.25">
      <c r="A35" s="182"/>
      <c r="B35" s="173" t="s">
        <v>152</v>
      </c>
      <c r="C35" s="151">
        <v>1</v>
      </c>
      <c r="D35" s="152">
        <f>9/3.281</f>
        <v>2.7430661383724475</v>
      </c>
      <c r="E35" s="152">
        <v>0.4</v>
      </c>
      <c r="F35" s="152"/>
      <c r="G35" s="152">
        <f>PRODUCT(C35:F35)</f>
        <v>1.097226455348979</v>
      </c>
      <c r="H35" s="178"/>
      <c r="I35" s="178"/>
      <c r="J35" s="152"/>
      <c r="K35" s="178"/>
    </row>
    <row r="36" spans="1:11" x14ac:dyDescent="0.25">
      <c r="A36" s="182"/>
      <c r="B36" s="179" t="s">
        <v>16</v>
      </c>
      <c r="C36" s="151"/>
      <c r="D36" s="152"/>
      <c r="E36" s="152"/>
      <c r="F36" s="152"/>
      <c r="G36" s="153">
        <f>SUM(G25:G35)</f>
        <v>65.738374382810122</v>
      </c>
      <c r="H36" s="6" t="s">
        <v>23</v>
      </c>
      <c r="I36" s="6">
        <f>1500/10</f>
        <v>150</v>
      </c>
      <c r="J36" s="154">
        <f>G36*I36</f>
        <v>9860.7561574215179</v>
      </c>
      <c r="K36" s="178"/>
    </row>
    <row r="37" spans="1:11" hidden="1" x14ac:dyDescent="0.25">
      <c r="A37" s="182"/>
      <c r="B37" s="179" t="s">
        <v>17</v>
      </c>
      <c r="C37" s="151"/>
      <c r="D37" s="152"/>
      <c r="E37" s="152"/>
      <c r="F37" s="152"/>
      <c r="G37" s="152"/>
      <c r="H37" s="6"/>
      <c r="I37" s="152"/>
      <c r="J37" s="154">
        <f>0.13*G36*(8353.81)/10</f>
        <v>7139.1565609372192</v>
      </c>
      <c r="K37" s="178"/>
    </row>
    <row r="38" spans="1:11" x14ac:dyDescent="0.25">
      <c r="A38" s="182"/>
      <c r="B38" s="178"/>
      <c r="C38" s="151"/>
      <c r="D38" s="152"/>
      <c r="E38" s="152"/>
      <c r="F38" s="152"/>
      <c r="G38" s="152"/>
      <c r="H38" s="178"/>
      <c r="I38" s="152"/>
      <c r="J38" s="152"/>
      <c r="K38" s="178"/>
    </row>
    <row r="39" spans="1:11" ht="63" x14ac:dyDescent="0.25">
      <c r="A39" s="182">
        <v>4</v>
      </c>
      <c r="B39" s="124" t="s">
        <v>99</v>
      </c>
      <c r="C39" s="151"/>
      <c r="D39" s="152"/>
      <c r="E39" s="152"/>
      <c r="F39" s="152"/>
      <c r="G39" s="151"/>
      <c r="H39" s="178"/>
      <c r="I39" s="152"/>
      <c r="J39" s="152"/>
      <c r="K39" s="225" t="s">
        <v>154</v>
      </c>
    </row>
    <row r="40" spans="1:11" x14ac:dyDescent="0.25">
      <c r="A40" s="182"/>
      <c r="B40" s="173" t="s">
        <v>153</v>
      </c>
      <c r="C40" s="177">
        <v>0.5</v>
      </c>
      <c r="D40" s="152">
        <f>G10</f>
        <v>21.6</v>
      </c>
      <c r="E40" s="152"/>
      <c r="F40" s="152"/>
      <c r="G40" s="152">
        <f>PRODUCT(C40:F40)</f>
        <v>10.8</v>
      </c>
      <c r="H40" s="178"/>
      <c r="I40" s="152"/>
      <c r="J40" s="152"/>
      <c r="K40" s="225"/>
    </row>
    <row r="41" spans="1:11" x14ac:dyDescent="0.25">
      <c r="A41" s="182"/>
      <c r="B41" s="179" t="str">
        <f>B45</f>
        <v>-Extending compound</v>
      </c>
      <c r="C41" s="151">
        <v>1</v>
      </c>
      <c r="D41" s="152">
        <f>D60</f>
        <v>14.5</v>
      </c>
      <c r="E41" s="152">
        <v>0.9</v>
      </c>
      <c r="F41" s="152">
        <v>0.3</v>
      </c>
      <c r="G41" s="152">
        <f>PRODUCT(C41:F41)</f>
        <v>3.915</v>
      </c>
      <c r="H41" s="178"/>
      <c r="I41" s="152"/>
      <c r="J41" s="152"/>
      <c r="K41" s="178"/>
    </row>
    <row r="42" spans="1:11" x14ac:dyDescent="0.25">
      <c r="A42" s="182"/>
      <c r="B42" s="179" t="s">
        <v>16</v>
      </c>
      <c r="C42" s="151"/>
      <c r="D42" s="152"/>
      <c r="E42" s="152"/>
      <c r="F42" s="152"/>
      <c r="G42" s="153">
        <f>SUM(G40:G41)</f>
        <v>14.715</v>
      </c>
      <c r="H42" s="6" t="s">
        <v>18</v>
      </c>
      <c r="I42" s="6">
        <v>451.4</v>
      </c>
      <c r="J42" s="154">
        <f>G42*I42</f>
        <v>6642.3509999999997</v>
      </c>
      <c r="K42" s="178"/>
    </row>
    <row r="43" spans="1:11" x14ac:dyDescent="0.25">
      <c r="A43" s="182"/>
      <c r="B43" s="178"/>
      <c r="C43" s="151"/>
      <c r="D43" s="152"/>
      <c r="E43" s="152"/>
      <c r="F43" s="152"/>
      <c r="G43" s="152"/>
      <c r="H43" s="178"/>
      <c r="I43" s="152"/>
      <c r="J43" s="152"/>
      <c r="K43" s="178"/>
    </row>
    <row r="44" spans="1:11" s="9" customFormat="1" ht="30" x14ac:dyDescent="0.25">
      <c r="A44" s="182">
        <v>5</v>
      </c>
      <c r="B44" s="139" t="s">
        <v>40</v>
      </c>
      <c r="C44" s="151"/>
      <c r="D44" s="152"/>
      <c r="E44" s="152"/>
      <c r="F44" s="152"/>
      <c r="G44" s="152"/>
      <c r="H44" s="178"/>
      <c r="I44" s="152"/>
      <c r="J44" s="152"/>
      <c r="K44" s="178"/>
    </row>
    <row r="45" spans="1:11" x14ac:dyDescent="0.25">
      <c r="A45" s="182"/>
      <c r="B45" s="173" t="str">
        <f>B67</f>
        <v>-Extending compound</v>
      </c>
      <c r="C45" s="151">
        <f>C67</f>
        <v>1</v>
      </c>
      <c r="D45" s="152">
        <f>3+7.17+4.8+1-0.23+0.75-0.23</f>
        <v>16.259999999999998</v>
      </c>
      <c r="E45" s="152">
        <v>0.115</v>
      </c>
      <c r="F45" s="152">
        <v>7.4999999999999997E-2</v>
      </c>
      <c r="G45" s="152">
        <f t="shared" ref="G45:G55" si="5">PRODUCT(C45:F45)</f>
        <v>0.14024249999999999</v>
      </c>
      <c r="H45" s="178"/>
      <c r="I45" s="178"/>
      <c r="J45" s="152"/>
      <c r="K45" s="178"/>
    </row>
    <row r="46" spans="1:11" x14ac:dyDescent="0.25">
      <c r="A46" s="182"/>
      <c r="B46" s="173"/>
      <c r="C46" s="151">
        <v>11</v>
      </c>
      <c r="D46" s="152">
        <v>0.23</v>
      </c>
      <c r="E46" s="152">
        <v>0.115</v>
      </c>
      <c r="F46" s="152">
        <v>7.4999999999999997E-2</v>
      </c>
      <c r="G46" s="152">
        <f t="shared" si="5"/>
        <v>2.1821250000000004E-2</v>
      </c>
      <c r="H46" s="178"/>
      <c r="I46" s="178"/>
      <c r="J46" s="152"/>
      <c r="K46" s="178"/>
    </row>
    <row r="47" spans="1:11" x14ac:dyDescent="0.25">
      <c r="A47" s="182"/>
      <c r="B47" s="173" t="s">
        <v>156</v>
      </c>
      <c r="C47" s="151">
        <v>1</v>
      </c>
      <c r="D47" s="152">
        <f>3+7.17+4.8-0.23-0.23-0.14</f>
        <v>14.369999999999997</v>
      </c>
      <c r="E47" s="152">
        <v>0.75</v>
      </c>
      <c r="F47" s="152">
        <v>0.05</v>
      </c>
      <c r="G47" s="152">
        <f t="shared" si="5"/>
        <v>0.53887499999999988</v>
      </c>
      <c r="H47" s="178"/>
      <c r="I47" s="178"/>
      <c r="J47" s="152"/>
      <c r="K47" s="178"/>
    </row>
    <row r="48" spans="1:11" x14ac:dyDescent="0.25">
      <c r="A48" s="182"/>
      <c r="B48" s="173" t="s">
        <v>57</v>
      </c>
      <c r="C48" s="151">
        <f>C26</f>
        <v>6</v>
      </c>
      <c r="D48" s="152">
        <f>D26</f>
        <v>1.5</v>
      </c>
      <c r="E48" s="152">
        <f>E26</f>
        <v>1.5</v>
      </c>
      <c r="F48" s="152">
        <v>0.05</v>
      </c>
      <c r="G48" s="152">
        <f t="shared" si="5"/>
        <v>0.67500000000000004</v>
      </c>
      <c r="H48" s="178"/>
      <c r="I48" s="178"/>
      <c r="J48" s="152"/>
      <c r="K48" s="178"/>
    </row>
    <row r="49" spans="1:14" x14ac:dyDescent="0.25">
      <c r="A49" s="182"/>
      <c r="B49" s="173" t="s">
        <v>63</v>
      </c>
      <c r="C49" s="151">
        <v>1</v>
      </c>
      <c r="D49" s="152">
        <f>2.975+0.075*2</f>
        <v>3.125</v>
      </c>
      <c r="E49" s="152">
        <f>2.595+0.075*2</f>
        <v>2.7450000000000001</v>
      </c>
      <c r="F49" s="152">
        <v>7.4999999999999997E-2</v>
      </c>
      <c r="G49" s="152">
        <f t="shared" si="5"/>
        <v>0.64335937499999996</v>
      </c>
      <c r="H49" s="178"/>
      <c r="I49" s="178"/>
      <c r="J49" s="152"/>
      <c r="K49" s="178"/>
    </row>
    <row r="50" spans="1:14" x14ac:dyDescent="0.25">
      <c r="A50" s="182"/>
      <c r="B50" s="173"/>
      <c r="C50" s="151">
        <v>1</v>
      </c>
      <c r="D50" s="152">
        <f>2.975+0.075*2</f>
        <v>3.125</v>
      </c>
      <c r="E50" s="152">
        <f>2.595+0.075*2</f>
        <v>2.7450000000000001</v>
      </c>
      <c r="F50" s="152">
        <v>7.4999999999999997E-2</v>
      </c>
      <c r="G50" s="152">
        <f t="shared" si="5"/>
        <v>0.64335937499999996</v>
      </c>
      <c r="H50" s="178"/>
      <c r="I50" s="178"/>
      <c r="J50" s="152"/>
      <c r="K50" s="178"/>
    </row>
    <row r="51" spans="1:14" x14ac:dyDescent="0.25">
      <c r="A51" s="182"/>
      <c r="B51" s="173" t="str">
        <f>B30</f>
        <v>-New path</v>
      </c>
      <c r="C51" s="151">
        <f>C30</f>
        <v>1</v>
      </c>
      <c r="D51" s="152">
        <f>D30</f>
        <v>1.8699999999999999</v>
      </c>
      <c r="E51" s="152">
        <f>E30</f>
        <v>3.6574215178299299</v>
      </c>
      <c r="F51" s="152">
        <f>2.25/12/3.281</f>
        <v>5.7147211216092654E-2</v>
      </c>
      <c r="G51" s="152">
        <f t="shared" si="5"/>
        <v>0.39085139277327613</v>
      </c>
      <c r="H51" s="178"/>
      <c r="I51" s="178"/>
      <c r="J51" s="152"/>
      <c r="K51" s="178"/>
    </row>
    <row r="52" spans="1:14" x14ac:dyDescent="0.25">
      <c r="A52" s="182"/>
      <c r="B52" s="173"/>
      <c r="C52" s="151">
        <f t="shared" ref="C52:E53" si="6">C31</f>
        <v>1</v>
      </c>
      <c r="D52" s="152">
        <f t="shared" si="6"/>
        <v>7.5</v>
      </c>
      <c r="E52" s="152">
        <f t="shared" si="6"/>
        <v>1.1499999999999999</v>
      </c>
      <c r="F52" s="152">
        <f>2.25/12/3.281</f>
        <v>5.7147211216092654E-2</v>
      </c>
      <c r="G52" s="152">
        <f t="shared" si="5"/>
        <v>0.49289469673879915</v>
      </c>
      <c r="H52" s="178"/>
      <c r="I52" s="178"/>
      <c r="J52" s="152"/>
      <c r="K52" s="178"/>
    </row>
    <row r="53" spans="1:14" x14ac:dyDescent="0.25">
      <c r="A53" s="182"/>
      <c r="B53" s="173"/>
      <c r="C53" s="151">
        <f t="shared" si="6"/>
        <v>1</v>
      </c>
      <c r="D53" s="152">
        <f t="shared" si="6"/>
        <v>1.6</v>
      </c>
      <c r="E53" s="152">
        <f t="shared" si="6"/>
        <v>1.55</v>
      </c>
      <c r="F53" s="152">
        <v>0.05</v>
      </c>
      <c r="G53" s="152">
        <f t="shared" si="5"/>
        <v>0.12400000000000003</v>
      </c>
      <c r="H53" s="178"/>
      <c r="I53" s="178"/>
      <c r="J53" s="152"/>
      <c r="K53" s="178"/>
    </row>
    <row r="54" spans="1:14" x14ac:dyDescent="0.25">
      <c r="A54" s="182"/>
      <c r="B54" s="173" t="str">
        <f>B16</f>
        <v>-drain</v>
      </c>
      <c r="C54" s="151">
        <f>C16</f>
        <v>1</v>
      </c>
      <c r="D54" s="152">
        <f>D16</f>
        <v>10.047851264858275</v>
      </c>
      <c r="E54" s="152">
        <f>E16</f>
        <v>0.4</v>
      </c>
      <c r="F54" s="152">
        <v>0.05</v>
      </c>
      <c r="G54" s="152">
        <f t="shared" si="5"/>
        <v>0.20095702529716553</v>
      </c>
      <c r="H54" s="178"/>
      <c r="I54" s="178"/>
      <c r="J54" s="152"/>
      <c r="K54" s="178"/>
    </row>
    <row r="55" spans="1:14" x14ac:dyDescent="0.25">
      <c r="A55" s="182"/>
      <c r="B55" s="173" t="s">
        <v>159</v>
      </c>
      <c r="C55" s="151">
        <v>1</v>
      </c>
      <c r="D55" s="152">
        <f>6.21+1.27+0.6</f>
        <v>8.08</v>
      </c>
      <c r="E55" s="152">
        <v>0.3</v>
      </c>
      <c r="F55" s="152">
        <v>0.05</v>
      </c>
      <c r="G55" s="152">
        <f t="shared" si="5"/>
        <v>0.1212</v>
      </c>
      <c r="H55" s="178"/>
      <c r="I55" s="178"/>
      <c r="J55" s="152"/>
      <c r="K55" s="178"/>
    </row>
    <row r="56" spans="1:14" x14ac:dyDescent="0.25">
      <c r="A56" s="182"/>
      <c r="B56" s="179" t="s">
        <v>16</v>
      </c>
      <c r="C56" s="151"/>
      <c r="D56" s="152"/>
      <c r="E56" s="152"/>
      <c r="F56" s="152"/>
      <c r="G56" s="153">
        <f>SUM(G45:G55)</f>
        <v>3.992560614809241</v>
      </c>
      <c r="H56" s="182" t="s">
        <v>18</v>
      </c>
      <c r="I56" s="6">
        <v>13509.07</v>
      </c>
      <c r="J56" s="154">
        <f>G56*I56</f>
        <v>53935.780824701069</v>
      </c>
      <c r="K56" s="178"/>
    </row>
    <row r="57" spans="1:14" hidden="1" x14ac:dyDescent="0.25">
      <c r="A57" s="182"/>
      <c r="B57" s="179" t="s">
        <v>17</v>
      </c>
      <c r="C57" s="151"/>
      <c r="D57" s="152"/>
      <c r="E57" s="152"/>
      <c r="F57" s="152"/>
      <c r="G57" s="152"/>
      <c r="H57" s="178"/>
      <c r="I57" s="152"/>
      <c r="J57" s="154">
        <f>0.13*G56*(8709.07)</f>
        <v>4520.293683570173</v>
      </c>
      <c r="K57" s="178"/>
    </row>
    <row r="58" spans="1:14" x14ac:dyDescent="0.25">
      <c r="A58" s="182"/>
      <c r="B58" s="179"/>
      <c r="C58" s="151"/>
      <c r="D58" s="152"/>
      <c r="E58" s="152"/>
      <c r="F58" s="152"/>
      <c r="G58" s="152"/>
      <c r="H58" s="178"/>
      <c r="I58" s="152"/>
      <c r="J58" s="154"/>
      <c r="K58" s="178"/>
    </row>
    <row r="59" spans="1:14" ht="30" x14ac:dyDescent="0.25">
      <c r="A59" s="20">
        <v>6</v>
      </c>
      <c r="B59" s="139" t="s">
        <v>81</v>
      </c>
      <c r="C59" s="21"/>
      <c r="D59" s="22"/>
      <c r="E59" s="23"/>
      <c r="F59" s="23"/>
      <c r="G59" s="7"/>
      <c r="H59" s="6"/>
      <c r="I59" s="7"/>
      <c r="J59" s="153"/>
      <c r="K59" s="23"/>
    </row>
    <row r="60" spans="1:14" x14ac:dyDescent="0.25">
      <c r="A60" s="182"/>
      <c r="B60" s="150" t="str">
        <f>B67</f>
        <v>-Extending compound</v>
      </c>
      <c r="C60" s="151">
        <v>1</v>
      </c>
      <c r="D60" s="152">
        <v>14.5</v>
      </c>
      <c r="E60" s="152">
        <f>0.23/2</f>
        <v>0.115</v>
      </c>
      <c r="F60" s="152">
        <v>2</v>
      </c>
      <c r="G60" s="152">
        <f>PRODUCT(C60:F60)</f>
        <v>3.335</v>
      </c>
      <c r="H60" s="178"/>
      <c r="I60" s="152"/>
      <c r="J60" s="154"/>
      <c r="K60" s="178"/>
      <c r="M60">
        <f>1+7.12+4.83-0.115+2.8+0.9</f>
        <v>16.535</v>
      </c>
      <c r="N60">
        <f>3+7.17+4.8-0.35</f>
        <v>14.62</v>
      </c>
    </row>
    <row r="61" spans="1:14" x14ac:dyDescent="0.25">
      <c r="A61" s="182"/>
      <c r="B61" s="150"/>
      <c r="C61" s="151">
        <v>9</v>
      </c>
      <c r="D61" s="152">
        <v>0.23</v>
      </c>
      <c r="E61" s="152">
        <f>0.23/2</f>
        <v>0.115</v>
      </c>
      <c r="F61" s="152">
        <v>2</v>
      </c>
      <c r="G61" s="152">
        <f>PRODUCT(C61:F61)</f>
        <v>0.47610000000000008</v>
      </c>
      <c r="H61" s="178"/>
      <c r="I61" s="152"/>
      <c r="J61" s="154"/>
      <c r="K61" s="178"/>
    </row>
    <row r="62" spans="1:14" x14ac:dyDescent="0.25">
      <c r="A62" s="182"/>
      <c r="B62" s="150" t="s">
        <v>82</v>
      </c>
      <c r="C62" s="151">
        <v>2</v>
      </c>
      <c r="D62" s="152">
        <f>17.667/3.281</f>
        <v>5.3846388296251142</v>
      </c>
      <c r="E62" s="152">
        <v>0.23</v>
      </c>
      <c r="F62" s="152">
        <f>5.667/3.281</f>
        <v>1.7272173117951843</v>
      </c>
      <c r="G62" s="152">
        <f>PRODUCT(C62:F62)</f>
        <v>4.2782030459748066</v>
      </c>
      <c r="H62" s="178"/>
      <c r="I62" s="152"/>
      <c r="J62" s="154"/>
      <c r="K62" s="178"/>
    </row>
    <row r="63" spans="1:14" x14ac:dyDescent="0.25">
      <c r="A63" s="182"/>
      <c r="B63" s="150"/>
      <c r="C63" s="151">
        <v>2</v>
      </c>
      <c r="D63" s="152">
        <f>10.25/3.281</f>
        <v>3.1240475464797317</v>
      </c>
      <c r="E63" s="152">
        <v>0.23</v>
      </c>
      <c r="F63" s="152">
        <f>5.667/3.281</f>
        <v>1.7272173117951843</v>
      </c>
      <c r="G63" s="152">
        <f>PRODUCT(C63:F63)</f>
        <v>2.4821181423694894</v>
      </c>
      <c r="H63" s="178"/>
      <c r="I63" s="152"/>
      <c r="J63" s="154"/>
      <c r="K63" s="178"/>
    </row>
    <row r="64" spans="1:14" ht="15" customHeight="1" x14ac:dyDescent="0.25">
      <c r="A64" s="182"/>
      <c r="B64" s="150" t="s">
        <v>16</v>
      </c>
      <c r="C64" s="151"/>
      <c r="D64" s="152"/>
      <c r="E64" s="152"/>
      <c r="F64" s="152"/>
      <c r="G64" s="153">
        <f>SUM(G60:G63)</f>
        <v>10.571421188344296</v>
      </c>
      <c r="H64" s="153" t="s">
        <v>18</v>
      </c>
      <c r="I64" s="6">
        <v>1908</v>
      </c>
      <c r="J64" s="154">
        <f>G64*I64</f>
        <v>20170.271627360915</v>
      </c>
      <c r="K64" s="178"/>
    </row>
    <row r="65" spans="1:17" ht="15" customHeight="1" x14ac:dyDescent="0.25">
      <c r="A65" s="20"/>
      <c r="B65" s="150"/>
      <c r="C65" s="21"/>
      <c r="D65" s="22"/>
      <c r="E65" s="23"/>
      <c r="F65" s="23"/>
      <c r="G65" s="7"/>
      <c r="H65" s="6"/>
      <c r="I65" s="7"/>
      <c r="J65" s="153"/>
      <c r="K65" s="23"/>
    </row>
    <row r="66" spans="1:17" ht="30" x14ac:dyDescent="0.25">
      <c r="A66" s="182">
        <v>7</v>
      </c>
      <c r="B66" s="139" t="s">
        <v>39</v>
      </c>
      <c r="C66" s="151"/>
      <c r="D66" s="152"/>
      <c r="E66" s="152"/>
      <c r="F66" s="152"/>
      <c r="G66" s="152"/>
      <c r="H66" s="178"/>
      <c r="I66" s="152"/>
      <c r="J66" s="154"/>
      <c r="K66" s="178"/>
    </row>
    <row r="67" spans="1:17" x14ac:dyDescent="0.25">
      <c r="A67" s="182"/>
      <c r="B67" s="150" t="s">
        <v>74</v>
      </c>
      <c r="C67" s="151">
        <v>1</v>
      </c>
      <c r="D67" s="180">
        <f>1.03+0.1+6.9+4.65</f>
        <v>12.680000000000001</v>
      </c>
      <c r="E67" s="180">
        <v>0.11</v>
      </c>
      <c r="F67" s="180">
        <f>1-0.025</f>
        <v>0.97499999999999998</v>
      </c>
      <c r="G67" s="152">
        <f t="shared" ref="G67:G78" si="7">PRODUCT(C67:F67)</f>
        <v>1.3599300000000003</v>
      </c>
      <c r="H67" s="178"/>
      <c r="I67" s="152"/>
      <c r="J67" s="154"/>
      <c r="K67" s="178"/>
      <c r="N67">
        <f>1.03+0.1+6.9+4.65</f>
        <v>12.680000000000001</v>
      </c>
      <c r="O67">
        <v>0.11</v>
      </c>
      <c r="P67">
        <f>1-0.025</f>
        <v>0.97499999999999998</v>
      </c>
      <c r="Q67" s="48">
        <f>PRODUCT(L67:P67)</f>
        <v>1.3599300000000003</v>
      </c>
    </row>
    <row r="68" spans="1:17" x14ac:dyDescent="0.25">
      <c r="A68" s="182"/>
      <c r="B68" s="150"/>
      <c r="C68" s="151">
        <v>1</v>
      </c>
      <c r="D68" s="180">
        <f>3+0.62</f>
        <v>3.62</v>
      </c>
      <c r="E68" s="180">
        <v>0.11</v>
      </c>
      <c r="F68" s="180">
        <f>1.27-0.025</f>
        <v>1.2450000000000001</v>
      </c>
      <c r="G68" s="152">
        <f t="shared" si="7"/>
        <v>0.49575900000000006</v>
      </c>
      <c r="H68" s="178"/>
      <c r="I68" s="152"/>
      <c r="J68" s="154"/>
      <c r="K68" s="178"/>
      <c r="N68">
        <f>3+0.62</f>
        <v>3.62</v>
      </c>
      <c r="O68">
        <v>0.11</v>
      </c>
      <c r="P68">
        <f>1.27-0.025</f>
        <v>1.2450000000000001</v>
      </c>
      <c r="Q68" s="48">
        <f t="shared" ref="Q68:Q88" si="8">PRODUCT(L68:P68)</f>
        <v>0.49575900000000006</v>
      </c>
    </row>
    <row r="69" spans="1:17" x14ac:dyDescent="0.25">
      <c r="A69" s="182"/>
      <c r="B69" s="150" t="s">
        <v>157</v>
      </c>
      <c r="C69" s="151">
        <v>1</v>
      </c>
      <c r="D69" s="180">
        <f>0.23+0.1</f>
        <v>0.33</v>
      </c>
      <c r="E69" s="180">
        <v>0.11</v>
      </c>
      <c r="F69" s="180">
        <f>1.27-0.025</f>
        <v>1.2450000000000001</v>
      </c>
      <c r="G69" s="152">
        <f t="shared" si="7"/>
        <v>4.5193500000000005E-2</v>
      </c>
      <c r="H69" s="178"/>
      <c r="I69" s="152"/>
      <c r="J69" s="154"/>
      <c r="K69" s="178"/>
      <c r="N69">
        <f>0.23+0.1</f>
        <v>0.33</v>
      </c>
      <c r="O69">
        <v>0.11</v>
      </c>
      <c r="P69">
        <f>1.27-0.025</f>
        <v>1.2450000000000001</v>
      </c>
      <c r="Q69" s="48">
        <f t="shared" si="8"/>
        <v>4.5193500000000005E-2</v>
      </c>
    </row>
    <row r="70" spans="1:17" x14ac:dyDescent="0.25">
      <c r="A70" s="182"/>
      <c r="B70" s="150" t="s">
        <v>157</v>
      </c>
      <c r="C70" s="151">
        <v>1</v>
      </c>
      <c r="D70" s="180">
        <f>7*0.23</f>
        <v>1.61</v>
      </c>
      <c r="E70" s="180">
        <v>0.11</v>
      </c>
      <c r="F70" s="180">
        <f>1-0.025</f>
        <v>0.97499999999999998</v>
      </c>
      <c r="G70" s="152">
        <f t="shared" si="7"/>
        <v>0.17267250000000001</v>
      </c>
      <c r="H70" s="178"/>
      <c r="I70" s="152"/>
      <c r="J70" s="154"/>
      <c r="K70" s="178"/>
      <c r="N70">
        <f>7*0.23</f>
        <v>1.61</v>
      </c>
      <c r="O70">
        <v>0.11</v>
      </c>
      <c r="P70">
        <f>1-0.025</f>
        <v>0.97499999999999998</v>
      </c>
      <c r="Q70" s="48">
        <f t="shared" si="8"/>
        <v>0.17267250000000001</v>
      </c>
    </row>
    <row r="71" spans="1:17" x14ac:dyDescent="0.25">
      <c r="A71" s="182"/>
      <c r="B71" s="150" t="s">
        <v>158</v>
      </c>
      <c r="C71" s="151">
        <v>1</v>
      </c>
      <c r="D71" s="180">
        <f>1.03+0.1+6.9+4.65+3+0.62</f>
        <v>16.3</v>
      </c>
      <c r="E71" s="180">
        <v>0.23</v>
      </c>
      <c r="F71" s="180">
        <v>0.4</v>
      </c>
      <c r="G71" s="152">
        <f t="shared" si="7"/>
        <v>1.4996</v>
      </c>
      <c r="H71" s="178"/>
      <c r="I71" s="152"/>
      <c r="J71" s="154"/>
      <c r="K71" s="178"/>
      <c r="N71">
        <f>1.03+0.1+6.9+4.65+3+0.62</f>
        <v>16.3</v>
      </c>
      <c r="O71">
        <v>0.23</v>
      </c>
      <c r="P71">
        <v>0.4</v>
      </c>
      <c r="Q71" s="48">
        <f t="shared" si="8"/>
        <v>1.4996</v>
      </c>
    </row>
    <row r="72" spans="1:17" x14ac:dyDescent="0.25">
      <c r="A72" s="182"/>
      <c r="B72" s="150" t="s">
        <v>159</v>
      </c>
      <c r="C72" s="151">
        <v>1</v>
      </c>
      <c r="D72" s="181">
        <f>1.6+6.45</f>
        <v>8.0500000000000007</v>
      </c>
      <c r="E72" s="180">
        <f>0.28-0.025</f>
        <v>0.255</v>
      </c>
      <c r="F72" s="180">
        <v>0.4</v>
      </c>
      <c r="G72" s="152">
        <f t="shared" si="7"/>
        <v>0.82110000000000005</v>
      </c>
      <c r="H72" s="178"/>
      <c r="I72" s="152"/>
      <c r="J72" s="154"/>
      <c r="K72" s="178"/>
      <c r="N72" s="44">
        <f>1.6+6.45</f>
        <v>8.0500000000000007</v>
      </c>
      <c r="O72">
        <f>0.28-0.025</f>
        <v>0.255</v>
      </c>
      <c r="P72">
        <v>0.4</v>
      </c>
      <c r="Q72" s="48">
        <f t="shared" si="8"/>
        <v>0.82110000000000005</v>
      </c>
    </row>
    <row r="73" spans="1:17" x14ac:dyDescent="0.25">
      <c r="A73" s="182"/>
      <c r="B73" s="179" t="s">
        <v>58</v>
      </c>
      <c r="C73" s="151">
        <v>1</v>
      </c>
      <c r="D73" s="180">
        <f>2.6+2.6+2.595+2.595</f>
        <v>10.39</v>
      </c>
      <c r="E73" s="180">
        <v>0.23</v>
      </c>
      <c r="F73" s="180">
        <v>0.4</v>
      </c>
      <c r="G73" s="152">
        <f t="shared" si="7"/>
        <v>0.95588000000000017</v>
      </c>
      <c r="H73" s="178"/>
      <c r="I73" s="178"/>
      <c r="J73" s="152"/>
      <c r="K73" s="178"/>
      <c r="N73">
        <f>2.6+2.6+2.595+2.595</f>
        <v>10.39</v>
      </c>
      <c r="O73">
        <v>0.23</v>
      </c>
      <c r="P73">
        <v>0.4</v>
      </c>
      <c r="Q73" s="48">
        <f t="shared" si="8"/>
        <v>0.95588000000000017</v>
      </c>
    </row>
    <row r="74" spans="1:17" x14ac:dyDescent="0.25">
      <c r="A74" s="182"/>
      <c r="B74" s="179"/>
      <c r="C74" s="151">
        <v>1</v>
      </c>
      <c r="D74" s="180">
        <f>2.99+3</f>
        <v>5.99</v>
      </c>
      <c r="E74" s="180">
        <v>0.23</v>
      </c>
      <c r="F74" s="180">
        <v>0.4</v>
      </c>
      <c r="G74" s="152">
        <f t="shared" si="7"/>
        <v>0.55108000000000013</v>
      </c>
      <c r="H74" s="178"/>
      <c r="I74" s="178"/>
      <c r="J74" s="152"/>
      <c r="K74" s="178"/>
      <c r="N74">
        <f>2.99+3</f>
        <v>5.99</v>
      </c>
      <c r="O74">
        <v>0.23</v>
      </c>
      <c r="P74">
        <v>0.4</v>
      </c>
      <c r="Q74" s="48">
        <f t="shared" si="8"/>
        <v>0.55108000000000013</v>
      </c>
    </row>
    <row r="75" spans="1:17" x14ac:dyDescent="0.25">
      <c r="A75" s="182"/>
      <c r="B75" s="173" t="s">
        <v>161</v>
      </c>
      <c r="C75" s="151">
        <v>2</v>
      </c>
      <c r="D75" s="180">
        <f>(2.6)</f>
        <v>2.6</v>
      </c>
      <c r="E75" s="152">
        <v>0.23</v>
      </c>
      <c r="F75" s="152">
        <v>2.42</v>
      </c>
      <c r="G75" s="152">
        <f t="shared" si="7"/>
        <v>2.8943200000000004</v>
      </c>
      <c r="H75" s="178"/>
      <c r="I75" s="178"/>
      <c r="J75" s="152"/>
      <c r="K75" s="178"/>
      <c r="N75">
        <f>2*(2.6)</f>
        <v>5.2</v>
      </c>
      <c r="O75">
        <v>0.23</v>
      </c>
      <c r="P75">
        <v>2.37</v>
      </c>
      <c r="Q75" s="48">
        <f t="shared" si="8"/>
        <v>2.8345200000000004</v>
      </c>
    </row>
    <row r="76" spans="1:17" x14ac:dyDescent="0.25">
      <c r="A76" s="182"/>
      <c r="B76" s="173"/>
      <c r="C76" s="151">
        <v>1</v>
      </c>
      <c r="D76" s="180">
        <v>3</v>
      </c>
      <c r="E76" s="180">
        <v>0.23</v>
      </c>
      <c r="F76" s="152">
        <v>2.42</v>
      </c>
      <c r="G76" s="152">
        <f t="shared" si="7"/>
        <v>1.6698000000000002</v>
      </c>
      <c r="H76" s="178"/>
      <c r="I76" s="178"/>
      <c r="J76" s="152"/>
      <c r="K76" s="178"/>
      <c r="N76">
        <v>3</v>
      </c>
      <c r="O76">
        <v>0.23</v>
      </c>
      <c r="P76">
        <v>2.37</v>
      </c>
      <c r="Q76" s="48">
        <f t="shared" si="8"/>
        <v>1.6353000000000002</v>
      </c>
    </row>
    <row r="77" spans="1:17" x14ac:dyDescent="0.25">
      <c r="A77" s="182"/>
      <c r="B77" s="173"/>
      <c r="C77" s="151">
        <v>1</v>
      </c>
      <c r="D77" s="180">
        <v>1.7</v>
      </c>
      <c r="E77" s="180">
        <v>0.11</v>
      </c>
      <c r="F77" s="152">
        <v>2.42</v>
      </c>
      <c r="G77" s="152">
        <f t="shared" si="7"/>
        <v>0.45254</v>
      </c>
      <c r="H77" s="178"/>
      <c r="I77" s="178"/>
      <c r="J77" s="152"/>
      <c r="K77" s="178"/>
      <c r="N77">
        <v>1.7</v>
      </c>
      <c r="O77">
        <v>0.11</v>
      </c>
      <c r="P77">
        <v>2.37</v>
      </c>
      <c r="Q77" s="48">
        <f t="shared" si="8"/>
        <v>0.44319000000000003</v>
      </c>
    </row>
    <row r="78" spans="1:17" x14ac:dyDescent="0.25">
      <c r="A78" s="182"/>
      <c r="B78" s="173"/>
      <c r="C78" s="151">
        <v>1</v>
      </c>
      <c r="D78" s="152">
        <f>(0.45+0.6)/2</f>
        <v>0.52500000000000002</v>
      </c>
      <c r="E78" s="180">
        <v>0.11</v>
      </c>
      <c r="F78" s="180">
        <v>2.2999999999999998</v>
      </c>
      <c r="G78" s="152">
        <f t="shared" si="7"/>
        <v>0.132825</v>
      </c>
      <c r="H78" s="178"/>
      <c r="I78" s="178"/>
      <c r="J78" s="152"/>
      <c r="K78" s="178"/>
      <c r="N78">
        <f>1.05/2</f>
        <v>0.52500000000000002</v>
      </c>
      <c r="O78">
        <v>0.11</v>
      </c>
      <c r="P78">
        <v>2.2999999999999998</v>
      </c>
      <c r="Q78" s="48">
        <f t="shared" si="8"/>
        <v>0.132825</v>
      </c>
    </row>
    <row r="79" spans="1:17" x14ac:dyDescent="0.25">
      <c r="A79" s="182"/>
      <c r="B79" s="179" t="s">
        <v>16</v>
      </c>
      <c r="C79" s="151"/>
      <c r="D79" s="152"/>
      <c r="E79" s="152"/>
      <c r="F79" s="152"/>
      <c r="G79" s="153">
        <f>SUM(G67:G78)</f>
        <v>11.050700000000003</v>
      </c>
      <c r="H79" s="182" t="s">
        <v>18</v>
      </c>
      <c r="I79" s="6">
        <v>14520.78</v>
      </c>
      <c r="J79" s="154">
        <f>G79*I79</f>
        <v>160464.78354600005</v>
      </c>
      <c r="K79" s="178"/>
    </row>
    <row r="80" spans="1:17" hidden="1" x14ac:dyDescent="0.25">
      <c r="A80" s="182"/>
      <c r="B80" s="179" t="s">
        <v>17</v>
      </c>
      <c r="C80" s="151"/>
      <c r="D80" s="152"/>
      <c r="E80" s="152"/>
      <c r="F80" s="152"/>
      <c r="G80" s="152"/>
      <c r="H80" s="178"/>
      <c r="I80" s="152"/>
      <c r="J80" s="154">
        <f>0.13*G79*(10555.39)</f>
        <v>15163.778275490004</v>
      </c>
      <c r="K80" s="178"/>
    </row>
    <row r="81" spans="1:19" x14ac:dyDescent="0.25">
      <c r="A81" s="182"/>
      <c r="B81" s="173"/>
      <c r="C81" s="151"/>
      <c r="D81" s="152"/>
      <c r="E81" s="180"/>
      <c r="F81" s="180"/>
      <c r="G81" s="152"/>
      <c r="H81" s="178"/>
      <c r="I81" s="178"/>
      <c r="J81" s="152"/>
      <c r="K81" s="178"/>
      <c r="Q81" s="48"/>
    </row>
    <row r="82" spans="1:19" ht="30" x14ac:dyDescent="0.25">
      <c r="A82" s="182">
        <v>8</v>
      </c>
      <c r="B82" s="139" t="s">
        <v>239</v>
      </c>
      <c r="C82" s="151"/>
      <c r="D82" s="152"/>
      <c r="E82" s="180"/>
      <c r="F82" s="180"/>
      <c r="G82" s="152"/>
      <c r="H82" s="178"/>
      <c r="I82" s="178"/>
      <c r="J82" s="152"/>
      <c r="K82" s="178"/>
      <c r="Q82" s="48"/>
    </row>
    <row r="83" spans="1:19" x14ac:dyDescent="0.25">
      <c r="A83" s="182"/>
      <c r="B83" s="173" t="s">
        <v>160</v>
      </c>
      <c r="C83" s="151">
        <v>2</v>
      </c>
      <c r="D83" s="152">
        <v>2.94</v>
      </c>
      <c r="E83" s="152">
        <v>0.23</v>
      </c>
      <c r="F83" s="152">
        <v>2.2200000000000002</v>
      </c>
      <c r="G83" s="152">
        <f t="shared" ref="G83:G84" si="9">PRODUCT(C83:F83)</f>
        <v>3.0023280000000003</v>
      </c>
      <c r="H83" s="178"/>
      <c r="I83" s="178"/>
      <c r="J83" s="152"/>
      <c r="K83" s="178"/>
      <c r="N83">
        <f>2*2.94</f>
        <v>5.88</v>
      </c>
      <c r="O83">
        <v>0.23</v>
      </c>
      <c r="P83">
        <v>2.42</v>
      </c>
      <c r="Q83" s="48">
        <f t="shared" si="8"/>
        <v>3.2728079999999999</v>
      </c>
      <c r="S83">
        <f>2.42-0.23</f>
        <v>2.19</v>
      </c>
    </row>
    <row r="84" spans="1:19" x14ac:dyDescent="0.25">
      <c r="A84" s="182"/>
      <c r="B84" s="173"/>
      <c r="C84" s="151">
        <v>2</v>
      </c>
      <c r="D84" s="152">
        <v>2.5350000000000001</v>
      </c>
      <c r="E84" s="152">
        <v>0.23</v>
      </c>
      <c r="F84" s="152">
        <v>2.2200000000000002</v>
      </c>
      <c r="G84" s="152">
        <f t="shared" si="9"/>
        <v>2.5887420000000003</v>
      </c>
      <c r="H84" s="178"/>
      <c r="I84" s="178"/>
      <c r="J84" s="152"/>
      <c r="K84" s="178"/>
      <c r="N84">
        <f>2*2.535</f>
        <v>5.07</v>
      </c>
      <c r="O84">
        <v>0.23</v>
      </c>
      <c r="P84">
        <v>2.42</v>
      </c>
      <c r="Q84" s="48">
        <f t="shared" si="8"/>
        <v>2.8219620000000001</v>
      </c>
    </row>
    <row r="85" spans="1:19" x14ac:dyDescent="0.25">
      <c r="A85" s="182"/>
      <c r="B85" s="180"/>
      <c r="C85" s="151">
        <v>2</v>
      </c>
      <c r="D85" s="152">
        <v>2.59</v>
      </c>
      <c r="E85" s="152">
        <v>0.23</v>
      </c>
      <c r="F85" s="152">
        <v>2.2200000000000002</v>
      </c>
      <c r="G85" s="152">
        <f>PRODUCT(C85:F85)</f>
        <v>2.6449080000000005</v>
      </c>
      <c r="H85" s="178"/>
      <c r="I85" s="178"/>
      <c r="J85" s="152"/>
      <c r="K85" s="178"/>
      <c r="N85">
        <f>2*2.595</f>
        <v>5.19</v>
      </c>
      <c r="O85">
        <v>0.23</v>
      </c>
      <c r="P85">
        <v>2.42</v>
      </c>
      <c r="Q85" s="48">
        <f t="shared" si="8"/>
        <v>2.8887540000000005</v>
      </c>
    </row>
    <row r="86" spans="1:19" x14ac:dyDescent="0.25">
      <c r="A86" s="182"/>
      <c r="B86" s="173" t="s">
        <v>75</v>
      </c>
      <c r="C86" s="151">
        <v>-1</v>
      </c>
      <c r="D86" s="152">
        <v>1.375</v>
      </c>
      <c r="E86" s="152">
        <v>0.23</v>
      </c>
      <c r="F86" s="152">
        <v>1.19</v>
      </c>
      <c r="G86" s="152">
        <f>PRODUCT(C86:F86)</f>
        <v>-0.37633750000000005</v>
      </c>
      <c r="H86" s="178"/>
      <c r="I86" s="178"/>
      <c r="J86" s="152"/>
      <c r="K86" s="178"/>
      <c r="N86">
        <f>4.48+4.49-0.075</f>
        <v>8.8950000000000014</v>
      </c>
      <c r="O86">
        <v>0.11</v>
      </c>
      <c r="P86">
        <v>0.15</v>
      </c>
      <c r="Q86" s="48">
        <f t="shared" si="8"/>
        <v>0.14676750000000002</v>
      </c>
    </row>
    <row r="87" spans="1:19" x14ac:dyDescent="0.25">
      <c r="A87" s="182"/>
      <c r="B87" s="173"/>
      <c r="C87" s="151">
        <v>-1</v>
      </c>
      <c r="D87" s="152">
        <v>1.41</v>
      </c>
      <c r="E87" s="152">
        <v>0.23</v>
      </c>
      <c r="F87" s="152">
        <v>1.18</v>
      </c>
      <c r="G87" s="152">
        <f t="shared" ref="G87" si="10">PRODUCT(C87:F87)</f>
        <v>-0.38267399999999996</v>
      </c>
      <c r="H87" s="178"/>
      <c r="I87" s="178"/>
      <c r="J87" s="152"/>
      <c r="K87" s="178"/>
      <c r="N87">
        <f>6.67*2-0.075*2</f>
        <v>13.19</v>
      </c>
      <c r="O87">
        <v>0.11</v>
      </c>
      <c r="P87">
        <v>0.15</v>
      </c>
      <c r="Q87" s="48">
        <f t="shared" si="8"/>
        <v>0.21763499999999997</v>
      </c>
    </row>
    <row r="88" spans="1:19" x14ac:dyDescent="0.25">
      <c r="A88" s="182"/>
      <c r="B88" s="173" t="s">
        <v>75</v>
      </c>
      <c r="C88" s="151">
        <v>-1</v>
      </c>
      <c r="D88" s="152">
        <v>1.54</v>
      </c>
      <c r="E88" s="152">
        <v>0.23</v>
      </c>
      <c r="F88" s="152">
        <v>1.18</v>
      </c>
      <c r="G88" s="152">
        <f>PRODUCT(C88:F88)</f>
        <v>-0.41795599999999999</v>
      </c>
      <c r="H88" s="178"/>
      <c r="I88" s="178"/>
      <c r="J88" s="152"/>
      <c r="K88" s="178"/>
      <c r="N88">
        <f>1.14*2+0.96*2-0.075*2</f>
        <v>4.0499999999999989</v>
      </c>
      <c r="O88">
        <v>0.11</v>
      </c>
      <c r="P88">
        <v>0.15</v>
      </c>
      <c r="Q88" s="48">
        <f t="shared" si="8"/>
        <v>6.6824999999999982E-2</v>
      </c>
    </row>
    <row r="89" spans="1:19" x14ac:dyDescent="0.25">
      <c r="A89" s="182"/>
      <c r="B89" s="173" t="s">
        <v>162</v>
      </c>
      <c r="C89" s="151">
        <v>1</v>
      </c>
      <c r="D89" s="152">
        <f>6.67*2-0.075*2+4.48+4.49-0.075+1.14+0.96-0.075</f>
        <v>24.110000000000007</v>
      </c>
      <c r="E89" s="152">
        <v>0.11</v>
      </c>
      <c r="F89" s="152">
        <v>0.15</v>
      </c>
      <c r="G89" s="152">
        <f>PRODUCT(C89:F89)</f>
        <v>0.39781500000000009</v>
      </c>
      <c r="H89" s="178"/>
      <c r="I89" s="178"/>
      <c r="J89" s="152"/>
      <c r="K89" s="178"/>
      <c r="Q89" s="44">
        <f>SUM(Q67:Q88)</f>
        <v>20.361801500000002</v>
      </c>
      <c r="R89" s="44">
        <f>Q89+G86+G87+G88</f>
        <v>19.184833999999999</v>
      </c>
    </row>
    <row r="90" spans="1:19" x14ac:dyDescent="0.25">
      <c r="A90" s="182"/>
      <c r="B90" s="179" t="s">
        <v>16</v>
      </c>
      <c r="C90" s="151"/>
      <c r="D90" s="152"/>
      <c r="E90" s="152"/>
      <c r="F90" s="152"/>
      <c r="G90" s="153">
        <f>SUM(G83:G89)</f>
        <v>7.4568255000000017</v>
      </c>
      <c r="H90" s="182" t="s">
        <v>18</v>
      </c>
      <c r="I90" s="6">
        <v>14984.29</v>
      </c>
      <c r="J90" s="154">
        <f>G90*I90</f>
        <v>111735.23577139503</v>
      </c>
      <c r="K90" s="178"/>
    </row>
    <row r="91" spans="1:19" hidden="1" x14ac:dyDescent="0.25">
      <c r="A91" s="182"/>
      <c r="B91" s="179" t="s">
        <v>17</v>
      </c>
      <c r="C91" s="151"/>
      <c r="D91" s="152"/>
      <c r="E91" s="152"/>
      <c r="F91" s="152"/>
      <c r="G91" s="152"/>
      <c r="H91" s="178"/>
      <c r="I91" s="152"/>
      <c r="J91" s="154">
        <f>0.13*G90*(10555.39)</f>
        <v>10232.261170877851</v>
      </c>
      <c r="K91" s="178"/>
      <c r="N91" s="44">
        <f>SUM(J79:J91)</f>
        <v>297596.05876376294</v>
      </c>
    </row>
    <row r="92" spans="1:19" x14ac:dyDescent="0.25">
      <c r="A92" s="182"/>
      <c r="B92" s="180"/>
      <c r="C92" s="180"/>
      <c r="D92" s="180"/>
      <c r="E92" s="180"/>
      <c r="F92" s="180"/>
      <c r="G92" s="180"/>
      <c r="H92" s="180"/>
      <c r="I92" s="180"/>
      <c r="J92" s="180"/>
      <c r="K92" s="178"/>
    </row>
    <row r="93" spans="1:19" s="9" customFormat="1" ht="33.75" x14ac:dyDescent="0.25">
      <c r="A93" s="20">
        <v>9</v>
      </c>
      <c r="B93" s="139" t="s">
        <v>248</v>
      </c>
      <c r="C93" s="21"/>
      <c r="D93" s="22"/>
      <c r="E93" s="23"/>
      <c r="F93" s="23"/>
      <c r="G93" s="7"/>
      <c r="H93" s="6"/>
      <c r="I93" s="7"/>
      <c r="J93" s="153"/>
      <c r="K93" s="23"/>
    </row>
    <row r="94" spans="1:19" x14ac:dyDescent="0.25">
      <c r="A94" s="182"/>
      <c r="B94" s="173" t="s">
        <v>57</v>
      </c>
      <c r="C94" s="180"/>
      <c r="D94" s="180"/>
      <c r="E94" s="180"/>
      <c r="F94" s="180"/>
      <c r="G94" s="180"/>
      <c r="H94" s="178"/>
      <c r="I94" s="178"/>
      <c r="J94" s="152"/>
      <c r="K94" s="178"/>
      <c r="M94">
        <f>0.4*3.281</f>
        <v>1.3124000000000002</v>
      </c>
    </row>
    <row r="95" spans="1:19" x14ac:dyDescent="0.25">
      <c r="A95" s="182"/>
      <c r="B95" s="173" t="s">
        <v>134</v>
      </c>
      <c r="C95" s="151">
        <f>C48</f>
        <v>6</v>
      </c>
      <c r="D95" s="152">
        <v>1.5</v>
      </c>
      <c r="E95" s="152">
        <v>1.5</v>
      </c>
      <c r="F95" s="152">
        <v>0.23</v>
      </c>
      <c r="G95" s="152">
        <f t="shared" ref="G95" si="11">PRODUCT(C95:F95)</f>
        <v>3.105</v>
      </c>
      <c r="H95" s="178"/>
      <c r="I95" s="178"/>
      <c r="J95" s="152"/>
      <c r="K95" s="178"/>
    </row>
    <row r="96" spans="1:19" x14ac:dyDescent="0.25">
      <c r="A96" s="182"/>
      <c r="B96" s="173" t="s">
        <v>135</v>
      </c>
      <c r="C96" s="226">
        <v>4</v>
      </c>
      <c r="D96" s="152">
        <v>0.4</v>
      </c>
      <c r="E96" s="152">
        <v>0.4</v>
      </c>
      <c r="F96" s="227">
        <v>0.23</v>
      </c>
      <c r="G96" s="152">
        <f>C96*((F96/3)*((D96*E96)+(D97*E97)+SQRT((D96*E96)*(D97*E97))))</f>
        <v>0.55506666666666682</v>
      </c>
      <c r="H96" s="178"/>
      <c r="I96" s="178"/>
      <c r="J96" s="152"/>
      <c r="K96" s="178"/>
      <c r="M96" s="44"/>
    </row>
    <row r="97" spans="1:16" x14ac:dyDescent="0.25">
      <c r="A97" s="182"/>
      <c r="B97" s="173"/>
      <c r="C97" s="226"/>
      <c r="D97" s="152">
        <v>1.1000000000000001</v>
      </c>
      <c r="E97" s="152">
        <v>1.1000000000000001</v>
      </c>
      <c r="F97" s="227"/>
      <c r="G97" s="152"/>
      <c r="H97" s="178"/>
      <c r="I97" s="178"/>
      <c r="J97" s="152"/>
      <c r="K97" s="178"/>
    </row>
    <row r="98" spans="1:16" x14ac:dyDescent="0.25">
      <c r="A98" s="182"/>
      <c r="B98" s="173" t="s">
        <v>136</v>
      </c>
      <c r="C98" s="226">
        <v>1</v>
      </c>
      <c r="D98" s="152">
        <v>0.4</v>
      </c>
      <c r="E98" s="152">
        <v>0.4</v>
      </c>
      <c r="F98" s="227">
        <v>0.23</v>
      </c>
      <c r="G98" s="152">
        <f>C98*((F98/3)*((D98*E98)+(D99*E99)+SQRT((D98*E98)*(D99*E99))))</f>
        <v>0.15857199961217766</v>
      </c>
      <c r="H98" s="178"/>
      <c r="I98" s="178"/>
      <c r="J98" s="152"/>
      <c r="K98" s="178"/>
    </row>
    <row r="99" spans="1:16" x14ac:dyDescent="0.25">
      <c r="A99" s="182"/>
      <c r="B99" s="173"/>
      <c r="C99" s="226"/>
      <c r="D99" s="152">
        <v>1.1000000000000001</v>
      </c>
      <c r="E99" s="152">
        <v>1.3</v>
      </c>
      <c r="F99" s="227"/>
      <c r="G99" s="152"/>
      <c r="H99" s="178"/>
      <c r="I99" s="178"/>
      <c r="J99" s="152"/>
      <c r="K99" s="178"/>
    </row>
    <row r="100" spans="1:16" x14ac:dyDescent="0.25">
      <c r="A100" s="182"/>
      <c r="B100" s="173" t="s">
        <v>137</v>
      </c>
      <c r="C100" s="226">
        <v>1</v>
      </c>
      <c r="D100" s="152">
        <v>0.4</v>
      </c>
      <c r="E100" s="152">
        <v>0.4</v>
      </c>
      <c r="F100" s="227">
        <v>0.23</v>
      </c>
      <c r="G100" s="152">
        <f>C100*((F100/3)*((D100*E100)+(D101*E101)+SQRT((D100*E100)*(D101*E101))))</f>
        <v>0.21792500000000004</v>
      </c>
      <c r="H100" s="178"/>
      <c r="I100" s="178"/>
      <c r="J100" s="152"/>
      <c r="K100" s="178"/>
    </row>
    <row r="101" spans="1:16" x14ac:dyDescent="0.25">
      <c r="A101" s="182"/>
      <c r="B101" s="173"/>
      <c r="C101" s="226"/>
      <c r="D101" s="152">
        <v>1.45</v>
      </c>
      <c r="E101" s="152">
        <v>1.45</v>
      </c>
      <c r="F101" s="227"/>
      <c r="G101" s="152"/>
      <c r="H101" s="178"/>
      <c r="I101" s="178"/>
      <c r="J101" s="152"/>
      <c r="K101" s="178"/>
      <c r="M101" s="44">
        <f>SUM(G95:G100)</f>
        <v>4.0365636662788447</v>
      </c>
      <c r="N101" s="44">
        <f>SUM(estimate!G69:G71)</f>
        <v>4.4527912069510363</v>
      </c>
      <c r="O101">
        <f>1.5-0.5-0.23</f>
        <v>0.77</v>
      </c>
    </row>
    <row r="102" spans="1:16" x14ac:dyDescent="0.25">
      <c r="A102" s="182"/>
      <c r="B102" s="173" t="s">
        <v>64</v>
      </c>
      <c r="C102" s="151">
        <v>3</v>
      </c>
      <c r="D102" s="152">
        <f>0.3</f>
        <v>0.3</v>
      </c>
      <c r="E102" s="152">
        <v>0.3</v>
      </c>
      <c r="F102" s="152">
        <f>1.5-F95-F96-F104</f>
        <v>0.81</v>
      </c>
      <c r="G102" s="152">
        <f t="shared" ref="G102:G115" si="12">PRODUCT(C102:F102)</f>
        <v>0.21869999999999998</v>
      </c>
      <c r="H102" s="178"/>
      <c r="I102" s="178"/>
      <c r="J102" s="152"/>
      <c r="K102" s="178"/>
      <c r="M102">
        <f>F102*3.281</f>
        <v>2.6576100000000005</v>
      </c>
    </row>
    <row r="103" spans="1:16" x14ac:dyDescent="0.25">
      <c r="A103" s="182"/>
      <c r="B103" s="173"/>
      <c r="C103" s="151">
        <v>3</v>
      </c>
      <c r="D103" s="152">
        <f>0.3</f>
        <v>0.3</v>
      </c>
      <c r="E103" s="152">
        <v>0.3</v>
      </c>
      <c r="F103" s="152">
        <f>0.4+0.23</f>
        <v>0.63</v>
      </c>
      <c r="G103" s="152">
        <f t="shared" si="12"/>
        <v>0.17009999999999997</v>
      </c>
      <c r="H103" s="178"/>
      <c r="I103" s="178"/>
      <c r="J103" s="152"/>
      <c r="K103" s="178"/>
    </row>
    <row r="104" spans="1:16" x14ac:dyDescent="0.25">
      <c r="A104" s="182"/>
      <c r="B104" s="173" t="s">
        <v>138</v>
      </c>
      <c r="C104" s="151">
        <v>2</v>
      </c>
      <c r="D104" s="152">
        <v>3.61</v>
      </c>
      <c r="E104" s="152">
        <v>0.23</v>
      </c>
      <c r="F104" s="152">
        <v>0.23</v>
      </c>
      <c r="G104" s="152">
        <f t="shared" si="12"/>
        <v>0.38193800000000006</v>
      </c>
      <c r="H104" s="178"/>
      <c r="I104" s="178"/>
      <c r="J104" s="152"/>
      <c r="K104" s="178"/>
      <c r="N104">
        <f>0.33+1.71+1.27+0.34</f>
        <v>3.65</v>
      </c>
    </row>
    <row r="105" spans="1:16" x14ac:dyDescent="0.25">
      <c r="A105" s="182"/>
      <c r="B105" s="173"/>
      <c r="C105" s="151">
        <v>4</v>
      </c>
      <c r="D105" s="152">
        <v>2.59</v>
      </c>
      <c r="E105" s="152">
        <v>0.23</v>
      </c>
      <c r="F105" s="152">
        <v>0.23</v>
      </c>
      <c r="G105" s="152">
        <f t="shared" si="12"/>
        <v>0.54804399999999998</v>
      </c>
      <c r="H105" s="178"/>
      <c r="I105" s="178"/>
      <c r="J105" s="152"/>
      <c r="K105" s="178"/>
    </row>
    <row r="106" spans="1:16" x14ac:dyDescent="0.25">
      <c r="A106" s="182"/>
      <c r="B106" s="173" t="s">
        <v>139</v>
      </c>
      <c r="C106" s="151">
        <v>3</v>
      </c>
      <c r="D106" s="152">
        <v>3.61</v>
      </c>
      <c r="E106" s="152">
        <v>0.23</v>
      </c>
      <c r="F106" s="152">
        <v>0.23</v>
      </c>
      <c r="G106" s="152">
        <f t="shared" si="12"/>
        <v>0.57290700000000006</v>
      </c>
      <c r="H106" s="178"/>
      <c r="I106" s="178"/>
      <c r="J106" s="152"/>
      <c r="K106" s="178"/>
    </row>
    <row r="107" spans="1:16" x14ac:dyDescent="0.25">
      <c r="A107" s="182"/>
      <c r="B107" s="173"/>
      <c r="C107" s="151">
        <v>4</v>
      </c>
      <c r="D107" s="152">
        <v>2.59</v>
      </c>
      <c r="E107" s="152">
        <v>0.23</v>
      </c>
      <c r="F107" s="152">
        <v>0.23</v>
      </c>
      <c r="G107" s="152">
        <f t="shared" si="12"/>
        <v>0.54804399999999998</v>
      </c>
      <c r="H107" s="178"/>
      <c r="I107" s="178"/>
      <c r="J107" s="152"/>
      <c r="K107" s="178"/>
    </row>
    <row r="108" spans="1:16" x14ac:dyDescent="0.25">
      <c r="A108" s="182"/>
      <c r="B108" s="173" t="s">
        <v>140</v>
      </c>
      <c r="C108" s="151">
        <v>6</v>
      </c>
      <c r="D108" s="181">
        <v>0.3</v>
      </c>
      <c r="E108" s="152">
        <v>0.3</v>
      </c>
      <c r="F108" s="152">
        <v>2.66</v>
      </c>
      <c r="G108" s="152">
        <f t="shared" si="12"/>
        <v>1.4363999999999999</v>
      </c>
      <c r="H108" s="178"/>
      <c r="I108" s="178"/>
      <c r="J108" s="152"/>
      <c r="K108" s="178"/>
      <c r="P108">
        <f>8.917/3.281</f>
        <v>2.7177689728741234</v>
      </c>
    </row>
    <row r="109" spans="1:16" x14ac:dyDescent="0.25">
      <c r="A109" s="182"/>
      <c r="B109" s="173" t="s">
        <v>141</v>
      </c>
      <c r="C109" s="151">
        <v>6</v>
      </c>
      <c r="D109" s="181">
        <v>0.3</v>
      </c>
      <c r="E109" s="152">
        <v>0.3</v>
      </c>
      <c r="F109" s="152">
        <v>2.4500000000000002</v>
      </c>
      <c r="G109" s="152">
        <f t="shared" si="12"/>
        <v>1.323</v>
      </c>
      <c r="H109" s="178"/>
      <c r="I109" s="178"/>
      <c r="J109" s="152"/>
      <c r="K109" s="178"/>
    </row>
    <row r="110" spans="1:16" x14ac:dyDescent="0.25">
      <c r="A110" s="182"/>
      <c r="B110" s="173" t="s">
        <v>71</v>
      </c>
      <c r="C110" s="151">
        <f>2*4</f>
        <v>8</v>
      </c>
      <c r="D110" s="152">
        <v>2.57</v>
      </c>
      <c r="E110" s="152">
        <v>0.23</v>
      </c>
      <c r="F110" s="152">
        <v>0.23</v>
      </c>
      <c r="G110" s="152">
        <f t="shared" si="12"/>
        <v>1.0876239999999999</v>
      </c>
      <c r="H110" s="178"/>
      <c r="I110" s="178"/>
      <c r="J110" s="152"/>
      <c r="K110" s="178"/>
    </row>
    <row r="111" spans="1:16" x14ac:dyDescent="0.25">
      <c r="A111" s="182"/>
      <c r="B111" s="173"/>
      <c r="C111" s="151">
        <f>2*3</f>
        <v>6</v>
      </c>
      <c r="D111" s="152">
        <v>2.9750000000000001</v>
      </c>
      <c r="E111" s="152">
        <v>0.23</v>
      </c>
      <c r="F111" s="152">
        <v>0.23</v>
      </c>
      <c r="G111" s="152">
        <f t="shared" si="12"/>
        <v>0.94426500000000002</v>
      </c>
      <c r="H111" s="178"/>
      <c r="I111" s="178"/>
      <c r="J111" s="152"/>
      <c r="K111" s="178"/>
    </row>
    <row r="112" spans="1:16" x14ac:dyDescent="0.25">
      <c r="A112" s="182"/>
      <c r="B112" s="173" t="s">
        <v>142</v>
      </c>
      <c r="C112" s="151">
        <v>1</v>
      </c>
      <c r="D112" s="152">
        <f>6.62-0.075</f>
        <v>6.5449999999999999</v>
      </c>
      <c r="E112" s="152">
        <f>(4.15+4.135)/2-0.075</f>
        <v>4.0674999999999999</v>
      </c>
      <c r="F112" s="152">
        <v>0.125</v>
      </c>
      <c r="G112" s="152">
        <f t="shared" si="12"/>
        <v>3.3277234375</v>
      </c>
      <c r="H112" s="178"/>
      <c r="I112" s="178"/>
      <c r="J112" s="152"/>
      <c r="K112" s="178"/>
    </row>
    <row r="113" spans="1:15" x14ac:dyDescent="0.25">
      <c r="A113" s="182"/>
      <c r="B113" s="173" t="s">
        <v>76</v>
      </c>
      <c r="C113" s="151">
        <v>-1</v>
      </c>
      <c r="D113" s="152">
        <v>1.08</v>
      </c>
      <c r="E113" s="152">
        <f>2.5/3.281</f>
        <v>0.76196281621456874</v>
      </c>
      <c r="F113" s="152">
        <v>0.125</v>
      </c>
      <c r="G113" s="152">
        <f t="shared" si="12"/>
        <v>-0.10286498018896678</v>
      </c>
      <c r="H113" s="178"/>
      <c r="I113" s="178"/>
      <c r="J113" s="152"/>
      <c r="K113" s="178"/>
    </row>
    <row r="114" spans="1:15" x14ac:dyDescent="0.25">
      <c r="A114" s="182"/>
      <c r="B114" s="173" t="s">
        <v>143</v>
      </c>
      <c r="C114" s="151">
        <v>1</v>
      </c>
      <c r="D114" s="152">
        <v>6.9</v>
      </c>
      <c r="E114" s="152">
        <f>4.45-0.025</f>
        <v>4.4249999999999998</v>
      </c>
      <c r="F114" s="152">
        <v>0.125</v>
      </c>
      <c r="G114" s="152">
        <f t="shared" si="12"/>
        <v>3.8165624999999999</v>
      </c>
      <c r="H114" s="178"/>
      <c r="I114" s="178"/>
      <c r="J114" s="152"/>
      <c r="K114" s="178"/>
    </row>
    <row r="115" spans="1:15" x14ac:dyDescent="0.25">
      <c r="A115" s="182"/>
      <c r="B115" s="173" t="s">
        <v>76</v>
      </c>
      <c r="C115" s="151">
        <v>-1</v>
      </c>
      <c r="D115" s="152">
        <v>0.93</v>
      </c>
      <c r="E115" s="152">
        <v>0.76</v>
      </c>
      <c r="F115" s="152">
        <v>0.125</v>
      </c>
      <c r="G115" s="152">
        <f t="shared" si="12"/>
        <v>-8.8350000000000012E-2</v>
      </c>
      <c r="H115" s="178"/>
      <c r="I115" s="178"/>
      <c r="J115" s="152"/>
      <c r="K115" s="178"/>
      <c r="M115" s="172">
        <v>17107.900000000001</v>
      </c>
      <c r="N115">
        <f>M115*G116</f>
        <v>311717.1714507133</v>
      </c>
      <c r="O115" s="44">
        <f>N115-J116</f>
        <v>0</v>
      </c>
    </row>
    <row r="116" spans="1:15" ht="15" customHeight="1" x14ac:dyDescent="0.25">
      <c r="A116" s="182"/>
      <c r="B116" s="150" t="s">
        <v>16</v>
      </c>
      <c r="C116" s="151"/>
      <c r="D116" s="152"/>
      <c r="E116" s="152"/>
      <c r="F116" s="152"/>
      <c r="G116" s="153">
        <f>SUM(G95:G115)</f>
        <v>18.220656623589878</v>
      </c>
      <c r="H116" s="153" t="s">
        <v>18</v>
      </c>
      <c r="I116" s="6">
        <v>17107.900000000001</v>
      </c>
      <c r="J116" s="154">
        <f>G116*I116</f>
        <v>311717.1714507133</v>
      </c>
      <c r="K116" s="178"/>
      <c r="N116" s="172">
        <f>9847.9*0.13*G116</f>
        <v>23326.576567248601</v>
      </c>
    </row>
    <row r="117" spans="1:15" ht="15" hidden="1" customHeight="1" x14ac:dyDescent="0.25">
      <c r="A117" s="20"/>
      <c r="B117" s="150" t="s">
        <v>41</v>
      </c>
      <c r="C117" s="21"/>
      <c r="D117" s="22"/>
      <c r="E117" s="23"/>
      <c r="F117" s="23"/>
      <c r="G117" s="7"/>
      <c r="H117" s="6"/>
      <c r="I117" s="7"/>
      <c r="J117" s="153">
        <f>0.13*G116*9847.9</f>
        <v>23326.576567248598</v>
      </c>
      <c r="K117" s="23"/>
    </row>
    <row r="118" spans="1:15" ht="15" customHeight="1" x14ac:dyDescent="0.25">
      <c r="A118" s="20"/>
      <c r="B118" s="150"/>
      <c r="C118" s="21"/>
      <c r="D118" s="22"/>
      <c r="E118" s="23"/>
      <c r="F118" s="23"/>
      <c r="G118" s="7"/>
      <c r="H118" s="6"/>
      <c r="I118" s="7"/>
      <c r="J118" s="153"/>
      <c r="K118" s="23"/>
    </row>
    <row r="119" spans="1:15" ht="30" x14ac:dyDescent="0.25">
      <c r="A119" s="20">
        <v>10</v>
      </c>
      <c r="B119" s="139" t="s">
        <v>32</v>
      </c>
      <c r="C119" s="151"/>
      <c r="D119" s="152"/>
      <c r="E119" s="152"/>
      <c r="F119" s="152"/>
      <c r="G119" s="153"/>
      <c r="H119" s="182"/>
      <c r="I119" s="153"/>
      <c r="J119" s="153"/>
      <c r="K119" s="23"/>
    </row>
    <row r="120" spans="1:15" x14ac:dyDescent="0.25">
      <c r="A120" s="182"/>
      <c r="B120" s="173" t="s">
        <v>64</v>
      </c>
      <c r="C120" s="151">
        <v>3</v>
      </c>
      <c r="D120" s="152">
        <f>0.3*4</f>
        <v>1.2</v>
      </c>
      <c r="E120" s="152"/>
      <c r="F120" s="152">
        <v>0.77</v>
      </c>
      <c r="G120" s="152">
        <f>PRODUCT(C120:F120)</f>
        <v>2.7719999999999998</v>
      </c>
      <c r="H120" s="178"/>
      <c r="I120" s="178"/>
      <c r="J120" s="152"/>
      <c r="K120" s="178"/>
    </row>
    <row r="121" spans="1:15" x14ac:dyDescent="0.25">
      <c r="A121" s="182"/>
      <c r="B121" s="173"/>
      <c r="C121" s="151">
        <v>3</v>
      </c>
      <c r="D121" s="152">
        <f>0.3*4</f>
        <v>1.2</v>
      </c>
      <c r="E121" s="152"/>
      <c r="F121" s="152">
        <v>0.4</v>
      </c>
      <c r="G121" s="152">
        <f>PRODUCT(C121:F121)</f>
        <v>1.44</v>
      </c>
      <c r="H121" s="178"/>
      <c r="I121" s="178"/>
      <c r="J121" s="152"/>
      <c r="K121" s="178"/>
    </row>
    <row r="122" spans="1:15" x14ac:dyDescent="0.25">
      <c r="A122" s="182"/>
      <c r="B122" s="150" t="s">
        <v>138</v>
      </c>
      <c r="C122" s="151">
        <f>C104</f>
        <v>2</v>
      </c>
      <c r="D122" s="152">
        <f>D104</f>
        <v>3.61</v>
      </c>
      <c r="E122" s="152"/>
      <c r="F122" s="152">
        <f>F104*2</f>
        <v>0.46</v>
      </c>
      <c r="G122" s="152">
        <f t="shared" ref="G122:G129" si="13">PRODUCT(C122:F122)</f>
        <v>3.3212000000000002</v>
      </c>
      <c r="H122" s="178"/>
      <c r="I122" s="178"/>
      <c r="J122" s="152"/>
      <c r="K122" s="178"/>
    </row>
    <row r="123" spans="1:15" x14ac:dyDescent="0.25">
      <c r="A123" s="182"/>
      <c r="B123" s="179"/>
      <c r="C123" s="151">
        <f>C105</f>
        <v>4</v>
      </c>
      <c r="D123" s="152">
        <f>D105</f>
        <v>2.59</v>
      </c>
      <c r="E123" s="152"/>
      <c r="F123" s="152">
        <f>F105*2</f>
        <v>0.46</v>
      </c>
      <c r="G123" s="152">
        <f t="shared" si="13"/>
        <v>4.7656000000000001</v>
      </c>
      <c r="H123" s="178"/>
      <c r="I123" s="178"/>
      <c r="J123" s="152"/>
      <c r="K123" s="178"/>
    </row>
    <row r="124" spans="1:15" x14ac:dyDescent="0.25">
      <c r="A124" s="182"/>
      <c r="B124" s="179" t="s">
        <v>139</v>
      </c>
      <c r="C124" s="151">
        <f t="shared" ref="C124:D133" si="14">C106</f>
        <v>3</v>
      </c>
      <c r="D124" s="152">
        <f t="shared" si="14"/>
        <v>3.61</v>
      </c>
      <c r="E124" s="152"/>
      <c r="F124" s="152">
        <f t="shared" ref="F124:F125" si="15">F106*2</f>
        <v>0.46</v>
      </c>
      <c r="G124" s="152">
        <f t="shared" si="13"/>
        <v>4.9818000000000007</v>
      </c>
      <c r="H124" s="178"/>
      <c r="I124" s="178"/>
      <c r="J124" s="152"/>
      <c r="K124" s="178"/>
    </row>
    <row r="125" spans="1:15" x14ac:dyDescent="0.25">
      <c r="A125" s="182"/>
      <c r="B125" s="179"/>
      <c r="C125" s="151">
        <f t="shared" si="14"/>
        <v>4</v>
      </c>
      <c r="D125" s="152">
        <f t="shared" si="14"/>
        <v>2.59</v>
      </c>
      <c r="E125" s="152"/>
      <c r="F125" s="152">
        <f t="shared" si="15"/>
        <v>0.46</v>
      </c>
      <c r="G125" s="152">
        <f t="shared" si="13"/>
        <v>4.7656000000000001</v>
      </c>
      <c r="H125" s="178"/>
      <c r="I125" s="178"/>
      <c r="J125" s="152"/>
      <c r="K125" s="178"/>
    </row>
    <row r="126" spans="1:15" x14ac:dyDescent="0.25">
      <c r="A126" s="182"/>
      <c r="B126" s="179" t="s">
        <v>140</v>
      </c>
      <c r="C126" s="151">
        <f t="shared" si="14"/>
        <v>6</v>
      </c>
      <c r="D126" s="152">
        <f>D108*4</f>
        <v>1.2</v>
      </c>
      <c r="E126" s="152"/>
      <c r="F126" s="152">
        <f>F108</f>
        <v>2.66</v>
      </c>
      <c r="G126" s="152">
        <f t="shared" si="13"/>
        <v>19.151999999999997</v>
      </c>
      <c r="H126" s="178"/>
      <c r="I126" s="178"/>
      <c r="J126" s="152"/>
      <c r="K126" s="178"/>
    </row>
    <row r="127" spans="1:15" x14ac:dyDescent="0.25">
      <c r="A127" s="182"/>
      <c r="B127" s="179" t="s">
        <v>141</v>
      </c>
      <c r="C127" s="151">
        <f t="shared" si="14"/>
        <v>6</v>
      </c>
      <c r="D127" s="152">
        <f>D109*4</f>
        <v>1.2</v>
      </c>
      <c r="E127" s="152"/>
      <c r="F127" s="152">
        <f>F109</f>
        <v>2.4500000000000002</v>
      </c>
      <c r="G127" s="152">
        <f t="shared" si="13"/>
        <v>17.64</v>
      </c>
      <c r="H127" s="178"/>
      <c r="I127" s="178"/>
      <c r="J127" s="152"/>
      <c r="K127" s="178"/>
    </row>
    <row r="128" spans="1:15" x14ac:dyDescent="0.25">
      <c r="A128" s="182"/>
      <c r="B128" s="179" t="s">
        <v>71</v>
      </c>
      <c r="C128" s="151">
        <f t="shared" si="14"/>
        <v>8</v>
      </c>
      <c r="D128" s="152">
        <f t="shared" si="14"/>
        <v>2.57</v>
      </c>
      <c r="E128" s="152"/>
      <c r="F128" s="152">
        <f>F110*2</f>
        <v>0.46</v>
      </c>
      <c r="G128" s="152">
        <f t="shared" si="13"/>
        <v>9.4575999999999993</v>
      </c>
      <c r="H128" s="178"/>
      <c r="I128" s="178"/>
      <c r="J128" s="152"/>
      <c r="K128" s="178"/>
    </row>
    <row r="129" spans="1:15" x14ac:dyDescent="0.25">
      <c r="A129" s="182"/>
      <c r="B129" s="179"/>
      <c r="C129" s="151">
        <f>C111</f>
        <v>6</v>
      </c>
      <c r="D129" s="152">
        <f t="shared" si="14"/>
        <v>2.9750000000000001</v>
      </c>
      <c r="E129" s="152"/>
      <c r="F129" s="152">
        <f>F111*2</f>
        <v>0.46</v>
      </c>
      <c r="G129" s="152">
        <f t="shared" si="13"/>
        <v>8.2110000000000003</v>
      </c>
      <c r="H129" s="178"/>
      <c r="I129" s="178"/>
      <c r="J129" s="152"/>
      <c r="K129" s="178"/>
    </row>
    <row r="130" spans="1:15" x14ac:dyDescent="0.25">
      <c r="A130" s="182"/>
      <c r="B130" s="179" t="s">
        <v>142</v>
      </c>
      <c r="C130" s="151">
        <f>C112</f>
        <v>1</v>
      </c>
      <c r="D130" s="152">
        <f t="shared" si="14"/>
        <v>6.5449999999999999</v>
      </c>
      <c r="E130" s="152">
        <f>E112</f>
        <v>4.0674999999999999</v>
      </c>
      <c r="F130" s="152"/>
      <c r="G130" s="152">
        <f>PRODUCT(C130:F130)</f>
        <v>26.6217875</v>
      </c>
      <c r="H130" s="178"/>
      <c r="I130" s="178"/>
      <c r="J130" s="152"/>
      <c r="K130" s="178"/>
    </row>
    <row r="131" spans="1:15" x14ac:dyDescent="0.25">
      <c r="A131" s="182"/>
      <c r="B131" s="179" t="s">
        <v>76</v>
      </c>
      <c r="C131" s="151">
        <f>C113</f>
        <v>-1</v>
      </c>
      <c r="D131" s="152">
        <f t="shared" si="14"/>
        <v>1.08</v>
      </c>
      <c r="E131" s="152">
        <f>E113</f>
        <v>0.76196281621456874</v>
      </c>
      <c r="F131" s="152"/>
      <c r="G131" s="152">
        <f>PRODUCT(C131:F131)</f>
        <v>-0.82291984151173425</v>
      </c>
      <c r="H131" s="178"/>
      <c r="I131" s="178"/>
      <c r="J131" s="152"/>
      <c r="K131" s="178"/>
    </row>
    <row r="132" spans="1:15" x14ac:dyDescent="0.25">
      <c r="A132" s="182"/>
      <c r="B132" s="179" t="s">
        <v>143</v>
      </c>
      <c r="C132" s="151">
        <f>C114</f>
        <v>1</v>
      </c>
      <c r="D132" s="152">
        <f t="shared" si="14"/>
        <v>6.9</v>
      </c>
      <c r="E132" s="152">
        <f>E114</f>
        <v>4.4249999999999998</v>
      </c>
      <c r="F132" s="152"/>
      <c r="G132" s="152">
        <f>PRODUCT(C132:F132)</f>
        <v>30.532499999999999</v>
      </c>
      <c r="H132" s="178"/>
      <c r="I132" s="178"/>
      <c r="J132" s="152"/>
      <c r="K132" s="178"/>
    </row>
    <row r="133" spans="1:15" x14ac:dyDescent="0.25">
      <c r="A133" s="182"/>
      <c r="B133" s="173" t="s">
        <v>76</v>
      </c>
      <c r="C133" s="151">
        <f>C115</f>
        <v>-1</v>
      </c>
      <c r="D133" s="152">
        <f t="shared" si="14"/>
        <v>0.93</v>
      </c>
      <c r="E133" s="152">
        <f>E115</f>
        <v>0.76</v>
      </c>
      <c r="F133" s="152"/>
      <c r="G133" s="152">
        <f>PRODUCT(C133:F133)</f>
        <v>-0.70680000000000009</v>
      </c>
      <c r="H133" s="178"/>
      <c r="I133" s="178"/>
      <c r="J133" s="152"/>
      <c r="K133" s="178"/>
    </row>
    <row r="134" spans="1:15" ht="15" customHeight="1" x14ac:dyDescent="0.25">
      <c r="A134" s="182"/>
      <c r="B134" s="150" t="s">
        <v>16</v>
      </c>
      <c r="C134" s="151"/>
      <c r="D134" s="152"/>
      <c r="E134" s="152"/>
      <c r="F134" s="152"/>
      <c r="G134" s="153">
        <f>SUM(G120:G133)</f>
        <v>132.13136765848827</v>
      </c>
      <c r="H134" s="153" t="s">
        <v>23</v>
      </c>
      <c r="I134" s="6">
        <v>905.97</v>
      </c>
      <c r="J134" s="154">
        <f>G134*I134</f>
        <v>119707.05515756062</v>
      </c>
      <c r="K134" s="178"/>
    </row>
    <row r="135" spans="1:15" ht="15" hidden="1" customHeight="1" x14ac:dyDescent="0.25">
      <c r="A135" s="20"/>
      <c r="B135" s="150" t="s">
        <v>30</v>
      </c>
      <c r="C135" s="21"/>
      <c r="D135" s="22"/>
      <c r="E135" s="23"/>
      <c r="F135" s="23"/>
      <c r="G135" s="7"/>
      <c r="H135" s="6"/>
      <c r="I135" s="7"/>
      <c r="J135" s="153">
        <f>0.13*G134*46827.87/100</f>
        <v>8043.659659924062</v>
      </c>
      <c r="K135" s="23"/>
    </row>
    <row r="136" spans="1:15" ht="15" customHeight="1" x14ac:dyDescent="0.25">
      <c r="A136" s="20"/>
      <c r="B136" s="150"/>
      <c r="C136" s="21"/>
      <c r="D136" s="22"/>
      <c r="E136" s="23"/>
      <c r="F136" s="23"/>
      <c r="G136" s="7"/>
      <c r="H136" s="6"/>
      <c r="I136" s="7"/>
      <c r="J136" s="153"/>
      <c r="K136" s="23"/>
    </row>
    <row r="137" spans="1:15" ht="45" x14ac:dyDescent="0.25">
      <c r="A137" s="20">
        <v>11</v>
      </c>
      <c r="B137" s="139" t="s">
        <v>33</v>
      </c>
      <c r="C137" s="151" t="s">
        <v>8</v>
      </c>
      <c r="D137" s="188" t="s">
        <v>22</v>
      </c>
      <c r="E137" s="188" t="s">
        <v>34</v>
      </c>
      <c r="F137" s="188" t="s">
        <v>35</v>
      </c>
      <c r="G137" s="188" t="s">
        <v>36</v>
      </c>
      <c r="H137" s="182"/>
      <c r="I137" s="153"/>
      <c r="J137" s="153"/>
      <c r="K137" s="23"/>
    </row>
    <row r="138" spans="1:15" ht="15" customHeight="1" x14ac:dyDescent="0.25">
      <c r="A138" s="20"/>
      <c r="B138" s="150" t="s">
        <v>57</v>
      </c>
      <c r="C138" s="21">
        <v>10</v>
      </c>
      <c r="D138" s="152">
        <f>1.5-0.1</f>
        <v>1.4</v>
      </c>
      <c r="E138" s="152">
        <f>12*12/162</f>
        <v>0.88888888888888884</v>
      </c>
      <c r="F138" s="152">
        <f t="shared" ref="F138:F171" si="16">PRODUCT(C138:E138)</f>
        <v>12.444444444444443</v>
      </c>
      <c r="G138" s="152">
        <f t="shared" ref="G138:G171" si="17">F138/1000</f>
        <v>1.2444444444444442E-2</v>
      </c>
      <c r="H138" s="6"/>
      <c r="I138" s="7"/>
      <c r="J138" s="153"/>
      <c r="K138" s="23"/>
    </row>
    <row r="139" spans="1:15" ht="15" customHeight="1" x14ac:dyDescent="0.25">
      <c r="A139" s="20"/>
      <c r="B139" s="150"/>
      <c r="C139" s="21">
        <v>10</v>
      </c>
      <c r="D139" s="152">
        <f>1.5-0.1</f>
        <v>1.4</v>
      </c>
      <c r="E139" s="152">
        <f>12*12/162</f>
        <v>0.88888888888888884</v>
      </c>
      <c r="F139" s="152">
        <f t="shared" si="16"/>
        <v>12.444444444444443</v>
      </c>
      <c r="G139" s="152">
        <f t="shared" si="17"/>
        <v>1.2444444444444442E-2</v>
      </c>
      <c r="H139" s="6"/>
      <c r="I139" s="7"/>
      <c r="J139" s="153"/>
      <c r="K139" s="23"/>
    </row>
    <row r="140" spans="1:15" ht="15" customHeight="1" x14ac:dyDescent="0.25">
      <c r="A140" s="20"/>
      <c r="B140" s="150" t="s">
        <v>169</v>
      </c>
      <c r="C140" s="21">
        <f>3*4</f>
        <v>12</v>
      </c>
      <c r="D140" s="152">
        <f>1.5+1.5/3.281+2.69+0.125+2.45+0.125</f>
        <v>7.3471776897287411</v>
      </c>
      <c r="E140" s="152">
        <f>16*16/162</f>
        <v>1.5802469135802468</v>
      </c>
      <c r="F140" s="152">
        <f t="shared" si="16"/>
        <v>139.3242584126339</v>
      </c>
      <c r="G140" s="152">
        <f t="shared" si="17"/>
        <v>0.13932425841263391</v>
      </c>
      <c r="H140" s="6"/>
      <c r="I140" s="7"/>
      <c r="J140" s="153"/>
      <c r="K140" s="23"/>
    </row>
    <row r="141" spans="1:15" ht="15" customHeight="1" x14ac:dyDescent="0.25">
      <c r="A141" s="20"/>
      <c r="B141" s="150"/>
      <c r="C141" s="21">
        <f>3*4</f>
        <v>12</v>
      </c>
      <c r="D141" s="152">
        <f>1.5+1.5/3.281+2.69+0.125+2.45+0.125</f>
        <v>7.3471776897287411</v>
      </c>
      <c r="E141" s="152">
        <f>12*12/162</f>
        <v>0.88888888888888884</v>
      </c>
      <c r="F141" s="152">
        <f t="shared" si="16"/>
        <v>78.369895357106557</v>
      </c>
      <c r="G141" s="152">
        <f t="shared" si="17"/>
        <v>7.8369895357106562E-2</v>
      </c>
      <c r="H141" s="6"/>
      <c r="I141" s="7"/>
      <c r="J141" s="153"/>
      <c r="K141" s="23"/>
    </row>
    <row r="142" spans="1:15" ht="15" customHeight="1" x14ac:dyDescent="0.25">
      <c r="A142" s="20"/>
      <c r="B142" s="150" t="s">
        <v>59</v>
      </c>
      <c r="C142" s="21">
        <f>3*(15+19+19)</f>
        <v>159</v>
      </c>
      <c r="D142" s="152">
        <f>(0.75*4+0.17*2)/3.281</f>
        <v>1.0179823224626636</v>
      </c>
      <c r="E142" s="152">
        <f>8*8/162</f>
        <v>0.39506172839506171</v>
      </c>
      <c r="F142" s="152">
        <f t="shared" si="16"/>
        <v>63.944371070247307</v>
      </c>
      <c r="G142" s="152">
        <f t="shared" si="17"/>
        <v>6.3944371070247308E-2</v>
      </c>
      <c r="H142" s="6"/>
      <c r="I142" s="7"/>
      <c r="J142" s="153"/>
      <c r="K142" s="23"/>
      <c r="N142">
        <f>C143/6</f>
        <v>26.5</v>
      </c>
      <c r="O142">
        <f>N142-31</f>
        <v>-4.5</v>
      </c>
    </row>
    <row r="143" spans="1:15" ht="15" customHeight="1" x14ac:dyDescent="0.25">
      <c r="A143" s="20"/>
      <c r="B143" s="150"/>
      <c r="C143" s="21">
        <f>3*(15+19+19)</f>
        <v>159</v>
      </c>
      <c r="D143" s="152">
        <f>(0.5*4+0.17*2)/3.281</f>
        <v>0.71319719597683628</v>
      </c>
      <c r="E143" s="152">
        <f>8*8/162</f>
        <v>0.39506172839506171</v>
      </c>
      <c r="F143" s="152">
        <f t="shared" si="16"/>
        <v>44.799349791730158</v>
      </c>
      <c r="G143" s="152">
        <f t="shared" si="17"/>
        <v>4.4799349791730156E-2</v>
      </c>
      <c r="H143" s="6"/>
      <c r="I143" s="7"/>
      <c r="J143" s="153"/>
      <c r="K143" s="23"/>
    </row>
    <row r="144" spans="1:15" ht="15" customHeight="1" x14ac:dyDescent="0.25">
      <c r="A144" s="20"/>
      <c r="B144" s="150" t="s">
        <v>169</v>
      </c>
      <c r="C144" s="21">
        <f>3*4</f>
        <v>12</v>
      </c>
      <c r="D144" s="152">
        <f>0.45+1.5/3.281+2.69+0.125+2.45+0.125</f>
        <v>6.2971776897287413</v>
      </c>
      <c r="E144" s="152">
        <f>16*16/162</f>
        <v>1.5802469135802468</v>
      </c>
      <c r="F144" s="152">
        <f t="shared" si="16"/>
        <v>119.41314730152278</v>
      </c>
      <c r="G144" s="152">
        <f t="shared" si="17"/>
        <v>0.11941314730152279</v>
      </c>
      <c r="H144" s="6"/>
      <c r="I144" s="7"/>
      <c r="J144" s="153"/>
      <c r="K144" s="23"/>
    </row>
    <row r="145" spans="1:15" ht="15" customHeight="1" x14ac:dyDescent="0.25">
      <c r="A145" s="20"/>
      <c r="B145" s="150"/>
      <c r="C145" s="21">
        <f>3*4</f>
        <v>12</v>
      </c>
      <c r="D145" s="152">
        <f>0.45+1.5/3.281+2.69+0.125+2.45+0.125</f>
        <v>6.2971776897287413</v>
      </c>
      <c r="E145" s="152">
        <f>12*12/162</f>
        <v>0.88888888888888884</v>
      </c>
      <c r="F145" s="152">
        <f t="shared" si="16"/>
        <v>67.169895357106569</v>
      </c>
      <c r="G145" s="152">
        <f t="shared" si="17"/>
        <v>6.7169895357106574E-2</v>
      </c>
      <c r="H145" s="6"/>
      <c r="I145" s="7"/>
      <c r="J145" s="153"/>
      <c r="K145" s="23"/>
    </row>
    <row r="146" spans="1:15" ht="15" customHeight="1" x14ac:dyDescent="0.25">
      <c r="A146" s="20"/>
      <c r="B146" s="150" t="s">
        <v>59</v>
      </c>
      <c r="C146" s="21">
        <f>3*(5+19+19)</f>
        <v>129</v>
      </c>
      <c r="D146" s="152">
        <f>(0.75*4+0.17*2)/3.281</f>
        <v>1.0179823224626636</v>
      </c>
      <c r="E146" s="152">
        <f>8*8/162</f>
        <v>0.39506172839506171</v>
      </c>
      <c r="F146" s="152">
        <f t="shared" si="16"/>
        <v>51.879395396615749</v>
      </c>
      <c r="G146" s="152">
        <f t="shared" si="17"/>
        <v>5.1879395396615749E-2</v>
      </c>
      <c r="H146" s="6"/>
      <c r="I146" s="7"/>
      <c r="J146" s="153"/>
      <c r="K146" s="23"/>
      <c r="N146">
        <f>C147/6</f>
        <v>21.5</v>
      </c>
      <c r="O146">
        <f>N146-31</f>
        <v>-9.5</v>
      </c>
    </row>
    <row r="147" spans="1:15" ht="15" customHeight="1" x14ac:dyDescent="0.25">
      <c r="A147" s="20"/>
      <c r="B147" s="150"/>
      <c r="C147" s="21">
        <f>3*(5+19+19)</f>
        <v>129</v>
      </c>
      <c r="D147" s="152">
        <f>(0.5*4+0.17*2)/3.281</f>
        <v>0.71319719597683628</v>
      </c>
      <c r="E147" s="152">
        <f>8*8/162</f>
        <v>0.39506172839506171</v>
      </c>
      <c r="F147" s="152">
        <f t="shared" si="16"/>
        <v>36.346642283856539</v>
      </c>
      <c r="G147" s="152">
        <f t="shared" si="17"/>
        <v>3.6346642283856541E-2</v>
      </c>
      <c r="H147" s="6"/>
      <c r="I147" s="7"/>
      <c r="J147" s="153"/>
      <c r="K147" s="23"/>
    </row>
    <row r="148" spans="1:15" ht="15" customHeight="1" x14ac:dyDescent="0.25">
      <c r="A148" s="20"/>
      <c r="B148" s="150" t="s">
        <v>166</v>
      </c>
      <c r="C148" s="21">
        <f>2*(4)</f>
        <v>8</v>
      </c>
      <c r="D148" s="152">
        <f>(19.75+(0.75*2))/3.281</f>
        <v>6.4766839378238341</v>
      </c>
      <c r="E148" s="152">
        <f>12*12/162</f>
        <v>0.88888888888888884</v>
      </c>
      <c r="F148" s="152">
        <f t="shared" si="16"/>
        <v>46.056419113413931</v>
      </c>
      <c r="G148" s="152">
        <f t="shared" si="17"/>
        <v>4.6056419113413932E-2</v>
      </c>
      <c r="H148" s="6"/>
      <c r="I148" s="7"/>
      <c r="J148" s="153"/>
      <c r="K148" s="23"/>
    </row>
    <row r="149" spans="1:15" ht="15" customHeight="1" x14ac:dyDescent="0.25">
      <c r="A149" s="20"/>
      <c r="B149" s="150" t="s">
        <v>59</v>
      </c>
      <c r="C149" s="21">
        <f>(19+20)*2</f>
        <v>78</v>
      </c>
      <c r="D149" s="152">
        <f>(0.583*4+0.17*2)/3.281</f>
        <v>0.81438585797013097</v>
      </c>
      <c r="E149" s="152">
        <f>8*8/162</f>
        <v>0.39506172839506171</v>
      </c>
      <c r="F149" s="152">
        <f>PRODUCT(C149:E149)</f>
        <v>25.095149401153666</v>
      </c>
      <c r="G149" s="152">
        <f>F149/1000</f>
        <v>2.5095149401153666E-2</v>
      </c>
      <c r="H149" s="6"/>
      <c r="I149" s="7"/>
      <c r="J149" s="153"/>
      <c r="K149" s="23"/>
    </row>
    <row r="150" spans="1:15" ht="15" customHeight="1" x14ac:dyDescent="0.25">
      <c r="A150" s="20"/>
      <c r="B150" s="150" t="s">
        <v>166</v>
      </c>
      <c r="C150" s="21">
        <f>4*2</f>
        <v>8</v>
      </c>
      <c r="D150" s="152">
        <f>(11.583+(0.75*2))/3.281</f>
        <v>3.9875038098140809</v>
      </c>
      <c r="E150" s="152">
        <f>12*12/162</f>
        <v>0.88888888888888884</v>
      </c>
      <c r="F150" s="152">
        <f t="shared" si="16"/>
        <v>28.355582647566795</v>
      </c>
      <c r="G150" s="152">
        <f t="shared" si="17"/>
        <v>2.8355582647566796E-2</v>
      </c>
      <c r="H150" s="6"/>
      <c r="I150" s="7"/>
      <c r="J150" s="153"/>
      <c r="K150" s="23"/>
      <c r="N150">
        <f>4/0.127</f>
        <v>31.496062992125985</v>
      </c>
      <c r="O150">
        <f>9.75/0.42</f>
        <v>23.214285714285715</v>
      </c>
    </row>
    <row r="151" spans="1:15" ht="15" customHeight="1" x14ac:dyDescent="0.25">
      <c r="A151" s="20"/>
      <c r="B151" s="150" t="s">
        <v>59</v>
      </c>
      <c r="C151" s="21">
        <f>(23)*2</f>
        <v>46</v>
      </c>
      <c r="D151" s="152">
        <f>(0.583*4+0.17*2)/3.281</f>
        <v>0.81438585797013097</v>
      </c>
      <c r="E151" s="152">
        <f>8*8/162</f>
        <v>0.39506172839506171</v>
      </c>
      <c r="F151" s="152">
        <f t="shared" si="16"/>
        <v>14.799703492988058</v>
      </c>
      <c r="G151" s="152">
        <f t="shared" si="17"/>
        <v>1.4799703492988059E-2</v>
      </c>
      <c r="H151" s="6"/>
      <c r="I151" s="7"/>
      <c r="J151" s="153"/>
      <c r="K151" s="23"/>
    </row>
    <row r="152" spans="1:15" ht="15" customHeight="1" x14ac:dyDescent="0.25">
      <c r="A152" s="20"/>
      <c r="B152" s="150" t="s">
        <v>167</v>
      </c>
      <c r="C152" s="21">
        <f>2*(4)</f>
        <v>8</v>
      </c>
      <c r="D152" s="152">
        <f>(19.75+(0.75*2))/3.281</f>
        <v>6.4766839378238341</v>
      </c>
      <c r="E152" s="152">
        <f>12*12/162</f>
        <v>0.88888888888888884</v>
      </c>
      <c r="F152" s="152">
        <f t="shared" si="16"/>
        <v>46.056419113413931</v>
      </c>
      <c r="G152" s="152">
        <f t="shared" si="17"/>
        <v>4.6056419113413932E-2</v>
      </c>
      <c r="H152" s="6"/>
      <c r="I152" s="7"/>
      <c r="J152" s="153"/>
      <c r="K152" s="23"/>
      <c r="N152">
        <f>17/0.42</f>
        <v>40.476190476190474</v>
      </c>
    </row>
    <row r="153" spans="1:15" ht="15" customHeight="1" x14ac:dyDescent="0.25">
      <c r="A153" s="20"/>
      <c r="B153" s="150" t="s">
        <v>59</v>
      </c>
      <c r="C153" s="21">
        <f>(19+20)*2</f>
        <v>78</v>
      </c>
      <c r="D153" s="152">
        <f>(0.583*4+0.17*2)/3.281</f>
        <v>0.81438585797013097</v>
      </c>
      <c r="E153" s="152">
        <f>8*8/162</f>
        <v>0.39506172839506171</v>
      </c>
      <c r="F153" s="152">
        <f>PRODUCT(C153:E153)</f>
        <v>25.095149401153666</v>
      </c>
      <c r="G153" s="152">
        <f>F153/1000</f>
        <v>2.5095149401153666E-2</v>
      </c>
      <c r="H153" s="6"/>
      <c r="I153" s="7"/>
      <c r="J153" s="153"/>
      <c r="K153" s="23"/>
    </row>
    <row r="154" spans="1:15" ht="15" customHeight="1" x14ac:dyDescent="0.25">
      <c r="A154" s="20"/>
      <c r="B154" s="150" t="s">
        <v>167</v>
      </c>
      <c r="C154" s="21">
        <f>4*3</f>
        <v>12</v>
      </c>
      <c r="D154" s="152">
        <f>(11.583+(0.75*2))/3.281</f>
        <v>3.9875038098140809</v>
      </c>
      <c r="E154" s="152">
        <f>12*12/162</f>
        <v>0.88888888888888884</v>
      </c>
      <c r="F154" s="152">
        <f t="shared" ref="F154:F156" si="18">PRODUCT(C154:E154)</f>
        <v>42.533373971350194</v>
      </c>
      <c r="G154" s="152">
        <f t="shared" ref="G154:G156" si="19">F154/1000</f>
        <v>4.2533373971350194E-2</v>
      </c>
      <c r="H154" s="6"/>
      <c r="I154" s="7"/>
      <c r="J154" s="153"/>
      <c r="K154" s="23"/>
      <c r="N154">
        <f>4/0.127</f>
        <v>31.496062992125985</v>
      </c>
      <c r="O154">
        <f>9.75/0.42</f>
        <v>23.214285714285715</v>
      </c>
    </row>
    <row r="155" spans="1:15" ht="15" customHeight="1" x14ac:dyDescent="0.25">
      <c r="A155" s="20"/>
      <c r="B155" s="150" t="s">
        <v>59</v>
      </c>
      <c r="C155" s="21">
        <f>(23)*3</f>
        <v>69</v>
      </c>
      <c r="D155" s="152">
        <f>(0.583*4+0.17*2)/3.281</f>
        <v>0.81438585797013097</v>
      </c>
      <c r="E155" s="152">
        <f>8*8/162</f>
        <v>0.39506172839506171</v>
      </c>
      <c r="F155" s="152">
        <f t="shared" si="18"/>
        <v>22.199555239482088</v>
      </c>
      <c r="G155" s="152">
        <f t="shared" si="19"/>
        <v>2.2199555239482086E-2</v>
      </c>
      <c r="H155" s="6"/>
      <c r="I155" s="7"/>
      <c r="J155" s="153"/>
      <c r="K155" s="23"/>
    </row>
    <row r="156" spans="1:15" ht="15" customHeight="1" x14ac:dyDescent="0.25">
      <c r="A156" s="20"/>
      <c r="B156" s="150" t="s">
        <v>71</v>
      </c>
      <c r="C156" s="21">
        <f>2*2*(4)</f>
        <v>16</v>
      </c>
      <c r="D156" s="152">
        <f>(19.75+(0.42*2))/3.281</f>
        <v>6.2755257543431879</v>
      </c>
      <c r="E156" s="152">
        <f>12*12/162</f>
        <v>0.88888888888888884</v>
      </c>
      <c r="F156" s="152">
        <f t="shared" si="18"/>
        <v>89.251921839547563</v>
      </c>
      <c r="G156" s="152">
        <f t="shared" si="19"/>
        <v>8.9251921839547568E-2</v>
      </c>
      <c r="H156" s="6"/>
      <c r="I156" s="7"/>
      <c r="J156" s="153"/>
      <c r="K156" s="23"/>
    </row>
    <row r="157" spans="1:15" ht="15" customHeight="1" x14ac:dyDescent="0.25">
      <c r="A157" s="20"/>
      <c r="B157" s="150" t="s">
        <v>59</v>
      </c>
      <c r="C157" s="21">
        <f>(19+20)*2*2</f>
        <v>156</v>
      </c>
      <c r="D157" s="152">
        <f>(0.583*4+0.17*2)/3.281</f>
        <v>0.81438585797013097</v>
      </c>
      <c r="E157" s="152">
        <f>8*8/162</f>
        <v>0.39506172839506171</v>
      </c>
      <c r="F157" s="152">
        <f>PRODUCT(C157:E157)</f>
        <v>50.190298802307332</v>
      </c>
      <c r="G157" s="152">
        <f>F157/1000</f>
        <v>5.0190298802307333E-2</v>
      </c>
      <c r="H157" s="6"/>
      <c r="I157" s="7"/>
      <c r="J157" s="153"/>
      <c r="K157" s="23"/>
    </row>
    <row r="158" spans="1:15" ht="15" customHeight="1" x14ac:dyDescent="0.25">
      <c r="A158" s="20"/>
      <c r="B158" s="150" t="s">
        <v>71</v>
      </c>
      <c r="C158" s="21">
        <f>4*3*2</f>
        <v>24</v>
      </c>
      <c r="D158" s="152">
        <f>(11.583+(0.42*2))/3.281</f>
        <v>3.7863456263334347</v>
      </c>
      <c r="E158" s="152">
        <f>12*12/162</f>
        <v>0.88888888888888884</v>
      </c>
      <c r="F158" s="152">
        <f t="shared" ref="F158:F159" si="20">PRODUCT(C158:E158)</f>
        <v>80.775373361779927</v>
      </c>
      <c r="G158" s="152">
        <f t="shared" ref="G158:G159" si="21">F158/1000</f>
        <v>8.0775373361779923E-2</v>
      </c>
      <c r="H158" s="6"/>
      <c r="I158" s="7"/>
      <c r="J158" s="153"/>
      <c r="K158" s="23"/>
    </row>
    <row r="159" spans="1:15" ht="15" customHeight="1" x14ac:dyDescent="0.25">
      <c r="A159" s="20"/>
      <c r="B159" s="150" t="s">
        <v>59</v>
      </c>
      <c r="C159" s="21">
        <f>(23)*3*2</f>
        <v>138</v>
      </c>
      <c r="D159" s="152">
        <f>(0.583*4+0.17*2)/3.281</f>
        <v>0.81438585797013097</v>
      </c>
      <c r="E159" s="152">
        <f>8*8/162</f>
        <v>0.39506172839506171</v>
      </c>
      <c r="F159" s="152">
        <f t="shared" si="20"/>
        <v>44.399110478964175</v>
      </c>
      <c r="G159" s="152">
        <f t="shared" si="21"/>
        <v>4.4399110478964172E-2</v>
      </c>
      <c r="H159" s="6"/>
      <c r="I159" s="7"/>
      <c r="J159" s="153"/>
      <c r="K159" s="23"/>
    </row>
    <row r="160" spans="1:15" ht="15" customHeight="1" x14ac:dyDescent="0.25">
      <c r="A160" s="20"/>
      <c r="B160" s="150" t="s">
        <v>66</v>
      </c>
      <c r="C160" s="21">
        <f>3*6</f>
        <v>18</v>
      </c>
      <c r="D160" s="152">
        <f>5.667/3.281</f>
        <v>1.7272173117951843</v>
      </c>
      <c r="E160" s="152">
        <f t="shared" ref="E160:E162" si="22">12*12/162</f>
        <v>0.88888888888888884</v>
      </c>
      <c r="F160" s="152">
        <f>PRODUCT(C160:E160)</f>
        <v>27.635476988722949</v>
      </c>
      <c r="G160" s="183">
        <f>F160/1000</f>
        <v>2.763547698872295E-2</v>
      </c>
      <c r="H160" s="6"/>
      <c r="I160" s="7"/>
      <c r="J160" s="153"/>
      <c r="K160" s="23"/>
      <c r="O160">
        <f>3.5/3.281</f>
        <v>1.0667479427003961</v>
      </c>
    </row>
    <row r="161" spans="1:17" ht="15" customHeight="1" x14ac:dyDescent="0.25">
      <c r="A161" s="20"/>
      <c r="B161" s="150"/>
      <c r="C161" s="21">
        <f>2*3</f>
        <v>6</v>
      </c>
      <c r="D161" s="152">
        <f>7.5/3.281</f>
        <v>2.2858884486437061</v>
      </c>
      <c r="E161" s="152">
        <f t="shared" si="22"/>
        <v>0.88888888888888884</v>
      </c>
      <c r="F161" s="152">
        <f>PRODUCT(C161:E161)</f>
        <v>12.191405059433098</v>
      </c>
      <c r="G161" s="183">
        <f>F161/1000</f>
        <v>1.2191405059433098E-2</v>
      </c>
      <c r="H161" s="6"/>
      <c r="I161" s="7"/>
      <c r="J161" s="153"/>
      <c r="K161" s="23"/>
    </row>
    <row r="162" spans="1:17" ht="15" customHeight="1" x14ac:dyDescent="0.25">
      <c r="A162" s="20"/>
      <c r="B162" s="150"/>
      <c r="C162" s="21">
        <f>3*4</f>
        <v>12</v>
      </c>
      <c r="D162" s="152">
        <f>5.5/3.281</f>
        <v>1.6763181956720512</v>
      </c>
      <c r="E162" s="152">
        <f t="shared" si="22"/>
        <v>0.88888888888888884</v>
      </c>
      <c r="F162" s="152">
        <f>PRODUCT(C162:E162)</f>
        <v>17.880727420501877</v>
      </c>
      <c r="G162" s="183">
        <f>F162/1000</f>
        <v>1.7880727420501875E-2</v>
      </c>
      <c r="H162" s="6"/>
      <c r="I162" s="7"/>
      <c r="J162" s="153"/>
      <c r="K162" s="23"/>
    </row>
    <row r="163" spans="1:17" ht="15" customHeight="1" x14ac:dyDescent="0.25">
      <c r="A163" s="20"/>
      <c r="B163" s="150"/>
      <c r="C163" s="21">
        <v>2</v>
      </c>
      <c r="D163" s="152">
        <f>(19.75+(0.42*2))/3.281</f>
        <v>6.2755257543431879</v>
      </c>
      <c r="E163" s="152">
        <f>12*12/162</f>
        <v>0.88888888888888884</v>
      </c>
      <c r="F163" s="152">
        <f t="shared" ref="F163:F164" si="23">PRODUCT(C163:E163)</f>
        <v>11.156490229943445</v>
      </c>
      <c r="G163" s="152">
        <f t="shared" ref="G163:G164" si="24">F163/1000</f>
        <v>1.1156490229943446E-2</v>
      </c>
      <c r="H163" s="6"/>
      <c r="I163" s="7"/>
      <c r="J163" s="153"/>
      <c r="K163" s="23"/>
    </row>
    <row r="164" spans="1:17" ht="15" customHeight="1" x14ac:dyDescent="0.25">
      <c r="A164" s="20"/>
      <c r="B164" s="150"/>
      <c r="C164" s="21">
        <v>3</v>
      </c>
      <c r="D164" s="152">
        <f>(11.583+(0.42*2))/3.281</f>
        <v>3.7863456263334347</v>
      </c>
      <c r="E164" s="152">
        <f>12*12/162</f>
        <v>0.88888888888888884</v>
      </c>
      <c r="F164" s="152">
        <f t="shared" si="23"/>
        <v>10.096921670222491</v>
      </c>
      <c r="G164" s="152">
        <f t="shared" si="24"/>
        <v>1.009692167022249E-2</v>
      </c>
      <c r="H164" s="6"/>
      <c r="I164" s="7"/>
      <c r="J164" s="153"/>
      <c r="K164" s="23"/>
    </row>
    <row r="165" spans="1:17" ht="15" customHeight="1" x14ac:dyDescent="0.25">
      <c r="A165" s="20"/>
      <c r="B165" s="150" t="s">
        <v>142</v>
      </c>
      <c r="C165" s="21"/>
      <c r="D165" s="152"/>
      <c r="E165" s="152"/>
      <c r="F165" s="152"/>
      <c r="G165" s="152"/>
      <c r="H165" s="6"/>
      <c r="I165" s="7"/>
      <c r="J165" s="153"/>
      <c r="K165" s="23"/>
    </row>
    <row r="166" spans="1:17" ht="15" customHeight="1" x14ac:dyDescent="0.25">
      <c r="A166" s="20"/>
      <c r="B166" s="150" t="s">
        <v>163</v>
      </c>
      <c r="C166" s="21">
        <v>25</v>
      </c>
      <c r="D166" s="152">
        <f>12.75/3.281</f>
        <v>3.8860103626943006</v>
      </c>
      <c r="E166" s="152">
        <f t="shared" ref="E166:E179" si="25">8*8/162</f>
        <v>0.39506172839506171</v>
      </c>
      <c r="F166" s="152">
        <f t="shared" si="16"/>
        <v>38.380349261178274</v>
      </c>
      <c r="G166" s="183">
        <f t="shared" si="17"/>
        <v>3.8380349261178275E-2</v>
      </c>
      <c r="H166" s="6"/>
      <c r="I166" s="7"/>
      <c r="J166" s="153"/>
      <c r="K166" s="23"/>
    </row>
    <row r="167" spans="1:17" ht="15" customHeight="1" x14ac:dyDescent="0.25">
      <c r="A167" s="20"/>
      <c r="B167" s="150"/>
      <c r="C167" s="21">
        <v>7</v>
      </c>
      <c r="D167" s="152">
        <f>8.5/3.281</f>
        <v>2.5906735751295336</v>
      </c>
      <c r="E167" s="152">
        <f t="shared" si="25"/>
        <v>0.39506172839506171</v>
      </c>
      <c r="F167" s="152">
        <f t="shared" si="16"/>
        <v>7.1643318620866117</v>
      </c>
      <c r="G167" s="183">
        <f t="shared" si="17"/>
        <v>7.1643318620866116E-3</v>
      </c>
      <c r="H167" s="6"/>
      <c r="I167" s="7"/>
      <c r="J167" s="153"/>
      <c r="K167" s="23"/>
    </row>
    <row r="168" spans="1:17" ht="15" customHeight="1" x14ac:dyDescent="0.25">
      <c r="A168" s="20"/>
      <c r="B168" s="150"/>
      <c r="C168" s="21">
        <v>7</v>
      </c>
      <c r="D168" s="152">
        <f>5.5/3.281</f>
        <v>1.6763181956720512</v>
      </c>
      <c r="E168" s="152">
        <f t="shared" si="25"/>
        <v>0.39506172839506171</v>
      </c>
      <c r="F168" s="152">
        <f t="shared" si="16"/>
        <v>4.6357441460560427</v>
      </c>
      <c r="G168" s="183">
        <f t="shared" si="17"/>
        <v>4.6357441460560429E-3</v>
      </c>
      <c r="H168" s="6"/>
      <c r="I168" s="7"/>
      <c r="J168" s="153"/>
      <c r="K168" s="23"/>
    </row>
    <row r="169" spans="1:17" ht="15" customHeight="1" x14ac:dyDescent="0.25">
      <c r="A169" s="20"/>
      <c r="B169" s="150" t="s">
        <v>164</v>
      </c>
      <c r="C169" s="21">
        <v>10</v>
      </c>
      <c r="D169" s="152">
        <f>21.25/3.281</f>
        <v>6.4766839378238341</v>
      </c>
      <c r="E169" s="152">
        <f t="shared" si="25"/>
        <v>0.39506172839506171</v>
      </c>
      <c r="F169" s="152">
        <f t="shared" si="16"/>
        <v>25.586899507452184</v>
      </c>
      <c r="G169" s="183">
        <f t="shared" si="17"/>
        <v>2.5586899507452184E-2</v>
      </c>
      <c r="H169" s="6"/>
      <c r="I169" s="7"/>
      <c r="J169" s="153"/>
      <c r="K169" s="23"/>
    </row>
    <row r="170" spans="1:17" ht="15" customHeight="1" x14ac:dyDescent="0.25">
      <c r="A170" s="20"/>
      <c r="B170" s="150"/>
      <c r="C170" s="21">
        <v>5</v>
      </c>
      <c r="D170" s="152">
        <f>17.5/3.281</f>
        <v>5.3337397135019806</v>
      </c>
      <c r="E170" s="152">
        <f t="shared" si="25"/>
        <v>0.39506172839506171</v>
      </c>
      <c r="F170" s="152">
        <f t="shared" si="16"/>
        <v>10.535782150127369</v>
      </c>
      <c r="G170" s="183">
        <f t="shared" si="17"/>
        <v>1.0535782150127369E-2</v>
      </c>
      <c r="H170" s="6"/>
      <c r="I170" s="7"/>
      <c r="J170" s="153"/>
      <c r="K170" s="23"/>
    </row>
    <row r="171" spans="1:17" ht="15" customHeight="1" x14ac:dyDescent="0.25">
      <c r="A171" s="20"/>
      <c r="B171" s="150"/>
      <c r="C171" s="21">
        <v>5</v>
      </c>
      <c r="D171" s="152">
        <f>16.583/3.281</f>
        <v>5.0542517525144763</v>
      </c>
      <c r="E171" s="152">
        <f t="shared" si="25"/>
        <v>0.39506172839506171</v>
      </c>
      <c r="F171" s="152">
        <f t="shared" si="16"/>
        <v>9.983707165460693</v>
      </c>
      <c r="G171" s="183">
        <f t="shared" si="17"/>
        <v>9.9837071654606934E-3</v>
      </c>
      <c r="H171" s="6"/>
      <c r="I171" s="7"/>
      <c r="J171" s="153"/>
      <c r="K171" s="23"/>
      <c r="O171" s="63">
        <f>SUM(G166:G179)</f>
        <v>0.18649779312991746</v>
      </c>
      <c r="P171" s="63">
        <f>SUM(G181:G192)</f>
        <v>0.25246864664115498</v>
      </c>
      <c r="Q171" s="63">
        <f>SUM(O171:P171)</f>
        <v>0.43896643977107241</v>
      </c>
    </row>
    <row r="172" spans="1:17" ht="15" customHeight="1" x14ac:dyDescent="0.25">
      <c r="A172" s="20"/>
      <c r="B172" s="173" t="s">
        <v>165</v>
      </c>
      <c r="C172" s="21">
        <v>20</v>
      </c>
      <c r="D172" s="152">
        <f>12.75/3.281</f>
        <v>3.8860103626943006</v>
      </c>
      <c r="E172" s="152">
        <f t="shared" si="25"/>
        <v>0.39506172839506171</v>
      </c>
      <c r="F172" s="152">
        <f>PRODUCT(C172:E172)</f>
        <v>30.704279408942622</v>
      </c>
      <c r="G172" s="183">
        <f>F172/1000</f>
        <v>3.070427940894262E-2</v>
      </c>
      <c r="H172" s="6"/>
      <c r="I172" s="7"/>
      <c r="J172" s="153"/>
      <c r="K172" s="23"/>
    </row>
    <row r="173" spans="1:17" ht="15" customHeight="1" x14ac:dyDescent="0.25">
      <c r="A173" s="20"/>
      <c r="B173" s="150"/>
      <c r="C173" s="21">
        <v>7</v>
      </c>
      <c r="D173" s="152">
        <f>9.5/3.281</f>
        <v>2.895458701615361</v>
      </c>
      <c r="E173" s="152">
        <f t="shared" si="25"/>
        <v>0.39506172839506171</v>
      </c>
      <c r="F173" s="152">
        <f>PRODUCT(C173:E173)</f>
        <v>8.0071944340967995</v>
      </c>
      <c r="G173" s="183">
        <f>F173/1000</f>
        <v>8.0071944340967989E-3</v>
      </c>
      <c r="H173" s="6"/>
      <c r="I173" s="7"/>
      <c r="J173" s="153"/>
      <c r="K173" s="23"/>
    </row>
    <row r="174" spans="1:17" ht="15" customHeight="1" x14ac:dyDescent="0.25">
      <c r="A174" s="20"/>
      <c r="B174" s="150" t="s">
        <v>69</v>
      </c>
      <c r="C174" s="21">
        <v>12</v>
      </c>
      <c r="D174" s="152">
        <f>4.17/3.281</f>
        <v>1.2709539774459007</v>
      </c>
      <c r="E174" s="152">
        <f t="shared" si="25"/>
        <v>0.39506172839506171</v>
      </c>
      <c r="F174" s="152">
        <f t="shared" ref="F174:F179" si="26">PRODUCT(C174:E174)</f>
        <v>6.0252633004842693</v>
      </c>
      <c r="G174" s="183">
        <f t="shared" ref="G174:G179" si="27">F174/1000</f>
        <v>6.0252633004842689E-3</v>
      </c>
      <c r="H174" s="6"/>
      <c r="I174" s="7"/>
      <c r="J174" s="153"/>
      <c r="K174" s="23"/>
    </row>
    <row r="175" spans="1:17" ht="15" customHeight="1" x14ac:dyDescent="0.25">
      <c r="A175" s="20"/>
      <c r="B175" s="150"/>
      <c r="C175" s="21">
        <v>12</v>
      </c>
      <c r="D175" s="152">
        <f>3/3.281</f>
        <v>0.91435537945748246</v>
      </c>
      <c r="E175" s="152">
        <f t="shared" si="25"/>
        <v>0.39506172839506171</v>
      </c>
      <c r="F175" s="152">
        <f t="shared" si="26"/>
        <v>4.3347217989095466</v>
      </c>
      <c r="G175" s="183">
        <f t="shared" si="27"/>
        <v>4.3347217989095467E-3</v>
      </c>
      <c r="H175" s="6"/>
      <c r="I175" s="7"/>
      <c r="J175" s="153"/>
      <c r="K175" s="23"/>
    </row>
    <row r="176" spans="1:17" ht="15" customHeight="1" x14ac:dyDescent="0.25">
      <c r="A176" s="20"/>
      <c r="B176" s="150" t="s">
        <v>76</v>
      </c>
      <c r="C176" s="21">
        <v>6</v>
      </c>
      <c r="D176" s="152">
        <f>21.25/3.281</f>
        <v>6.4766839378238341</v>
      </c>
      <c r="E176" s="152">
        <f t="shared" si="25"/>
        <v>0.39506172839506171</v>
      </c>
      <c r="F176" s="152">
        <f t="shared" si="26"/>
        <v>15.352139704471309</v>
      </c>
      <c r="G176" s="183">
        <f t="shared" si="27"/>
        <v>1.5352139704471308E-2</v>
      </c>
      <c r="H176" s="6"/>
      <c r="I176" s="7"/>
      <c r="J176" s="153"/>
      <c r="K176" s="23"/>
    </row>
    <row r="177" spans="1:13" ht="15" customHeight="1" x14ac:dyDescent="0.25">
      <c r="A177" s="20"/>
      <c r="B177" s="150"/>
      <c r="C177" s="21">
        <v>9</v>
      </c>
      <c r="D177" s="152">
        <f>12.5/3.281</f>
        <v>3.8098140810728434</v>
      </c>
      <c r="E177" s="152">
        <f t="shared" si="25"/>
        <v>0.39506172839506171</v>
      </c>
      <c r="F177" s="152">
        <f t="shared" si="26"/>
        <v>13.546005621592331</v>
      </c>
      <c r="G177" s="183">
        <f t="shared" si="27"/>
        <v>1.3546005621592331E-2</v>
      </c>
      <c r="H177" s="6"/>
      <c r="I177" s="7"/>
      <c r="J177" s="153"/>
      <c r="K177" s="23"/>
    </row>
    <row r="178" spans="1:13" ht="15" customHeight="1" x14ac:dyDescent="0.25">
      <c r="A178" s="20"/>
      <c r="B178" s="150"/>
      <c r="C178" s="21">
        <v>5</v>
      </c>
      <c r="D178" s="152">
        <f>16.583/3.281</f>
        <v>5.0542517525144763</v>
      </c>
      <c r="E178" s="152">
        <f t="shared" si="25"/>
        <v>0.39506172839506171</v>
      </c>
      <c r="F178" s="152">
        <f t="shared" si="26"/>
        <v>9.983707165460693</v>
      </c>
      <c r="G178" s="183">
        <f t="shared" si="27"/>
        <v>9.9837071654606934E-3</v>
      </c>
      <c r="H178" s="6"/>
      <c r="I178" s="7"/>
      <c r="J178" s="153"/>
      <c r="K178" s="23"/>
    </row>
    <row r="179" spans="1:13" ht="15" customHeight="1" x14ac:dyDescent="0.25">
      <c r="A179" s="20"/>
      <c r="B179" s="150"/>
      <c r="C179" s="21">
        <v>5</v>
      </c>
      <c r="D179" s="152">
        <f>3.75/3.281</f>
        <v>1.1429442243218531</v>
      </c>
      <c r="E179" s="152">
        <f t="shared" si="25"/>
        <v>0.39506172839506171</v>
      </c>
      <c r="F179" s="152">
        <f t="shared" si="26"/>
        <v>2.2576676035987222</v>
      </c>
      <c r="G179" s="183">
        <f t="shared" si="27"/>
        <v>2.2576676035987223E-3</v>
      </c>
      <c r="H179" s="6"/>
      <c r="I179" s="7"/>
      <c r="J179" s="153"/>
      <c r="K179" s="23"/>
    </row>
    <row r="180" spans="1:13" x14ac:dyDescent="0.25">
      <c r="A180" s="182"/>
      <c r="B180" s="173" t="s">
        <v>143</v>
      </c>
      <c r="C180" s="151"/>
      <c r="D180" s="152"/>
      <c r="E180" s="152"/>
      <c r="F180" s="152"/>
      <c r="G180" s="152"/>
      <c r="H180" s="178"/>
      <c r="I180" s="178"/>
      <c r="J180" s="152"/>
      <c r="K180" s="178"/>
    </row>
    <row r="181" spans="1:13" x14ac:dyDescent="0.25">
      <c r="A181" s="182"/>
      <c r="B181" s="173" t="s">
        <v>163</v>
      </c>
      <c r="C181" s="151">
        <v>35</v>
      </c>
      <c r="D181" s="152">
        <f>14/3.281</f>
        <v>4.2669917708015843</v>
      </c>
      <c r="E181" s="152">
        <f t="shared" ref="E181:E188" si="28">8*8/162</f>
        <v>0.39506172839506171</v>
      </c>
      <c r="F181" s="152">
        <f t="shared" ref="F181:F192" si="29">PRODUCT(C181:E181)</f>
        <v>59.00038004071326</v>
      </c>
      <c r="G181" s="183">
        <f t="shared" ref="G181:G192" si="30">F181/1000</f>
        <v>5.9000380040713257E-2</v>
      </c>
      <c r="H181" s="178"/>
      <c r="I181" s="178"/>
      <c r="J181" s="152"/>
      <c r="K181" s="178"/>
    </row>
    <row r="182" spans="1:13" x14ac:dyDescent="0.25">
      <c r="A182" s="182"/>
      <c r="B182" s="173"/>
      <c r="C182" s="151">
        <v>6</v>
      </c>
      <c r="D182" s="152">
        <f>9.5/3.281</f>
        <v>2.895458701615361</v>
      </c>
      <c r="E182" s="152">
        <f t="shared" si="28"/>
        <v>0.39506172839506171</v>
      </c>
      <c r="F182" s="152">
        <f t="shared" si="29"/>
        <v>6.8633095149401147</v>
      </c>
      <c r="G182" s="183">
        <f t="shared" si="30"/>
        <v>6.8633095149401146E-3</v>
      </c>
      <c r="H182" s="178"/>
      <c r="I182" s="178"/>
      <c r="J182" s="152"/>
      <c r="K182" s="178"/>
    </row>
    <row r="183" spans="1:13" x14ac:dyDescent="0.25">
      <c r="A183" s="182"/>
      <c r="B183" s="173" t="s">
        <v>164</v>
      </c>
      <c r="C183" s="151">
        <v>21</v>
      </c>
      <c r="D183" s="152">
        <f>22.17/3.281</f>
        <v>6.7570862541907957</v>
      </c>
      <c r="E183" s="152">
        <f t="shared" si="28"/>
        <v>0.39506172839506171</v>
      </c>
      <c r="F183" s="152">
        <f t="shared" si="29"/>
        <v>56.058789664397707</v>
      </c>
      <c r="G183" s="183">
        <f t="shared" si="30"/>
        <v>5.6058789664397708E-2</v>
      </c>
      <c r="H183" s="178"/>
      <c r="I183" s="178"/>
      <c r="J183" s="152"/>
      <c r="K183" s="178"/>
    </row>
    <row r="184" spans="1:13" x14ac:dyDescent="0.25">
      <c r="A184" s="182"/>
      <c r="B184" s="173"/>
      <c r="C184" s="151">
        <v>5</v>
      </c>
      <c r="D184" s="152">
        <f>17.583/3.281</f>
        <v>5.3590368790003042</v>
      </c>
      <c r="E184" s="152">
        <f t="shared" si="28"/>
        <v>0.39506172839506171</v>
      </c>
      <c r="F184" s="152">
        <f t="shared" si="29"/>
        <v>10.585751859753687</v>
      </c>
      <c r="G184" s="183">
        <f t="shared" si="30"/>
        <v>1.0585751859753688E-2</v>
      </c>
      <c r="H184" s="178"/>
      <c r="I184" s="178"/>
      <c r="J184" s="152"/>
      <c r="K184" s="178"/>
      <c r="M184" s="63"/>
    </row>
    <row r="185" spans="1:13" x14ac:dyDescent="0.25">
      <c r="A185" s="182"/>
      <c r="B185" s="173" t="s">
        <v>165</v>
      </c>
      <c r="C185" s="151">
        <v>26</v>
      </c>
      <c r="D185" s="152">
        <f>14/3.281</f>
        <v>4.2669917708015843</v>
      </c>
      <c r="E185" s="152">
        <f t="shared" si="28"/>
        <v>0.39506172839506171</v>
      </c>
      <c r="F185" s="152">
        <f t="shared" si="29"/>
        <v>43.828853744529852</v>
      </c>
      <c r="G185" s="183">
        <f t="shared" si="30"/>
        <v>4.3828853744529848E-2</v>
      </c>
      <c r="H185" s="178"/>
      <c r="I185" s="178"/>
      <c r="J185" s="152"/>
      <c r="K185" s="178"/>
      <c r="M185" s="63">
        <f>SUM(G181:G192)</f>
        <v>0.25246864664115498</v>
      </c>
    </row>
    <row r="186" spans="1:13" x14ac:dyDescent="0.25">
      <c r="A186" s="182"/>
      <c r="B186" s="173"/>
      <c r="C186" s="151">
        <v>9</v>
      </c>
      <c r="D186" s="152">
        <f>4.333/3.281</f>
        <v>1.3206339530630906</v>
      </c>
      <c r="E186" s="152">
        <f t="shared" si="28"/>
        <v>0.39506172839506171</v>
      </c>
      <c r="F186" s="152">
        <f t="shared" si="29"/>
        <v>4.6955873886687662</v>
      </c>
      <c r="G186" s="183">
        <f t="shared" si="30"/>
        <v>4.6955873886687666E-3</v>
      </c>
      <c r="H186" s="178"/>
      <c r="I186" s="178"/>
      <c r="J186" s="152"/>
      <c r="K186" s="178"/>
    </row>
    <row r="187" spans="1:13" x14ac:dyDescent="0.25">
      <c r="A187" s="182"/>
      <c r="B187" s="173"/>
      <c r="C187" s="151">
        <v>9</v>
      </c>
      <c r="D187" s="152">
        <f>4/3.281</f>
        <v>1.2191405059433098</v>
      </c>
      <c r="E187" s="152">
        <f t="shared" si="28"/>
        <v>0.39506172839506171</v>
      </c>
      <c r="F187" s="152">
        <f t="shared" si="29"/>
        <v>4.3347217989095457</v>
      </c>
      <c r="G187" s="183">
        <f t="shared" si="30"/>
        <v>4.3347217989095459E-3</v>
      </c>
      <c r="H187" s="178"/>
      <c r="I187" s="178"/>
      <c r="J187" s="152"/>
      <c r="K187" s="178"/>
    </row>
    <row r="188" spans="1:13" x14ac:dyDescent="0.25">
      <c r="A188" s="182"/>
      <c r="B188" s="173"/>
      <c r="C188" s="151">
        <v>6</v>
      </c>
      <c r="D188" s="152">
        <f>9.5/3.281</f>
        <v>2.895458701615361</v>
      </c>
      <c r="E188" s="152">
        <f t="shared" si="28"/>
        <v>0.39506172839506171</v>
      </c>
      <c r="F188" s="152">
        <f t="shared" si="29"/>
        <v>6.8633095149401147</v>
      </c>
      <c r="G188" s="183">
        <f t="shared" si="30"/>
        <v>6.8633095149401146E-3</v>
      </c>
      <c r="H188" s="178"/>
      <c r="I188" s="178"/>
      <c r="J188" s="152"/>
      <c r="K188" s="178"/>
    </row>
    <row r="189" spans="1:13" x14ac:dyDescent="0.25">
      <c r="A189" s="182"/>
      <c r="B189" s="173" t="s">
        <v>164</v>
      </c>
      <c r="C189" s="151">
        <v>10</v>
      </c>
      <c r="D189" s="152">
        <f>22.17/3.281</f>
        <v>6.7570862541907957</v>
      </c>
      <c r="E189" s="152">
        <f>8*8/162</f>
        <v>0.39506172839506171</v>
      </c>
      <c r="F189" s="152">
        <f t="shared" si="29"/>
        <v>26.69466174495129</v>
      </c>
      <c r="G189" s="183">
        <f t="shared" si="30"/>
        <v>2.669466174495129E-2</v>
      </c>
      <c r="H189" s="178"/>
      <c r="I189" s="178"/>
      <c r="J189" s="152"/>
      <c r="K189" s="178"/>
    </row>
    <row r="190" spans="1:13" x14ac:dyDescent="0.25">
      <c r="A190" s="182"/>
      <c r="B190" s="173"/>
      <c r="C190" s="151">
        <v>5</v>
      </c>
      <c r="D190" s="152">
        <f>17.583/3.281</f>
        <v>5.3590368790003042</v>
      </c>
      <c r="E190" s="152">
        <f>8*8/162</f>
        <v>0.39506172839506171</v>
      </c>
      <c r="F190" s="152">
        <f t="shared" si="29"/>
        <v>10.585751859753687</v>
      </c>
      <c r="G190" s="183">
        <f t="shared" si="30"/>
        <v>1.0585751859753688E-2</v>
      </c>
      <c r="H190" s="178"/>
      <c r="I190" s="178"/>
      <c r="J190" s="152"/>
      <c r="K190" s="178"/>
    </row>
    <row r="191" spans="1:13" x14ac:dyDescent="0.25">
      <c r="A191" s="182"/>
      <c r="B191" s="173"/>
      <c r="C191" s="151">
        <v>11</v>
      </c>
      <c r="D191" s="152">
        <f>13/3.281</f>
        <v>3.9622066443157573</v>
      </c>
      <c r="E191" s="152">
        <f t="shared" ref="E191:E192" si="31">8*8/162</f>
        <v>0.39506172839506171</v>
      </c>
      <c r="F191" s="152">
        <f t="shared" si="29"/>
        <v>17.218478256779584</v>
      </c>
      <c r="G191" s="183">
        <f t="shared" si="30"/>
        <v>1.7218478256779583E-2</v>
      </c>
      <c r="H191" s="178"/>
      <c r="I191" s="178"/>
      <c r="J191" s="152"/>
      <c r="K191" s="178"/>
    </row>
    <row r="192" spans="1:13" x14ac:dyDescent="0.25">
      <c r="A192" s="182"/>
      <c r="B192" s="173"/>
      <c r="C192" s="151">
        <v>11</v>
      </c>
      <c r="D192" s="152">
        <f>4.333/3.281</f>
        <v>1.3206339530630906</v>
      </c>
      <c r="E192" s="152">
        <f t="shared" si="31"/>
        <v>0.39506172839506171</v>
      </c>
      <c r="F192" s="152">
        <f t="shared" si="29"/>
        <v>5.7390512528173812</v>
      </c>
      <c r="G192" s="183">
        <f t="shared" si="30"/>
        <v>5.739051252817381E-3</v>
      </c>
      <c r="H192" s="178"/>
      <c r="I192" s="178"/>
      <c r="J192" s="152"/>
      <c r="K192" s="178"/>
    </row>
    <row r="193" spans="1:19" ht="15" customHeight="1" x14ac:dyDescent="0.25">
      <c r="A193" s="182"/>
      <c r="B193" s="150" t="s">
        <v>16</v>
      </c>
      <c r="C193" s="151"/>
      <c r="D193" s="152"/>
      <c r="E193" s="152"/>
      <c r="F193" s="152"/>
      <c r="G193" s="153">
        <f>SUM(G138:G192)</f>
        <v>1.6588713618627273</v>
      </c>
      <c r="H193" s="153" t="s">
        <v>37</v>
      </c>
      <c r="I193" s="6">
        <v>130210</v>
      </c>
      <c r="J193" s="154">
        <f>G193*I193</f>
        <v>216001.64002814572</v>
      </c>
      <c r="K193" s="178"/>
    </row>
    <row r="194" spans="1:19" ht="15" hidden="1" customHeight="1" x14ac:dyDescent="0.25">
      <c r="A194" s="20"/>
      <c r="B194" s="150" t="s">
        <v>30</v>
      </c>
      <c r="C194" s="21"/>
      <c r="D194" s="22"/>
      <c r="E194" s="23"/>
      <c r="F194" s="23"/>
      <c r="G194" s="7"/>
      <c r="H194" s="6"/>
      <c r="I194" s="7"/>
      <c r="J194" s="153">
        <f>0.13*G193*105010</f>
        <v>22645.750622196651</v>
      </c>
      <c r="K194" s="23"/>
    </row>
    <row r="195" spans="1:19" ht="15" customHeight="1" x14ac:dyDescent="0.25">
      <c r="A195" s="20"/>
      <c r="B195" s="150"/>
      <c r="C195" s="21"/>
      <c r="D195" s="22"/>
      <c r="E195" s="23"/>
      <c r="F195" s="23"/>
      <c r="G195" s="7"/>
      <c r="H195" s="6"/>
      <c r="I195" s="7"/>
      <c r="J195" s="153"/>
      <c r="K195" s="23"/>
      <c r="M195" s="64"/>
      <c r="N195" s="64"/>
      <c r="O195" s="64"/>
      <c r="P195" s="64"/>
      <c r="Q195" s="64"/>
      <c r="R195" s="64"/>
      <c r="S195" s="64"/>
    </row>
    <row r="196" spans="1:19" ht="45" x14ac:dyDescent="0.25">
      <c r="A196" s="20">
        <v>12</v>
      </c>
      <c r="B196" s="139" t="s">
        <v>174</v>
      </c>
      <c r="C196" s="21" t="s">
        <v>8</v>
      </c>
      <c r="D196" s="205" t="s">
        <v>22</v>
      </c>
      <c r="E196" s="204" t="s">
        <v>263</v>
      </c>
      <c r="F196" s="23"/>
      <c r="G196" s="7"/>
      <c r="H196" s="6"/>
      <c r="I196" s="7"/>
      <c r="J196" s="153"/>
      <c r="K196" s="23"/>
    </row>
    <row r="197" spans="1:19" ht="15" customHeight="1" x14ac:dyDescent="0.25">
      <c r="A197" s="20"/>
      <c r="B197" s="150" t="s">
        <v>253</v>
      </c>
      <c r="C197" s="21">
        <v>6</v>
      </c>
      <c r="D197" s="22">
        <v>1.52</v>
      </c>
      <c r="E197" s="23">
        <v>0.77</v>
      </c>
      <c r="F197" s="23"/>
      <c r="G197" s="152">
        <f t="shared" ref="G197:G222" si="32">PRODUCT(C197:F197)</f>
        <v>7.0224000000000011</v>
      </c>
      <c r="H197" s="6"/>
      <c r="I197" s="7"/>
      <c r="J197" s="153"/>
      <c r="K197" s="228" t="s">
        <v>208</v>
      </c>
    </row>
    <row r="198" spans="1:19" ht="15" customHeight="1" x14ac:dyDescent="0.25">
      <c r="A198" s="20"/>
      <c r="B198" s="150"/>
      <c r="C198" s="21">
        <v>12</v>
      </c>
      <c r="D198" s="22">
        <v>2.145</v>
      </c>
      <c r="E198" s="23">
        <v>0.77</v>
      </c>
      <c r="F198" s="23"/>
      <c r="G198" s="152">
        <f t="shared" si="32"/>
        <v>19.819800000000001</v>
      </c>
      <c r="H198" s="6"/>
      <c r="I198" s="7"/>
      <c r="J198" s="153"/>
      <c r="K198" s="228"/>
    </row>
    <row r="199" spans="1:19" ht="15" customHeight="1" x14ac:dyDescent="0.25">
      <c r="A199" s="20"/>
      <c r="B199" s="150" t="s">
        <v>254</v>
      </c>
      <c r="C199" s="21">
        <v>2</v>
      </c>
      <c r="D199" s="22">
        <v>1.52</v>
      </c>
      <c r="E199" s="23">
        <v>1.17</v>
      </c>
      <c r="F199" s="23"/>
      <c r="G199" s="152">
        <f t="shared" si="32"/>
        <v>3.5568</v>
      </c>
      <c r="H199" s="6"/>
      <c r="I199" s="7"/>
      <c r="J199" s="153"/>
      <c r="K199" s="228"/>
    </row>
    <row r="200" spans="1:19" ht="15" customHeight="1" x14ac:dyDescent="0.25">
      <c r="A200" s="20"/>
      <c r="B200" s="150"/>
      <c r="C200" s="21">
        <v>2</v>
      </c>
      <c r="D200" s="22">
        <v>2.145</v>
      </c>
      <c r="E200" s="23">
        <v>1.17</v>
      </c>
      <c r="F200" s="23"/>
      <c r="G200" s="152">
        <f t="shared" si="32"/>
        <v>5.0192999999999994</v>
      </c>
      <c r="H200" s="6"/>
      <c r="I200" s="7"/>
      <c r="J200" s="153"/>
      <c r="K200" s="228"/>
    </row>
    <row r="201" spans="1:19" ht="15" customHeight="1" x14ac:dyDescent="0.25">
      <c r="A201" s="20"/>
      <c r="B201" s="150"/>
      <c r="C201" s="21">
        <v>6</v>
      </c>
      <c r="D201" s="22">
        <v>1.2749999999999999</v>
      </c>
      <c r="E201" s="23">
        <v>0.77</v>
      </c>
      <c r="F201" s="23"/>
      <c r="G201" s="152">
        <f t="shared" si="32"/>
        <v>5.8904999999999994</v>
      </c>
      <c r="H201" s="6"/>
      <c r="I201" s="7"/>
      <c r="J201" s="153"/>
      <c r="K201" s="176"/>
    </row>
    <row r="202" spans="1:19" ht="15" customHeight="1" x14ac:dyDescent="0.25">
      <c r="A202" s="20"/>
      <c r="B202" s="150"/>
      <c r="C202" s="21">
        <v>10</v>
      </c>
      <c r="D202" s="22">
        <v>2.3849999999999998</v>
      </c>
      <c r="E202" s="23">
        <v>0.77</v>
      </c>
      <c r="F202" s="23"/>
      <c r="G202" s="152">
        <f t="shared" si="32"/>
        <v>18.3645</v>
      </c>
      <c r="H202" s="6"/>
      <c r="I202" s="7"/>
      <c r="J202" s="153"/>
      <c r="K202" s="229" t="s">
        <v>209</v>
      </c>
    </row>
    <row r="203" spans="1:19" ht="15" customHeight="1" x14ac:dyDescent="0.25">
      <c r="A203" s="20"/>
      <c r="B203" s="150"/>
      <c r="C203" s="21">
        <v>2</v>
      </c>
      <c r="D203" s="22">
        <v>1.2749999999999999</v>
      </c>
      <c r="E203" s="23">
        <v>1.17</v>
      </c>
      <c r="F203" s="23"/>
      <c r="G203" s="152">
        <f t="shared" si="32"/>
        <v>2.9834999999999998</v>
      </c>
      <c r="H203" s="6"/>
      <c r="I203" s="7"/>
      <c r="J203" s="153"/>
      <c r="K203" s="229"/>
    </row>
    <row r="204" spans="1:19" ht="15" customHeight="1" x14ac:dyDescent="0.25">
      <c r="A204" s="20"/>
      <c r="B204" s="150"/>
      <c r="C204" s="21">
        <v>2</v>
      </c>
      <c r="D204" s="22">
        <v>2.3849999999999998</v>
      </c>
      <c r="E204" s="23">
        <v>1.17</v>
      </c>
      <c r="F204" s="23"/>
      <c r="G204" s="152">
        <f t="shared" si="32"/>
        <v>5.5808999999999989</v>
      </c>
      <c r="H204" s="6"/>
      <c r="I204" s="7"/>
      <c r="J204" s="153"/>
      <c r="K204" s="229"/>
    </row>
    <row r="205" spans="1:19" ht="15" customHeight="1" x14ac:dyDescent="0.25">
      <c r="A205" s="20"/>
      <c r="B205" s="150"/>
      <c r="C205" s="21">
        <v>6</v>
      </c>
      <c r="D205" s="22">
        <v>1.2649999999999999</v>
      </c>
      <c r="E205" s="23">
        <v>0.77</v>
      </c>
      <c r="F205" s="23"/>
      <c r="G205" s="152">
        <f t="shared" si="32"/>
        <v>5.8442999999999996</v>
      </c>
      <c r="H205" s="6"/>
      <c r="I205" s="7"/>
      <c r="J205" s="153"/>
      <c r="K205" s="229"/>
    </row>
    <row r="206" spans="1:19" ht="15" customHeight="1" x14ac:dyDescent="0.25">
      <c r="A206" s="20"/>
      <c r="B206" s="150"/>
      <c r="C206" s="21">
        <v>10</v>
      </c>
      <c r="D206" s="22">
        <v>2.36</v>
      </c>
      <c r="E206" s="23">
        <v>0.77</v>
      </c>
      <c r="F206" s="23"/>
      <c r="G206" s="152">
        <f t="shared" si="32"/>
        <v>18.171999999999997</v>
      </c>
      <c r="H206" s="6"/>
      <c r="I206" s="7"/>
      <c r="J206" s="153"/>
      <c r="K206" s="229"/>
    </row>
    <row r="207" spans="1:19" ht="15" customHeight="1" x14ac:dyDescent="0.25">
      <c r="A207" s="20"/>
      <c r="B207" s="150"/>
      <c r="C207" s="21">
        <v>2</v>
      </c>
      <c r="D207" s="22">
        <v>1.2649999999999999</v>
      </c>
      <c r="E207" s="23">
        <v>1.17</v>
      </c>
      <c r="F207" s="23"/>
      <c r="G207" s="152">
        <f t="shared" si="32"/>
        <v>2.9600999999999997</v>
      </c>
      <c r="H207" s="6"/>
      <c r="I207" s="7"/>
      <c r="J207" s="153"/>
      <c r="K207" s="229"/>
    </row>
    <row r="208" spans="1:19" ht="15" customHeight="1" x14ac:dyDescent="0.25">
      <c r="A208" s="20"/>
      <c r="B208" s="150"/>
      <c r="C208" s="21">
        <v>2</v>
      </c>
      <c r="D208" s="22">
        <v>2.36</v>
      </c>
      <c r="E208" s="23">
        <v>1.17</v>
      </c>
      <c r="F208" s="23"/>
      <c r="G208" s="152">
        <f t="shared" si="32"/>
        <v>5.5223999999999993</v>
      </c>
      <c r="H208" s="6"/>
      <c r="I208" s="7"/>
      <c r="J208" s="153"/>
      <c r="K208" s="228" t="s">
        <v>210</v>
      </c>
    </row>
    <row r="209" spans="1:14" ht="15" customHeight="1" x14ac:dyDescent="0.25">
      <c r="A209" s="20"/>
      <c r="B209" s="150"/>
      <c r="C209" s="21">
        <v>6</v>
      </c>
      <c r="D209" s="22">
        <v>2.57</v>
      </c>
      <c r="E209" s="23">
        <v>0.77</v>
      </c>
      <c r="F209" s="23"/>
      <c r="G209" s="152">
        <f t="shared" si="32"/>
        <v>11.873399999999998</v>
      </c>
      <c r="H209" s="6"/>
      <c r="I209" s="7"/>
      <c r="J209" s="153"/>
      <c r="K209" s="228"/>
    </row>
    <row r="210" spans="1:14" ht="15" customHeight="1" x14ac:dyDescent="0.25">
      <c r="A210" s="20"/>
      <c r="B210" s="150"/>
      <c r="C210" s="21">
        <v>22</v>
      </c>
      <c r="D210" s="22">
        <v>2.39</v>
      </c>
      <c r="E210" s="23">
        <v>0.77</v>
      </c>
      <c r="F210" s="23"/>
      <c r="G210" s="152">
        <f t="shared" si="32"/>
        <v>40.486600000000003</v>
      </c>
      <c r="H210" s="6"/>
      <c r="I210" s="7"/>
      <c r="J210" s="153"/>
      <c r="K210" s="228"/>
    </row>
    <row r="211" spans="1:14" ht="15" customHeight="1" x14ac:dyDescent="0.25">
      <c r="A211" s="20"/>
      <c r="B211" s="150"/>
      <c r="C211" s="21">
        <v>2</v>
      </c>
      <c r="D211" s="22">
        <v>2.39</v>
      </c>
      <c r="E211" s="23">
        <v>1.17</v>
      </c>
      <c r="F211" s="23"/>
      <c r="G211" s="152">
        <f t="shared" si="32"/>
        <v>5.5926</v>
      </c>
      <c r="H211" s="6"/>
      <c r="I211" s="7"/>
      <c r="J211" s="153"/>
      <c r="K211" s="228"/>
    </row>
    <row r="212" spans="1:14" ht="15" customHeight="1" x14ac:dyDescent="0.25">
      <c r="A212" s="20"/>
      <c r="B212" s="150"/>
      <c r="C212" s="21">
        <v>2</v>
      </c>
      <c r="D212" s="22">
        <v>2.57</v>
      </c>
      <c r="E212" s="23">
        <v>1.17</v>
      </c>
      <c r="F212" s="23"/>
      <c r="G212" s="152">
        <f t="shared" si="32"/>
        <v>6.0137999999999989</v>
      </c>
      <c r="H212" s="6"/>
      <c r="I212" s="7"/>
      <c r="J212" s="153"/>
      <c r="K212" s="228"/>
    </row>
    <row r="213" spans="1:14" ht="15" customHeight="1" x14ac:dyDescent="0.25">
      <c r="A213" s="20"/>
      <c r="B213" s="150"/>
      <c r="C213" s="21">
        <f>1</f>
        <v>1</v>
      </c>
      <c r="D213" s="22">
        <v>2.36</v>
      </c>
      <c r="E213" s="23">
        <v>1.17</v>
      </c>
      <c r="F213" s="23"/>
      <c r="G213" s="152">
        <f t="shared" si="32"/>
        <v>2.7611999999999997</v>
      </c>
      <c r="H213" s="6"/>
      <c r="I213" s="7"/>
      <c r="J213" s="153"/>
      <c r="K213" s="23"/>
    </row>
    <row r="214" spans="1:14" ht="15" customHeight="1" x14ac:dyDescent="0.25">
      <c r="A214" s="20"/>
      <c r="B214" s="150"/>
      <c r="C214" s="21">
        <v>10</v>
      </c>
      <c r="D214" s="22">
        <v>0.30499999999999999</v>
      </c>
      <c r="E214" s="23">
        <v>0.77</v>
      </c>
      <c r="F214" s="23"/>
      <c r="G214" s="152">
        <f t="shared" si="32"/>
        <v>2.3485</v>
      </c>
      <c r="H214" s="6"/>
      <c r="I214" s="7"/>
      <c r="J214" s="153"/>
      <c r="K214" s="23"/>
    </row>
    <row r="215" spans="1:14" ht="15" customHeight="1" x14ac:dyDescent="0.25">
      <c r="A215" s="20"/>
      <c r="B215" s="150"/>
      <c r="C215" s="21">
        <v>2</v>
      </c>
      <c r="D215" s="22">
        <f>0.305</f>
        <v>0.30499999999999999</v>
      </c>
      <c r="E215" s="23">
        <v>1.17</v>
      </c>
      <c r="F215" s="23"/>
      <c r="G215" s="152">
        <f t="shared" si="32"/>
        <v>0.71369999999999989</v>
      </c>
      <c r="H215" s="6"/>
      <c r="I215" s="7"/>
      <c r="J215" s="153"/>
      <c r="K215" s="23"/>
    </row>
    <row r="216" spans="1:14" ht="15" customHeight="1" x14ac:dyDescent="0.25">
      <c r="A216" s="20"/>
      <c r="B216" s="150"/>
      <c r="C216" s="21">
        <v>2</v>
      </c>
      <c r="D216" s="22">
        <v>1.3049999999999999</v>
      </c>
      <c r="E216" s="23">
        <v>1.17</v>
      </c>
      <c r="F216" s="23"/>
      <c r="G216" s="152">
        <f t="shared" si="32"/>
        <v>3.0536999999999996</v>
      </c>
      <c r="H216" s="6"/>
      <c r="I216" s="7"/>
      <c r="J216" s="153"/>
      <c r="K216" s="23"/>
      <c r="N216">
        <f>0.02+0.003*1*7850</f>
        <v>23.57</v>
      </c>
    </row>
    <row r="217" spans="1:14" ht="15" customHeight="1" x14ac:dyDescent="0.25">
      <c r="A217" s="20"/>
      <c r="B217" s="150" t="s">
        <v>212</v>
      </c>
      <c r="C217" s="21">
        <v>2</v>
      </c>
      <c r="D217" s="22">
        <v>1.05</v>
      </c>
      <c r="E217" s="23">
        <v>0.47</v>
      </c>
      <c r="F217" s="23"/>
      <c r="G217" s="152">
        <f t="shared" si="32"/>
        <v>0.98699999999999999</v>
      </c>
      <c r="H217" s="6"/>
      <c r="I217" s="7"/>
      <c r="J217" s="153"/>
      <c r="K217" s="23"/>
    </row>
    <row r="218" spans="1:14" ht="15" customHeight="1" x14ac:dyDescent="0.25">
      <c r="A218" s="20"/>
      <c r="B218" s="180"/>
      <c r="C218" s="21">
        <v>2</v>
      </c>
      <c r="D218" s="22">
        <v>1.18</v>
      </c>
      <c r="E218" s="23">
        <v>0.47</v>
      </c>
      <c r="F218" s="23"/>
      <c r="G218" s="152">
        <f t="shared" si="32"/>
        <v>1.1092</v>
      </c>
      <c r="H218" s="6"/>
      <c r="I218" s="7"/>
      <c r="J218" s="153"/>
      <c r="K218" s="23"/>
    </row>
    <row r="219" spans="1:14" ht="15" customHeight="1" x14ac:dyDescent="0.25">
      <c r="A219" s="20"/>
      <c r="B219" s="150" t="s">
        <v>211</v>
      </c>
      <c r="C219" s="21">
        <v>2</v>
      </c>
      <c r="D219" s="22">
        <v>1.05</v>
      </c>
      <c r="E219" s="23">
        <v>1.17</v>
      </c>
      <c r="F219" s="23"/>
      <c r="G219" s="152">
        <f t="shared" si="32"/>
        <v>2.4569999999999999</v>
      </c>
      <c r="H219" s="6"/>
      <c r="I219" s="7"/>
      <c r="J219" s="153"/>
      <c r="K219" s="23"/>
    </row>
    <row r="220" spans="1:14" ht="15" customHeight="1" x14ac:dyDescent="0.25">
      <c r="A220" s="20"/>
      <c r="B220" s="150"/>
      <c r="C220" s="21">
        <v>2</v>
      </c>
      <c r="D220" s="22">
        <v>1.18</v>
      </c>
      <c r="E220" s="23">
        <v>1.17</v>
      </c>
      <c r="F220" s="23"/>
      <c r="G220" s="152">
        <f t="shared" si="32"/>
        <v>2.7611999999999997</v>
      </c>
      <c r="H220" s="6"/>
      <c r="I220" s="7"/>
      <c r="J220" s="153"/>
      <c r="K220" s="23"/>
    </row>
    <row r="221" spans="1:14" ht="15" customHeight="1" x14ac:dyDescent="0.25">
      <c r="A221" s="20"/>
      <c r="B221" s="173" t="s">
        <v>255</v>
      </c>
      <c r="C221" s="21">
        <v>2</v>
      </c>
      <c r="D221" s="22">
        <v>1.05</v>
      </c>
      <c r="E221" s="23">
        <f>1.26/1.4</f>
        <v>0.9</v>
      </c>
      <c r="F221" s="23"/>
      <c r="G221" s="152">
        <f t="shared" si="32"/>
        <v>1.8900000000000001</v>
      </c>
      <c r="H221" s="6"/>
      <c r="I221" s="7"/>
      <c r="J221" s="153"/>
      <c r="K221" s="23"/>
    </row>
    <row r="222" spans="1:14" ht="15" customHeight="1" x14ac:dyDescent="0.25">
      <c r="A222" s="20"/>
      <c r="B222" s="150"/>
      <c r="C222" s="21">
        <v>2</v>
      </c>
      <c r="D222" s="22">
        <v>1.18</v>
      </c>
      <c r="E222" s="23">
        <v>0.71</v>
      </c>
      <c r="F222" s="23"/>
      <c r="G222" s="152">
        <f t="shared" si="32"/>
        <v>1.6755999999999998</v>
      </c>
      <c r="H222" s="6"/>
      <c r="I222" s="7"/>
      <c r="J222" s="153"/>
      <c r="K222" s="23"/>
    </row>
    <row r="223" spans="1:14" ht="15" customHeight="1" x14ac:dyDescent="0.25">
      <c r="A223" s="20"/>
      <c r="B223" s="150" t="s">
        <v>249</v>
      </c>
      <c r="C223" s="21"/>
      <c r="D223" s="22"/>
      <c r="E223" s="23"/>
      <c r="F223" s="23"/>
      <c r="G223" s="152"/>
      <c r="H223" s="6"/>
      <c r="I223" s="7"/>
      <c r="J223" s="153"/>
      <c r="K223" s="23"/>
    </row>
    <row r="224" spans="1:14" ht="30" x14ac:dyDescent="0.25">
      <c r="A224" s="20"/>
      <c r="B224" s="150" t="s">
        <v>250</v>
      </c>
      <c r="C224" s="21">
        <v>1</v>
      </c>
      <c r="D224" s="22">
        <f>(12/3.281)*2+(10/12/3.281)*11</f>
        <v>10.108706695113279</v>
      </c>
      <c r="E224" s="23">
        <f>1.98/1.15</f>
        <v>1.7217391304347827</v>
      </c>
      <c r="F224" s="23"/>
      <c r="G224" s="152">
        <f>PRODUCT(C224:F224)</f>
        <v>17.404555875064602</v>
      </c>
      <c r="H224" s="6"/>
      <c r="I224" s="7"/>
      <c r="J224" s="153"/>
      <c r="K224" s="206"/>
    </row>
    <row r="225" spans="1:14" ht="15" customHeight="1" x14ac:dyDescent="0.25">
      <c r="A225" s="20"/>
      <c r="B225" s="150" t="s">
        <v>251</v>
      </c>
      <c r="C225" s="21"/>
      <c r="D225" s="22"/>
      <c r="E225" s="23"/>
      <c r="F225" s="23"/>
      <c r="G225" s="152"/>
      <c r="H225" s="6"/>
      <c r="I225" s="7"/>
      <c r="J225" s="153"/>
      <c r="K225" s="207"/>
    </row>
    <row r="226" spans="1:14" ht="15" customHeight="1" x14ac:dyDescent="0.25">
      <c r="A226" s="20"/>
      <c r="B226" s="150" t="s">
        <v>252</v>
      </c>
      <c r="C226" s="21">
        <v>10</v>
      </c>
      <c r="D226" s="22">
        <f>3.833/3.281</f>
        <v>1.1682413898201769</v>
      </c>
      <c r="E226" s="23">
        <v>0.47</v>
      </c>
      <c r="F226" s="23"/>
      <c r="G226" s="152">
        <f>PRODUCT(C226:F226)</f>
        <v>5.4907345321548311</v>
      </c>
      <c r="H226" s="6"/>
      <c r="I226" s="7"/>
      <c r="J226" s="153"/>
      <c r="K226" s="207"/>
    </row>
    <row r="227" spans="1:14" ht="15" customHeight="1" x14ac:dyDescent="0.25">
      <c r="A227" s="20"/>
      <c r="B227" s="173" t="s">
        <v>213</v>
      </c>
      <c r="C227" s="21">
        <f>2*4</f>
        <v>8</v>
      </c>
      <c r="D227" s="22">
        <f>3.833/3.281</f>
        <v>1.1682413898201769</v>
      </c>
      <c r="E227" s="23">
        <f>1.26/1.4</f>
        <v>0.9</v>
      </c>
      <c r="F227" s="23"/>
      <c r="G227" s="152">
        <f t="shared" ref="G227:G231" si="33">PRODUCT(C227:F227)</f>
        <v>8.4113380067052734</v>
      </c>
      <c r="H227" s="6"/>
      <c r="I227" s="7"/>
      <c r="J227" s="153"/>
      <c r="K227" s="207"/>
    </row>
    <row r="228" spans="1:14" ht="15" customHeight="1" x14ac:dyDescent="0.25">
      <c r="A228" s="20"/>
      <c r="B228" s="150"/>
      <c r="C228" s="21">
        <v>4</v>
      </c>
      <c r="D228" s="22">
        <f>14/12/3.281</f>
        <v>0.35558264756679875</v>
      </c>
      <c r="E228" s="23">
        <f>1.26/1.4</f>
        <v>0.9</v>
      </c>
      <c r="F228" s="23"/>
      <c r="G228" s="152">
        <f t="shared" si="33"/>
        <v>1.2800975312404754</v>
      </c>
      <c r="H228" s="6"/>
      <c r="I228" s="7"/>
      <c r="J228" s="153"/>
      <c r="K228" s="207"/>
    </row>
    <row r="229" spans="1:14" ht="15" customHeight="1" x14ac:dyDescent="0.25">
      <c r="A229" s="20"/>
      <c r="B229" s="150" t="s">
        <v>256</v>
      </c>
      <c r="C229" s="21">
        <v>5</v>
      </c>
      <c r="D229" s="22">
        <f>3.833/3.281</f>
        <v>1.1682413898201769</v>
      </c>
      <c r="E229" s="23">
        <v>1.7</v>
      </c>
      <c r="F229" s="23"/>
      <c r="G229" s="152">
        <f t="shared" si="33"/>
        <v>9.9300518134715041</v>
      </c>
      <c r="H229" s="6"/>
      <c r="I229" s="7"/>
      <c r="J229" s="153"/>
      <c r="K229" s="207"/>
    </row>
    <row r="230" spans="1:14" ht="15" customHeight="1" x14ac:dyDescent="0.25">
      <c r="A230" s="20"/>
      <c r="B230" s="150"/>
      <c r="C230" s="21">
        <v>2</v>
      </c>
      <c r="D230" s="22">
        <f>3.833/3.281</f>
        <v>1.1682413898201769</v>
      </c>
      <c r="E230" s="23">
        <v>1.7</v>
      </c>
      <c r="F230" s="23"/>
      <c r="G230" s="152">
        <f t="shared" si="33"/>
        <v>3.9720207253886013</v>
      </c>
      <c r="H230" s="6"/>
      <c r="I230" s="7"/>
      <c r="J230" s="153"/>
      <c r="K230" s="207"/>
    </row>
    <row r="231" spans="1:14" ht="15" customHeight="1" x14ac:dyDescent="0.25">
      <c r="A231" s="20"/>
      <c r="B231" s="150"/>
      <c r="C231" s="21">
        <v>4</v>
      </c>
      <c r="D231" s="22">
        <f>3.5/3.281</f>
        <v>1.0667479427003961</v>
      </c>
      <c r="E231" s="23">
        <v>1.7</v>
      </c>
      <c r="F231" s="23"/>
      <c r="G231" s="152">
        <f t="shared" si="33"/>
        <v>7.2538860103626934</v>
      </c>
      <c r="H231" s="6"/>
      <c r="I231" s="7"/>
      <c r="J231" s="153"/>
      <c r="K231" s="208"/>
    </row>
    <row r="232" spans="1:14" ht="15" customHeight="1" x14ac:dyDescent="0.25">
      <c r="A232" s="182"/>
      <c r="B232" s="150" t="s">
        <v>16</v>
      </c>
      <c r="C232" s="151"/>
      <c r="D232" s="152"/>
      <c r="E232" s="152"/>
      <c r="F232" s="152"/>
      <c r="G232" s="153">
        <f>SUM(G197:G231)</f>
        <v>238.20268449438794</v>
      </c>
      <c r="H232" s="153" t="s">
        <v>175</v>
      </c>
      <c r="I232" s="6">
        <v>154</v>
      </c>
      <c r="J232" s="154">
        <f>G232*I232</f>
        <v>36683.213412135745</v>
      </c>
      <c r="K232" s="178"/>
      <c r="N232">
        <f>14.76/0.15*0.13</f>
        <v>12.792000000000002</v>
      </c>
    </row>
    <row r="233" spans="1:14" ht="15" hidden="1" customHeight="1" x14ac:dyDescent="0.25">
      <c r="A233" s="20"/>
      <c r="B233" s="150" t="s">
        <v>30</v>
      </c>
      <c r="C233" s="21"/>
      <c r="D233" s="22"/>
      <c r="E233" s="23"/>
      <c r="F233" s="23"/>
      <c r="G233" s="7"/>
      <c r="H233" s="6"/>
      <c r="I233" s="7"/>
      <c r="J233" s="153">
        <f>0.13*J232</f>
        <v>4768.817743577647</v>
      </c>
      <c r="K233" s="23"/>
    </row>
    <row r="234" spans="1:14" ht="15" customHeight="1" x14ac:dyDescent="0.25">
      <c r="A234" s="20"/>
      <c r="B234" s="150"/>
      <c r="C234" s="21"/>
      <c r="D234" s="22"/>
      <c r="E234" s="23"/>
      <c r="F234" s="23"/>
      <c r="G234" s="7"/>
      <c r="H234" s="6"/>
      <c r="I234" s="7"/>
      <c r="J234" s="153"/>
      <c r="K234" s="23"/>
    </row>
    <row r="235" spans="1:14" ht="30" x14ac:dyDescent="0.25">
      <c r="A235" s="20">
        <v>13</v>
      </c>
      <c r="B235" s="139" t="s">
        <v>105</v>
      </c>
      <c r="C235" s="21"/>
      <c r="D235" s="22"/>
      <c r="E235" s="23"/>
      <c r="F235" s="23"/>
      <c r="G235" s="7"/>
      <c r="H235" s="6"/>
      <c r="I235" s="7"/>
      <c r="J235" s="153"/>
      <c r="K235" s="23"/>
    </row>
    <row r="236" spans="1:14" ht="15" customHeight="1" x14ac:dyDescent="0.25">
      <c r="A236" s="20"/>
      <c r="B236" s="150" t="s">
        <v>78</v>
      </c>
      <c r="C236" s="21">
        <f>0*1</f>
        <v>0</v>
      </c>
      <c r="D236" s="22">
        <f>D29</f>
        <v>3.125</v>
      </c>
      <c r="E236" s="23">
        <f>F75</f>
        <v>2.42</v>
      </c>
      <c r="F236" s="23"/>
      <c r="G236" s="152">
        <f t="shared" ref="G236" si="34">PRODUCT(C236:F236)</f>
        <v>0</v>
      </c>
      <c r="H236" s="6"/>
      <c r="I236" s="7"/>
      <c r="J236" s="153"/>
      <c r="K236" s="23"/>
    </row>
    <row r="237" spans="1:14" ht="15" customHeight="1" x14ac:dyDescent="0.25">
      <c r="A237" s="182"/>
      <c r="B237" s="150" t="s">
        <v>16</v>
      </c>
      <c r="C237" s="151"/>
      <c r="D237" s="152"/>
      <c r="E237" s="152"/>
      <c r="F237" s="152"/>
      <c r="G237" s="153">
        <f>SUM(G236:G236)</f>
        <v>0</v>
      </c>
      <c r="H237" s="153" t="s">
        <v>23</v>
      </c>
      <c r="I237" s="6">
        <v>6391.43</v>
      </c>
      <c r="J237" s="154">
        <f>G237*I237</f>
        <v>0</v>
      </c>
      <c r="K237" s="178"/>
    </row>
    <row r="238" spans="1:14" ht="15" hidden="1" customHeight="1" x14ac:dyDescent="0.25">
      <c r="A238" s="20"/>
      <c r="B238" s="150" t="s">
        <v>30</v>
      </c>
      <c r="C238" s="21"/>
      <c r="D238" s="22"/>
      <c r="E238" s="23"/>
      <c r="F238" s="23"/>
      <c r="G238" s="7"/>
      <c r="H238" s="6"/>
      <c r="I238" s="7"/>
      <c r="J238" s="153">
        <f>0.13*J237</f>
        <v>0</v>
      </c>
      <c r="K238" s="23"/>
    </row>
    <row r="239" spans="1:14" ht="15" customHeight="1" x14ac:dyDescent="0.25">
      <c r="A239" s="20"/>
      <c r="B239" s="160"/>
      <c r="C239" s="21"/>
      <c r="D239" s="22"/>
      <c r="E239" s="23"/>
      <c r="F239" s="23"/>
      <c r="G239" s="7"/>
      <c r="H239" s="6"/>
      <c r="I239" s="7"/>
      <c r="J239" s="153"/>
      <c r="K239" s="23"/>
    </row>
    <row r="240" spans="1:14" ht="31.5" x14ac:dyDescent="0.25">
      <c r="A240" s="20">
        <v>14</v>
      </c>
      <c r="B240" s="161" t="s">
        <v>79</v>
      </c>
      <c r="C240" s="21"/>
      <c r="D240" s="22"/>
      <c r="E240" s="23"/>
      <c r="F240" s="23"/>
      <c r="G240" s="7"/>
      <c r="H240" s="6"/>
      <c r="I240" s="7"/>
      <c r="J240" s="153"/>
      <c r="K240" s="23"/>
    </row>
    <row r="241" spans="1:13" ht="15" customHeight="1" x14ac:dyDescent="0.25">
      <c r="A241" s="20"/>
      <c r="B241" s="150" t="s">
        <v>80</v>
      </c>
      <c r="C241" s="21">
        <v>1</v>
      </c>
      <c r="D241" s="22">
        <v>1.54</v>
      </c>
      <c r="E241" s="23"/>
      <c r="F241" s="23">
        <v>1.19</v>
      </c>
      <c r="G241" s="152">
        <f t="shared" ref="G241:G243" si="35">PRODUCT(C241:F241)</f>
        <v>1.8326</v>
      </c>
      <c r="H241" s="6"/>
      <c r="I241" s="7"/>
      <c r="J241" s="153"/>
      <c r="K241" s="23"/>
    </row>
    <row r="242" spans="1:13" ht="15" customHeight="1" x14ac:dyDescent="0.25">
      <c r="A242" s="20"/>
      <c r="B242" s="150"/>
      <c r="C242" s="21">
        <v>1</v>
      </c>
      <c r="D242" s="22">
        <v>1.37</v>
      </c>
      <c r="E242" s="23"/>
      <c r="F242" s="23">
        <v>1.19</v>
      </c>
      <c r="G242" s="152">
        <f t="shared" si="35"/>
        <v>1.6303000000000001</v>
      </c>
      <c r="H242" s="6"/>
      <c r="I242" s="7"/>
      <c r="J242" s="153"/>
      <c r="K242" s="23"/>
    </row>
    <row r="243" spans="1:13" ht="15" customHeight="1" x14ac:dyDescent="0.25">
      <c r="A243" s="20"/>
      <c r="B243" s="150"/>
      <c r="C243" s="151">
        <v>1</v>
      </c>
      <c r="D243" s="152">
        <v>1.41</v>
      </c>
      <c r="E243" s="152"/>
      <c r="F243" s="152">
        <v>1.19</v>
      </c>
      <c r="G243" s="152">
        <f t="shared" si="35"/>
        <v>1.6778999999999997</v>
      </c>
      <c r="H243" s="6"/>
      <c r="I243" s="7"/>
      <c r="J243" s="153"/>
      <c r="K243" s="23"/>
    </row>
    <row r="244" spans="1:13" ht="15" customHeight="1" x14ac:dyDescent="0.25">
      <c r="A244" s="182"/>
      <c r="B244" s="150" t="s">
        <v>16</v>
      </c>
      <c r="C244" s="180"/>
      <c r="D244" s="180"/>
      <c r="E244" s="180"/>
      <c r="F244" s="180"/>
      <c r="G244" s="153">
        <f>SUM(G241:G243)</f>
        <v>5.1408000000000005</v>
      </c>
      <c r="H244" s="153" t="s">
        <v>23</v>
      </c>
      <c r="I244" s="6">
        <v>6997</v>
      </c>
      <c r="J244" s="154">
        <f>G244*I244</f>
        <v>35970.177600000003</v>
      </c>
      <c r="K244" s="178"/>
    </row>
    <row r="245" spans="1:13" ht="15" hidden="1" customHeight="1" x14ac:dyDescent="0.25">
      <c r="A245" s="20"/>
      <c r="B245" s="150" t="s">
        <v>30</v>
      </c>
      <c r="C245" s="21"/>
      <c r="D245" s="22"/>
      <c r="E245" s="23"/>
      <c r="F245" s="23"/>
      <c r="G245" s="7"/>
      <c r="H245" s="6"/>
      <c r="I245" s="7"/>
      <c r="J245" s="153">
        <f>0.13*J244</f>
        <v>4676.1230880000003</v>
      </c>
      <c r="K245" s="23"/>
    </row>
    <row r="246" spans="1:13" ht="15" customHeight="1" x14ac:dyDescent="0.25">
      <c r="A246" s="20"/>
      <c r="B246" s="150"/>
      <c r="C246" s="21"/>
      <c r="D246" s="22"/>
      <c r="E246" s="23"/>
      <c r="F246" s="23"/>
      <c r="G246" s="7"/>
      <c r="H246" s="6"/>
      <c r="I246" s="7"/>
      <c r="J246" s="153"/>
      <c r="K246" s="23"/>
    </row>
    <row r="247" spans="1:13" ht="47.25" x14ac:dyDescent="0.25">
      <c r="A247" s="20">
        <v>15</v>
      </c>
      <c r="B247" s="161" t="s">
        <v>107</v>
      </c>
      <c r="C247" s="21"/>
      <c r="D247" s="22"/>
      <c r="E247" s="23"/>
      <c r="F247" s="23"/>
      <c r="G247" s="7"/>
      <c r="H247" s="6"/>
      <c r="I247" s="7"/>
      <c r="J247" s="153"/>
      <c r="K247" s="23"/>
    </row>
    <row r="248" spans="1:13" ht="15.75" x14ac:dyDescent="0.25">
      <c r="A248" s="20"/>
      <c r="B248" s="189" t="s">
        <v>144</v>
      </c>
      <c r="C248" s="21">
        <v>0</v>
      </c>
      <c r="D248" s="22">
        <v>0.75</v>
      </c>
      <c r="E248" s="23"/>
      <c r="F248" s="23">
        <v>1.8</v>
      </c>
      <c r="G248" s="152">
        <f t="shared" ref="G248" si="36">PRODUCT(C248:F248)</f>
        <v>0</v>
      </c>
      <c r="H248" s="6"/>
      <c r="I248" s="7"/>
      <c r="J248" s="153"/>
      <c r="K248" s="23"/>
    </row>
    <row r="249" spans="1:13" ht="15" customHeight="1" x14ac:dyDescent="0.25">
      <c r="A249" s="182"/>
      <c r="B249" s="150" t="s">
        <v>16</v>
      </c>
      <c r="C249" s="151"/>
      <c r="D249" s="152"/>
      <c r="E249" s="152"/>
      <c r="F249" s="152"/>
      <c r="G249" s="153">
        <f>SUM(G247:G248)</f>
        <v>0</v>
      </c>
      <c r="H249" s="153" t="s">
        <v>23</v>
      </c>
      <c r="I249" s="6">
        <v>8744</v>
      </c>
      <c r="J249" s="154">
        <f>G249*I249</f>
        <v>0</v>
      </c>
      <c r="K249" s="178"/>
    </row>
    <row r="250" spans="1:13" ht="15" hidden="1" customHeight="1" x14ac:dyDescent="0.25">
      <c r="A250" s="20"/>
      <c r="B250" s="150" t="s">
        <v>30</v>
      </c>
      <c r="C250" s="21"/>
      <c r="D250" s="22"/>
      <c r="E250" s="23"/>
      <c r="F250" s="23"/>
      <c r="G250" s="7"/>
      <c r="H250" s="6"/>
      <c r="I250" s="7"/>
      <c r="J250" s="153">
        <f>0.13*J249</f>
        <v>0</v>
      </c>
      <c r="K250" s="23"/>
    </row>
    <row r="251" spans="1:13" ht="15.75" x14ac:dyDescent="0.25">
      <c r="A251" s="20"/>
      <c r="B251" s="161"/>
      <c r="C251" s="21"/>
      <c r="D251" s="22"/>
      <c r="E251" s="23"/>
      <c r="F251" s="23"/>
      <c r="G251" s="7"/>
      <c r="H251" s="6"/>
      <c r="I251" s="7"/>
      <c r="J251" s="153"/>
      <c r="K251" s="23"/>
    </row>
    <row r="252" spans="1:13" ht="30" x14ac:dyDescent="0.25">
      <c r="A252" s="20">
        <v>16</v>
      </c>
      <c r="B252" s="139" t="s">
        <v>85</v>
      </c>
      <c r="C252" s="21"/>
      <c r="D252" s="22"/>
      <c r="E252" s="23"/>
      <c r="F252" s="23"/>
      <c r="G252" s="7"/>
      <c r="H252" s="6"/>
      <c r="I252" s="7"/>
      <c r="J252" s="153"/>
      <c r="K252" s="23"/>
    </row>
    <row r="253" spans="1:13" x14ac:dyDescent="0.25">
      <c r="A253" s="20"/>
      <c r="B253" s="150" t="s">
        <v>145</v>
      </c>
      <c r="C253" s="21">
        <v>1</v>
      </c>
      <c r="D253" s="22">
        <v>3.4</v>
      </c>
      <c r="E253" s="23">
        <f>2.62+0.32+2.595+0.075*2</f>
        <v>5.6850000000000005</v>
      </c>
      <c r="F253" s="23"/>
      <c r="G253" s="152">
        <f>PRODUCT(C253:F253)</f>
        <v>19.329000000000001</v>
      </c>
      <c r="H253" s="6"/>
      <c r="I253" s="7"/>
      <c r="J253" s="153"/>
      <c r="K253" s="23"/>
      <c r="M253">
        <f>2.62+0.32+2.595+0.075*2</f>
        <v>5.6850000000000005</v>
      </c>
    </row>
    <row r="254" spans="1:13" ht="15" customHeight="1" x14ac:dyDescent="0.25">
      <c r="A254" s="20"/>
      <c r="B254" s="150" t="str">
        <f>B112</f>
        <v>-1st  floor slab</v>
      </c>
      <c r="C254" s="21">
        <f>C112</f>
        <v>1</v>
      </c>
      <c r="D254" s="22">
        <f>(2.94+0.075*2+3+0.075*2)/2</f>
        <v>3.12</v>
      </c>
      <c r="E254" s="22">
        <f>6.15-0.34*2+0.075*2</f>
        <v>5.620000000000001</v>
      </c>
      <c r="F254" s="23"/>
      <c r="G254" s="152">
        <f t="shared" ref="G254:G257" si="37">PRODUCT(C254:F254)</f>
        <v>17.534400000000005</v>
      </c>
      <c r="H254" s="6"/>
      <c r="I254" s="7"/>
      <c r="J254" s="153"/>
      <c r="K254" s="23"/>
      <c r="M254">
        <f>2.575+0.34+2.57+0.075*2</f>
        <v>5.6349999999999998</v>
      </c>
    </row>
    <row r="255" spans="1:13" ht="15" customHeight="1" x14ac:dyDescent="0.25">
      <c r="A255" s="20"/>
      <c r="B255" s="150" t="str">
        <f>B113</f>
        <v>-Deduction for opening</v>
      </c>
      <c r="C255" s="21">
        <f>C113</f>
        <v>-1</v>
      </c>
      <c r="D255" s="22">
        <f t="shared" ref="D255:E257" si="38">D113</f>
        <v>1.08</v>
      </c>
      <c r="E255" s="22">
        <f t="shared" si="38"/>
        <v>0.76196281621456874</v>
      </c>
      <c r="F255" s="23"/>
      <c r="G255" s="152">
        <f t="shared" si="37"/>
        <v>-0.82291984151173425</v>
      </c>
      <c r="H255" s="6"/>
      <c r="I255" s="7"/>
      <c r="J255" s="153"/>
      <c r="K255" s="23"/>
    </row>
    <row r="256" spans="1:13" ht="15" hidden="1" customHeight="1" x14ac:dyDescent="0.25">
      <c r="A256" s="20"/>
      <c r="B256" s="150" t="str">
        <f>B114</f>
        <v>-2nd floor slab</v>
      </c>
      <c r="C256" s="21">
        <f>C114*0</f>
        <v>0</v>
      </c>
      <c r="D256" s="22">
        <f t="shared" si="38"/>
        <v>6.9</v>
      </c>
      <c r="E256" s="22">
        <f t="shared" si="38"/>
        <v>4.4249999999999998</v>
      </c>
      <c r="F256" s="23"/>
      <c r="G256" s="152">
        <f t="shared" si="37"/>
        <v>0</v>
      </c>
      <c r="H256" s="6"/>
      <c r="I256" s="7"/>
      <c r="J256" s="153"/>
      <c r="K256" s="23"/>
    </row>
    <row r="257" spans="1:18" ht="15" hidden="1" customHeight="1" x14ac:dyDescent="0.25">
      <c r="A257" s="20"/>
      <c r="B257" s="150" t="str">
        <f>B115</f>
        <v>-Deduction for opening</v>
      </c>
      <c r="C257" s="21">
        <f>C115*0</f>
        <v>0</v>
      </c>
      <c r="D257" s="22">
        <f t="shared" si="38"/>
        <v>0.93</v>
      </c>
      <c r="E257" s="22">
        <f t="shared" si="38"/>
        <v>0.76</v>
      </c>
      <c r="F257" s="23"/>
      <c r="G257" s="152">
        <f t="shared" si="37"/>
        <v>0</v>
      </c>
      <c r="H257" s="6"/>
      <c r="I257" s="7"/>
      <c r="J257" s="153"/>
      <c r="K257" s="23"/>
    </row>
    <row r="258" spans="1:18" ht="15" customHeight="1" x14ac:dyDescent="0.25">
      <c r="A258" s="182"/>
      <c r="B258" s="150" t="s">
        <v>16</v>
      </c>
      <c r="C258" s="151"/>
      <c r="D258" s="152"/>
      <c r="E258" s="152"/>
      <c r="F258" s="152"/>
      <c r="G258" s="153">
        <f>SUM(G253:G257)</f>
        <v>36.040480158488272</v>
      </c>
      <c r="H258" s="153" t="s">
        <v>23</v>
      </c>
      <c r="I258" s="6">
        <v>692.38</v>
      </c>
      <c r="J258" s="154">
        <f>G258*I258</f>
        <v>24953.707652134108</v>
      </c>
      <c r="K258" s="178"/>
    </row>
    <row r="259" spans="1:18" ht="15" hidden="1" customHeight="1" x14ac:dyDescent="0.25">
      <c r="A259" s="20"/>
      <c r="B259" s="150" t="s">
        <v>30</v>
      </c>
      <c r="C259" s="21"/>
      <c r="D259" s="22"/>
      <c r="E259" s="23"/>
      <c r="F259" s="23"/>
      <c r="G259" s="7"/>
      <c r="H259" s="6"/>
      <c r="I259" s="7"/>
      <c r="J259" s="153">
        <f>0.13*G258*3623.87/10</f>
        <v>1697.8781928152316</v>
      </c>
      <c r="K259" s="23"/>
    </row>
    <row r="260" spans="1:18" ht="15" customHeight="1" x14ac:dyDescent="0.25">
      <c r="A260" s="20"/>
      <c r="B260" s="150"/>
      <c r="C260" s="21"/>
      <c r="D260" s="22"/>
      <c r="E260" s="23"/>
      <c r="F260" s="23"/>
      <c r="G260" s="7"/>
      <c r="H260" s="6"/>
      <c r="I260" s="7"/>
      <c r="J260" s="153"/>
      <c r="K260" s="23"/>
    </row>
    <row r="261" spans="1:18" x14ac:dyDescent="0.25">
      <c r="A261" s="20">
        <v>17</v>
      </c>
      <c r="B261" s="139" t="s">
        <v>88</v>
      </c>
      <c r="C261" s="21"/>
      <c r="D261" s="22"/>
      <c r="E261" s="23"/>
      <c r="F261" s="23"/>
      <c r="G261" s="7"/>
      <c r="H261" s="6"/>
      <c r="I261" s="7"/>
      <c r="J261" s="153"/>
      <c r="K261" s="23"/>
    </row>
    <row r="262" spans="1:18" x14ac:dyDescent="0.25">
      <c r="A262" s="20"/>
      <c r="B262" s="150" t="s">
        <v>173</v>
      </c>
      <c r="C262" s="21">
        <v>1</v>
      </c>
      <c r="D262" s="22">
        <v>3.61</v>
      </c>
      <c r="E262" s="23"/>
      <c r="F262" s="23">
        <f>1.8+0.2</f>
        <v>2</v>
      </c>
      <c r="G262" s="152">
        <f t="shared" ref="G262" si="39">PRODUCT(C262:F262)</f>
        <v>7.22</v>
      </c>
      <c r="H262" s="6"/>
      <c r="I262" s="7"/>
      <c r="J262" s="153"/>
      <c r="K262" s="23"/>
      <c r="N262">
        <f>2.685*3.281</f>
        <v>8.8094850000000005</v>
      </c>
    </row>
    <row r="263" spans="1:18" ht="15" customHeight="1" x14ac:dyDescent="0.25">
      <c r="A263" s="20"/>
      <c r="B263" s="150" t="s">
        <v>89</v>
      </c>
      <c r="C263" s="21">
        <v>1</v>
      </c>
      <c r="D263" s="22"/>
      <c r="E263" s="23"/>
      <c r="F263" s="23"/>
      <c r="G263" s="22">
        <f>G258</f>
        <v>36.040480158488272</v>
      </c>
      <c r="H263" s="6"/>
      <c r="I263" s="7"/>
      <c r="J263" s="153"/>
      <c r="K263" s="23"/>
    </row>
    <row r="264" spans="1:18" ht="15" customHeight="1" x14ac:dyDescent="0.25">
      <c r="A264" s="182"/>
      <c r="B264" s="150" t="s">
        <v>16</v>
      </c>
      <c r="C264" s="151"/>
      <c r="D264" s="152"/>
      <c r="E264" s="152"/>
      <c r="F264" s="152"/>
      <c r="G264" s="153">
        <f>SUM(G262:G263)</f>
        <v>43.260480158488271</v>
      </c>
      <c r="H264" s="153" t="s">
        <v>23</v>
      </c>
      <c r="I264" s="6">
        <v>286.77</v>
      </c>
      <c r="J264" s="154">
        <f>G264*I264</f>
        <v>12405.80789504968</v>
      </c>
      <c r="K264" s="178"/>
    </row>
    <row r="265" spans="1:18" ht="15" hidden="1" customHeight="1" x14ac:dyDescent="0.25">
      <c r="A265" s="20"/>
      <c r="B265" s="150" t="s">
        <v>30</v>
      </c>
      <c r="C265" s="21"/>
      <c r="D265" s="22"/>
      <c r="E265" s="23"/>
      <c r="F265" s="23"/>
      <c r="G265" s="7"/>
      <c r="H265" s="6"/>
      <c r="I265" s="7"/>
      <c r="J265" s="153">
        <f>0.13*G264*767.72/10</f>
        <v>431.75516575457004</v>
      </c>
      <c r="K265" s="23"/>
    </row>
    <row r="266" spans="1:18" ht="15" customHeight="1" x14ac:dyDescent="0.25">
      <c r="A266" s="20"/>
      <c r="B266" s="150"/>
      <c r="C266" s="21"/>
      <c r="D266" s="22"/>
      <c r="E266" s="23"/>
      <c r="F266" s="23"/>
      <c r="G266" s="7"/>
      <c r="H266" s="6"/>
      <c r="I266" s="7"/>
      <c r="J266" s="153"/>
      <c r="K266" s="23"/>
    </row>
    <row r="267" spans="1:18" x14ac:dyDescent="0.25">
      <c r="A267" s="20">
        <v>18</v>
      </c>
      <c r="B267" s="139" t="s">
        <v>90</v>
      </c>
      <c r="C267" s="21"/>
      <c r="D267" s="22"/>
      <c r="E267" s="23"/>
      <c r="F267" s="23"/>
      <c r="G267" s="7"/>
      <c r="H267" s="6"/>
      <c r="I267" s="7"/>
      <c r="J267" s="153"/>
      <c r="K267" s="23"/>
    </row>
    <row r="268" spans="1:18" ht="15" customHeight="1" x14ac:dyDescent="0.25">
      <c r="A268" s="20"/>
      <c r="B268" s="150" t="s">
        <v>78</v>
      </c>
      <c r="C268" s="21">
        <v>1</v>
      </c>
      <c r="D268" s="22">
        <f>6.21+3.42+0.23+0.33+1.71+0.33*4+0.335*4+0.33+3.42+2.595+0.32+2.62+0.075*7</f>
        <v>24.369999999999997</v>
      </c>
      <c r="E268" s="23"/>
      <c r="F268" s="23">
        <v>2.63</v>
      </c>
      <c r="G268" s="152">
        <f t="shared" ref="G268:G293" si="40">PRODUCT(C268:F268)</f>
        <v>64.093099999999993</v>
      </c>
      <c r="H268" s="6"/>
      <c r="I268" s="7"/>
      <c r="J268" s="153"/>
      <c r="K268" s="23"/>
    </row>
    <row r="269" spans="1:18" ht="15" customHeight="1" x14ac:dyDescent="0.25">
      <c r="A269" s="20"/>
      <c r="B269" s="150"/>
      <c r="C269" s="21">
        <v>1</v>
      </c>
      <c r="D269" s="22">
        <v>3.61</v>
      </c>
      <c r="E269" s="23"/>
      <c r="F269" s="23">
        <v>2.63</v>
      </c>
      <c r="G269" s="152">
        <f t="shared" si="40"/>
        <v>9.4942999999999991</v>
      </c>
      <c r="H269" s="6"/>
      <c r="I269" s="7"/>
      <c r="J269" s="153"/>
      <c r="K269" s="23"/>
    </row>
    <row r="270" spans="1:18" ht="15" customHeight="1" x14ac:dyDescent="0.25">
      <c r="A270" s="20"/>
      <c r="B270" s="150" t="s">
        <v>168</v>
      </c>
      <c r="C270" s="21">
        <v>1</v>
      </c>
      <c r="D270" s="22">
        <f>6.16*2+3.65*2</f>
        <v>19.62</v>
      </c>
      <c r="E270" s="23"/>
      <c r="F270" s="23">
        <v>2.42</v>
      </c>
      <c r="G270" s="152">
        <f t="shared" si="40"/>
        <v>47.480400000000003</v>
      </c>
      <c r="H270" s="6"/>
      <c r="I270" s="7"/>
      <c r="J270" s="153"/>
      <c r="K270" s="23"/>
    </row>
    <row r="271" spans="1:18" ht="15" customHeight="1" x14ac:dyDescent="0.25">
      <c r="A271" s="20"/>
      <c r="B271" s="150"/>
      <c r="C271" s="21">
        <v>1</v>
      </c>
      <c r="D271" s="22">
        <f>3+3+2.575+2.57+0.34+2.59+0.34+2.53+0.065*12</f>
        <v>17.725000000000001</v>
      </c>
      <c r="E271" s="23"/>
      <c r="F271" s="23">
        <v>2.42</v>
      </c>
      <c r="G271" s="152">
        <f t="shared" si="40"/>
        <v>42.894500000000001</v>
      </c>
      <c r="H271" s="6"/>
      <c r="I271" s="7"/>
      <c r="J271" s="153"/>
      <c r="K271" s="23"/>
    </row>
    <row r="272" spans="1:18" ht="15" customHeight="1" x14ac:dyDescent="0.25">
      <c r="A272" s="20"/>
      <c r="B272" s="150" t="s">
        <v>95</v>
      </c>
      <c r="C272" s="21">
        <f>-1*2</f>
        <v>-2</v>
      </c>
      <c r="D272" s="22">
        <v>1.38</v>
      </c>
      <c r="E272" s="23"/>
      <c r="F272" s="23">
        <v>1.2</v>
      </c>
      <c r="G272" s="152">
        <f t="shared" si="40"/>
        <v>-3.3119999999999998</v>
      </c>
      <c r="H272" s="6"/>
      <c r="I272" s="7"/>
      <c r="J272" s="153"/>
      <c r="K272" s="23"/>
      <c r="Q272">
        <f>3.61*3.281</f>
        <v>11.84441</v>
      </c>
      <c r="R272">
        <f>3.635*3.281</f>
        <v>11.926435</v>
      </c>
    </row>
    <row r="273" spans="1:18" ht="15" customHeight="1" x14ac:dyDescent="0.25">
      <c r="A273" s="20"/>
      <c r="B273" s="150"/>
      <c r="C273" s="21">
        <f>-1*2</f>
        <v>-2</v>
      </c>
      <c r="D273" s="22">
        <v>1.42</v>
      </c>
      <c r="E273" s="23"/>
      <c r="F273" s="23">
        <v>1.2</v>
      </c>
      <c r="G273" s="152">
        <f t="shared" si="40"/>
        <v>-3.4079999999999999</v>
      </c>
      <c r="H273" s="6"/>
      <c r="I273" s="7"/>
      <c r="J273" s="153"/>
      <c r="K273" s="23"/>
    </row>
    <row r="274" spans="1:18" ht="15" customHeight="1" x14ac:dyDescent="0.25">
      <c r="A274" s="20"/>
      <c r="B274" s="150"/>
      <c r="C274" s="21">
        <f>-1*2</f>
        <v>-2</v>
      </c>
      <c r="D274" s="22">
        <v>1.55</v>
      </c>
      <c r="E274" s="23"/>
      <c r="F274" s="23">
        <v>1.2</v>
      </c>
      <c r="G274" s="152">
        <f t="shared" si="40"/>
        <v>-3.7199999999999998</v>
      </c>
      <c r="H274" s="6"/>
      <c r="I274" s="7"/>
      <c r="J274" s="153"/>
      <c r="K274" s="23"/>
    </row>
    <row r="275" spans="1:18" ht="15" customHeight="1" x14ac:dyDescent="0.25">
      <c r="A275" s="20"/>
      <c r="B275" s="150" t="s">
        <v>244</v>
      </c>
      <c r="C275" s="21">
        <v>1</v>
      </c>
      <c r="D275" s="22">
        <f>4.48+4.49+4.48-0.23+4.49-0.23-0.05-0.05</f>
        <v>17.38</v>
      </c>
      <c r="E275" s="23"/>
      <c r="F275" s="23">
        <v>0.15</v>
      </c>
      <c r="G275" s="152">
        <f t="shared" si="40"/>
        <v>2.6069999999999998</v>
      </c>
      <c r="H275" s="6"/>
      <c r="I275" s="7"/>
      <c r="J275" s="153"/>
      <c r="K275" s="23"/>
    </row>
    <row r="276" spans="1:18" ht="15" customHeight="1" x14ac:dyDescent="0.25">
      <c r="A276" s="20"/>
      <c r="B276" s="150"/>
      <c r="C276" s="21">
        <v>1</v>
      </c>
      <c r="D276" s="22">
        <f>6.67+6.67+6.67-0.23+6.67-0.23-0.05-0.05</f>
        <v>26.119999999999994</v>
      </c>
      <c r="E276" s="23"/>
      <c r="F276" s="23">
        <v>0.15</v>
      </c>
      <c r="G276" s="152">
        <f t="shared" si="40"/>
        <v>3.9179999999999988</v>
      </c>
      <c r="H276" s="6"/>
      <c r="I276" s="7"/>
      <c r="J276" s="153"/>
      <c r="K276" s="23"/>
    </row>
    <row r="277" spans="1:18" ht="15" customHeight="1" x14ac:dyDescent="0.25">
      <c r="A277" s="20"/>
      <c r="B277" s="150"/>
      <c r="C277" s="21">
        <v>1</v>
      </c>
      <c r="D277" s="22">
        <f>1.14+0.96+0.96-0.23+1.14-0.23</f>
        <v>3.7399999999999998</v>
      </c>
      <c r="E277" s="23"/>
      <c r="F277" s="23">
        <v>0.15</v>
      </c>
      <c r="G277" s="152">
        <f t="shared" si="40"/>
        <v>0.56099999999999994</v>
      </c>
      <c r="H277" s="6"/>
      <c r="I277" s="7"/>
      <c r="J277" s="153"/>
      <c r="K277" s="23"/>
    </row>
    <row r="278" spans="1:18" ht="15" customHeight="1" x14ac:dyDescent="0.25">
      <c r="A278" s="20"/>
      <c r="B278" s="150" t="s">
        <v>170</v>
      </c>
      <c r="C278" s="21">
        <v>2</v>
      </c>
      <c r="D278" s="22">
        <v>3.8</v>
      </c>
      <c r="E278" s="23"/>
      <c r="F278" s="23">
        <v>1.3</v>
      </c>
      <c r="G278" s="152">
        <f t="shared" si="40"/>
        <v>9.879999999999999</v>
      </c>
      <c r="H278" s="6"/>
      <c r="I278" s="7"/>
      <c r="J278" s="153"/>
      <c r="K278" s="23"/>
    </row>
    <row r="279" spans="1:18" ht="15" customHeight="1" x14ac:dyDescent="0.25">
      <c r="A279" s="20"/>
      <c r="B279" s="150"/>
      <c r="C279" s="21">
        <v>2</v>
      </c>
      <c r="D279" s="22">
        <v>3.81</v>
      </c>
      <c r="E279" s="23"/>
      <c r="F279" s="23">
        <v>1.3</v>
      </c>
      <c r="G279" s="152">
        <f t="shared" si="40"/>
        <v>9.9060000000000006</v>
      </c>
      <c r="H279" s="6"/>
      <c r="I279" s="7"/>
      <c r="J279" s="153"/>
      <c r="K279" s="23"/>
    </row>
    <row r="280" spans="1:18" ht="15" customHeight="1" x14ac:dyDescent="0.25">
      <c r="A280" s="20"/>
      <c r="B280" s="150" t="s">
        <v>76</v>
      </c>
      <c r="C280" s="21">
        <v>-1</v>
      </c>
      <c r="D280" s="22">
        <v>0.64</v>
      </c>
      <c r="E280" s="23"/>
      <c r="F280" s="23">
        <v>0.78</v>
      </c>
      <c r="G280" s="152">
        <f t="shared" si="40"/>
        <v>-0.49920000000000003</v>
      </c>
      <c r="H280" s="6"/>
      <c r="I280" s="7"/>
      <c r="J280" s="153"/>
      <c r="K280" s="23"/>
    </row>
    <row r="281" spans="1:18" ht="15" customHeight="1" x14ac:dyDescent="0.25">
      <c r="A281" s="20"/>
      <c r="B281" s="150"/>
      <c r="C281" s="21">
        <v>-1</v>
      </c>
      <c r="D281" s="22">
        <v>0.62</v>
      </c>
      <c r="E281" s="23"/>
      <c r="F281" s="23">
        <v>0.81</v>
      </c>
      <c r="G281" s="152">
        <f t="shared" si="40"/>
        <v>-0.50219999999999998</v>
      </c>
      <c r="H281" s="6"/>
      <c r="I281" s="7"/>
      <c r="J281" s="153"/>
      <c r="K281" s="23"/>
    </row>
    <row r="282" spans="1:18" ht="15" customHeight="1" x14ac:dyDescent="0.25">
      <c r="A282" s="20"/>
      <c r="B282" s="150" t="s">
        <v>171</v>
      </c>
      <c r="C282" s="21">
        <v>-1</v>
      </c>
      <c r="D282" s="22">
        <v>1.1200000000000001</v>
      </c>
      <c r="E282" s="23"/>
      <c r="F282" s="23">
        <v>1.7</v>
      </c>
      <c r="G282" s="152">
        <f t="shared" si="40"/>
        <v>-1.9040000000000001</v>
      </c>
      <c r="H282" s="6"/>
      <c r="I282" s="7"/>
      <c r="J282" s="153"/>
      <c r="K282" s="23"/>
      <c r="Q282">
        <f>0.14*10</f>
        <v>1.4000000000000001</v>
      </c>
      <c r="R282">
        <f>1.4+0.32</f>
        <v>1.72</v>
      </c>
    </row>
    <row r="283" spans="1:18" ht="15" customHeight="1" x14ac:dyDescent="0.25">
      <c r="A283" s="20"/>
      <c r="B283" s="150"/>
      <c r="C283" s="21">
        <v>-1</v>
      </c>
      <c r="D283" s="22">
        <v>0.74</v>
      </c>
      <c r="E283" s="23"/>
      <c r="F283" s="23">
        <v>0.86</v>
      </c>
      <c r="G283" s="152">
        <f t="shared" si="40"/>
        <v>-0.63639999999999997</v>
      </c>
      <c r="H283" s="6"/>
      <c r="I283" s="7"/>
      <c r="J283" s="153"/>
      <c r="K283" s="23"/>
    </row>
    <row r="284" spans="1:18" ht="15" customHeight="1" x14ac:dyDescent="0.25">
      <c r="A284" s="20"/>
      <c r="B284" s="150"/>
      <c r="C284" s="21">
        <v>-1</v>
      </c>
      <c r="D284" s="22">
        <v>0.375</v>
      </c>
      <c r="E284" s="23"/>
      <c r="F284" s="23">
        <v>0.45</v>
      </c>
      <c r="G284" s="152">
        <f t="shared" si="40"/>
        <v>-0.16875000000000001</v>
      </c>
      <c r="H284" s="6"/>
      <c r="I284" s="7"/>
      <c r="J284" s="153"/>
      <c r="K284" s="23"/>
    </row>
    <row r="285" spans="1:18" ht="15" customHeight="1" x14ac:dyDescent="0.25">
      <c r="A285" s="20"/>
      <c r="B285" s="150"/>
      <c r="C285" s="21">
        <v>-1</v>
      </c>
      <c r="D285" s="22">
        <v>0.74</v>
      </c>
      <c r="E285" s="23"/>
      <c r="F285" s="23">
        <v>0.87</v>
      </c>
      <c r="G285" s="152">
        <f t="shared" si="40"/>
        <v>-0.64380000000000004</v>
      </c>
      <c r="H285" s="6"/>
      <c r="I285" s="7"/>
      <c r="J285" s="153"/>
      <c r="K285" s="23"/>
    </row>
    <row r="286" spans="1:18" ht="15" customHeight="1" x14ac:dyDescent="0.25">
      <c r="A286" s="20"/>
      <c r="B286" s="150"/>
      <c r="C286" s="21">
        <v>-1</v>
      </c>
      <c r="D286" s="22">
        <v>0.45</v>
      </c>
      <c r="E286" s="23"/>
      <c r="F286" s="23">
        <v>0.27</v>
      </c>
      <c r="G286" s="152">
        <f t="shared" si="40"/>
        <v>-0.12150000000000001</v>
      </c>
      <c r="H286" s="6"/>
      <c r="I286" s="7"/>
      <c r="J286" s="153"/>
      <c r="K286" s="23"/>
    </row>
    <row r="287" spans="1:18" ht="15" customHeight="1" x14ac:dyDescent="0.25">
      <c r="A287" s="20"/>
      <c r="B287" s="150" t="s">
        <v>151</v>
      </c>
      <c r="C287" s="21">
        <v>1</v>
      </c>
      <c r="D287" s="22">
        <f>7.17+4.8-0.23</f>
        <v>11.739999999999998</v>
      </c>
      <c r="E287" s="23"/>
      <c r="F287" s="23">
        <v>1</v>
      </c>
      <c r="G287" s="152">
        <f t="shared" si="40"/>
        <v>11.739999999999998</v>
      </c>
      <c r="H287" s="6"/>
      <c r="I287" s="7"/>
      <c r="J287" s="153"/>
      <c r="K287" s="23"/>
    </row>
    <row r="288" spans="1:18" ht="15" customHeight="1" x14ac:dyDescent="0.25">
      <c r="A288" s="20"/>
      <c r="B288" s="150"/>
      <c r="C288" s="21">
        <v>1</v>
      </c>
      <c r="D288" s="22">
        <f>3+0.75-0.115</f>
        <v>3.6349999999999998</v>
      </c>
      <c r="E288" s="23"/>
      <c r="F288" s="23">
        <v>1.34</v>
      </c>
      <c r="G288" s="152">
        <f t="shared" si="40"/>
        <v>4.8708999999999998</v>
      </c>
      <c r="H288" s="6"/>
      <c r="I288" s="7"/>
      <c r="J288" s="153"/>
      <c r="K288" s="23"/>
    </row>
    <row r="289" spans="1:18" ht="15" customHeight="1" x14ac:dyDescent="0.25">
      <c r="A289" s="20"/>
      <c r="B289" s="150"/>
      <c r="C289" s="21">
        <v>1</v>
      </c>
      <c r="D289" s="22">
        <v>1.03</v>
      </c>
      <c r="E289" s="23"/>
      <c r="F289" s="23">
        <v>1</v>
      </c>
      <c r="G289" s="152">
        <f t="shared" si="40"/>
        <v>1.03</v>
      </c>
      <c r="H289" s="6"/>
      <c r="I289" s="7"/>
      <c r="J289" s="153"/>
      <c r="K289" s="23"/>
    </row>
    <row r="290" spans="1:18" ht="15" customHeight="1" x14ac:dyDescent="0.25">
      <c r="A290" s="20"/>
      <c r="B290" s="150"/>
      <c r="C290" s="21">
        <v>1</v>
      </c>
      <c r="D290" s="22">
        <f>17*0.13</f>
        <v>2.21</v>
      </c>
      <c r="E290" s="23"/>
      <c r="F290" s="23">
        <v>1</v>
      </c>
      <c r="G290" s="152">
        <f t="shared" si="40"/>
        <v>2.21</v>
      </c>
      <c r="H290" s="6"/>
      <c r="I290" s="7"/>
      <c r="J290" s="153"/>
      <c r="K290" s="23"/>
    </row>
    <row r="291" spans="1:18" ht="15" customHeight="1" x14ac:dyDescent="0.25">
      <c r="A291" s="20"/>
      <c r="B291" s="150"/>
      <c r="C291" s="21">
        <v>1</v>
      </c>
      <c r="D291" s="22">
        <f>5*0.13</f>
        <v>0.65</v>
      </c>
      <c r="E291" s="23"/>
      <c r="F291" s="23">
        <v>1.335</v>
      </c>
      <c r="G291" s="152">
        <f t="shared" si="40"/>
        <v>0.86775000000000002</v>
      </c>
      <c r="H291" s="6"/>
      <c r="I291" s="7"/>
      <c r="J291" s="153"/>
      <c r="K291" s="23"/>
    </row>
    <row r="292" spans="1:18" ht="15" customHeight="1" x14ac:dyDescent="0.25">
      <c r="A292" s="20"/>
      <c r="B292" s="150" t="s">
        <v>172</v>
      </c>
      <c r="C292" s="21">
        <v>1</v>
      </c>
      <c r="D292" s="22">
        <v>6.16</v>
      </c>
      <c r="E292" s="23"/>
      <c r="F292" s="23">
        <v>0.75</v>
      </c>
      <c r="G292" s="152">
        <f t="shared" si="40"/>
        <v>4.62</v>
      </c>
      <c r="H292" s="6"/>
      <c r="I292" s="7"/>
      <c r="J292" s="153"/>
      <c r="K292" s="23"/>
    </row>
    <row r="293" spans="1:18" ht="15" customHeight="1" x14ac:dyDescent="0.25">
      <c r="A293" s="20"/>
      <c r="B293" s="150"/>
      <c r="C293" s="21">
        <v>1</v>
      </c>
      <c r="D293" s="22">
        <v>2.5</v>
      </c>
      <c r="E293" s="23"/>
      <c r="F293" s="23">
        <f>1.87+0.45</f>
        <v>2.3200000000000003</v>
      </c>
      <c r="G293" s="152">
        <f t="shared" si="40"/>
        <v>5.8000000000000007</v>
      </c>
      <c r="H293" s="6"/>
      <c r="I293" s="7"/>
      <c r="J293" s="153"/>
      <c r="K293" s="23"/>
    </row>
    <row r="294" spans="1:18" ht="15" customHeight="1" x14ac:dyDescent="0.25">
      <c r="A294" s="182"/>
      <c r="B294" s="150" t="s">
        <v>16</v>
      </c>
      <c r="C294" s="151"/>
      <c r="D294" s="152"/>
      <c r="E294" s="152"/>
      <c r="F294" s="152"/>
      <c r="G294" s="153">
        <f>SUM(G268:G293)</f>
        <v>207.05710000000008</v>
      </c>
      <c r="H294" s="153" t="s">
        <v>23</v>
      </c>
      <c r="I294" s="6">
        <v>402.23</v>
      </c>
      <c r="J294" s="154">
        <f>G294*I294</f>
        <v>83284.577333000037</v>
      </c>
      <c r="K294" s="178"/>
    </row>
    <row r="295" spans="1:18" ht="15" hidden="1" customHeight="1" x14ac:dyDescent="0.25">
      <c r="A295" s="20"/>
      <c r="B295" s="150" t="s">
        <v>30</v>
      </c>
      <c r="C295" s="21"/>
      <c r="D295" s="22"/>
      <c r="E295" s="23"/>
      <c r="F295" s="23"/>
      <c r="G295" s="7"/>
      <c r="H295" s="6"/>
      <c r="I295" s="7"/>
      <c r="J295" s="153">
        <f>0.13*G294*11424.1/100</f>
        <v>3075.0733209430014</v>
      </c>
      <c r="K295" s="23"/>
      <c r="P295">
        <f>115/12</f>
        <v>9.5833333333333339</v>
      </c>
    </row>
    <row r="296" spans="1:18" ht="15" customHeight="1" x14ac:dyDescent="0.25">
      <c r="A296" s="20"/>
      <c r="B296" s="150"/>
      <c r="C296" s="21"/>
      <c r="D296" s="22"/>
      <c r="E296" s="23"/>
      <c r="F296" s="23"/>
      <c r="G296" s="7"/>
      <c r="H296" s="6"/>
      <c r="I296" s="7"/>
      <c r="J296" s="153"/>
      <c r="K296" s="23"/>
      <c r="P296">
        <f>212/12</f>
        <v>17.666666666666668</v>
      </c>
      <c r="R296">
        <f>10/0.5</f>
        <v>20</v>
      </c>
    </row>
    <row r="297" spans="1:18" ht="30" x14ac:dyDescent="0.25">
      <c r="A297" s="20">
        <v>19</v>
      </c>
      <c r="B297" s="139" t="s">
        <v>240</v>
      </c>
      <c r="C297" s="21"/>
      <c r="D297" s="22"/>
      <c r="E297" s="23"/>
      <c r="F297" s="23"/>
      <c r="G297" s="7"/>
      <c r="H297" s="6"/>
      <c r="I297" s="7"/>
      <c r="J297" s="153"/>
      <c r="K297" s="23"/>
    </row>
    <row r="298" spans="1:18" ht="15" customHeight="1" x14ac:dyDescent="0.25">
      <c r="A298" s="20"/>
      <c r="B298" s="150" t="s">
        <v>241</v>
      </c>
      <c r="C298" s="21">
        <v>1</v>
      </c>
      <c r="D298" s="22">
        <f>3.15</f>
        <v>3.15</v>
      </c>
      <c r="E298" s="23">
        <f>2.62+2.6+0.075*2+0.075*2</f>
        <v>5.5200000000000014</v>
      </c>
      <c r="F298" s="23"/>
      <c r="G298" s="152">
        <f t="shared" ref="G298:G304" si="41">PRODUCT(C298:F298)</f>
        <v>17.388000000000005</v>
      </c>
      <c r="H298" s="6"/>
      <c r="I298" s="7"/>
      <c r="J298" s="153"/>
      <c r="K298" s="23"/>
      <c r="M298">
        <f>2.975+0.075*2</f>
        <v>3.125</v>
      </c>
    </row>
    <row r="299" spans="1:18" ht="15" customHeight="1" x14ac:dyDescent="0.25">
      <c r="A299" s="20"/>
      <c r="B299" s="150" t="s">
        <v>87</v>
      </c>
      <c r="C299" s="21">
        <v>2</v>
      </c>
      <c r="D299" s="22">
        <f>3.65</f>
        <v>3.65</v>
      </c>
      <c r="E299" s="23">
        <f>0.3+0.15</f>
        <v>0.44999999999999996</v>
      </c>
      <c r="F299" s="23"/>
      <c r="G299" s="152">
        <f t="shared" si="41"/>
        <v>3.2849999999999997</v>
      </c>
      <c r="H299" s="6"/>
      <c r="I299" s="7"/>
      <c r="J299" s="153"/>
      <c r="K299" s="23"/>
    </row>
    <row r="300" spans="1:18" ht="15" customHeight="1" x14ac:dyDescent="0.25">
      <c r="A300" s="20"/>
      <c r="B300" s="150"/>
      <c r="C300" s="21">
        <v>2</v>
      </c>
      <c r="D300" s="22">
        <f>6.6-0.075</f>
        <v>6.5249999999999995</v>
      </c>
      <c r="E300" s="23">
        <f>0.3+0.15-0.025</f>
        <v>0.42499999999999993</v>
      </c>
      <c r="F300" s="23"/>
      <c r="G300" s="152">
        <f t="shared" si="41"/>
        <v>5.5462499999999988</v>
      </c>
      <c r="H300" s="6"/>
      <c r="I300" s="7"/>
      <c r="J300" s="153"/>
      <c r="K300" s="23"/>
    </row>
    <row r="301" spans="1:18" ht="15" customHeight="1" x14ac:dyDescent="0.25">
      <c r="A301" s="20"/>
      <c r="B301" s="150" t="s">
        <v>241</v>
      </c>
      <c r="C301" s="21">
        <v>1</v>
      </c>
      <c r="D301" s="22">
        <f>2.535+0.075*2</f>
        <v>2.6850000000000001</v>
      </c>
      <c r="E301" s="23">
        <f>0.075*2+2.94</f>
        <v>3.09</v>
      </c>
      <c r="F301" s="23"/>
      <c r="G301" s="152">
        <f t="shared" si="41"/>
        <v>8.2966499999999996</v>
      </c>
      <c r="H301" s="6"/>
      <c r="I301" s="7"/>
      <c r="J301" s="153"/>
      <c r="K301" s="23"/>
      <c r="M301">
        <f>2.975+0.075*2</f>
        <v>3.125</v>
      </c>
    </row>
    <row r="302" spans="1:18" ht="15" customHeight="1" x14ac:dyDescent="0.25">
      <c r="A302" s="20"/>
      <c r="B302" s="150"/>
      <c r="C302" s="21">
        <v>1</v>
      </c>
      <c r="D302" s="22">
        <f>0.075*2+2.595</f>
        <v>2.7450000000000001</v>
      </c>
      <c r="E302" s="23">
        <f>0.075*2+2.94</f>
        <v>3.09</v>
      </c>
      <c r="F302" s="23"/>
      <c r="G302" s="152">
        <f t="shared" si="41"/>
        <v>8.4820499999999992</v>
      </c>
      <c r="H302" s="6"/>
      <c r="I302" s="7"/>
      <c r="J302" s="153"/>
      <c r="K302" s="23"/>
    </row>
    <row r="303" spans="1:18" ht="15" customHeight="1" x14ac:dyDescent="0.25">
      <c r="A303" s="20"/>
      <c r="B303" s="150" t="s">
        <v>87</v>
      </c>
      <c r="C303" s="21">
        <v>2</v>
      </c>
      <c r="D303" s="22">
        <f>3.63</f>
        <v>3.63</v>
      </c>
      <c r="E303" s="23">
        <f>0.3+0.4-0.025</f>
        <v>0.67499999999999993</v>
      </c>
      <c r="F303" s="23"/>
      <c r="G303" s="152">
        <f t="shared" si="41"/>
        <v>4.9004999999999992</v>
      </c>
      <c r="H303" s="6"/>
      <c r="I303" s="7"/>
      <c r="J303" s="153"/>
      <c r="K303" s="23"/>
    </row>
    <row r="304" spans="1:18" ht="15" customHeight="1" x14ac:dyDescent="0.25">
      <c r="A304" s="20"/>
      <c r="B304" s="150"/>
      <c r="C304" s="21">
        <v>2</v>
      </c>
      <c r="D304" s="22">
        <f>6.16+0.4+0.3</f>
        <v>6.86</v>
      </c>
      <c r="E304" s="23">
        <f>0.3+0.4-0.025</f>
        <v>0.67499999999999993</v>
      </c>
      <c r="F304" s="23"/>
      <c r="G304" s="152">
        <f t="shared" si="41"/>
        <v>9.2609999999999992</v>
      </c>
      <c r="H304" s="6"/>
      <c r="I304" s="7"/>
      <c r="J304" s="153"/>
      <c r="K304" s="23"/>
      <c r="M304">
        <f>6.9-0.05</f>
        <v>6.8500000000000005</v>
      </c>
    </row>
    <row r="305" spans="1:15" ht="15" customHeight="1" x14ac:dyDescent="0.25">
      <c r="A305" s="182"/>
      <c r="B305" s="150" t="s">
        <v>16</v>
      </c>
      <c r="C305" s="151"/>
      <c r="D305" s="152"/>
      <c r="E305" s="152"/>
      <c r="F305" s="152"/>
      <c r="G305" s="153">
        <f>SUM(G298:G304)</f>
        <v>57.159450000000007</v>
      </c>
      <c r="H305" s="153" t="s">
        <v>23</v>
      </c>
      <c r="I305" s="6">
        <v>277.02999999999997</v>
      </c>
      <c r="J305" s="154">
        <f>G305*I305</f>
        <v>15834.882433500001</v>
      </c>
      <c r="K305" s="178"/>
    </row>
    <row r="306" spans="1:15" ht="15" hidden="1" customHeight="1" x14ac:dyDescent="0.25">
      <c r="A306" s="20"/>
      <c r="B306" s="150" t="s">
        <v>30</v>
      </c>
      <c r="C306" s="21"/>
      <c r="D306" s="22"/>
      <c r="E306" s="23"/>
      <c r="F306" s="23"/>
      <c r="G306" s="7"/>
      <c r="H306" s="6"/>
      <c r="I306" s="7"/>
      <c r="J306" s="153">
        <f>0.13*G305*670.32/10</f>
        <v>498.0965928120001</v>
      </c>
      <c r="K306" s="23"/>
    </row>
    <row r="307" spans="1:15" ht="15" customHeight="1" x14ac:dyDescent="0.25">
      <c r="A307" s="20"/>
      <c r="B307" s="150"/>
      <c r="C307" s="21"/>
      <c r="D307" s="22"/>
      <c r="E307" s="23"/>
      <c r="F307" s="23"/>
      <c r="G307" s="7"/>
      <c r="H307" s="6"/>
      <c r="I307" s="7"/>
      <c r="J307" s="153"/>
      <c r="K307" s="23"/>
    </row>
    <row r="308" spans="1:15" ht="30" x14ac:dyDescent="0.25">
      <c r="A308" s="20">
        <v>20</v>
      </c>
      <c r="B308" s="139" t="s">
        <v>100</v>
      </c>
      <c r="C308" s="21"/>
      <c r="D308" s="22"/>
      <c r="E308" s="23"/>
      <c r="F308" s="23"/>
      <c r="G308" s="7"/>
      <c r="H308" s="6"/>
      <c r="I308" s="7"/>
      <c r="J308" s="153"/>
      <c r="K308" s="23"/>
      <c r="N308">
        <f>8704/16</f>
        <v>544</v>
      </c>
      <c r="O308">
        <f>4817/9</f>
        <v>535.22222222222217</v>
      </c>
    </row>
    <row r="309" spans="1:15" ht="15" customHeight="1" x14ac:dyDescent="0.25">
      <c r="A309" s="20"/>
      <c r="B309" s="150" t="s">
        <v>147</v>
      </c>
      <c r="C309" s="21">
        <v>1</v>
      </c>
      <c r="D309" s="22">
        <f>6.6*2+4.135+4.15</f>
        <v>21.484999999999999</v>
      </c>
      <c r="E309" s="23"/>
      <c r="F309" s="23"/>
      <c r="G309" s="152">
        <f t="shared" ref="G309:G310" si="42">PRODUCT(C309:F309)</f>
        <v>21.484999999999999</v>
      </c>
      <c r="H309" s="6"/>
      <c r="I309" s="7"/>
      <c r="J309" s="153"/>
      <c r="K309" s="23"/>
    </row>
    <row r="310" spans="1:15" ht="15" customHeight="1" x14ac:dyDescent="0.25">
      <c r="A310" s="20"/>
      <c r="B310" s="150" t="s">
        <v>146</v>
      </c>
      <c r="C310" s="21">
        <v>1</v>
      </c>
      <c r="D310" s="22">
        <f>6.915*2+4.44*2</f>
        <v>22.71</v>
      </c>
      <c r="E310" s="23"/>
      <c r="F310" s="23"/>
      <c r="G310" s="152">
        <f t="shared" si="42"/>
        <v>22.71</v>
      </c>
      <c r="H310" s="6"/>
      <c r="I310" s="7"/>
      <c r="J310" s="153"/>
      <c r="K310" s="23"/>
    </row>
    <row r="311" spans="1:15" ht="15" customHeight="1" x14ac:dyDescent="0.25">
      <c r="A311" s="182"/>
      <c r="B311" s="150" t="s">
        <v>16</v>
      </c>
      <c r="C311" s="151"/>
      <c r="D311" s="152"/>
      <c r="E311" s="152"/>
      <c r="F311" s="152"/>
      <c r="G311" s="153">
        <f>SUM(G309:G310)</f>
        <v>44.195</v>
      </c>
      <c r="H311" s="153" t="s">
        <v>148</v>
      </c>
      <c r="I311" s="6">
        <v>150.04</v>
      </c>
      <c r="J311" s="154">
        <f>G311*I311</f>
        <v>6631.0177999999996</v>
      </c>
      <c r="K311" s="178"/>
    </row>
    <row r="312" spans="1:15" ht="15" hidden="1" customHeight="1" x14ac:dyDescent="0.25">
      <c r="A312" s="20"/>
      <c r="B312" s="150" t="s">
        <v>30</v>
      </c>
      <c r="C312" s="21"/>
      <c r="D312" s="22"/>
      <c r="E312" s="23"/>
      <c r="F312" s="23"/>
      <c r="G312" s="7"/>
      <c r="H312" s="6"/>
      <c r="I312" s="7"/>
      <c r="J312" s="153">
        <f>0.13*G311*111.05</f>
        <v>638.02111750000006</v>
      </c>
      <c r="K312" s="23"/>
    </row>
    <row r="313" spans="1:15" ht="15" customHeight="1" x14ac:dyDescent="0.25">
      <c r="A313" s="20"/>
      <c r="B313" s="150"/>
      <c r="C313" s="21"/>
      <c r="D313" s="22"/>
      <c r="E313" s="23"/>
      <c r="F313" s="23"/>
      <c r="G313" s="7"/>
      <c r="H313" s="6"/>
      <c r="I313" s="7"/>
      <c r="J313" s="153"/>
      <c r="K313" s="23"/>
    </row>
    <row r="314" spans="1:15" ht="30" x14ac:dyDescent="0.25">
      <c r="A314" s="20">
        <v>21</v>
      </c>
      <c r="B314" s="139" t="s">
        <v>246</v>
      </c>
      <c r="C314" s="21"/>
      <c r="D314" s="22"/>
      <c r="E314" s="23"/>
      <c r="F314" s="23"/>
      <c r="G314" s="7"/>
      <c r="H314" s="6"/>
      <c r="I314" s="7"/>
      <c r="J314" s="153"/>
      <c r="K314" s="23"/>
    </row>
    <row r="315" spans="1:15" ht="15" customHeight="1" x14ac:dyDescent="0.25">
      <c r="A315" s="20"/>
      <c r="B315" s="150" t="s">
        <v>78</v>
      </c>
      <c r="C315" s="21">
        <v>1</v>
      </c>
      <c r="D315" s="22">
        <f>0.33+1.71+0.11+0.33*4*2+0.33</f>
        <v>5.12</v>
      </c>
      <c r="E315" s="23"/>
      <c r="F315" s="23">
        <v>2.63</v>
      </c>
      <c r="G315" s="152">
        <f t="shared" ref="G315:G329" si="43">PRODUCT(C315:F315)</f>
        <v>13.4656</v>
      </c>
      <c r="H315" s="6"/>
      <c r="I315" s="7"/>
      <c r="J315" s="153"/>
      <c r="K315" s="23"/>
      <c r="N315">
        <v>18.16</v>
      </c>
    </row>
    <row r="316" spans="1:15" ht="15" hidden="1" customHeight="1" x14ac:dyDescent="0.25">
      <c r="A316" s="20"/>
      <c r="B316" s="150"/>
      <c r="C316" s="21"/>
      <c r="D316" s="22"/>
      <c r="E316" s="23"/>
      <c r="F316" s="23"/>
      <c r="G316" s="152">
        <f t="shared" si="43"/>
        <v>0</v>
      </c>
      <c r="H316" s="6"/>
      <c r="I316" s="7"/>
      <c r="J316" s="153"/>
      <c r="K316" s="23"/>
    </row>
    <row r="317" spans="1:15" ht="15" hidden="1" customHeight="1" x14ac:dyDescent="0.25">
      <c r="A317" s="20"/>
      <c r="B317" s="150"/>
      <c r="C317" s="21"/>
      <c r="D317" s="22"/>
      <c r="E317" s="23"/>
      <c r="F317" s="23"/>
      <c r="G317" s="152">
        <f t="shared" si="43"/>
        <v>0</v>
      </c>
      <c r="H317" s="6"/>
      <c r="I317" s="7"/>
      <c r="J317" s="153"/>
      <c r="K317" s="23"/>
    </row>
    <row r="318" spans="1:15" ht="15" customHeight="1" x14ac:dyDescent="0.25">
      <c r="A318" s="20"/>
      <c r="B318" s="150"/>
      <c r="C318" s="21">
        <v>1</v>
      </c>
      <c r="D318" s="22">
        <f>3.42+0.23+0.33+2.595+0.32+2.62+0.33</f>
        <v>9.8450000000000006</v>
      </c>
      <c r="E318" s="23"/>
      <c r="F318" s="23">
        <f>F315/2</f>
        <v>1.3149999999999999</v>
      </c>
      <c r="G318" s="152">
        <f t="shared" si="43"/>
        <v>12.946175</v>
      </c>
      <c r="H318" s="6"/>
      <c r="I318" s="7"/>
      <c r="J318" s="153"/>
      <c r="K318" s="23"/>
    </row>
    <row r="319" spans="1:15" ht="15" customHeight="1" x14ac:dyDescent="0.25">
      <c r="A319" s="20"/>
      <c r="B319" s="150" t="s">
        <v>168</v>
      </c>
      <c r="C319" s="21">
        <v>1</v>
      </c>
      <c r="D319" s="22">
        <f>6.16*2+3.65*2</f>
        <v>19.62</v>
      </c>
      <c r="E319" s="23"/>
      <c r="F319" s="23">
        <v>2.42</v>
      </c>
      <c r="G319" s="152">
        <f t="shared" si="43"/>
        <v>47.480400000000003</v>
      </c>
      <c r="H319" s="6"/>
      <c r="I319" s="7"/>
      <c r="J319" s="153"/>
      <c r="K319" s="23"/>
    </row>
    <row r="320" spans="1:15" ht="15" hidden="1" customHeight="1" x14ac:dyDescent="0.25">
      <c r="A320" s="20"/>
      <c r="B320" s="150"/>
      <c r="C320" s="21"/>
      <c r="D320" s="22"/>
      <c r="E320" s="23"/>
      <c r="F320" s="23"/>
      <c r="G320" s="152">
        <f t="shared" si="43"/>
        <v>0</v>
      </c>
      <c r="H320" s="6"/>
      <c r="I320" s="7"/>
      <c r="J320" s="153"/>
      <c r="K320" s="23"/>
    </row>
    <row r="321" spans="1:18" ht="15" hidden="1" customHeight="1" x14ac:dyDescent="0.25">
      <c r="A321" s="20"/>
      <c r="B321" s="150"/>
      <c r="C321" s="21">
        <f>0*-1</f>
        <v>0</v>
      </c>
      <c r="D321" s="22">
        <f>0.76+0.93+5</f>
        <v>6.6899999999999995</v>
      </c>
      <c r="E321" s="23"/>
      <c r="F321" s="23">
        <v>2.42</v>
      </c>
      <c r="G321" s="152">
        <f t="shared" si="43"/>
        <v>0</v>
      </c>
      <c r="H321" s="6"/>
      <c r="I321" s="7"/>
      <c r="J321" s="153"/>
      <c r="K321" s="23"/>
    </row>
    <row r="322" spans="1:18" ht="15" customHeight="1" x14ac:dyDescent="0.25">
      <c r="A322" s="20"/>
      <c r="B322" s="150"/>
      <c r="C322" s="21">
        <v>1</v>
      </c>
      <c r="D322" s="22">
        <f>1.38*2+1.42*2+1.55*2+1.19*6</f>
        <v>15.84</v>
      </c>
      <c r="E322" s="23"/>
      <c r="F322" s="23">
        <f>0.23-0.1</f>
        <v>0.13</v>
      </c>
      <c r="G322" s="152">
        <f t="shared" si="43"/>
        <v>2.0592000000000001</v>
      </c>
      <c r="H322" s="6"/>
      <c r="I322" s="7"/>
      <c r="J322" s="153"/>
      <c r="K322" s="23"/>
    </row>
    <row r="323" spans="1:18" ht="15" customHeight="1" x14ac:dyDescent="0.25">
      <c r="A323" s="20"/>
      <c r="B323" s="150" t="s">
        <v>95</v>
      </c>
      <c r="C323" s="21">
        <f>-1*1</f>
        <v>-1</v>
      </c>
      <c r="D323" s="22">
        <v>1.38</v>
      </c>
      <c r="E323" s="23"/>
      <c r="F323" s="23">
        <v>1.2</v>
      </c>
      <c r="G323" s="152">
        <f t="shared" si="43"/>
        <v>-1.6559999999999999</v>
      </c>
      <c r="H323" s="6"/>
      <c r="I323" s="7"/>
      <c r="J323" s="153"/>
      <c r="K323" s="23"/>
      <c r="Q323">
        <f>3.61*3.281</f>
        <v>11.84441</v>
      </c>
      <c r="R323">
        <f>3.635*3.281</f>
        <v>11.926435</v>
      </c>
    </row>
    <row r="324" spans="1:18" ht="15" customHeight="1" x14ac:dyDescent="0.25">
      <c r="A324" s="20"/>
      <c r="B324" s="150"/>
      <c r="C324" s="21">
        <f>-1*1</f>
        <v>-1</v>
      </c>
      <c r="D324" s="22">
        <v>1.42</v>
      </c>
      <c r="E324" s="23"/>
      <c r="F324" s="23">
        <v>1.2</v>
      </c>
      <c r="G324" s="152">
        <f t="shared" si="43"/>
        <v>-1.704</v>
      </c>
      <c r="H324" s="6"/>
      <c r="I324" s="7"/>
      <c r="J324" s="153"/>
      <c r="K324" s="23"/>
    </row>
    <row r="325" spans="1:18" ht="15" customHeight="1" x14ac:dyDescent="0.25">
      <c r="A325" s="20"/>
      <c r="B325" s="150"/>
      <c r="C325" s="21">
        <f>-1*1</f>
        <v>-1</v>
      </c>
      <c r="D325" s="22">
        <v>1.55</v>
      </c>
      <c r="E325" s="23"/>
      <c r="F325" s="23">
        <v>1.2</v>
      </c>
      <c r="G325" s="152">
        <f t="shared" si="43"/>
        <v>-1.8599999999999999</v>
      </c>
      <c r="H325" s="6"/>
      <c r="I325" s="7"/>
      <c r="J325" s="153"/>
      <c r="K325" s="23"/>
    </row>
    <row r="326" spans="1:18" ht="15" hidden="1" customHeight="1" x14ac:dyDescent="0.25">
      <c r="A326" s="20"/>
      <c r="B326" s="150" t="s">
        <v>244</v>
      </c>
      <c r="C326" s="21">
        <v>0</v>
      </c>
      <c r="D326" s="22">
        <f>4.48+4.49+4.48-0.23+4.49-0.23-0.05-0.05</f>
        <v>17.38</v>
      </c>
      <c r="E326" s="23"/>
      <c r="F326" s="23">
        <v>0.15</v>
      </c>
      <c r="G326" s="152">
        <f t="shared" si="43"/>
        <v>0</v>
      </c>
      <c r="H326" s="6"/>
      <c r="I326" s="7"/>
      <c r="J326" s="153"/>
      <c r="K326" s="23"/>
    </row>
    <row r="327" spans="1:18" ht="15" hidden="1" customHeight="1" x14ac:dyDescent="0.25">
      <c r="A327" s="20"/>
      <c r="B327" s="150"/>
      <c r="C327" s="21">
        <v>0</v>
      </c>
      <c r="D327" s="22">
        <f>6.67+6.67+6.67-0.23+6.67-0.23-0.05-0.05</f>
        <v>26.119999999999994</v>
      </c>
      <c r="E327" s="23"/>
      <c r="F327" s="23">
        <v>0.15</v>
      </c>
      <c r="G327" s="152">
        <f t="shared" si="43"/>
        <v>0</v>
      </c>
      <c r="H327" s="6"/>
      <c r="I327" s="7"/>
      <c r="J327" s="153"/>
      <c r="K327" s="23"/>
    </row>
    <row r="328" spans="1:18" ht="15" hidden="1" customHeight="1" x14ac:dyDescent="0.25">
      <c r="A328" s="20"/>
      <c r="B328" s="150"/>
      <c r="C328" s="21">
        <v>0</v>
      </c>
      <c r="D328" s="22">
        <f>1.14+0.96+0.96-0.23+1.14-0.23</f>
        <v>3.7399999999999998</v>
      </c>
      <c r="E328" s="23"/>
      <c r="F328" s="23">
        <v>0.15</v>
      </c>
      <c r="G328" s="152">
        <f t="shared" si="43"/>
        <v>0</v>
      </c>
      <c r="H328" s="6"/>
      <c r="I328" s="7"/>
      <c r="J328" s="153"/>
      <c r="K328" s="23"/>
    </row>
    <row r="329" spans="1:18" ht="15" customHeight="1" x14ac:dyDescent="0.25">
      <c r="A329" s="20"/>
      <c r="B329" s="150" t="s">
        <v>247</v>
      </c>
      <c r="C329" s="21">
        <v>1</v>
      </c>
      <c r="D329" s="22">
        <f>6.6*2+4.15*2+6.9*0+4.45*0</f>
        <v>21.5</v>
      </c>
      <c r="E329" s="23"/>
      <c r="F329" s="23">
        <v>0.125</v>
      </c>
      <c r="G329" s="152">
        <f t="shared" si="43"/>
        <v>2.6875</v>
      </c>
      <c r="H329" s="6"/>
      <c r="I329" s="7"/>
      <c r="J329" s="153"/>
      <c r="K329" s="23"/>
    </row>
    <row r="330" spans="1:18" ht="15" customHeight="1" x14ac:dyDescent="0.25">
      <c r="A330" s="182"/>
      <c r="B330" s="150" t="s">
        <v>16</v>
      </c>
      <c r="C330" s="151"/>
      <c r="D330" s="152"/>
      <c r="E330" s="152"/>
      <c r="F330" s="152"/>
      <c r="G330" s="153">
        <f>SUM(G315:G329)</f>
        <v>73.418875000000014</v>
      </c>
      <c r="H330" s="153" t="s">
        <v>23</v>
      </c>
      <c r="I330" s="6">
        <v>326.37</v>
      </c>
      <c r="J330" s="154">
        <f>G330*I330</f>
        <v>23961.718233750005</v>
      </c>
      <c r="K330" s="178"/>
    </row>
    <row r="331" spans="1:18" ht="15" hidden="1" customHeight="1" x14ac:dyDescent="0.25">
      <c r="A331" s="20"/>
      <c r="B331" s="150" t="s">
        <v>30</v>
      </c>
      <c r="C331" s="21"/>
      <c r="D331" s="22"/>
      <c r="E331" s="23"/>
      <c r="F331" s="23"/>
      <c r="G331" s="7"/>
      <c r="H331" s="6"/>
      <c r="I331" s="7"/>
      <c r="J331" s="153">
        <f>0.13*G330*11036.8/100</f>
        <v>1053.4022714800003</v>
      </c>
      <c r="K331" s="23"/>
    </row>
    <row r="332" spans="1:18" ht="15" customHeight="1" x14ac:dyDescent="0.25">
      <c r="A332" s="20"/>
      <c r="B332" s="150"/>
      <c r="C332" s="21"/>
      <c r="D332" s="22"/>
      <c r="E332" s="23"/>
      <c r="F332" s="23"/>
      <c r="G332" s="7"/>
      <c r="H332" s="6"/>
      <c r="I332" s="7"/>
      <c r="J332" s="153"/>
      <c r="K332" s="23"/>
    </row>
    <row r="333" spans="1:18" ht="30" x14ac:dyDescent="0.25">
      <c r="A333" s="20">
        <v>22</v>
      </c>
      <c r="B333" s="139" t="s">
        <v>245</v>
      </c>
      <c r="C333" s="21"/>
      <c r="D333" s="22"/>
      <c r="E333" s="23"/>
      <c r="F333" s="23"/>
      <c r="G333" s="7"/>
      <c r="H333" s="6"/>
      <c r="I333" s="7"/>
      <c r="J333" s="153"/>
      <c r="K333" s="23"/>
    </row>
    <row r="334" spans="1:18" ht="15" customHeight="1" x14ac:dyDescent="0.25">
      <c r="A334" s="20"/>
      <c r="B334" s="150" t="s">
        <v>78</v>
      </c>
      <c r="C334" s="21"/>
      <c r="D334" s="22"/>
      <c r="E334" s="23"/>
      <c r="F334" s="23"/>
      <c r="G334" s="152"/>
      <c r="H334" s="6"/>
      <c r="I334" s="7"/>
      <c r="J334" s="153"/>
      <c r="K334" s="23"/>
    </row>
    <row r="335" spans="1:18" ht="15" customHeight="1" x14ac:dyDescent="0.25">
      <c r="A335" s="20"/>
      <c r="B335" s="150"/>
      <c r="C335" s="21">
        <v>1</v>
      </c>
      <c r="D335" s="22">
        <f>1.71+0.15+2.62+0.32+2.595+0.15+2.975+0.15</f>
        <v>10.670000000000002</v>
      </c>
      <c r="E335" s="23"/>
      <c r="F335" s="23">
        <v>2.63</v>
      </c>
      <c r="G335" s="152">
        <f t="shared" ref="G335:G365" si="44">PRODUCT(C335:F335)</f>
        <v>28.062100000000004</v>
      </c>
      <c r="H335" s="6"/>
      <c r="I335" s="7"/>
      <c r="J335" s="153"/>
      <c r="K335" s="23"/>
    </row>
    <row r="336" spans="1:18" ht="15" hidden="1" customHeight="1" x14ac:dyDescent="0.25">
      <c r="A336" s="20"/>
      <c r="B336" s="150"/>
      <c r="C336" s="47">
        <v>0</v>
      </c>
      <c r="D336" s="61">
        <v>6.21</v>
      </c>
      <c r="E336" s="62"/>
      <c r="F336" s="62">
        <v>1.32</v>
      </c>
      <c r="G336" s="129">
        <f t="shared" si="44"/>
        <v>0</v>
      </c>
      <c r="H336" s="6"/>
      <c r="I336" s="7"/>
      <c r="J336" s="153"/>
      <c r="K336" s="23"/>
    </row>
    <row r="337" spans="1:18" ht="15" customHeight="1" x14ac:dyDescent="0.25">
      <c r="A337" s="20"/>
      <c r="B337" s="150" t="s">
        <v>168</v>
      </c>
      <c r="C337" s="21"/>
      <c r="D337" s="22"/>
      <c r="E337" s="23"/>
      <c r="F337" s="23"/>
      <c r="G337" s="152"/>
      <c r="H337" s="6"/>
      <c r="I337" s="7"/>
      <c r="J337" s="153"/>
      <c r="K337" s="23"/>
    </row>
    <row r="338" spans="1:18" ht="15" customHeight="1" x14ac:dyDescent="0.25">
      <c r="A338" s="20"/>
      <c r="B338" s="150"/>
      <c r="C338" s="21">
        <v>1</v>
      </c>
      <c r="D338" s="22">
        <f>3+3-0.9+2.575+2.57+0.34+2.59+0.34+2.53+0.065*12</f>
        <v>16.824999999999999</v>
      </c>
      <c r="E338" s="23"/>
      <c r="F338" s="23">
        <v>2.42</v>
      </c>
      <c r="G338" s="152">
        <f t="shared" si="44"/>
        <v>40.716499999999996</v>
      </c>
      <c r="H338" s="6"/>
      <c r="I338" s="7"/>
      <c r="J338" s="153"/>
      <c r="K338" s="23"/>
    </row>
    <row r="339" spans="1:18" ht="15" hidden="1" customHeight="1" x14ac:dyDescent="0.25">
      <c r="A339" s="20"/>
      <c r="B339" s="150"/>
      <c r="C339" s="21">
        <f>0*-1</f>
        <v>0</v>
      </c>
      <c r="D339" s="22">
        <f>0.76+0.93+5</f>
        <v>6.6899999999999995</v>
      </c>
      <c r="E339" s="23"/>
      <c r="F339" s="23">
        <v>2.42</v>
      </c>
      <c r="G339" s="152">
        <f t="shared" si="44"/>
        <v>0</v>
      </c>
      <c r="H339" s="6"/>
      <c r="I339" s="7"/>
      <c r="J339" s="153"/>
      <c r="K339" s="23"/>
    </row>
    <row r="340" spans="1:18" ht="15" customHeight="1" x14ac:dyDescent="0.25">
      <c r="A340" s="20"/>
      <c r="B340" s="150" t="s">
        <v>95</v>
      </c>
      <c r="C340" s="21">
        <f>-1*1</f>
        <v>-1</v>
      </c>
      <c r="D340" s="22">
        <v>1.38</v>
      </c>
      <c r="E340" s="23"/>
      <c r="F340" s="23">
        <v>1.2</v>
      </c>
      <c r="G340" s="152">
        <f t="shared" si="44"/>
        <v>-1.6559999999999999</v>
      </c>
      <c r="H340" s="6"/>
      <c r="I340" s="7"/>
      <c r="J340" s="153"/>
      <c r="K340" s="23"/>
      <c r="Q340">
        <f>3.61*3.281</f>
        <v>11.84441</v>
      </c>
      <c r="R340">
        <f>3.635*3.281</f>
        <v>11.926435</v>
      </c>
    </row>
    <row r="341" spans="1:18" ht="15" customHeight="1" x14ac:dyDescent="0.25">
      <c r="A341" s="20"/>
      <c r="B341" s="150"/>
      <c r="C341" s="21">
        <f>-1*1</f>
        <v>-1</v>
      </c>
      <c r="D341" s="22">
        <v>1.42</v>
      </c>
      <c r="E341" s="23"/>
      <c r="F341" s="23">
        <v>1.2</v>
      </c>
      <c r="G341" s="152">
        <f t="shared" si="44"/>
        <v>-1.704</v>
      </c>
      <c r="H341" s="6"/>
      <c r="I341" s="7"/>
      <c r="J341" s="153"/>
      <c r="K341" s="23"/>
    </row>
    <row r="342" spans="1:18" ht="15" customHeight="1" x14ac:dyDescent="0.25">
      <c r="A342" s="20"/>
      <c r="B342" s="150"/>
      <c r="C342" s="21">
        <f>-1*1</f>
        <v>-1</v>
      </c>
      <c r="D342" s="22">
        <v>1.55</v>
      </c>
      <c r="E342" s="23"/>
      <c r="F342" s="23">
        <v>1.2</v>
      </c>
      <c r="G342" s="152">
        <f t="shared" si="44"/>
        <v>-1.8599999999999999</v>
      </c>
      <c r="H342" s="6"/>
      <c r="I342" s="7"/>
      <c r="J342" s="153"/>
      <c r="K342" s="23"/>
    </row>
    <row r="343" spans="1:18" ht="15" customHeight="1" x14ac:dyDescent="0.25">
      <c r="A343" s="20"/>
      <c r="B343" s="150" t="s">
        <v>170</v>
      </c>
      <c r="C343" s="21">
        <v>2</v>
      </c>
      <c r="D343" s="22">
        <v>3.8</v>
      </c>
      <c r="E343" s="23"/>
      <c r="F343" s="23">
        <v>1.74</v>
      </c>
      <c r="G343" s="152">
        <f t="shared" si="44"/>
        <v>13.224</v>
      </c>
      <c r="H343" s="6"/>
      <c r="I343" s="7"/>
      <c r="J343" s="153"/>
      <c r="K343" s="23"/>
    </row>
    <row r="344" spans="1:18" ht="15" customHeight="1" x14ac:dyDescent="0.25">
      <c r="A344" s="20"/>
      <c r="B344" s="150"/>
      <c r="C344" s="21">
        <v>2</v>
      </c>
      <c r="D344" s="22">
        <v>3.81</v>
      </c>
      <c r="E344" s="23"/>
      <c r="F344" s="23">
        <v>1.74</v>
      </c>
      <c r="G344" s="152">
        <f t="shared" si="44"/>
        <v>13.258800000000001</v>
      </c>
      <c r="H344" s="6"/>
      <c r="I344" s="7"/>
      <c r="J344" s="153"/>
      <c r="K344" s="23"/>
    </row>
    <row r="345" spans="1:18" ht="15" customHeight="1" x14ac:dyDescent="0.25">
      <c r="A345" s="20"/>
      <c r="B345" s="150" t="s">
        <v>76</v>
      </c>
      <c r="C345" s="21">
        <v>-1</v>
      </c>
      <c r="D345" s="22">
        <v>0.64</v>
      </c>
      <c r="E345" s="23"/>
      <c r="F345" s="23">
        <v>0.78</v>
      </c>
      <c r="G345" s="152">
        <f t="shared" si="44"/>
        <v>-0.49920000000000003</v>
      </c>
      <c r="H345" s="6"/>
      <c r="I345" s="7"/>
      <c r="J345" s="153"/>
      <c r="K345" s="23"/>
    </row>
    <row r="346" spans="1:18" ht="15" customHeight="1" x14ac:dyDescent="0.25">
      <c r="A346" s="20"/>
      <c r="B346" s="150"/>
      <c r="C346" s="21">
        <v>-1</v>
      </c>
      <c r="D346" s="22">
        <v>0.62</v>
      </c>
      <c r="E346" s="23"/>
      <c r="F346" s="23">
        <v>0.81</v>
      </c>
      <c r="G346" s="152">
        <f t="shared" si="44"/>
        <v>-0.50219999999999998</v>
      </c>
      <c r="H346" s="6"/>
      <c r="I346" s="7"/>
      <c r="J346" s="153"/>
      <c r="K346" s="23"/>
    </row>
    <row r="347" spans="1:18" ht="15" customHeight="1" x14ac:dyDescent="0.25">
      <c r="A347" s="20"/>
      <c r="B347" s="150" t="s">
        <v>171</v>
      </c>
      <c r="C347" s="21">
        <v>-1</v>
      </c>
      <c r="D347" s="22">
        <v>1.1200000000000001</v>
      </c>
      <c r="E347" s="23"/>
      <c r="F347" s="23">
        <v>1.74</v>
      </c>
      <c r="G347" s="152">
        <f t="shared" si="44"/>
        <v>-1.9488000000000001</v>
      </c>
      <c r="H347" s="6"/>
      <c r="I347" s="7"/>
      <c r="J347" s="153"/>
      <c r="K347" s="23"/>
      <c r="N347" s="44">
        <f>SUM(J330:J367)</f>
        <v>55862.945962392005</v>
      </c>
      <c r="Q347">
        <f>0.14*10</f>
        <v>1.4000000000000001</v>
      </c>
      <c r="R347">
        <f>1.4+0.32</f>
        <v>1.72</v>
      </c>
    </row>
    <row r="348" spans="1:18" ht="15" customHeight="1" x14ac:dyDescent="0.25">
      <c r="A348" s="20"/>
      <c r="B348" s="150"/>
      <c r="C348" s="21">
        <v>-1</v>
      </c>
      <c r="D348" s="22">
        <v>0.74</v>
      </c>
      <c r="E348" s="23"/>
      <c r="F348" s="23">
        <v>0.86</v>
      </c>
      <c r="G348" s="152">
        <f t="shared" si="44"/>
        <v>-0.63639999999999997</v>
      </c>
      <c r="H348" s="6"/>
      <c r="I348" s="7"/>
      <c r="J348" s="153"/>
      <c r="K348" s="23"/>
    </row>
    <row r="349" spans="1:18" ht="15" customHeight="1" x14ac:dyDescent="0.25">
      <c r="A349" s="20"/>
      <c r="B349" s="150"/>
      <c r="C349" s="21">
        <v>-1</v>
      </c>
      <c r="D349" s="22">
        <v>0.375</v>
      </c>
      <c r="E349" s="23"/>
      <c r="F349" s="23">
        <v>0.45</v>
      </c>
      <c r="G349" s="152">
        <f t="shared" si="44"/>
        <v>-0.16875000000000001</v>
      </c>
      <c r="H349" s="6"/>
      <c r="I349" s="7"/>
      <c r="J349" s="153"/>
      <c r="K349" s="23"/>
    </row>
    <row r="350" spans="1:18" ht="15" customHeight="1" x14ac:dyDescent="0.25">
      <c r="A350" s="20"/>
      <c r="B350" s="150"/>
      <c r="C350" s="21">
        <v>-1</v>
      </c>
      <c r="D350" s="22">
        <v>0.74</v>
      </c>
      <c r="E350" s="23"/>
      <c r="F350" s="23">
        <v>0.87</v>
      </c>
      <c r="G350" s="152">
        <f t="shared" si="44"/>
        <v>-0.64380000000000004</v>
      </c>
      <c r="H350" s="6"/>
      <c r="I350" s="7"/>
      <c r="J350" s="153"/>
      <c r="K350" s="23"/>
    </row>
    <row r="351" spans="1:18" ht="15" customHeight="1" x14ac:dyDescent="0.25">
      <c r="A351" s="20"/>
      <c r="B351" s="150"/>
      <c r="C351" s="21">
        <v>-1</v>
      </c>
      <c r="D351" s="22">
        <v>0.45</v>
      </c>
      <c r="E351" s="23"/>
      <c r="F351" s="23">
        <v>0.27</v>
      </c>
      <c r="G351" s="152">
        <f t="shared" si="44"/>
        <v>-0.12150000000000001</v>
      </c>
      <c r="H351" s="6"/>
      <c r="I351" s="7"/>
      <c r="J351" s="153"/>
      <c r="K351" s="23"/>
    </row>
    <row r="352" spans="1:18" ht="15" customHeight="1" x14ac:dyDescent="0.25">
      <c r="A352" s="20"/>
      <c r="B352" s="150" t="s">
        <v>151</v>
      </c>
      <c r="C352" s="21">
        <v>1</v>
      </c>
      <c r="D352" s="22">
        <f>7.17+4.8-0.23</f>
        <v>11.739999999999998</v>
      </c>
      <c r="E352" s="23"/>
      <c r="F352" s="23">
        <v>1</v>
      </c>
      <c r="G352" s="152">
        <f t="shared" si="44"/>
        <v>11.739999999999998</v>
      </c>
      <c r="H352" s="6"/>
      <c r="I352" s="7"/>
      <c r="J352" s="153"/>
      <c r="K352" s="23"/>
    </row>
    <row r="353" spans="1:15" ht="15" customHeight="1" x14ac:dyDescent="0.25">
      <c r="A353" s="20"/>
      <c r="B353" s="150"/>
      <c r="C353" s="21">
        <v>1</v>
      </c>
      <c r="D353" s="22">
        <f>3+0.75-0.115</f>
        <v>3.6349999999999998</v>
      </c>
      <c r="E353" s="23"/>
      <c r="F353" s="23">
        <v>1.34</v>
      </c>
      <c r="G353" s="152">
        <f t="shared" si="44"/>
        <v>4.8708999999999998</v>
      </c>
      <c r="H353" s="6"/>
      <c r="I353" s="7"/>
      <c r="J353" s="153"/>
      <c r="K353" s="23"/>
    </row>
    <row r="354" spans="1:15" ht="15" customHeight="1" x14ac:dyDescent="0.25">
      <c r="A354" s="20"/>
      <c r="B354" s="150"/>
      <c r="C354" s="21">
        <v>1</v>
      </c>
      <c r="D354" s="22">
        <v>1.03</v>
      </c>
      <c r="E354" s="23"/>
      <c r="F354" s="23">
        <v>1</v>
      </c>
      <c r="G354" s="152">
        <f t="shared" si="44"/>
        <v>1.03</v>
      </c>
      <c r="H354" s="6"/>
      <c r="I354" s="7"/>
      <c r="J354" s="153"/>
      <c r="K354" s="23"/>
    </row>
    <row r="355" spans="1:15" ht="15" customHeight="1" x14ac:dyDescent="0.25">
      <c r="A355" s="20"/>
      <c r="B355" s="150"/>
      <c r="C355" s="21">
        <v>1</v>
      </c>
      <c r="D355" s="22">
        <f>17*0.13</f>
        <v>2.21</v>
      </c>
      <c r="E355" s="23"/>
      <c r="F355" s="23">
        <v>1</v>
      </c>
      <c r="G355" s="152">
        <f t="shared" si="44"/>
        <v>2.21</v>
      </c>
      <c r="H355" s="6"/>
      <c r="I355" s="7"/>
      <c r="J355" s="153"/>
      <c r="K355" s="23"/>
    </row>
    <row r="356" spans="1:15" ht="15" customHeight="1" x14ac:dyDescent="0.25">
      <c r="A356" s="20"/>
      <c r="B356" s="150"/>
      <c r="C356" s="21">
        <v>1</v>
      </c>
      <c r="D356" s="22">
        <f>5*0.13</f>
        <v>0.65</v>
      </c>
      <c r="E356" s="23"/>
      <c r="F356" s="23">
        <v>1.335</v>
      </c>
      <c r="G356" s="152">
        <f t="shared" si="44"/>
        <v>0.86775000000000002</v>
      </c>
      <c r="H356" s="6"/>
      <c r="I356" s="7"/>
      <c r="J356" s="153"/>
      <c r="K356" s="23"/>
    </row>
    <row r="357" spans="1:15" ht="15" customHeight="1" x14ac:dyDescent="0.25">
      <c r="A357" s="20"/>
      <c r="B357" s="150" t="s">
        <v>172</v>
      </c>
      <c r="C357" s="21">
        <v>1</v>
      </c>
      <c r="D357" s="22">
        <f>6.16+0.9+1</f>
        <v>8.06</v>
      </c>
      <c r="E357" s="23"/>
      <c r="F357" s="23">
        <f>0.14*10+0.23</f>
        <v>1.6300000000000001</v>
      </c>
      <c r="G357" s="152">
        <f t="shared" si="44"/>
        <v>13.137800000000002</v>
      </c>
      <c r="H357" s="6"/>
      <c r="I357" s="7"/>
      <c r="J357" s="153"/>
      <c r="K357" s="23"/>
    </row>
    <row r="358" spans="1:15" ht="15" customHeight="1" x14ac:dyDescent="0.25">
      <c r="A358" s="20"/>
      <c r="B358" s="150"/>
      <c r="C358" s="21">
        <v>1</v>
      </c>
      <c r="D358" s="22">
        <v>2.75</v>
      </c>
      <c r="E358" s="23"/>
      <c r="F358" s="23">
        <f>1.82</f>
        <v>1.82</v>
      </c>
      <c r="G358" s="152">
        <f t="shared" si="44"/>
        <v>5.0049999999999999</v>
      </c>
      <c r="H358" s="6"/>
      <c r="I358" s="7"/>
      <c r="J358" s="153"/>
      <c r="K358" s="23"/>
    </row>
    <row r="359" spans="1:15" ht="15" customHeight="1" x14ac:dyDescent="0.25">
      <c r="A359" s="20"/>
      <c r="B359" s="150"/>
      <c r="C359" s="21">
        <v>1</v>
      </c>
      <c r="D359" s="22">
        <v>0.73</v>
      </c>
      <c r="E359" s="23"/>
      <c r="F359" s="23">
        <v>1.27</v>
      </c>
      <c r="G359" s="152">
        <f t="shared" si="44"/>
        <v>0.92710000000000004</v>
      </c>
      <c r="H359" s="6"/>
      <c r="I359" s="7"/>
      <c r="J359" s="153"/>
      <c r="K359" s="23"/>
    </row>
    <row r="360" spans="1:15" ht="15" customHeight="1" x14ac:dyDescent="0.25">
      <c r="A360" s="20"/>
      <c r="B360" s="150"/>
      <c r="C360" s="21">
        <v>1</v>
      </c>
      <c r="D360" s="22">
        <v>1.06</v>
      </c>
      <c r="E360" s="23"/>
      <c r="F360" s="23">
        <v>0.75</v>
      </c>
      <c r="G360" s="152">
        <f t="shared" si="44"/>
        <v>0.79500000000000004</v>
      </c>
      <c r="H360" s="6"/>
      <c r="I360" s="7"/>
      <c r="J360" s="153"/>
      <c r="K360" s="23"/>
    </row>
    <row r="361" spans="1:15" ht="15" customHeight="1" x14ac:dyDescent="0.25">
      <c r="A361" s="20"/>
      <c r="B361" s="150"/>
      <c r="C361" s="21">
        <v>1</v>
      </c>
      <c r="D361" s="22">
        <v>0.9</v>
      </c>
      <c r="E361" s="23"/>
      <c r="F361" s="23">
        <v>0.75</v>
      </c>
      <c r="G361" s="152">
        <f t="shared" si="44"/>
        <v>0.67500000000000004</v>
      </c>
      <c r="H361" s="6"/>
      <c r="I361" s="7"/>
      <c r="J361" s="153"/>
      <c r="K361" s="23"/>
      <c r="M361">
        <f>20957+923</f>
        <v>21880</v>
      </c>
      <c r="N361">
        <f>22705.57+1000.31</f>
        <v>23705.88</v>
      </c>
      <c r="O361">
        <f>N361-M361</f>
        <v>1825.880000000001</v>
      </c>
    </row>
    <row r="362" spans="1:15" ht="15" customHeight="1" x14ac:dyDescent="0.25">
      <c r="A362" s="20"/>
      <c r="B362" s="150"/>
      <c r="C362" s="21">
        <v>1</v>
      </c>
      <c r="D362" s="22">
        <v>3.35</v>
      </c>
      <c r="E362" s="23"/>
      <c r="F362" s="23">
        <v>1.21</v>
      </c>
      <c r="G362" s="152">
        <f t="shared" si="44"/>
        <v>4.0534999999999997</v>
      </c>
      <c r="H362" s="6"/>
      <c r="I362" s="7"/>
      <c r="J362" s="153"/>
      <c r="K362" s="23"/>
    </row>
    <row r="363" spans="1:15" ht="15" customHeight="1" x14ac:dyDescent="0.25">
      <c r="A363" s="20"/>
      <c r="B363" s="150"/>
      <c r="C363" s="21">
        <v>1</v>
      </c>
      <c r="D363" s="22">
        <v>2.02</v>
      </c>
      <c r="E363" s="23"/>
      <c r="F363" s="23">
        <v>0.62</v>
      </c>
      <c r="G363" s="152">
        <f t="shared" si="44"/>
        <v>1.2524</v>
      </c>
      <c r="H363" s="6"/>
      <c r="I363" s="7"/>
      <c r="J363" s="153"/>
      <c r="K363" s="23"/>
    </row>
    <row r="364" spans="1:15" ht="15" customHeight="1" x14ac:dyDescent="0.25">
      <c r="A364" s="20"/>
      <c r="B364" s="150"/>
      <c r="C364" s="21">
        <v>1</v>
      </c>
      <c r="D364" s="22">
        <v>1.1000000000000001</v>
      </c>
      <c r="E364" s="23"/>
      <c r="F364" s="23">
        <v>0.63</v>
      </c>
      <c r="G364" s="152">
        <f t="shared" si="44"/>
        <v>0.69300000000000006</v>
      </c>
      <c r="H364" s="6"/>
      <c r="I364" s="7"/>
      <c r="J364" s="153"/>
      <c r="K364" s="23"/>
      <c r="M364" s="44">
        <f>SUM(J330:J367)</f>
        <v>55862.945962392005</v>
      </c>
    </row>
    <row r="365" spans="1:15" ht="15" customHeight="1" x14ac:dyDescent="0.25">
      <c r="A365" s="20"/>
      <c r="B365" s="150"/>
      <c r="C365" s="21">
        <v>1</v>
      </c>
      <c r="D365" s="22">
        <v>4.75</v>
      </c>
      <c r="E365" s="23"/>
      <c r="F365" s="23">
        <v>1.21</v>
      </c>
      <c r="G365" s="152">
        <f t="shared" si="44"/>
        <v>5.7474999999999996</v>
      </c>
      <c r="H365" s="6"/>
      <c r="I365" s="7"/>
      <c r="J365" s="153"/>
      <c r="K365" s="23"/>
    </row>
    <row r="366" spans="1:15" ht="15" customHeight="1" x14ac:dyDescent="0.25">
      <c r="A366" s="182"/>
      <c r="B366" s="150" t="s">
        <v>16</v>
      </c>
      <c r="C366" s="151"/>
      <c r="D366" s="152"/>
      <c r="E366" s="152"/>
      <c r="F366" s="152"/>
      <c r="G366" s="153">
        <f>SUM(G335:G365)</f>
        <v>138.5257</v>
      </c>
      <c r="H366" s="153" t="s">
        <v>23</v>
      </c>
      <c r="I366" s="6">
        <v>213.29</v>
      </c>
      <c r="J366" s="154">
        <f>G366*I366</f>
        <v>29546.146552999999</v>
      </c>
      <c r="K366" s="178"/>
    </row>
    <row r="367" spans="1:15" ht="15" hidden="1" customHeight="1" x14ac:dyDescent="0.25">
      <c r="A367" s="20"/>
      <c r="B367" s="150" t="s">
        <v>30</v>
      </c>
      <c r="C367" s="21"/>
      <c r="D367" s="22"/>
      <c r="E367" s="23"/>
      <c r="F367" s="23"/>
      <c r="G367" s="7"/>
      <c r="H367" s="6"/>
      <c r="I367" s="7"/>
      <c r="J367" s="153">
        <f>0.13*G366*7228.2/100</f>
        <v>1301.6789041620002</v>
      </c>
      <c r="K367" s="23"/>
    </row>
    <row r="368" spans="1:15" ht="15" customHeight="1" x14ac:dyDescent="0.25">
      <c r="A368" s="20"/>
      <c r="B368" s="150"/>
      <c r="C368" s="21"/>
      <c r="D368" s="22"/>
      <c r="E368" s="23"/>
      <c r="F368" s="23"/>
      <c r="G368" s="7"/>
      <c r="H368" s="6"/>
      <c r="I368" s="7"/>
      <c r="J368" s="153"/>
      <c r="K368" s="23"/>
    </row>
    <row r="369" spans="1:13" ht="135" x14ac:dyDescent="0.25">
      <c r="A369" s="20">
        <v>23</v>
      </c>
      <c r="B369" s="139" t="s">
        <v>102</v>
      </c>
      <c r="C369" s="21"/>
      <c r="D369" s="22"/>
      <c r="E369" s="23"/>
      <c r="F369" s="23"/>
      <c r="G369" s="7"/>
      <c r="H369" s="6"/>
      <c r="I369" s="7"/>
      <c r="J369" s="153"/>
      <c r="K369" s="23"/>
    </row>
    <row r="370" spans="1:13" ht="15" customHeight="1" x14ac:dyDescent="0.25">
      <c r="A370" s="20"/>
      <c r="B370" s="150" t="str">
        <f>B67</f>
        <v>-Extending compound</v>
      </c>
      <c r="C370" s="151">
        <v>1</v>
      </c>
      <c r="D370" s="22">
        <f>1.76+6.86+6.83+0.71</f>
        <v>16.16</v>
      </c>
      <c r="E370" s="23"/>
      <c r="F370" s="23">
        <f>0.58+0.13</f>
        <v>0.71</v>
      </c>
      <c r="G370" s="152">
        <f>PRODUCT(C370:F370)</f>
        <v>11.473599999999999</v>
      </c>
      <c r="H370" s="6"/>
      <c r="I370" s="7"/>
      <c r="J370" s="153"/>
      <c r="K370" s="23"/>
    </row>
    <row r="371" spans="1:13" ht="15" customHeight="1" x14ac:dyDescent="0.25">
      <c r="A371" s="20"/>
      <c r="B371" s="150"/>
      <c r="C371" s="151">
        <v>1</v>
      </c>
      <c r="D371" s="22">
        <v>0.9</v>
      </c>
      <c r="E371" s="23"/>
      <c r="F371" s="23">
        <f>9.75/12/3.281</f>
        <v>0.24763791526973483</v>
      </c>
      <c r="G371" s="152">
        <f>PRODUCT(C371:F371)</f>
        <v>0.22287412374276136</v>
      </c>
      <c r="H371" s="6"/>
      <c r="I371" s="7"/>
      <c r="J371" s="153"/>
      <c r="K371" s="23"/>
    </row>
    <row r="372" spans="1:13" ht="15" customHeight="1" x14ac:dyDescent="0.25">
      <c r="A372" s="20"/>
      <c r="B372" s="150"/>
      <c r="C372" s="151">
        <v>1</v>
      </c>
      <c r="D372" s="22">
        <f>44/3.281</f>
        <v>13.41054556537641</v>
      </c>
      <c r="E372" s="23"/>
      <c r="F372" s="23">
        <f>2.333/3.281</f>
        <v>0.7110637000914356</v>
      </c>
      <c r="G372" s="152">
        <f>PRODUCT(C372:F372)</f>
        <v>9.5357521499613433</v>
      </c>
      <c r="H372" s="6"/>
      <c r="I372" s="7"/>
      <c r="J372" s="153"/>
      <c r="K372" s="23"/>
    </row>
    <row r="373" spans="1:13" ht="15" customHeight="1" x14ac:dyDescent="0.25">
      <c r="A373" s="182"/>
      <c r="B373" s="150" t="s">
        <v>16</v>
      </c>
      <c r="C373" s="151"/>
      <c r="D373" s="152"/>
      <c r="E373" s="152"/>
      <c r="F373" s="152"/>
      <c r="G373" s="153">
        <f>SUM(G370:G372)</f>
        <v>21.232226273704104</v>
      </c>
      <c r="H373" s="153" t="s">
        <v>23</v>
      </c>
      <c r="I373" s="6">
        <v>3213.56</v>
      </c>
      <c r="J373" s="154">
        <f>G373*I373</f>
        <v>68231.033064124553</v>
      </c>
      <c r="K373" s="178"/>
    </row>
    <row r="374" spans="1:13" ht="15" hidden="1" customHeight="1" x14ac:dyDescent="0.25">
      <c r="A374" s="20"/>
      <c r="B374" s="150" t="s">
        <v>30</v>
      </c>
      <c r="C374" s="21"/>
      <c r="D374" s="22"/>
      <c r="E374" s="23"/>
      <c r="F374" s="23"/>
      <c r="G374" s="7"/>
      <c r="H374" s="6"/>
      <c r="I374" s="7"/>
      <c r="J374" s="153">
        <f>0.13*G373*1672.66/10</f>
        <v>461.68584278666083</v>
      </c>
      <c r="K374" s="23"/>
    </row>
    <row r="375" spans="1:13" ht="15" customHeight="1" x14ac:dyDescent="0.25">
      <c r="A375" s="20"/>
      <c r="B375" s="150"/>
      <c r="C375" s="21"/>
      <c r="D375" s="22"/>
      <c r="E375" s="23"/>
      <c r="F375" s="23"/>
      <c r="G375" s="7"/>
      <c r="H375" s="6"/>
      <c r="I375" s="7"/>
      <c r="J375" s="153"/>
      <c r="K375" s="23"/>
    </row>
    <row r="376" spans="1:13" ht="60" x14ac:dyDescent="0.25">
      <c r="A376" s="20">
        <v>24</v>
      </c>
      <c r="B376" s="139" t="s">
        <v>236</v>
      </c>
      <c r="C376" s="151"/>
      <c r="D376" s="152"/>
      <c r="E376" s="152"/>
      <c r="F376" s="152"/>
      <c r="G376" s="153"/>
      <c r="H376" s="182"/>
      <c r="I376" s="153"/>
      <c r="J376" s="153"/>
      <c r="K376" s="23"/>
    </row>
    <row r="377" spans="1:13" x14ac:dyDescent="0.25">
      <c r="A377" s="20"/>
      <c r="B377" s="150" t="s">
        <v>237</v>
      </c>
      <c r="C377" s="151">
        <v>1</v>
      </c>
      <c r="D377" s="152">
        <f>6.15+0.9</f>
        <v>7.0500000000000007</v>
      </c>
      <c r="E377" s="152">
        <v>0.23</v>
      </c>
      <c r="F377" s="152">
        <v>0.75</v>
      </c>
      <c r="G377" s="152">
        <f>PRODUCT(C377:F377)</f>
        <v>1.2161250000000001</v>
      </c>
      <c r="H377" s="182"/>
      <c r="I377" s="153"/>
      <c r="J377" s="153"/>
      <c r="K377" s="23"/>
    </row>
    <row r="378" spans="1:13" x14ac:dyDescent="0.25">
      <c r="A378" s="20"/>
      <c r="B378" s="150" t="s">
        <v>157</v>
      </c>
      <c r="C378" s="151">
        <v>5</v>
      </c>
      <c r="D378" s="152">
        <v>0.23</v>
      </c>
      <c r="E378" s="152">
        <v>0.1</v>
      </c>
      <c r="F378" s="152">
        <v>0.75</v>
      </c>
      <c r="G378" s="152">
        <f>PRODUCT(C378:F378)</f>
        <v>8.6250000000000021E-2</v>
      </c>
      <c r="H378" s="182"/>
      <c r="I378" s="153"/>
      <c r="J378" s="153"/>
      <c r="K378" s="23"/>
    </row>
    <row r="379" spans="1:13" x14ac:dyDescent="0.25">
      <c r="A379" s="20"/>
      <c r="B379" s="150"/>
      <c r="C379" s="151">
        <v>1</v>
      </c>
      <c r="D379" s="152">
        <v>0.7</v>
      </c>
      <c r="E379" s="152">
        <v>0.23</v>
      </c>
      <c r="F379" s="152">
        <v>0.5</v>
      </c>
      <c r="G379" s="152">
        <f>PRODUCT(C379:F379)</f>
        <v>8.0500000000000002E-2</v>
      </c>
      <c r="H379" s="182"/>
      <c r="I379" s="153"/>
      <c r="J379" s="153"/>
      <c r="K379" s="23"/>
    </row>
    <row r="380" spans="1:13" x14ac:dyDescent="0.25">
      <c r="A380" s="20"/>
      <c r="B380" s="150" t="s">
        <v>238</v>
      </c>
      <c r="C380" s="151">
        <v>0.5</v>
      </c>
      <c r="D380" s="152">
        <v>2.75</v>
      </c>
      <c r="E380" s="152">
        <v>0.4</v>
      </c>
      <c r="F380" s="152">
        <f>1.82+0.23</f>
        <v>2.0500000000000003</v>
      </c>
      <c r="G380" s="152">
        <f>PRODUCT(C380:F380)</f>
        <v>1.1275000000000002</v>
      </c>
      <c r="H380" s="182"/>
      <c r="I380" s="153"/>
      <c r="J380" s="153"/>
      <c r="K380" s="23"/>
    </row>
    <row r="381" spans="1:13" x14ac:dyDescent="0.25">
      <c r="A381" s="20"/>
      <c r="B381" s="150"/>
      <c r="C381" s="151">
        <v>1</v>
      </c>
      <c r="D381" s="152">
        <v>2.75</v>
      </c>
      <c r="E381" s="152">
        <v>0.23</v>
      </c>
      <c r="F381" s="152">
        <v>1.9</v>
      </c>
      <c r="G381" s="152">
        <f>PRODUCT(C381:F381)</f>
        <v>1.2017500000000001</v>
      </c>
      <c r="H381" s="182"/>
      <c r="I381" s="153"/>
      <c r="J381" s="153"/>
      <c r="K381" s="23"/>
    </row>
    <row r="382" spans="1:13" ht="15" customHeight="1" x14ac:dyDescent="0.25">
      <c r="A382" s="182"/>
      <c r="B382" s="150" t="s">
        <v>16</v>
      </c>
      <c r="C382" s="151"/>
      <c r="D382" s="152"/>
      <c r="E382" s="152"/>
      <c r="F382" s="152"/>
      <c r="G382" s="153">
        <f>SUM(G377:G381)</f>
        <v>3.7121250000000003</v>
      </c>
      <c r="H382" s="153" t="s">
        <v>18</v>
      </c>
      <c r="I382" s="6">
        <v>5755.67</v>
      </c>
      <c r="J382" s="154">
        <f>G382*I382</f>
        <v>21365.766498750003</v>
      </c>
      <c r="K382" s="178"/>
      <c r="M382">
        <f>14520*G382</f>
        <v>53900.055000000008</v>
      </c>
    </row>
    <row r="383" spans="1:13" ht="15" hidden="1" customHeight="1" x14ac:dyDescent="0.25">
      <c r="A383" s="20"/>
      <c r="B383" s="150" t="s">
        <v>30</v>
      </c>
      <c r="C383" s="21"/>
      <c r="D383" s="22"/>
      <c r="E383" s="23"/>
      <c r="F383" s="23"/>
      <c r="G383" s="7"/>
      <c r="H383" s="6"/>
      <c r="I383" s="7"/>
      <c r="J383" s="153">
        <f>0.13*G382*1790.27</f>
        <v>863.94178308750008</v>
      </c>
      <c r="K383" s="23"/>
    </row>
    <row r="384" spans="1:13" ht="15" customHeight="1" x14ac:dyDescent="0.25">
      <c r="A384" s="20"/>
      <c r="B384" s="150"/>
      <c r="C384" s="21"/>
      <c r="D384" s="22"/>
      <c r="E384" s="23"/>
      <c r="F384" s="23"/>
      <c r="G384" s="7"/>
      <c r="H384" s="6"/>
      <c r="I384" s="7"/>
      <c r="J384" s="153"/>
      <c r="K384" s="23"/>
    </row>
    <row r="385" spans="1:11" ht="30" x14ac:dyDescent="0.25">
      <c r="A385" s="20">
        <v>25</v>
      </c>
      <c r="B385" s="190" t="s">
        <v>257</v>
      </c>
      <c r="C385" s="151">
        <v>1</v>
      </c>
      <c r="D385" s="152"/>
      <c r="E385" s="152"/>
      <c r="F385" s="152"/>
      <c r="G385" s="153">
        <f>PRODUCT(C385:F385)</f>
        <v>1</v>
      </c>
      <c r="H385" s="182" t="s">
        <v>242</v>
      </c>
      <c r="I385" s="153">
        <f>15000+12376</f>
        <v>27376</v>
      </c>
      <c r="J385" s="153">
        <f>G385*I385</f>
        <v>27376</v>
      </c>
      <c r="K385" s="23"/>
    </row>
    <row r="386" spans="1:11" ht="15" customHeight="1" x14ac:dyDescent="0.25">
      <c r="A386" s="20"/>
      <c r="B386" s="190"/>
      <c r="C386" s="151"/>
      <c r="D386" s="152"/>
      <c r="E386" s="152"/>
      <c r="F386" s="152"/>
      <c r="G386" s="153"/>
      <c r="H386" s="182"/>
      <c r="I386" s="153"/>
      <c r="J386" s="153"/>
      <c r="K386" s="23"/>
    </row>
    <row r="387" spans="1:11" ht="15" hidden="1" customHeight="1" x14ac:dyDescent="0.25">
      <c r="A387" s="20">
        <v>25</v>
      </c>
      <c r="B387" s="190" t="s">
        <v>114</v>
      </c>
      <c r="C387" s="151">
        <v>0</v>
      </c>
      <c r="D387" s="152"/>
      <c r="E387" s="152"/>
      <c r="F387" s="152"/>
      <c r="G387" s="153">
        <f>PRODUCT(C387:F387)</f>
        <v>0</v>
      </c>
      <c r="H387" s="182" t="s">
        <v>243</v>
      </c>
      <c r="I387" s="153">
        <v>12376</v>
      </c>
      <c r="J387" s="153">
        <f>G387*I387</f>
        <v>0</v>
      </c>
      <c r="K387" s="23"/>
    </row>
    <row r="388" spans="1:11" ht="15" hidden="1" customHeight="1" x14ac:dyDescent="0.25">
      <c r="A388" s="20"/>
      <c r="B388" s="190"/>
      <c r="C388" s="151"/>
      <c r="D388" s="152"/>
      <c r="E388" s="152"/>
      <c r="F388" s="152"/>
      <c r="G388" s="153"/>
      <c r="H388" s="182"/>
      <c r="I388" s="153"/>
      <c r="J388" s="153"/>
      <c r="K388" s="23"/>
    </row>
    <row r="389" spans="1:11" x14ac:dyDescent="0.25">
      <c r="A389" s="182">
        <v>26</v>
      </c>
      <c r="B389" s="10" t="s">
        <v>19</v>
      </c>
      <c r="C389" s="151">
        <v>1</v>
      </c>
      <c r="D389" s="152"/>
      <c r="E389" s="152"/>
      <c r="F389" s="152"/>
      <c r="G389" s="153">
        <f>PRODUCT(C389:F389)</f>
        <v>1</v>
      </c>
      <c r="H389" s="182" t="s">
        <v>20</v>
      </c>
      <c r="I389" s="153">
        <v>1000</v>
      </c>
      <c r="J389" s="153">
        <f>G389*I389</f>
        <v>1000</v>
      </c>
      <c r="K389" s="178"/>
    </row>
    <row r="390" spans="1:11" x14ac:dyDescent="0.25">
      <c r="A390" s="182"/>
      <c r="B390" s="191" t="s">
        <v>21</v>
      </c>
      <c r="C390" s="151"/>
      <c r="D390" s="152"/>
      <c r="E390" s="152"/>
      <c r="F390" s="152"/>
      <c r="G390" s="152"/>
      <c r="H390" s="178"/>
      <c r="I390" s="152"/>
      <c r="J390" s="153">
        <f>SUM(J9:J389)</f>
        <v>1532117.5252617334</v>
      </c>
      <c r="K390" s="178"/>
    </row>
    <row r="392" spans="1:11" s="9" customFormat="1" hidden="1" x14ac:dyDescent="0.25">
      <c r="B392" s="11" t="s">
        <v>258</v>
      </c>
      <c r="C392" s="219">
        <f>J390</f>
        <v>1532117.5252617334</v>
      </c>
      <c r="D392" s="220"/>
      <c r="E392" s="12">
        <v>100</v>
      </c>
      <c r="F392" s="13"/>
      <c r="G392" s="14"/>
      <c r="H392" s="13"/>
      <c r="I392" s="15"/>
      <c r="J392" s="16"/>
      <c r="K392" s="17"/>
    </row>
    <row r="393" spans="1:11" hidden="1" x14ac:dyDescent="0.25">
      <c r="A393" s="18"/>
      <c r="B393" s="11" t="s">
        <v>25</v>
      </c>
      <c r="C393" s="222">
        <v>1600000</v>
      </c>
      <c r="D393" s="223"/>
      <c r="E393" s="12"/>
      <c r="G393" s="18"/>
      <c r="H393" s="18"/>
      <c r="I393" s="18"/>
      <c r="J393" s="52"/>
    </row>
    <row r="394" spans="1:11" hidden="1" x14ac:dyDescent="0.25">
      <c r="A394" s="18"/>
      <c r="B394" s="11" t="s">
        <v>26</v>
      </c>
      <c r="C394" s="222">
        <f>83.79%*C392</f>
        <v>1283761.2744168066</v>
      </c>
      <c r="D394" s="223"/>
      <c r="E394" s="12">
        <f>C394/C392*100</f>
        <v>83.79</v>
      </c>
      <c r="G394" s="18"/>
      <c r="H394" s="18"/>
      <c r="I394" s="18"/>
      <c r="J394" s="18"/>
    </row>
    <row r="395" spans="1:11" hidden="1" x14ac:dyDescent="0.25">
      <c r="A395" s="18"/>
      <c r="B395" s="11" t="s">
        <v>27</v>
      </c>
      <c r="C395" s="224">
        <f>C392-C394</f>
        <v>248356.25084492681</v>
      </c>
      <c r="D395" s="224"/>
      <c r="E395" s="12">
        <f>100-E394</f>
        <v>16.209999999999994</v>
      </c>
      <c r="G395" s="18"/>
      <c r="H395" s="18"/>
      <c r="I395" s="18"/>
      <c r="J395" s="18"/>
    </row>
    <row r="396" spans="1:11" hidden="1" x14ac:dyDescent="0.25">
      <c r="A396" s="18"/>
      <c r="B396" s="11" t="s">
        <v>28</v>
      </c>
      <c r="C396" s="219">
        <f>C393*0.03</f>
        <v>48000</v>
      </c>
      <c r="D396" s="220"/>
      <c r="E396" s="12">
        <v>3</v>
      </c>
      <c r="G396" s="18"/>
      <c r="H396" s="18"/>
      <c r="I396" s="18"/>
      <c r="J396" s="18"/>
    </row>
    <row r="397" spans="1:11" hidden="1" x14ac:dyDescent="0.25">
      <c r="A397" s="18"/>
      <c r="B397" s="11" t="s">
        <v>29</v>
      </c>
      <c r="C397" s="219">
        <f>C393*0.02</f>
        <v>32000</v>
      </c>
      <c r="D397" s="220"/>
      <c r="E397" s="12">
        <v>2</v>
      </c>
      <c r="G397" s="18"/>
      <c r="H397" s="18"/>
      <c r="I397" s="18"/>
      <c r="J397" s="18"/>
    </row>
  </sheetData>
  <mergeCells count="25">
    <mergeCell ref="C98:C99"/>
    <mergeCell ref="F98:F99"/>
    <mergeCell ref="A1:K1"/>
    <mergeCell ref="A2:K2"/>
    <mergeCell ref="A3:K3"/>
    <mergeCell ref="A4:K4"/>
    <mergeCell ref="A5:K5"/>
    <mergeCell ref="A6:F6"/>
    <mergeCell ref="H6:K6"/>
    <mergeCell ref="A7:F7"/>
    <mergeCell ref="H7:K7"/>
    <mergeCell ref="K39:K40"/>
    <mergeCell ref="C96:C97"/>
    <mergeCell ref="F96:F97"/>
    <mergeCell ref="C397:D397"/>
    <mergeCell ref="C100:C101"/>
    <mergeCell ref="F100:F101"/>
    <mergeCell ref="K197:K200"/>
    <mergeCell ref="K202:K207"/>
    <mergeCell ref="K208:K212"/>
    <mergeCell ref="C392:D392"/>
    <mergeCell ref="C393:D393"/>
    <mergeCell ref="C394:D394"/>
    <mergeCell ref="C395:D395"/>
    <mergeCell ref="C396:D396"/>
  </mergeCells>
  <pageMargins left="0.7" right="0.7" top="0.75" bottom="0.75" header="0.3" footer="0.3"/>
  <pageSetup paperSize="9" scale="85" orientation="portrait" r:id="rId1"/>
  <headerFooter>
    <oddFooter>&amp;LPrepared By:
Kristal Suwal&amp;CChecked By:
Er. Milan Phuyal&amp;RApproved By:
Er. Prakash Singh Saud</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8"/>
  <sheetViews>
    <sheetView workbookViewId="0">
      <selection activeCell="G4" sqref="G4"/>
    </sheetView>
  </sheetViews>
  <sheetFormatPr defaultRowHeight="15" x14ac:dyDescent="0.25"/>
  <cols>
    <col min="1" max="1" width="3.42578125" bestFit="1" customWidth="1"/>
    <col min="2" max="2" width="24.42578125" customWidth="1"/>
    <col min="3" max="3" width="10.28515625" customWidth="1"/>
    <col min="4" max="6" width="10.85546875" customWidth="1"/>
    <col min="7" max="7" width="10.42578125" bestFit="1" customWidth="1"/>
    <col min="8" max="8" width="10.140625" customWidth="1"/>
    <col min="9" max="10" width="11" customWidth="1"/>
    <col min="11" max="11" width="10.140625" customWidth="1"/>
    <col min="13" max="13" width="11.85546875" customWidth="1"/>
    <col min="14" max="14" width="11.140625" customWidth="1"/>
  </cols>
  <sheetData>
    <row r="2" spans="1:14" s="55" customFormat="1" ht="60" x14ac:dyDescent="0.25">
      <c r="A2" s="58" t="s">
        <v>115</v>
      </c>
      <c r="B2" s="58" t="s">
        <v>50</v>
      </c>
      <c r="C2" s="59" t="s">
        <v>123</v>
      </c>
      <c r="D2" s="59" t="s">
        <v>124</v>
      </c>
      <c r="E2" s="59" t="s">
        <v>122</v>
      </c>
      <c r="F2" s="59" t="s">
        <v>125</v>
      </c>
      <c r="G2" s="59" t="s">
        <v>122</v>
      </c>
      <c r="I2" s="59" t="s">
        <v>126</v>
      </c>
      <c r="J2" s="59" t="s">
        <v>127</v>
      </c>
      <c r="K2" s="59" t="s">
        <v>122</v>
      </c>
      <c r="M2" s="59" t="s">
        <v>128</v>
      </c>
      <c r="N2" s="59" t="s">
        <v>129</v>
      </c>
    </row>
    <row r="3" spans="1:14" x14ac:dyDescent="0.25">
      <c r="A3" s="40"/>
      <c r="B3" s="40" t="s">
        <v>116</v>
      </c>
      <c r="C3" s="56">
        <f>191/100</f>
        <v>1.91</v>
      </c>
      <c r="D3" s="57">
        <f>186/100</f>
        <v>1.86</v>
      </c>
      <c r="E3" s="57">
        <f>C3-D3</f>
        <v>4.9999999999999822E-2</v>
      </c>
      <c r="F3" s="57">
        <f>143/100</f>
        <v>1.43</v>
      </c>
      <c r="G3" s="57">
        <f>F3-D3</f>
        <v>-0.43000000000000016</v>
      </c>
      <c r="I3" s="57">
        <f>119/100</f>
        <v>1.19</v>
      </c>
      <c r="J3" s="57">
        <f>172.5/100</f>
        <v>1.7250000000000001</v>
      </c>
      <c r="K3" s="57">
        <f>I3-J3</f>
        <v>-0.53500000000000014</v>
      </c>
      <c r="M3" s="40" t="s">
        <v>130</v>
      </c>
      <c r="N3" s="40" t="s">
        <v>131</v>
      </c>
    </row>
    <row r="4" spans="1:14" x14ac:dyDescent="0.25">
      <c r="A4" s="40"/>
      <c r="B4" s="40" t="s">
        <v>117</v>
      </c>
      <c r="C4" s="56">
        <f>(168+5)/100</f>
        <v>1.73</v>
      </c>
      <c r="D4" s="57">
        <f>168/100</f>
        <v>1.68</v>
      </c>
      <c r="E4" s="57">
        <f t="shared" ref="E4:E8" si="0">C4-D4</f>
        <v>5.0000000000000044E-2</v>
      </c>
      <c r="F4" s="57">
        <f>125/100</f>
        <v>1.25</v>
      </c>
      <c r="G4" s="57">
        <f t="shared" ref="G4:G8" si="1">F4-D4</f>
        <v>-0.42999999999999994</v>
      </c>
      <c r="I4" s="57">
        <f>117/100</f>
        <v>1.17</v>
      </c>
      <c r="J4" s="57">
        <f>155/100</f>
        <v>1.55</v>
      </c>
      <c r="K4" s="57">
        <f t="shared" ref="K4:K8" si="2">I4-J4</f>
        <v>-0.38000000000000012</v>
      </c>
      <c r="M4" s="40" t="s">
        <v>130</v>
      </c>
      <c r="N4" s="40" t="s">
        <v>132</v>
      </c>
    </row>
    <row r="5" spans="1:14" x14ac:dyDescent="0.25">
      <c r="A5" s="40"/>
      <c r="B5" s="40" t="s">
        <v>118</v>
      </c>
      <c r="C5" s="56">
        <f>(190+5)/100</f>
        <v>1.95</v>
      </c>
      <c r="D5" s="57">
        <f>190/100</f>
        <v>1.9</v>
      </c>
      <c r="E5" s="57">
        <f t="shared" si="0"/>
        <v>5.0000000000000044E-2</v>
      </c>
      <c r="F5" s="57">
        <f>168/100</f>
        <v>1.68</v>
      </c>
      <c r="G5" s="57">
        <f>F5-D5</f>
        <v>-0.21999999999999997</v>
      </c>
      <c r="I5" s="57">
        <f>114/100</f>
        <v>1.1399999999999999</v>
      </c>
      <c r="J5" s="57">
        <f>134/100</f>
        <v>1.34</v>
      </c>
      <c r="K5" s="57">
        <f t="shared" si="2"/>
        <v>-0.20000000000000018</v>
      </c>
      <c r="M5" s="40" t="s">
        <v>130</v>
      </c>
      <c r="N5" s="40" t="s">
        <v>132</v>
      </c>
    </row>
    <row r="6" spans="1:14" x14ac:dyDescent="0.25">
      <c r="A6" s="40"/>
      <c r="B6" s="40" t="s">
        <v>119</v>
      </c>
      <c r="C6" s="56">
        <f>(273+5)/100</f>
        <v>2.78</v>
      </c>
      <c r="D6" s="57">
        <f>273/100</f>
        <v>2.73</v>
      </c>
      <c r="E6" s="57">
        <f t="shared" si="0"/>
        <v>4.9999999999999822E-2</v>
      </c>
      <c r="F6" s="57">
        <f>246/100</f>
        <v>2.46</v>
      </c>
      <c r="G6" s="57">
        <f t="shared" si="1"/>
        <v>-0.27</v>
      </c>
      <c r="I6" s="57">
        <f>117/100</f>
        <v>1.17</v>
      </c>
      <c r="J6" s="57">
        <f>159/100</f>
        <v>1.59</v>
      </c>
      <c r="K6" s="57">
        <f t="shared" si="2"/>
        <v>-0.42000000000000015</v>
      </c>
      <c r="M6" s="40" t="s">
        <v>130</v>
      </c>
      <c r="N6" s="40" t="s">
        <v>132</v>
      </c>
    </row>
    <row r="7" spans="1:14" x14ac:dyDescent="0.25">
      <c r="A7" s="40"/>
      <c r="B7" s="40" t="s">
        <v>120</v>
      </c>
      <c r="C7" s="56">
        <f>(159+5)/100</f>
        <v>1.64</v>
      </c>
      <c r="D7" s="57">
        <f>159/100</f>
        <v>1.59</v>
      </c>
      <c r="E7" s="57">
        <f t="shared" si="0"/>
        <v>4.9999999999999822E-2</v>
      </c>
      <c r="F7" s="57">
        <f>137/100</f>
        <v>1.37</v>
      </c>
      <c r="G7" s="57">
        <f t="shared" si="1"/>
        <v>-0.21999999999999997</v>
      </c>
      <c r="I7" s="57">
        <f>117/100</f>
        <v>1.17</v>
      </c>
      <c r="J7" s="57">
        <f>159/100</f>
        <v>1.59</v>
      </c>
      <c r="K7" s="57">
        <f t="shared" si="2"/>
        <v>-0.42000000000000015</v>
      </c>
      <c r="M7" s="40" t="s">
        <v>130</v>
      </c>
      <c r="N7" s="40" t="s">
        <v>133</v>
      </c>
    </row>
    <row r="8" spans="1:14" x14ac:dyDescent="0.25">
      <c r="A8" s="40"/>
      <c r="B8" s="40" t="s">
        <v>121</v>
      </c>
      <c r="C8" s="56">
        <f>(138+5)/100</f>
        <v>1.43</v>
      </c>
      <c r="D8" s="57">
        <f>138/100</f>
        <v>1.38</v>
      </c>
      <c r="E8" s="57">
        <f t="shared" si="0"/>
        <v>5.0000000000000044E-2</v>
      </c>
      <c r="F8" s="57">
        <f>100/100</f>
        <v>1</v>
      </c>
      <c r="G8" s="57">
        <f t="shared" si="1"/>
        <v>-0.37999999999999989</v>
      </c>
      <c r="I8" s="57">
        <f>117/100</f>
        <v>1.17</v>
      </c>
      <c r="J8" s="57">
        <f>140/100</f>
        <v>1.4</v>
      </c>
      <c r="K8" s="57">
        <f t="shared" si="2"/>
        <v>-0.22999999999999998</v>
      </c>
      <c r="M8" s="40" t="s">
        <v>130</v>
      </c>
      <c r="N8" s="40" t="s">
        <v>132</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18"/>
  <sheetViews>
    <sheetView topLeftCell="A112" zoomScale="89" zoomScaleNormal="89" workbookViewId="0">
      <selection activeCell="F307" sqref="F307"/>
    </sheetView>
  </sheetViews>
  <sheetFormatPr defaultColWidth="8.85546875" defaultRowHeight="15" x14ac:dyDescent="0.25"/>
  <cols>
    <col min="1" max="1" width="4.42578125" style="116" customWidth="1"/>
    <col min="2" max="2" width="31.28515625" style="116" customWidth="1"/>
    <col min="3" max="3" width="5.5703125" style="116" customWidth="1"/>
    <col min="4" max="4" width="9.140625" style="116" bestFit="1" customWidth="1"/>
    <col min="5" max="5" width="7.85546875" style="116" customWidth="1"/>
    <col min="6" max="6" width="8.28515625" style="116" customWidth="1"/>
    <col min="7" max="7" width="9.28515625" style="116" customWidth="1"/>
    <col min="8" max="8" width="5.28515625" style="116" bestFit="1" customWidth="1"/>
    <col min="9" max="9" width="10.85546875" style="116" customWidth="1"/>
    <col min="10" max="10" width="12.140625" style="116" customWidth="1"/>
    <col min="11" max="11" width="9.140625" style="116" customWidth="1"/>
    <col min="12" max="16384" width="8.85546875" style="116"/>
  </cols>
  <sheetData>
    <row r="1" spans="1:11" x14ac:dyDescent="0.25">
      <c r="A1" s="261" t="s">
        <v>0</v>
      </c>
      <c r="B1" s="261"/>
      <c r="C1" s="261"/>
      <c r="D1" s="261"/>
      <c r="E1" s="261"/>
      <c r="F1" s="261"/>
      <c r="G1" s="261"/>
      <c r="H1" s="261"/>
      <c r="I1" s="261"/>
      <c r="J1" s="261"/>
      <c r="K1" s="261"/>
    </row>
    <row r="2" spans="1:11" ht="22.5" x14ac:dyDescent="0.25">
      <c r="A2" s="262" t="s">
        <v>1</v>
      </c>
      <c r="B2" s="262"/>
      <c r="C2" s="262"/>
      <c r="D2" s="262"/>
      <c r="E2" s="262"/>
      <c r="F2" s="262"/>
      <c r="G2" s="262"/>
      <c r="H2" s="262"/>
      <c r="I2" s="262"/>
      <c r="J2" s="262"/>
      <c r="K2" s="262"/>
    </row>
    <row r="3" spans="1:11" x14ac:dyDescent="0.25">
      <c r="A3" s="263" t="s">
        <v>2</v>
      </c>
      <c r="B3" s="263"/>
      <c r="C3" s="263"/>
      <c r="D3" s="263"/>
      <c r="E3" s="263"/>
      <c r="F3" s="263"/>
      <c r="G3" s="263"/>
      <c r="H3" s="263"/>
      <c r="I3" s="263"/>
      <c r="J3" s="263"/>
      <c r="K3" s="263"/>
    </row>
    <row r="4" spans="1:11" x14ac:dyDescent="0.25">
      <c r="A4" s="263" t="s">
        <v>3</v>
      </c>
      <c r="B4" s="263"/>
      <c r="C4" s="263"/>
      <c r="D4" s="263"/>
      <c r="E4" s="263"/>
      <c r="F4" s="263"/>
      <c r="G4" s="263"/>
      <c r="H4" s="263"/>
      <c r="I4" s="263"/>
      <c r="J4" s="263"/>
      <c r="K4" s="263"/>
    </row>
    <row r="5" spans="1:11" ht="18.75" x14ac:dyDescent="0.3">
      <c r="A5" s="264" t="s">
        <v>4</v>
      </c>
      <c r="B5" s="264"/>
      <c r="C5" s="264"/>
      <c r="D5" s="264"/>
      <c r="E5" s="264"/>
      <c r="F5" s="264"/>
      <c r="G5" s="264"/>
      <c r="H5" s="264"/>
      <c r="I5" s="264"/>
      <c r="J5" s="264"/>
      <c r="K5" s="264"/>
    </row>
    <row r="6" spans="1:11" ht="15.75" x14ac:dyDescent="0.25">
      <c r="A6" s="259" t="s">
        <v>111</v>
      </c>
      <c r="B6" s="259"/>
      <c r="C6" s="259"/>
      <c r="D6" s="259"/>
      <c r="E6" s="259"/>
      <c r="F6" s="259"/>
      <c r="G6" s="117"/>
      <c r="H6" s="260" t="s">
        <v>42</v>
      </c>
      <c r="I6" s="260"/>
      <c r="J6" s="260"/>
      <c r="K6" s="260"/>
    </row>
    <row r="7" spans="1:11" ht="15.75" x14ac:dyDescent="0.25">
      <c r="A7" s="267" t="s">
        <v>5</v>
      </c>
      <c r="B7" s="267"/>
      <c r="C7" s="267"/>
      <c r="D7" s="267"/>
      <c r="E7" s="267"/>
      <c r="F7" s="267"/>
      <c r="G7" s="118"/>
      <c r="H7" s="260" t="s">
        <v>110</v>
      </c>
      <c r="I7" s="260"/>
      <c r="J7" s="260"/>
      <c r="K7" s="260"/>
    </row>
    <row r="8" spans="1:11" ht="15" customHeight="1" x14ac:dyDescent="0.25">
      <c r="A8" s="119" t="s">
        <v>6</v>
      </c>
      <c r="B8" s="120" t="s">
        <v>7</v>
      </c>
      <c r="C8" s="121" t="s">
        <v>8</v>
      </c>
      <c r="D8" s="122" t="s">
        <v>9</v>
      </c>
      <c r="E8" s="122" t="s">
        <v>10</v>
      </c>
      <c r="F8" s="122" t="s">
        <v>11</v>
      </c>
      <c r="G8" s="122" t="s">
        <v>12</v>
      </c>
      <c r="H8" s="121" t="s">
        <v>13</v>
      </c>
      <c r="I8" s="122" t="s">
        <v>14</v>
      </c>
      <c r="J8" s="122" t="s">
        <v>15</v>
      </c>
      <c r="K8" s="120" t="s">
        <v>38</v>
      </c>
    </row>
    <row r="9" spans="1:11" ht="31.5" x14ac:dyDescent="0.25">
      <c r="A9" s="123">
        <v>1</v>
      </c>
      <c r="B9" s="124" t="s">
        <v>62</v>
      </c>
      <c r="C9" s="125"/>
      <c r="D9" s="125"/>
      <c r="E9" s="125"/>
      <c r="F9" s="125"/>
      <c r="G9" s="125"/>
      <c r="H9" s="125"/>
      <c r="I9" s="125"/>
      <c r="J9" s="126"/>
      <c r="K9" s="125"/>
    </row>
    <row r="10" spans="1:11" x14ac:dyDescent="0.25">
      <c r="A10" s="123"/>
      <c r="B10" s="127"/>
      <c r="C10" s="128"/>
      <c r="D10" s="129"/>
      <c r="E10" s="129"/>
      <c r="F10" s="129"/>
      <c r="G10" s="129"/>
      <c r="H10" s="125"/>
      <c r="I10" s="125"/>
      <c r="J10" s="126"/>
      <c r="K10" s="125"/>
    </row>
    <row r="11" spans="1:11" x14ac:dyDescent="0.25">
      <c r="A11" s="123"/>
      <c r="B11" s="127"/>
      <c r="C11" s="128"/>
      <c r="D11" s="129"/>
      <c r="E11" s="129"/>
      <c r="F11" s="129"/>
      <c r="G11" s="129"/>
      <c r="H11" s="125"/>
      <c r="I11" s="125"/>
      <c r="J11" s="126"/>
      <c r="K11" s="125"/>
    </row>
    <row r="12" spans="1:11" x14ac:dyDescent="0.25">
      <c r="A12" s="123"/>
      <c r="B12" s="127"/>
      <c r="C12" s="128"/>
      <c r="D12" s="129"/>
      <c r="E12" s="129"/>
      <c r="F12" s="129"/>
      <c r="G12" s="129"/>
      <c r="H12" s="125"/>
      <c r="I12" s="125"/>
      <c r="J12" s="126"/>
      <c r="K12" s="125"/>
    </row>
    <row r="13" spans="1:11" x14ac:dyDescent="0.25">
      <c r="A13" s="123"/>
      <c r="B13" s="127"/>
      <c r="C13" s="128"/>
      <c r="D13" s="129"/>
      <c r="E13" s="129"/>
      <c r="F13" s="129"/>
      <c r="G13" s="129"/>
      <c r="H13" s="125"/>
      <c r="I13" s="125"/>
      <c r="J13" s="126"/>
      <c r="K13" s="125"/>
    </row>
    <row r="14" spans="1:11" x14ac:dyDescent="0.25">
      <c r="A14" s="123"/>
      <c r="B14" s="127"/>
      <c r="C14" s="128"/>
      <c r="D14" s="129"/>
      <c r="E14" s="129"/>
      <c r="F14" s="129"/>
      <c r="G14" s="129"/>
      <c r="H14" s="125"/>
      <c r="I14" s="125"/>
      <c r="J14" s="126"/>
      <c r="K14" s="125"/>
    </row>
    <row r="15" spans="1:11" x14ac:dyDescent="0.25">
      <c r="A15" s="123"/>
      <c r="B15" s="127"/>
      <c r="C15" s="128"/>
      <c r="D15" s="129"/>
      <c r="E15" s="129"/>
      <c r="F15" s="129"/>
      <c r="G15" s="129"/>
      <c r="H15" s="125"/>
      <c r="I15" s="125"/>
      <c r="J15" s="126"/>
      <c r="K15" s="125"/>
    </row>
    <row r="16" spans="1:11" x14ac:dyDescent="0.25">
      <c r="A16" s="123"/>
      <c r="B16" s="127"/>
      <c r="C16" s="128"/>
      <c r="D16" s="129"/>
      <c r="E16" s="129"/>
      <c r="F16" s="129"/>
      <c r="G16" s="129"/>
      <c r="H16" s="125"/>
      <c r="I16" s="125"/>
      <c r="J16" s="126"/>
      <c r="K16" s="125"/>
    </row>
    <row r="17" spans="1:11" x14ac:dyDescent="0.25">
      <c r="A17" s="123"/>
      <c r="B17" s="130" t="s">
        <v>16</v>
      </c>
      <c r="C17" s="131"/>
      <c r="D17" s="126"/>
      <c r="E17" s="126"/>
      <c r="F17" s="126"/>
      <c r="G17" s="132">
        <f>SUM(G10:G16)</f>
        <v>0</v>
      </c>
      <c r="H17" s="6" t="s">
        <v>18</v>
      </c>
      <c r="I17" s="7">
        <v>648.9</v>
      </c>
      <c r="J17" s="132">
        <f>G17*I17</f>
        <v>0</v>
      </c>
      <c r="K17" s="125"/>
    </row>
    <row r="18" spans="1:11" x14ac:dyDescent="0.25">
      <c r="A18" s="123"/>
      <c r="B18" s="125"/>
      <c r="C18" s="131"/>
      <c r="D18" s="126"/>
      <c r="E18" s="126"/>
      <c r="F18" s="126"/>
      <c r="G18" s="126"/>
      <c r="H18" s="125"/>
      <c r="I18" s="126"/>
      <c r="J18" s="126"/>
      <c r="K18" s="125"/>
    </row>
    <row r="19" spans="1:11" ht="31.5" x14ac:dyDescent="0.25">
      <c r="A19" s="123">
        <v>2</v>
      </c>
      <c r="B19" s="124" t="s">
        <v>83</v>
      </c>
      <c r="C19" s="131"/>
      <c r="D19" s="126"/>
      <c r="E19" s="126"/>
      <c r="F19" s="126"/>
      <c r="G19" s="126"/>
      <c r="H19" s="125"/>
      <c r="I19" s="126"/>
      <c r="J19" s="126"/>
      <c r="K19" s="125"/>
    </row>
    <row r="20" spans="1:11" x14ac:dyDescent="0.25">
      <c r="A20" s="123"/>
      <c r="B20" s="127"/>
      <c r="C20" s="128"/>
      <c r="D20" s="129"/>
      <c r="E20" s="129"/>
      <c r="F20" s="129"/>
      <c r="G20" s="129"/>
      <c r="H20" s="125"/>
      <c r="I20" s="126"/>
      <c r="J20" s="126"/>
      <c r="K20" s="125"/>
    </row>
    <row r="21" spans="1:11" x14ac:dyDescent="0.25">
      <c r="A21" s="123"/>
      <c r="B21" s="130" t="s">
        <v>16</v>
      </c>
      <c r="C21" s="131"/>
      <c r="D21" s="126"/>
      <c r="E21" s="126"/>
      <c r="F21" s="126"/>
      <c r="G21" s="132">
        <f>SUM(G20)</f>
        <v>0</v>
      </c>
      <c r="H21" s="6" t="s">
        <v>18</v>
      </c>
      <c r="I21" s="7">
        <v>3600</v>
      </c>
      <c r="J21" s="132">
        <f>G21*I21</f>
        <v>0</v>
      </c>
      <c r="K21" s="125"/>
    </row>
    <row r="22" spans="1:11" x14ac:dyDescent="0.25">
      <c r="A22" s="123"/>
      <c r="B22" s="125"/>
      <c r="C22" s="131"/>
      <c r="D22" s="126"/>
      <c r="E22" s="126"/>
      <c r="F22" s="126"/>
      <c r="G22" s="126"/>
      <c r="H22" s="125"/>
      <c r="I22" s="126"/>
      <c r="J22" s="126"/>
      <c r="K22" s="125"/>
    </row>
    <row r="23" spans="1:11" ht="15.75" x14ac:dyDescent="0.25">
      <c r="A23" s="123">
        <v>3</v>
      </c>
      <c r="B23" s="124" t="s">
        <v>104</v>
      </c>
      <c r="C23" s="131"/>
      <c r="D23" s="126"/>
      <c r="E23" s="126"/>
      <c r="F23" s="126"/>
      <c r="G23" s="126"/>
      <c r="H23" s="125"/>
      <c r="I23" s="126"/>
      <c r="J23" s="126"/>
      <c r="K23" s="125"/>
    </row>
    <row r="24" spans="1:11" hidden="1" x14ac:dyDescent="0.25">
      <c r="A24" s="123"/>
      <c r="B24" s="133">
        <f>B43</f>
        <v>0</v>
      </c>
      <c r="C24" s="131">
        <v>0</v>
      </c>
      <c r="D24" s="126">
        <f>D43</f>
        <v>0</v>
      </c>
      <c r="E24" s="126">
        <f>E43</f>
        <v>0</v>
      </c>
      <c r="F24" s="126">
        <v>0.15</v>
      </c>
      <c r="G24" s="126">
        <f>PRODUCT(C24:F24)</f>
        <v>0</v>
      </c>
      <c r="H24" s="125"/>
      <c r="I24" s="125"/>
      <c r="J24" s="126"/>
      <c r="K24" s="125"/>
    </row>
    <row r="25" spans="1:11" x14ac:dyDescent="0.25">
      <c r="A25" s="123"/>
      <c r="B25" s="127"/>
      <c r="C25" s="128"/>
      <c r="D25" s="129"/>
      <c r="E25" s="129"/>
      <c r="F25" s="129"/>
      <c r="G25" s="129"/>
      <c r="H25" s="125"/>
      <c r="I25" s="125"/>
      <c r="J25" s="126"/>
      <c r="K25" s="125"/>
    </row>
    <row r="26" spans="1:11" x14ac:dyDescent="0.25">
      <c r="A26" s="123"/>
      <c r="B26" s="127"/>
      <c r="C26" s="128"/>
      <c r="D26" s="129"/>
      <c r="E26" s="129"/>
      <c r="F26" s="129"/>
      <c r="G26" s="129"/>
      <c r="H26" s="125"/>
      <c r="I26" s="125"/>
      <c r="J26" s="126"/>
      <c r="K26" s="125"/>
    </row>
    <row r="27" spans="1:11" x14ac:dyDescent="0.25">
      <c r="A27" s="123"/>
      <c r="B27" s="127"/>
      <c r="C27" s="128"/>
      <c r="D27" s="129"/>
      <c r="E27" s="129"/>
      <c r="F27" s="129"/>
      <c r="G27" s="129"/>
      <c r="H27" s="125"/>
      <c r="I27" s="125"/>
      <c r="J27" s="126"/>
      <c r="K27" s="125"/>
    </row>
    <row r="28" spans="1:11" x14ac:dyDescent="0.25">
      <c r="A28" s="123"/>
      <c r="B28" s="127"/>
      <c r="C28" s="128"/>
      <c r="D28" s="129"/>
      <c r="E28" s="129"/>
      <c r="F28" s="129"/>
      <c r="G28" s="129"/>
      <c r="H28" s="125"/>
      <c r="I28" s="125"/>
      <c r="J28" s="126"/>
      <c r="K28" s="125"/>
    </row>
    <row r="29" spans="1:11" x14ac:dyDescent="0.25">
      <c r="A29" s="123"/>
      <c r="B29" s="127"/>
      <c r="C29" s="128"/>
      <c r="D29" s="129"/>
      <c r="E29" s="129"/>
      <c r="F29" s="129"/>
      <c r="G29" s="129"/>
      <c r="H29" s="125"/>
      <c r="I29" s="125"/>
      <c r="J29" s="126"/>
      <c r="K29" s="125"/>
    </row>
    <row r="30" spans="1:11" x14ac:dyDescent="0.25">
      <c r="A30" s="123"/>
      <c r="B30" s="127"/>
      <c r="C30" s="128"/>
      <c r="D30" s="129"/>
      <c r="E30" s="129"/>
      <c r="F30" s="129"/>
      <c r="G30" s="129"/>
      <c r="H30" s="125"/>
      <c r="I30" s="125"/>
      <c r="J30" s="126"/>
      <c r="K30" s="125"/>
    </row>
    <row r="31" spans="1:11" x14ac:dyDescent="0.25">
      <c r="A31" s="123"/>
      <c r="B31" s="127"/>
      <c r="C31" s="128"/>
      <c r="D31" s="129"/>
      <c r="E31" s="129"/>
      <c r="F31" s="129"/>
      <c r="G31" s="129"/>
      <c r="H31" s="125"/>
      <c r="I31" s="125"/>
      <c r="J31" s="126"/>
      <c r="K31" s="125"/>
    </row>
    <row r="32" spans="1:11" x14ac:dyDescent="0.25">
      <c r="A32" s="123"/>
      <c r="B32" s="127"/>
      <c r="C32" s="128"/>
      <c r="D32" s="129"/>
      <c r="E32" s="129"/>
      <c r="F32" s="129"/>
      <c r="G32" s="129"/>
      <c r="H32" s="125"/>
      <c r="I32" s="125"/>
      <c r="J32" s="126"/>
      <c r="K32" s="125"/>
    </row>
    <row r="33" spans="1:11" x14ac:dyDescent="0.25">
      <c r="A33" s="123"/>
      <c r="B33" s="127"/>
      <c r="C33" s="128"/>
      <c r="D33" s="129"/>
      <c r="E33" s="129"/>
      <c r="F33" s="129"/>
      <c r="G33" s="129"/>
      <c r="H33" s="125"/>
      <c r="I33" s="125"/>
      <c r="J33" s="126"/>
      <c r="K33" s="125"/>
    </row>
    <row r="34" spans="1:11" x14ac:dyDescent="0.25">
      <c r="A34" s="123"/>
      <c r="B34" s="130" t="s">
        <v>16</v>
      </c>
      <c r="C34" s="131"/>
      <c r="D34" s="126"/>
      <c r="E34" s="126"/>
      <c r="F34" s="126"/>
      <c r="G34" s="132">
        <f>SUM(G24:G33)</f>
        <v>0</v>
      </c>
      <c r="H34" s="6" t="s">
        <v>23</v>
      </c>
      <c r="I34" s="134">
        <f>1500/10</f>
        <v>150</v>
      </c>
      <c r="J34" s="135">
        <f>G34*I34</f>
        <v>0</v>
      </c>
      <c r="K34" s="125"/>
    </row>
    <row r="35" spans="1:11" x14ac:dyDescent="0.25">
      <c r="A35" s="123"/>
      <c r="B35" s="130" t="s">
        <v>17</v>
      </c>
      <c r="C35" s="131"/>
      <c r="D35" s="126"/>
      <c r="E35" s="126"/>
      <c r="F35" s="126"/>
      <c r="G35" s="126"/>
      <c r="H35" s="6"/>
      <c r="I35" s="136"/>
      <c r="J35" s="135">
        <f>0.13*G34*(8353.81)/10</f>
        <v>0</v>
      </c>
      <c r="K35" s="125"/>
    </row>
    <row r="36" spans="1:11" x14ac:dyDescent="0.25">
      <c r="A36" s="123"/>
      <c r="B36" s="125"/>
      <c r="C36" s="131"/>
      <c r="D36" s="126"/>
      <c r="E36" s="126"/>
      <c r="F36" s="126"/>
      <c r="G36" s="126"/>
      <c r="H36" s="125"/>
      <c r="I36" s="126"/>
      <c r="J36" s="126"/>
      <c r="K36" s="125"/>
    </row>
    <row r="37" spans="1:11" ht="78.75" x14ac:dyDescent="0.25">
      <c r="A37" s="123">
        <v>4</v>
      </c>
      <c r="B37" s="124" t="s">
        <v>99</v>
      </c>
      <c r="C37" s="131"/>
      <c r="D37" s="126"/>
      <c r="E37" s="126"/>
      <c r="F37" s="126"/>
      <c r="G37" s="126"/>
      <c r="H37" s="125"/>
      <c r="I37" s="126"/>
      <c r="J37" s="126"/>
      <c r="K37" s="268" t="s">
        <v>154</v>
      </c>
    </row>
    <row r="38" spans="1:11" x14ac:dyDescent="0.25">
      <c r="A38" s="123"/>
      <c r="B38" s="127"/>
      <c r="C38" s="137"/>
      <c r="D38" s="129"/>
      <c r="E38" s="126"/>
      <c r="F38" s="126"/>
      <c r="G38" s="129"/>
      <c r="H38" s="125"/>
      <c r="I38" s="126"/>
      <c r="J38" s="126"/>
      <c r="K38" s="269"/>
    </row>
    <row r="39" spans="1:11" x14ac:dyDescent="0.25">
      <c r="A39" s="123"/>
      <c r="B39" s="138"/>
      <c r="C39" s="128"/>
      <c r="D39" s="129"/>
      <c r="E39" s="129"/>
      <c r="F39" s="129"/>
      <c r="G39" s="129"/>
      <c r="H39" s="125"/>
      <c r="I39" s="126"/>
      <c r="J39" s="126"/>
      <c r="K39" s="125"/>
    </row>
    <row r="40" spans="1:11" x14ac:dyDescent="0.25">
      <c r="A40" s="123"/>
      <c r="B40" s="130" t="s">
        <v>16</v>
      </c>
      <c r="C40" s="131"/>
      <c r="D40" s="126"/>
      <c r="E40" s="126"/>
      <c r="F40" s="126"/>
      <c r="G40" s="132">
        <f>SUM(G38:G39)</f>
        <v>0</v>
      </c>
      <c r="H40" s="6" t="s">
        <v>18</v>
      </c>
      <c r="I40" s="134">
        <v>451.4</v>
      </c>
      <c r="J40" s="135">
        <f>G40*I40</f>
        <v>0</v>
      </c>
      <c r="K40" s="125"/>
    </row>
    <row r="41" spans="1:11" x14ac:dyDescent="0.25">
      <c r="A41" s="123"/>
      <c r="B41" s="125"/>
      <c r="C41" s="131"/>
      <c r="D41" s="126"/>
      <c r="E41" s="126"/>
      <c r="F41" s="126"/>
      <c r="G41" s="126"/>
      <c r="H41" s="125"/>
      <c r="I41" s="126"/>
      <c r="J41" s="126"/>
      <c r="K41" s="125"/>
    </row>
    <row r="42" spans="1:11" s="140" customFormat="1" ht="30" x14ac:dyDescent="0.25">
      <c r="A42" s="123">
        <v>5</v>
      </c>
      <c r="B42" s="139" t="s">
        <v>40</v>
      </c>
      <c r="C42" s="131"/>
      <c r="D42" s="126"/>
      <c r="E42" s="126"/>
      <c r="F42" s="126"/>
      <c r="G42" s="126"/>
      <c r="H42" s="125"/>
      <c r="I42" s="126"/>
      <c r="J42" s="126"/>
      <c r="K42" s="125"/>
    </row>
    <row r="43" spans="1:11" x14ac:dyDescent="0.25">
      <c r="A43" s="123"/>
      <c r="B43" s="127"/>
      <c r="C43" s="128"/>
      <c r="D43" s="129"/>
      <c r="E43" s="129"/>
      <c r="F43" s="129"/>
      <c r="G43" s="129"/>
      <c r="H43" s="125"/>
      <c r="I43" s="125"/>
      <c r="J43" s="126"/>
      <c r="K43" s="125"/>
    </row>
    <row r="44" spans="1:11" x14ac:dyDescent="0.25">
      <c r="A44" s="123"/>
      <c r="B44" s="127"/>
      <c r="C44" s="128"/>
      <c r="D44" s="129"/>
      <c r="E44" s="129"/>
      <c r="F44" s="129"/>
      <c r="G44" s="129"/>
      <c r="H44" s="125"/>
      <c r="I44" s="125"/>
      <c r="J44" s="126"/>
      <c r="K44" s="125"/>
    </row>
    <row r="45" spans="1:11" x14ac:dyDescent="0.25">
      <c r="A45" s="123"/>
      <c r="B45" s="127"/>
      <c r="C45" s="128"/>
      <c r="D45" s="129"/>
      <c r="E45" s="129"/>
      <c r="F45" s="129"/>
      <c r="G45" s="129"/>
      <c r="H45" s="125"/>
      <c r="I45" s="125"/>
      <c r="J45" s="126"/>
      <c r="K45" s="125"/>
    </row>
    <row r="46" spans="1:11" x14ac:dyDescent="0.25">
      <c r="A46" s="123"/>
      <c r="B46" s="127"/>
      <c r="C46" s="128"/>
      <c r="D46" s="129"/>
      <c r="E46" s="129"/>
      <c r="F46" s="129"/>
      <c r="G46" s="129"/>
      <c r="H46" s="125"/>
      <c r="I46" s="125"/>
      <c r="J46" s="126"/>
      <c r="K46" s="125"/>
    </row>
    <row r="47" spans="1:11" x14ac:dyDescent="0.25">
      <c r="A47" s="123"/>
      <c r="B47" s="127"/>
      <c r="C47" s="128"/>
      <c r="D47" s="129"/>
      <c r="E47" s="129"/>
      <c r="F47" s="129"/>
      <c r="G47" s="129"/>
      <c r="H47" s="125"/>
      <c r="I47" s="125"/>
      <c r="J47" s="126"/>
      <c r="K47" s="125"/>
    </row>
    <row r="48" spans="1:11" x14ac:dyDescent="0.25">
      <c r="A48" s="123"/>
      <c r="B48" s="127"/>
      <c r="C48" s="128"/>
      <c r="D48" s="129"/>
      <c r="E48" s="129"/>
      <c r="F48" s="129"/>
      <c r="G48" s="129"/>
      <c r="H48" s="125"/>
      <c r="I48" s="125"/>
      <c r="J48" s="126"/>
      <c r="K48" s="125"/>
    </row>
    <row r="49" spans="1:14" x14ac:dyDescent="0.25">
      <c r="A49" s="123"/>
      <c r="B49" s="127"/>
      <c r="C49" s="128"/>
      <c r="D49" s="129"/>
      <c r="E49" s="129"/>
      <c r="F49" s="129"/>
      <c r="G49" s="129"/>
      <c r="H49" s="125"/>
      <c r="I49" s="125"/>
      <c r="J49" s="126"/>
      <c r="K49" s="125"/>
    </row>
    <row r="50" spans="1:14" x14ac:dyDescent="0.25">
      <c r="A50" s="123"/>
      <c r="B50" s="127"/>
      <c r="C50" s="128"/>
      <c r="D50" s="129"/>
      <c r="E50" s="129"/>
      <c r="F50" s="129"/>
      <c r="G50" s="129"/>
      <c r="H50" s="125"/>
      <c r="I50" s="125"/>
      <c r="J50" s="126"/>
      <c r="K50" s="125"/>
    </row>
    <row r="51" spans="1:14" x14ac:dyDescent="0.25">
      <c r="A51" s="123"/>
      <c r="B51" s="127"/>
      <c r="C51" s="128"/>
      <c r="D51" s="129"/>
      <c r="E51" s="129"/>
      <c r="F51" s="129"/>
      <c r="G51" s="129"/>
      <c r="H51" s="125"/>
      <c r="I51" s="125"/>
      <c r="J51" s="126"/>
      <c r="K51" s="125"/>
    </row>
    <row r="52" spans="1:14" x14ac:dyDescent="0.25">
      <c r="A52" s="123"/>
      <c r="B52" s="127"/>
      <c r="C52" s="128"/>
      <c r="D52" s="129"/>
      <c r="E52" s="129"/>
      <c r="F52" s="129"/>
      <c r="G52" s="129"/>
      <c r="H52" s="125"/>
      <c r="I52" s="125"/>
      <c r="J52" s="126"/>
      <c r="K52" s="125"/>
    </row>
    <row r="53" spans="1:14" x14ac:dyDescent="0.25">
      <c r="A53" s="123"/>
      <c r="B53" s="127"/>
      <c r="C53" s="128"/>
      <c r="D53" s="129"/>
      <c r="E53" s="129"/>
      <c r="F53" s="129"/>
      <c r="G53" s="129"/>
      <c r="H53" s="125"/>
      <c r="I53" s="125"/>
      <c r="J53" s="126"/>
      <c r="K53" s="125"/>
    </row>
    <row r="54" spans="1:14" x14ac:dyDescent="0.25">
      <c r="A54" s="123"/>
      <c r="B54" s="130" t="s">
        <v>16</v>
      </c>
      <c r="C54" s="131"/>
      <c r="D54" s="126"/>
      <c r="E54" s="126"/>
      <c r="F54" s="126"/>
      <c r="G54" s="132">
        <f>SUM(G43:G53)</f>
        <v>0</v>
      </c>
      <c r="H54" s="123" t="s">
        <v>18</v>
      </c>
      <c r="I54" s="134">
        <v>13509.07</v>
      </c>
      <c r="J54" s="135">
        <f>G54*I54</f>
        <v>0</v>
      </c>
      <c r="K54" s="125"/>
    </row>
    <row r="55" spans="1:14" x14ac:dyDescent="0.25">
      <c r="A55" s="123"/>
      <c r="B55" s="130" t="s">
        <v>17</v>
      </c>
      <c r="C55" s="131"/>
      <c r="D55" s="126"/>
      <c r="E55" s="126"/>
      <c r="F55" s="126"/>
      <c r="G55" s="126"/>
      <c r="H55" s="125"/>
      <c r="I55" s="136"/>
      <c r="J55" s="135">
        <f>0.13*G54*(8709.07)</f>
        <v>0</v>
      </c>
      <c r="K55" s="125"/>
    </row>
    <row r="56" spans="1:14" x14ac:dyDescent="0.25">
      <c r="A56" s="123"/>
      <c r="B56" s="130"/>
      <c r="C56" s="131"/>
      <c r="D56" s="126"/>
      <c r="E56" s="126"/>
      <c r="F56" s="126"/>
      <c r="G56" s="126"/>
      <c r="H56" s="125"/>
      <c r="I56" s="136"/>
      <c r="J56" s="135"/>
      <c r="K56" s="125"/>
    </row>
    <row r="57" spans="1:14" ht="45" x14ac:dyDescent="0.25">
      <c r="A57" s="20">
        <v>6</v>
      </c>
      <c r="B57" s="139" t="s">
        <v>81</v>
      </c>
      <c r="C57" s="21"/>
      <c r="D57" s="22"/>
      <c r="E57" s="23"/>
      <c r="F57" s="23"/>
      <c r="G57" s="7"/>
      <c r="H57" s="6"/>
      <c r="I57" s="7"/>
      <c r="J57" s="132"/>
      <c r="K57" s="23"/>
    </row>
    <row r="58" spans="1:14" x14ac:dyDescent="0.25">
      <c r="A58" s="123"/>
      <c r="B58" s="141"/>
      <c r="C58" s="128"/>
      <c r="D58" s="129"/>
      <c r="E58" s="129"/>
      <c r="F58" s="129"/>
      <c r="G58" s="129"/>
      <c r="H58" s="125"/>
      <c r="I58" s="136"/>
      <c r="J58" s="135"/>
      <c r="K58" s="125"/>
      <c r="M58" s="116">
        <f>1+7.12+4.83-0.115+2.8+0.9</f>
        <v>16.535</v>
      </c>
      <c r="N58" s="116">
        <f>3+7.17+4.8-0.35</f>
        <v>14.62</v>
      </c>
    </row>
    <row r="59" spans="1:14" x14ac:dyDescent="0.25">
      <c r="A59" s="123"/>
      <c r="B59" s="141"/>
      <c r="C59" s="128"/>
      <c r="D59" s="129"/>
      <c r="E59" s="129"/>
      <c r="F59" s="129"/>
      <c r="G59" s="129"/>
      <c r="H59" s="125"/>
      <c r="I59" s="136"/>
      <c r="J59" s="135"/>
      <c r="K59" s="125"/>
    </row>
    <row r="60" spans="1:14" x14ac:dyDescent="0.25">
      <c r="A60" s="123"/>
      <c r="B60" s="141"/>
      <c r="C60" s="128"/>
      <c r="D60" s="129"/>
      <c r="E60" s="129"/>
      <c r="F60" s="129"/>
      <c r="G60" s="129"/>
      <c r="H60" s="125"/>
      <c r="I60" s="136"/>
      <c r="J60" s="135"/>
      <c r="K60" s="125"/>
    </row>
    <row r="61" spans="1:14" x14ac:dyDescent="0.25">
      <c r="A61" s="123"/>
      <c r="B61" s="141"/>
      <c r="C61" s="128"/>
      <c r="D61" s="129"/>
      <c r="E61" s="129"/>
      <c r="F61" s="129"/>
      <c r="G61" s="129"/>
      <c r="H61" s="125"/>
      <c r="I61" s="136"/>
      <c r="J61" s="135"/>
      <c r="K61" s="125"/>
    </row>
    <row r="62" spans="1:14" ht="15" customHeight="1" x14ac:dyDescent="0.25">
      <c r="A62" s="123"/>
      <c r="B62" s="142" t="s">
        <v>16</v>
      </c>
      <c r="C62" s="131"/>
      <c r="D62" s="126"/>
      <c r="E62" s="126"/>
      <c r="F62" s="126"/>
      <c r="G62" s="132">
        <f>SUM(G58:G61)</f>
        <v>0</v>
      </c>
      <c r="H62" s="132" t="s">
        <v>18</v>
      </c>
      <c r="I62" s="134">
        <v>1908</v>
      </c>
      <c r="J62" s="135">
        <f>G62*I62</f>
        <v>0</v>
      </c>
      <c r="K62" s="125"/>
    </row>
    <row r="63" spans="1:14" ht="15" customHeight="1" x14ac:dyDescent="0.25">
      <c r="A63" s="20"/>
      <c r="B63" s="142"/>
      <c r="C63" s="21"/>
      <c r="D63" s="22"/>
      <c r="E63" s="23"/>
      <c r="F63" s="23"/>
      <c r="G63" s="7"/>
      <c r="H63" s="6"/>
      <c r="I63" s="7"/>
      <c r="J63" s="132"/>
      <c r="K63" s="23"/>
    </row>
    <row r="64" spans="1:14" ht="30" x14ac:dyDescent="0.25">
      <c r="A64" s="123">
        <v>7</v>
      </c>
      <c r="B64" s="139" t="s">
        <v>39</v>
      </c>
      <c r="C64" s="131"/>
      <c r="D64" s="126"/>
      <c r="E64" s="126"/>
      <c r="F64" s="126"/>
      <c r="G64" s="126"/>
      <c r="H64" s="125"/>
      <c r="I64" s="136"/>
      <c r="J64" s="135"/>
      <c r="K64" s="125"/>
    </row>
    <row r="65" spans="1:14" x14ac:dyDescent="0.25">
      <c r="A65" s="123"/>
      <c r="B65" s="141"/>
      <c r="C65" s="128"/>
      <c r="D65" s="129"/>
      <c r="E65" s="129"/>
      <c r="F65" s="129"/>
      <c r="G65" s="129"/>
      <c r="H65" s="125"/>
      <c r="I65" s="136"/>
      <c r="J65" s="135"/>
      <c r="K65" s="125"/>
    </row>
    <row r="66" spans="1:14" x14ac:dyDescent="0.25">
      <c r="A66" s="123"/>
      <c r="B66" s="141"/>
      <c r="C66" s="128"/>
      <c r="D66" s="129"/>
      <c r="E66" s="129"/>
      <c r="F66" s="129"/>
      <c r="G66" s="129"/>
      <c r="H66" s="125"/>
      <c r="I66" s="136"/>
      <c r="J66" s="135"/>
      <c r="K66" s="125"/>
    </row>
    <row r="67" spans="1:14" x14ac:dyDescent="0.25">
      <c r="A67" s="123"/>
      <c r="B67" s="141"/>
      <c r="C67" s="128"/>
      <c r="D67" s="129"/>
      <c r="E67" s="129"/>
      <c r="F67" s="129"/>
      <c r="G67" s="129"/>
      <c r="H67" s="125"/>
      <c r="I67" s="136"/>
      <c r="J67" s="135"/>
      <c r="K67" s="125"/>
    </row>
    <row r="68" spans="1:14" x14ac:dyDescent="0.25">
      <c r="A68" s="123"/>
      <c r="B68" s="141"/>
      <c r="C68" s="128"/>
      <c r="D68" s="129"/>
      <c r="E68" s="129"/>
      <c r="F68" s="129"/>
      <c r="G68" s="129"/>
      <c r="H68" s="125"/>
      <c r="I68" s="136"/>
      <c r="J68" s="135"/>
      <c r="K68" s="125"/>
    </row>
    <row r="69" spans="1:14" x14ac:dyDescent="0.25">
      <c r="A69" s="123"/>
      <c r="B69" s="141"/>
      <c r="C69" s="128"/>
      <c r="D69" s="129"/>
      <c r="E69" s="129"/>
      <c r="F69" s="129"/>
      <c r="G69" s="129"/>
      <c r="H69" s="125"/>
      <c r="I69" s="136"/>
      <c r="J69" s="135"/>
      <c r="K69" s="125"/>
    </row>
    <row r="70" spans="1:14" x14ac:dyDescent="0.25">
      <c r="A70" s="123"/>
      <c r="B70" s="141"/>
      <c r="C70" s="128"/>
      <c r="D70" s="129"/>
      <c r="E70" s="129"/>
      <c r="F70" s="129"/>
      <c r="G70" s="129"/>
      <c r="H70" s="125"/>
      <c r="I70" s="136"/>
      <c r="J70" s="135"/>
      <c r="K70" s="125"/>
      <c r="M70" s="116">
        <f>1+7.12+4.83-0.115+2.8+0.9</f>
        <v>16.535</v>
      </c>
      <c r="N70" s="143">
        <f>SUM(G65:G70)</f>
        <v>0</v>
      </c>
    </row>
    <row r="71" spans="1:14" x14ac:dyDescent="0.25">
      <c r="A71" s="123"/>
      <c r="B71" s="141"/>
      <c r="C71" s="128"/>
      <c r="D71" s="129"/>
      <c r="E71" s="129"/>
      <c r="F71" s="129"/>
      <c r="G71" s="129"/>
      <c r="H71" s="125"/>
      <c r="I71" s="136"/>
      <c r="J71" s="135"/>
      <c r="K71" s="125"/>
    </row>
    <row r="72" spans="1:14" x14ac:dyDescent="0.25">
      <c r="A72" s="123"/>
      <c r="B72" s="138"/>
      <c r="C72" s="128"/>
      <c r="D72" s="129"/>
      <c r="E72" s="129"/>
      <c r="F72" s="129"/>
      <c r="G72" s="126"/>
      <c r="H72" s="125"/>
      <c r="I72" s="125"/>
      <c r="J72" s="126"/>
      <c r="K72" s="125"/>
    </row>
    <row r="73" spans="1:14" x14ac:dyDescent="0.25">
      <c r="A73" s="123"/>
      <c r="B73" s="130"/>
      <c r="C73" s="131"/>
      <c r="D73" s="126"/>
      <c r="E73" s="126"/>
      <c r="F73" s="126"/>
      <c r="G73" s="126"/>
      <c r="H73" s="125"/>
      <c r="I73" s="125"/>
      <c r="J73" s="126"/>
      <c r="K73" s="125"/>
    </row>
    <row r="74" spans="1:14" x14ac:dyDescent="0.25">
      <c r="A74" s="123"/>
      <c r="B74" s="133"/>
      <c r="C74" s="131"/>
      <c r="D74" s="126"/>
      <c r="E74" s="126"/>
      <c r="F74" s="126"/>
      <c r="G74" s="126"/>
      <c r="H74" s="125"/>
      <c r="I74" s="125"/>
      <c r="J74" s="126"/>
      <c r="K74" s="125"/>
    </row>
    <row r="75" spans="1:14" x14ac:dyDescent="0.25">
      <c r="A75" s="123"/>
      <c r="B75" s="133"/>
      <c r="C75" s="131"/>
      <c r="D75" s="126"/>
      <c r="E75" s="126"/>
      <c r="F75" s="126"/>
      <c r="G75" s="126"/>
      <c r="H75" s="125"/>
      <c r="I75" s="125"/>
      <c r="J75" s="126"/>
      <c r="K75" s="125"/>
    </row>
    <row r="76" spans="1:14" x14ac:dyDescent="0.25">
      <c r="A76" s="123"/>
      <c r="B76" s="133"/>
      <c r="C76" s="131"/>
      <c r="D76" s="126"/>
      <c r="E76" s="126"/>
      <c r="F76" s="126"/>
      <c r="G76" s="126"/>
      <c r="H76" s="125"/>
      <c r="I76" s="125"/>
      <c r="J76" s="126"/>
      <c r="K76" s="125"/>
    </row>
    <row r="77" spans="1:14" x14ac:dyDescent="0.25">
      <c r="A77" s="123"/>
      <c r="B77" s="133"/>
      <c r="C77" s="131"/>
      <c r="D77" s="126"/>
      <c r="E77" s="126"/>
      <c r="F77" s="126"/>
      <c r="G77" s="126"/>
      <c r="H77" s="125"/>
      <c r="I77" s="125"/>
      <c r="J77" s="126"/>
      <c r="K77" s="125"/>
    </row>
    <row r="78" spans="1:14" x14ac:dyDescent="0.25">
      <c r="A78" s="123"/>
      <c r="B78" s="133"/>
      <c r="C78" s="131"/>
      <c r="D78" s="126"/>
      <c r="E78" s="126"/>
      <c r="F78" s="126"/>
      <c r="G78" s="126"/>
      <c r="H78" s="125"/>
      <c r="I78" s="125"/>
      <c r="J78" s="126"/>
      <c r="K78" s="125"/>
    </row>
    <row r="79" spans="1:14" x14ac:dyDescent="0.25">
      <c r="A79" s="123"/>
      <c r="B79" s="133"/>
      <c r="C79" s="131"/>
      <c r="D79" s="126"/>
      <c r="E79" s="126"/>
      <c r="F79" s="126"/>
      <c r="G79" s="126"/>
      <c r="H79" s="125"/>
      <c r="I79" s="125"/>
      <c r="J79" s="126"/>
      <c r="K79" s="125"/>
    </row>
    <row r="80" spans="1:14" x14ac:dyDescent="0.25">
      <c r="A80" s="123"/>
      <c r="B80" s="133"/>
      <c r="C80" s="131"/>
      <c r="D80" s="126"/>
      <c r="E80" s="126"/>
      <c r="F80" s="126"/>
      <c r="G80" s="126"/>
      <c r="H80" s="125"/>
      <c r="I80" s="125"/>
      <c r="J80" s="126"/>
      <c r="K80" s="125"/>
    </row>
    <row r="81" spans="1:13" x14ac:dyDescent="0.25">
      <c r="A81" s="123"/>
      <c r="B81" s="133"/>
      <c r="C81" s="128"/>
      <c r="D81" s="129"/>
      <c r="E81" s="129"/>
      <c r="F81" s="129"/>
      <c r="G81" s="129"/>
      <c r="H81" s="125"/>
      <c r="I81" s="125"/>
      <c r="J81" s="126"/>
      <c r="K81" s="125"/>
    </row>
    <row r="82" spans="1:13" x14ac:dyDescent="0.25">
      <c r="A82" s="123"/>
      <c r="B82" s="133"/>
      <c r="C82" s="131"/>
      <c r="D82" s="126"/>
      <c r="E82" s="126"/>
      <c r="F82" s="126"/>
      <c r="G82" s="126"/>
      <c r="H82" s="125"/>
      <c r="I82" s="125"/>
      <c r="J82" s="126"/>
      <c r="K82" s="125"/>
    </row>
    <row r="83" spans="1:13" x14ac:dyDescent="0.25">
      <c r="A83" s="123"/>
      <c r="B83" s="133"/>
      <c r="C83" s="131"/>
      <c r="D83" s="126"/>
      <c r="E83" s="126"/>
      <c r="F83" s="126"/>
      <c r="G83" s="126"/>
      <c r="H83" s="125"/>
      <c r="I83" s="125"/>
      <c r="J83" s="126"/>
      <c r="K83" s="125"/>
    </row>
    <row r="84" spans="1:13" x14ac:dyDescent="0.25">
      <c r="A84" s="123"/>
      <c r="B84" s="133"/>
      <c r="C84" s="131"/>
      <c r="D84" s="126"/>
      <c r="E84" s="126"/>
      <c r="F84" s="126"/>
      <c r="G84" s="126"/>
      <c r="H84" s="125"/>
      <c r="I84" s="125"/>
      <c r="J84" s="126"/>
      <c r="K84" s="125"/>
    </row>
    <row r="85" spans="1:13" x14ac:dyDescent="0.25">
      <c r="A85" s="123"/>
      <c r="B85" s="133"/>
      <c r="C85" s="131"/>
      <c r="D85" s="126"/>
      <c r="E85" s="126"/>
      <c r="F85" s="126"/>
      <c r="G85" s="126"/>
      <c r="H85" s="125"/>
      <c r="I85" s="125"/>
      <c r="J85" s="126"/>
      <c r="K85" s="125"/>
    </row>
    <row r="86" spans="1:13" x14ac:dyDescent="0.25">
      <c r="A86" s="123"/>
      <c r="B86" s="130" t="s">
        <v>16</v>
      </c>
      <c r="C86" s="131"/>
      <c r="D86" s="126"/>
      <c r="E86" s="126"/>
      <c r="F86" s="126"/>
      <c r="G86" s="132">
        <f>SUM(G65:G85)</f>
        <v>0</v>
      </c>
      <c r="H86" s="123" t="s">
        <v>18</v>
      </c>
      <c r="I86" s="134">
        <v>14520.78</v>
      </c>
      <c r="J86" s="135">
        <f>G86*I86</f>
        <v>0</v>
      </c>
      <c r="K86" s="125"/>
    </row>
    <row r="87" spans="1:13" x14ac:dyDescent="0.25">
      <c r="A87" s="123"/>
      <c r="B87" s="130" t="s">
        <v>17</v>
      </c>
      <c r="C87" s="131"/>
      <c r="D87" s="126"/>
      <c r="E87" s="126"/>
      <c r="F87" s="126"/>
      <c r="G87" s="126"/>
      <c r="H87" s="125"/>
      <c r="I87" s="136"/>
      <c r="J87" s="135">
        <f>0.13*G86*(10555.39)</f>
        <v>0</v>
      </c>
      <c r="K87" s="125"/>
    </row>
    <row r="88" spans="1:13" x14ac:dyDescent="0.25">
      <c r="A88" s="123"/>
      <c r="B88" s="130"/>
      <c r="C88" s="131"/>
      <c r="D88" s="126"/>
      <c r="E88" s="126"/>
      <c r="F88" s="126"/>
      <c r="G88" s="126"/>
      <c r="H88" s="125"/>
      <c r="I88" s="136"/>
      <c r="J88" s="135"/>
      <c r="K88" s="125"/>
    </row>
    <row r="89" spans="1:13" s="140" customFormat="1" ht="30" x14ac:dyDescent="0.25">
      <c r="A89" s="20">
        <v>8</v>
      </c>
      <c r="B89" s="139" t="s">
        <v>31</v>
      </c>
      <c r="C89" s="21"/>
      <c r="D89" s="22"/>
      <c r="E89" s="23"/>
      <c r="F89" s="23"/>
      <c r="G89" s="7"/>
      <c r="H89" s="6"/>
      <c r="I89" s="7"/>
      <c r="J89" s="132"/>
      <c r="K89" s="23"/>
    </row>
    <row r="90" spans="1:13" x14ac:dyDescent="0.25">
      <c r="A90" s="123"/>
      <c r="B90" s="133"/>
      <c r="C90" s="144"/>
      <c r="D90" s="144"/>
      <c r="E90" s="144"/>
      <c r="F90" s="144"/>
      <c r="G90" s="144"/>
      <c r="H90" s="125"/>
      <c r="I90" s="125"/>
      <c r="J90" s="126"/>
      <c r="K90" s="125"/>
      <c r="M90" s="116">
        <f>0.4*3.281</f>
        <v>1.3124000000000002</v>
      </c>
    </row>
    <row r="91" spans="1:13" x14ac:dyDescent="0.25">
      <c r="A91" s="123"/>
      <c r="B91" s="133"/>
      <c r="C91" s="131"/>
      <c r="D91" s="126"/>
      <c r="E91" s="126"/>
      <c r="F91" s="126"/>
      <c r="G91" s="126"/>
      <c r="H91" s="125"/>
      <c r="I91" s="125"/>
      <c r="J91" s="126"/>
      <c r="K91" s="125"/>
    </row>
    <row r="92" spans="1:13" x14ac:dyDescent="0.25">
      <c r="A92" s="123"/>
      <c r="B92" s="133"/>
      <c r="C92" s="270"/>
      <c r="D92" s="126"/>
      <c r="E92" s="126"/>
      <c r="F92" s="272"/>
      <c r="G92" s="126"/>
      <c r="H92" s="125"/>
      <c r="I92" s="125"/>
      <c r="J92" s="126"/>
      <c r="K92" s="125"/>
      <c r="M92" s="143"/>
    </row>
    <row r="93" spans="1:13" x14ac:dyDescent="0.25">
      <c r="A93" s="123"/>
      <c r="B93" s="133"/>
      <c r="C93" s="271"/>
      <c r="D93" s="126"/>
      <c r="E93" s="126"/>
      <c r="F93" s="273"/>
      <c r="G93" s="126"/>
      <c r="H93" s="125"/>
      <c r="I93" s="125"/>
      <c r="J93" s="126"/>
      <c r="K93" s="125"/>
    </row>
    <row r="94" spans="1:13" x14ac:dyDescent="0.25">
      <c r="A94" s="123"/>
      <c r="B94" s="133"/>
      <c r="C94" s="270"/>
      <c r="D94" s="126"/>
      <c r="E94" s="126"/>
      <c r="F94" s="272"/>
      <c r="G94" s="126"/>
      <c r="H94" s="125"/>
      <c r="I94" s="125"/>
      <c r="J94" s="126"/>
      <c r="K94" s="125"/>
    </row>
    <row r="95" spans="1:13" x14ac:dyDescent="0.25">
      <c r="A95" s="123"/>
      <c r="B95" s="133"/>
      <c r="C95" s="271"/>
      <c r="D95" s="126"/>
      <c r="E95" s="126"/>
      <c r="F95" s="273"/>
      <c r="G95" s="126"/>
      <c r="H95" s="125"/>
      <c r="I95" s="125"/>
      <c r="J95" s="126"/>
      <c r="K95" s="125"/>
    </row>
    <row r="96" spans="1:13" x14ac:dyDescent="0.25">
      <c r="A96" s="123"/>
      <c r="B96" s="133"/>
      <c r="C96" s="270"/>
      <c r="D96" s="126"/>
      <c r="E96" s="126"/>
      <c r="F96" s="272"/>
      <c r="G96" s="126"/>
      <c r="H96" s="125"/>
      <c r="I96" s="125"/>
      <c r="J96" s="126"/>
      <c r="K96" s="125"/>
    </row>
    <row r="97" spans="1:14" x14ac:dyDescent="0.25">
      <c r="A97" s="123"/>
      <c r="B97" s="133"/>
      <c r="C97" s="271"/>
      <c r="D97" s="126"/>
      <c r="E97" s="126"/>
      <c r="F97" s="273"/>
      <c r="G97" s="126"/>
      <c r="H97" s="125"/>
      <c r="I97" s="125"/>
      <c r="J97" s="126"/>
      <c r="K97" s="125"/>
    </row>
    <row r="98" spans="1:14" x14ac:dyDescent="0.25">
      <c r="A98" s="123"/>
      <c r="B98" s="133"/>
      <c r="C98" s="131"/>
      <c r="D98" s="126"/>
      <c r="E98" s="126"/>
      <c r="F98" s="126"/>
      <c r="G98" s="126"/>
      <c r="H98" s="125"/>
      <c r="I98" s="125"/>
      <c r="J98" s="126"/>
      <c r="K98" s="125"/>
      <c r="M98" s="116">
        <f>F98*3.281</f>
        <v>0</v>
      </c>
    </row>
    <row r="99" spans="1:14" x14ac:dyDescent="0.25">
      <c r="A99" s="123"/>
      <c r="B99" s="133"/>
      <c r="C99" s="131"/>
      <c r="D99" s="126"/>
      <c r="E99" s="126"/>
      <c r="F99" s="126"/>
      <c r="G99" s="126"/>
      <c r="H99" s="125"/>
      <c r="I99" s="125"/>
      <c r="J99" s="126"/>
      <c r="K99" s="125"/>
    </row>
    <row r="100" spans="1:14" x14ac:dyDescent="0.25">
      <c r="A100" s="123"/>
      <c r="B100" s="127"/>
      <c r="C100" s="128"/>
      <c r="D100" s="129"/>
      <c r="E100" s="129"/>
      <c r="F100" s="129"/>
      <c r="G100" s="129"/>
      <c r="H100" s="125"/>
      <c r="I100" s="125"/>
      <c r="J100" s="126"/>
      <c r="K100" s="125"/>
      <c r="N100" s="116">
        <f>0.33+1.71+1.27+0.34</f>
        <v>3.65</v>
      </c>
    </row>
    <row r="101" spans="1:14" x14ac:dyDescent="0.25">
      <c r="A101" s="123"/>
      <c r="B101" s="127"/>
      <c r="C101" s="128"/>
      <c r="D101" s="129"/>
      <c r="E101" s="129"/>
      <c r="F101" s="129"/>
      <c r="G101" s="129"/>
      <c r="H101" s="125"/>
      <c r="I101" s="125"/>
      <c r="J101" s="126"/>
      <c r="K101" s="125"/>
    </row>
    <row r="102" spans="1:14" x14ac:dyDescent="0.25">
      <c r="A102" s="123"/>
      <c r="B102" s="127"/>
      <c r="C102" s="128"/>
      <c r="D102" s="129"/>
      <c r="E102" s="129"/>
      <c r="F102" s="129"/>
      <c r="G102" s="129"/>
      <c r="H102" s="125"/>
      <c r="I102" s="125"/>
      <c r="J102" s="126"/>
      <c r="K102" s="125"/>
    </row>
    <row r="103" spans="1:14" x14ac:dyDescent="0.25">
      <c r="A103" s="123"/>
      <c r="B103" s="127"/>
      <c r="C103" s="128"/>
      <c r="D103" s="129"/>
      <c r="E103" s="129"/>
      <c r="F103" s="129"/>
      <c r="G103" s="129"/>
      <c r="H103" s="125"/>
      <c r="I103" s="125"/>
      <c r="J103" s="126"/>
      <c r="K103" s="125"/>
    </row>
    <row r="104" spans="1:14" x14ac:dyDescent="0.25">
      <c r="A104" s="123"/>
      <c r="B104" s="127"/>
      <c r="C104" s="128"/>
      <c r="D104" s="145"/>
      <c r="E104" s="129"/>
      <c r="F104" s="129"/>
      <c r="G104" s="129"/>
      <c r="H104" s="125"/>
      <c r="I104" s="125"/>
      <c r="J104" s="126"/>
      <c r="K104" s="125"/>
    </row>
    <row r="105" spans="1:14" x14ac:dyDescent="0.25">
      <c r="A105" s="123"/>
      <c r="B105" s="127"/>
      <c r="C105" s="128"/>
      <c r="D105" s="145"/>
      <c r="E105" s="129"/>
      <c r="F105" s="129"/>
      <c r="G105" s="129"/>
      <c r="H105" s="125"/>
      <c r="I105" s="125"/>
      <c r="J105" s="126"/>
      <c r="K105" s="125"/>
    </row>
    <row r="106" spans="1:14" x14ac:dyDescent="0.25">
      <c r="A106" s="123"/>
      <c r="B106" s="127"/>
      <c r="C106" s="128"/>
      <c r="D106" s="129"/>
      <c r="E106" s="129"/>
      <c r="F106" s="129"/>
      <c r="G106" s="129"/>
      <c r="H106" s="125"/>
      <c r="I106" s="125"/>
      <c r="J106" s="126"/>
      <c r="K106" s="125"/>
    </row>
    <row r="107" spans="1:14" x14ac:dyDescent="0.25">
      <c r="A107" s="123"/>
      <c r="B107" s="127"/>
      <c r="C107" s="128"/>
      <c r="D107" s="129"/>
      <c r="E107" s="129"/>
      <c r="F107" s="129"/>
      <c r="G107" s="129"/>
      <c r="H107" s="125"/>
      <c r="I107" s="125"/>
      <c r="J107" s="126"/>
      <c r="K107" s="125"/>
    </row>
    <row r="108" spans="1:14" x14ac:dyDescent="0.25">
      <c r="A108" s="123"/>
      <c r="B108" s="127"/>
      <c r="C108" s="128"/>
      <c r="D108" s="129"/>
      <c r="E108" s="129"/>
      <c r="F108" s="129"/>
      <c r="G108" s="129"/>
      <c r="H108" s="125"/>
      <c r="I108" s="125"/>
      <c r="J108" s="126"/>
      <c r="K108" s="125"/>
    </row>
    <row r="109" spans="1:14" x14ac:dyDescent="0.25">
      <c r="A109" s="123"/>
      <c r="B109" s="127"/>
      <c r="C109" s="128"/>
      <c r="D109" s="129"/>
      <c r="E109" s="129"/>
      <c r="F109" s="129"/>
      <c r="G109" s="129"/>
      <c r="H109" s="125"/>
      <c r="I109" s="125"/>
      <c r="J109" s="126"/>
      <c r="K109" s="125"/>
    </row>
    <row r="110" spans="1:14" x14ac:dyDescent="0.25">
      <c r="A110" s="123"/>
      <c r="B110" s="127"/>
      <c r="C110" s="128"/>
      <c r="D110" s="129"/>
      <c r="E110" s="129"/>
      <c r="F110" s="129"/>
      <c r="G110" s="129"/>
      <c r="H110" s="125"/>
      <c r="I110" s="125"/>
      <c r="J110" s="126"/>
      <c r="K110" s="125"/>
    </row>
    <row r="111" spans="1:14" x14ac:dyDescent="0.25">
      <c r="A111" s="123"/>
      <c r="B111" s="127"/>
      <c r="C111" s="128"/>
      <c r="D111" s="129"/>
      <c r="E111" s="129"/>
      <c r="F111" s="129"/>
      <c r="G111" s="129"/>
      <c r="H111" s="125"/>
      <c r="I111" s="125"/>
      <c r="J111" s="126"/>
      <c r="K111" s="125"/>
    </row>
    <row r="112" spans="1:14" ht="15" customHeight="1" x14ac:dyDescent="0.25">
      <c r="A112" s="123"/>
      <c r="B112" s="142" t="s">
        <v>16</v>
      </c>
      <c r="C112" s="131"/>
      <c r="D112" s="126"/>
      <c r="E112" s="126"/>
      <c r="F112" s="126"/>
      <c r="G112" s="132">
        <f>SUM(G91:G111)</f>
        <v>0</v>
      </c>
      <c r="H112" s="132" t="s">
        <v>18</v>
      </c>
      <c r="I112" s="134">
        <v>14200.82</v>
      </c>
      <c r="J112" s="135">
        <f>G112*I112</f>
        <v>0</v>
      </c>
      <c r="K112" s="125"/>
    </row>
    <row r="113" spans="1:11" ht="15" customHeight="1" x14ac:dyDescent="0.25">
      <c r="A113" s="20"/>
      <c r="B113" s="142" t="s">
        <v>41</v>
      </c>
      <c r="C113" s="21"/>
      <c r="D113" s="22"/>
      <c r="E113" s="23"/>
      <c r="F113" s="23"/>
      <c r="G113" s="7"/>
      <c r="H113" s="6"/>
      <c r="I113" s="7"/>
      <c r="J113" s="132">
        <f>0.13*G112*10250.02</f>
        <v>0</v>
      </c>
      <c r="K113" s="23"/>
    </row>
    <row r="114" spans="1:11" ht="15" customHeight="1" x14ac:dyDescent="0.25">
      <c r="A114" s="20"/>
      <c r="B114" s="142"/>
      <c r="C114" s="21"/>
      <c r="D114" s="22"/>
      <c r="E114" s="23"/>
      <c r="F114" s="23"/>
      <c r="G114" s="7"/>
      <c r="H114" s="6"/>
      <c r="I114" s="7"/>
      <c r="J114" s="132"/>
      <c r="K114" s="23"/>
    </row>
    <row r="115" spans="1:11" ht="30" x14ac:dyDescent="0.25">
      <c r="A115" s="60">
        <v>9</v>
      </c>
      <c r="B115" s="146" t="s">
        <v>32</v>
      </c>
      <c r="C115" s="128"/>
      <c r="D115" s="129"/>
      <c r="E115" s="129"/>
      <c r="F115" s="129"/>
      <c r="G115" s="147"/>
      <c r="H115" s="148"/>
      <c r="I115" s="147"/>
      <c r="J115" s="147"/>
      <c r="K115" s="23"/>
    </row>
    <row r="116" spans="1:11" x14ac:dyDescent="0.25">
      <c r="A116" s="148"/>
      <c r="B116" s="127"/>
      <c r="C116" s="128"/>
      <c r="D116" s="129"/>
      <c r="E116" s="129"/>
      <c r="F116" s="129"/>
      <c r="G116" s="129"/>
      <c r="H116" s="149"/>
      <c r="I116" s="149"/>
      <c r="J116" s="129"/>
      <c r="K116" s="125"/>
    </row>
    <row r="117" spans="1:11" x14ac:dyDescent="0.25">
      <c r="A117" s="148"/>
      <c r="B117" s="127"/>
      <c r="C117" s="128"/>
      <c r="D117" s="129"/>
      <c r="E117" s="129"/>
      <c r="F117" s="129"/>
      <c r="G117" s="129"/>
      <c r="H117" s="149"/>
      <c r="I117" s="149"/>
      <c r="J117" s="129"/>
      <c r="K117" s="125"/>
    </row>
    <row r="118" spans="1:11" x14ac:dyDescent="0.25">
      <c r="A118" s="148"/>
      <c r="B118" s="141"/>
      <c r="C118" s="128"/>
      <c r="D118" s="129"/>
      <c r="E118" s="129"/>
      <c r="F118" s="129"/>
      <c r="G118" s="129"/>
      <c r="H118" s="149"/>
      <c r="I118" s="149"/>
      <c r="J118" s="129"/>
      <c r="K118" s="125"/>
    </row>
    <row r="119" spans="1:11" x14ac:dyDescent="0.25">
      <c r="A119" s="148"/>
      <c r="B119" s="138"/>
      <c r="C119" s="128"/>
      <c r="D119" s="129"/>
      <c r="E119" s="129"/>
      <c r="F119" s="129"/>
      <c r="G119" s="129"/>
      <c r="H119" s="149"/>
      <c r="I119" s="149"/>
      <c r="J119" s="129"/>
      <c r="K119" s="125"/>
    </row>
    <row r="120" spans="1:11" x14ac:dyDescent="0.25">
      <c r="A120" s="148"/>
      <c r="B120" s="138"/>
      <c r="C120" s="128"/>
      <c r="D120" s="129"/>
      <c r="E120" s="129"/>
      <c r="F120" s="129"/>
      <c r="G120" s="129"/>
      <c r="H120" s="149"/>
      <c r="I120" s="149"/>
      <c r="J120" s="129"/>
      <c r="K120" s="125"/>
    </row>
    <row r="121" spans="1:11" x14ac:dyDescent="0.25">
      <c r="A121" s="148"/>
      <c r="B121" s="138"/>
      <c r="C121" s="128"/>
      <c r="D121" s="129"/>
      <c r="E121" s="129"/>
      <c r="F121" s="129"/>
      <c r="G121" s="129"/>
      <c r="H121" s="149"/>
      <c r="I121" s="149"/>
      <c r="J121" s="129"/>
      <c r="K121" s="125"/>
    </row>
    <row r="122" spans="1:11" x14ac:dyDescent="0.25">
      <c r="A122" s="148"/>
      <c r="B122" s="138"/>
      <c r="C122" s="128"/>
      <c r="D122" s="129"/>
      <c r="E122" s="129"/>
      <c r="F122" s="129"/>
      <c r="G122" s="129"/>
      <c r="H122" s="149"/>
      <c r="I122" s="149"/>
      <c r="J122" s="129"/>
      <c r="K122" s="125"/>
    </row>
    <row r="123" spans="1:11" x14ac:dyDescent="0.25">
      <c r="A123" s="148"/>
      <c r="B123" s="138"/>
      <c r="C123" s="128"/>
      <c r="D123" s="129"/>
      <c r="E123" s="129"/>
      <c r="F123" s="129"/>
      <c r="G123" s="129"/>
      <c r="H123" s="149"/>
      <c r="I123" s="149"/>
      <c r="J123" s="129"/>
      <c r="K123" s="125"/>
    </row>
    <row r="124" spans="1:11" x14ac:dyDescent="0.25">
      <c r="A124" s="148"/>
      <c r="B124" s="138"/>
      <c r="C124" s="128"/>
      <c r="D124" s="129"/>
      <c r="E124" s="129"/>
      <c r="F124" s="129"/>
      <c r="G124" s="129"/>
      <c r="H124" s="149"/>
      <c r="I124" s="149"/>
      <c r="J124" s="129"/>
      <c r="K124" s="125"/>
    </row>
    <row r="125" spans="1:11" x14ac:dyDescent="0.25">
      <c r="A125" s="148"/>
      <c r="B125" s="138"/>
      <c r="C125" s="128"/>
      <c r="D125" s="129"/>
      <c r="E125" s="129"/>
      <c r="F125" s="129"/>
      <c r="G125" s="129"/>
      <c r="H125" s="149"/>
      <c r="I125" s="149"/>
      <c r="J125" s="129"/>
      <c r="K125" s="125"/>
    </row>
    <row r="126" spans="1:11" x14ac:dyDescent="0.25">
      <c r="A126" s="148"/>
      <c r="B126" s="138"/>
      <c r="C126" s="128"/>
      <c r="D126" s="129"/>
      <c r="E126" s="129"/>
      <c r="F126" s="129"/>
      <c r="G126" s="129"/>
      <c r="H126" s="149"/>
      <c r="I126" s="149"/>
      <c r="J126" s="129"/>
      <c r="K126" s="125"/>
    </row>
    <row r="127" spans="1:11" x14ac:dyDescent="0.25">
      <c r="A127" s="148"/>
      <c r="B127" s="138"/>
      <c r="C127" s="128"/>
      <c r="D127" s="129"/>
      <c r="E127" s="129"/>
      <c r="F127" s="129"/>
      <c r="G127" s="129"/>
      <c r="H127" s="149"/>
      <c r="I127" s="149"/>
      <c r="J127" s="129"/>
      <c r="K127" s="125"/>
    </row>
    <row r="128" spans="1:11" x14ac:dyDescent="0.25">
      <c r="A128" s="148"/>
      <c r="B128" s="138"/>
      <c r="C128" s="128"/>
      <c r="D128" s="129"/>
      <c r="E128" s="129"/>
      <c r="F128" s="129"/>
      <c r="G128" s="129"/>
      <c r="H128" s="149"/>
      <c r="I128" s="149"/>
      <c r="J128" s="129"/>
      <c r="K128" s="125"/>
    </row>
    <row r="129" spans="1:15" x14ac:dyDescent="0.25">
      <c r="A129" s="148"/>
      <c r="B129" s="127"/>
      <c r="C129" s="128"/>
      <c r="D129" s="129"/>
      <c r="E129" s="129"/>
      <c r="F129" s="129"/>
      <c r="G129" s="129"/>
      <c r="H129" s="149"/>
      <c r="I129" s="149"/>
      <c r="J129" s="129"/>
      <c r="K129" s="125"/>
    </row>
    <row r="130" spans="1:15" ht="15" customHeight="1" x14ac:dyDescent="0.25">
      <c r="A130" s="148"/>
      <c r="B130" s="150" t="s">
        <v>16</v>
      </c>
      <c r="C130" s="151"/>
      <c r="D130" s="152"/>
      <c r="E130" s="152"/>
      <c r="F130" s="152"/>
      <c r="G130" s="153">
        <f>SUM(G116:G129)</f>
        <v>0</v>
      </c>
      <c r="H130" s="153" t="s">
        <v>23</v>
      </c>
      <c r="I130" s="6">
        <v>905.97</v>
      </c>
      <c r="J130" s="154">
        <f>G130*I130</f>
        <v>0</v>
      </c>
      <c r="K130" s="125"/>
    </row>
    <row r="131" spans="1:15" ht="15" customHeight="1" x14ac:dyDescent="0.25">
      <c r="A131" s="60"/>
      <c r="B131" s="150" t="s">
        <v>30</v>
      </c>
      <c r="C131" s="21"/>
      <c r="D131" s="22"/>
      <c r="E131" s="23"/>
      <c r="F131" s="23"/>
      <c r="G131" s="7"/>
      <c r="H131" s="6"/>
      <c r="I131" s="7"/>
      <c r="J131" s="153">
        <f>0.13*G130*46827.87/100</f>
        <v>0</v>
      </c>
      <c r="K131" s="23"/>
    </row>
    <row r="132" spans="1:15" ht="15" customHeight="1" x14ac:dyDescent="0.25">
      <c r="A132" s="20"/>
      <c r="B132" s="142"/>
      <c r="C132" s="21"/>
      <c r="D132" s="22"/>
      <c r="E132" s="23"/>
      <c r="F132" s="23"/>
      <c r="G132" s="7"/>
      <c r="H132" s="6"/>
      <c r="I132" s="7"/>
      <c r="J132" s="132"/>
      <c r="K132" s="23"/>
    </row>
    <row r="133" spans="1:15" ht="45" x14ac:dyDescent="0.25">
      <c r="A133" s="20">
        <v>10</v>
      </c>
      <c r="B133" s="139" t="s">
        <v>33</v>
      </c>
      <c r="C133" s="131" t="s">
        <v>8</v>
      </c>
      <c r="D133" s="155" t="s">
        <v>22</v>
      </c>
      <c r="E133" s="155" t="s">
        <v>34</v>
      </c>
      <c r="F133" s="155" t="s">
        <v>35</v>
      </c>
      <c r="G133" s="155" t="s">
        <v>36</v>
      </c>
      <c r="H133" s="123"/>
      <c r="I133" s="132"/>
      <c r="J133" s="132"/>
      <c r="K133" s="23"/>
    </row>
    <row r="134" spans="1:15" ht="15" customHeight="1" x14ac:dyDescent="0.25">
      <c r="A134" s="20"/>
      <c r="B134" s="141"/>
      <c r="C134" s="47"/>
      <c r="D134" s="129"/>
      <c r="E134" s="129"/>
      <c r="F134" s="129"/>
      <c r="G134" s="129"/>
      <c r="H134" s="6"/>
      <c r="I134" s="7"/>
      <c r="J134" s="132"/>
      <c r="K134" s="23"/>
    </row>
    <row r="135" spans="1:15" ht="15" customHeight="1" x14ac:dyDescent="0.25">
      <c r="A135" s="20"/>
      <c r="B135" s="141"/>
      <c r="C135" s="47"/>
      <c r="D135" s="129"/>
      <c r="E135" s="129"/>
      <c r="F135" s="129"/>
      <c r="G135" s="129"/>
      <c r="H135" s="6"/>
      <c r="I135" s="7"/>
      <c r="J135" s="132"/>
      <c r="K135" s="23"/>
    </row>
    <row r="136" spans="1:15" ht="15" customHeight="1" x14ac:dyDescent="0.25">
      <c r="A136" s="20"/>
      <c r="B136" s="141"/>
      <c r="C136" s="47"/>
      <c r="D136" s="129"/>
      <c r="E136" s="129"/>
      <c r="F136" s="129"/>
      <c r="G136" s="129"/>
      <c r="H136" s="6"/>
      <c r="I136" s="7"/>
      <c r="J136" s="132"/>
      <c r="K136" s="23"/>
    </row>
    <row r="137" spans="1:15" ht="15" customHeight="1" x14ac:dyDescent="0.25">
      <c r="A137" s="20"/>
      <c r="B137" s="141"/>
      <c r="C137" s="47"/>
      <c r="D137" s="129"/>
      <c r="E137" s="129"/>
      <c r="F137" s="129"/>
      <c r="G137" s="129"/>
      <c r="H137" s="6"/>
      <c r="I137" s="7"/>
      <c r="J137" s="132"/>
      <c r="K137" s="23"/>
    </row>
    <row r="138" spans="1:15" ht="15" customHeight="1" x14ac:dyDescent="0.25">
      <c r="A138" s="20"/>
      <c r="B138" s="141"/>
      <c r="C138" s="47"/>
      <c r="D138" s="129"/>
      <c r="E138" s="129"/>
      <c r="F138" s="129"/>
      <c r="G138" s="129"/>
      <c r="H138" s="6"/>
      <c r="I138" s="7"/>
      <c r="J138" s="132"/>
      <c r="K138" s="23"/>
      <c r="N138" s="116">
        <f>C139/6</f>
        <v>0</v>
      </c>
      <c r="O138" s="116">
        <f>N138-31</f>
        <v>-31</v>
      </c>
    </row>
    <row r="139" spans="1:15" ht="15" customHeight="1" x14ac:dyDescent="0.25">
      <c r="A139" s="20"/>
      <c r="B139" s="141"/>
      <c r="C139" s="47"/>
      <c r="D139" s="129"/>
      <c r="E139" s="129"/>
      <c r="F139" s="129"/>
      <c r="G139" s="129"/>
      <c r="H139" s="6"/>
      <c r="I139" s="7"/>
      <c r="J139" s="132"/>
      <c r="K139" s="23"/>
    </row>
    <row r="140" spans="1:15" ht="15" customHeight="1" x14ac:dyDescent="0.25">
      <c r="A140" s="20"/>
      <c r="B140" s="141"/>
      <c r="C140" s="47"/>
      <c r="D140" s="129"/>
      <c r="E140" s="129"/>
      <c r="F140" s="129"/>
      <c r="G140" s="129"/>
      <c r="H140" s="6"/>
      <c r="I140" s="7"/>
      <c r="J140" s="132"/>
      <c r="K140" s="23"/>
    </row>
    <row r="141" spans="1:15" ht="15" customHeight="1" x14ac:dyDescent="0.25">
      <c r="A141" s="20"/>
      <c r="B141" s="141"/>
      <c r="C141" s="47"/>
      <c r="D141" s="129"/>
      <c r="E141" s="129"/>
      <c r="F141" s="129"/>
      <c r="G141" s="129"/>
      <c r="H141" s="6"/>
      <c r="I141" s="7"/>
      <c r="J141" s="132"/>
      <c r="K141" s="23"/>
    </row>
    <row r="142" spans="1:15" ht="15" customHeight="1" x14ac:dyDescent="0.25">
      <c r="A142" s="20"/>
      <c r="B142" s="141"/>
      <c r="C142" s="47"/>
      <c r="D142" s="129"/>
      <c r="E142" s="129"/>
      <c r="F142" s="129"/>
      <c r="G142" s="129"/>
      <c r="H142" s="6"/>
      <c r="I142" s="7"/>
      <c r="J142" s="132"/>
      <c r="K142" s="23"/>
      <c r="N142" s="116">
        <f>C143/6</f>
        <v>0</v>
      </c>
      <c r="O142" s="116">
        <f>N142-31</f>
        <v>-31</v>
      </c>
    </row>
    <row r="143" spans="1:15" ht="15" customHeight="1" x14ac:dyDescent="0.25">
      <c r="A143" s="20"/>
      <c r="B143" s="141"/>
      <c r="C143" s="47"/>
      <c r="D143" s="129"/>
      <c r="E143" s="129"/>
      <c r="F143" s="129"/>
      <c r="G143" s="129"/>
      <c r="H143" s="6"/>
      <c r="I143" s="7"/>
      <c r="J143" s="132"/>
      <c r="K143" s="23"/>
    </row>
    <row r="144" spans="1:15" ht="15" customHeight="1" x14ac:dyDescent="0.25">
      <c r="A144" s="20"/>
      <c r="B144" s="141"/>
      <c r="C144" s="47"/>
      <c r="D144" s="129"/>
      <c r="E144" s="129"/>
      <c r="F144" s="129"/>
      <c r="G144" s="129"/>
      <c r="H144" s="6"/>
      <c r="I144" s="7"/>
      <c r="J144" s="132"/>
      <c r="K144" s="23"/>
    </row>
    <row r="145" spans="1:15" ht="15" customHeight="1" x14ac:dyDescent="0.25">
      <c r="A145" s="20"/>
      <c r="B145" s="141"/>
      <c r="C145" s="47"/>
      <c r="D145" s="129"/>
      <c r="E145" s="129"/>
      <c r="F145" s="129"/>
      <c r="G145" s="129"/>
      <c r="H145" s="6"/>
      <c r="I145" s="7"/>
      <c r="J145" s="132"/>
      <c r="K145" s="23"/>
    </row>
    <row r="146" spans="1:15" ht="15" customHeight="1" x14ac:dyDescent="0.25">
      <c r="A146" s="20"/>
      <c r="B146" s="141"/>
      <c r="C146" s="47"/>
      <c r="D146" s="129"/>
      <c r="E146" s="129"/>
      <c r="F146" s="129"/>
      <c r="G146" s="129"/>
      <c r="H146" s="6"/>
      <c r="I146" s="7"/>
      <c r="J146" s="132"/>
      <c r="K146" s="23"/>
      <c r="N146" s="116">
        <f>4/0.127</f>
        <v>31.496062992125985</v>
      </c>
      <c r="O146" s="116">
        <f>9.75/0.42</f>
        <v>23.214285714285715</v>
      </c>
    </row>
    <row r="147" spans="1:15" ht="15" customHeight="1" x14ac:dyDescent="0.25">
      <c r="A147" s="20"/>
      <c r="B147" s="141"/>
      <c r="C147" s="47"/>
      <c r="D147" s="129"/>
      <c r="E147" s="129"/>
      <c r="F147" s="129"/>
      <c r="G147" s="129"/>
      <c r="H147" s="6"/>
      <c r="I147" s="7"/>
      <c r="J147" s="132"/>
      <c r="K147" s="23"/>
    </row>
    <row r="148" spans="1:15" ht="15" customHeight="1" x14ac:dyDescent="0.25">
      <c r="A148" s="20"/>
      <c r="B148" s="141"/>
      <c r="C148" s="47"/>
      <c r="D148" s="129"/>
      <c r="E148" s="129"/>
      <c r="F148" s="129"/>
      <c r="G148" s="129"/>
      <c r="H148" s="6"/>
      <c r="I148" s="7"/>
      <c r="J148" s="132"/>
      <c r="K148" s="23"/>
      <c r="N148" s="116">
        <f>17/0.42</f>
        <v>40.476190476190474</v>
      </c>
    </row>
    <row r="149" spans="1:15" ht="15" customHeight="1" x14ac:dyDescent="0.25">
      <c r="A149" s="20"/>
      <c r="B149" s="141"/>
      <c r="C149" s="47"/>
      <c r="D149" s="129"/>
      <c r="E149" s="129"/>
      <c r="F149" s="129"/>
      <c r="G149" s="129"/>
      <c r="H149" s="6"/>
      <c r="I149" s="7"/>
      <c r="J149" s="132"/>
      <c r="K149" s="23"/>
    </row>
    <row r="150" spans="1:15" ht="15" customHeight="1" x14ac:dyDescent="0.25">
      <c r="A150" s="20"/>
      <c r="B150" s="141"/>
      <c r="C150" s="47"/>
      <c r="D150" s="129"/>
      <c r="E150" s="129"/>
      <c r="F150" s="129"/>
      <c r="G150" s="129"/>
      <c r="H150" s="6"/>
      <c r="I150" s="7"/>
      <c r="J150" s="132"/>
      <c r="K150" s="23"/>
      <c r="N150" s="116">
        <f>4/0.127</f>
        <v>31.496062992125985</v>
      </c>
      <c r="O150" s="116">
        <f>9.75/0.42</f>
        <v>23.214285714285715</v>
      </c>
    </row>
    <row r="151" spans="1:15" ht="15" customHeight="1" x14ac:dyDescent="0.25">
      <c r="A151" s="20"/>
      <c r="B151" s="141"/>
      <c r="C151" s="47"/>
      <c r="D151" s="129"/>
      <c r="E151" s="129"/>
      <c r="F151" s="129"/>
      <c r="G151" s="129"/>
      <c r="H151" s="6"/>
      <c r="I151" s="7"/>
      <c r="J151" s="132"/>
      <c r="K151" s="23"/>
    </row>
    <row r="152" spans="1:15" ht="15" customHeight="1" x14ac:dyDescent="0.25">
      <c r="A152" s="20"/>
      <c r="B152" s="141"/>
      <c r="C152" s="47"/>
      <c r="D152" s="129"/>
      <c r="E152" s="129"/>
      <c r="F152" s="129"/>
      <c r="G152" s="129"/>
      <c r="H152" s="6"/>
      <c r="I152" s="7"/>
      <c r="J152" s="132"/>
      <c r="K152" s="23"/>
    </row>
    <row r="153" spans="1:15" ht="15" customHeight="1" x14ac:dyDescent="0.25">
      <c r="A153" s="20"/>
      <c r="B153" s="141"/>
      <c r="C153" s="47"/>
      <c r="D153" s="129"/>
      <c r="E153" s="129"/>
      <c r="F153" s="129"/>
      <c r="G153" s="129"/>
      <c r="H153" s="6"/>
      <c r="I153" s="7"/>
      <c r="J153" s="132"/>
      <c r="K153" s="23"/>
    </row>
    <row r="154" spans="1:15" ht="15" customHeight="1" x14ac:dyDescent="0.25">
      <c r="A154" s="20"/>
      <c r="B154" s="141"/>
      <c r="C154" s="47"/>
      <c r="D154" s="129"/>
      <c r="E154" s="129"/>
      <c r="F154" s="129"/>
      <c r="G154" s="129"/>
      <c r="H154" s="6"/>
      <c r="I154" s="7"/>
      <c r="J154" s="132"/>
      <c r="K154" s="23"/>
    </row>
    <row r="155" spans="1:15" ht="15" customHeight="1" x14ac:dyDescent="0.25">
      <c r="A155" s="20"/>
      <c r="B155" s="141"/>
      <c r="C155" s="47"/>
      <c r="D155" s="129"/>
      <c r="E155" s="129"/>
      <c r="F155" s="129"/>
      <c r="G155" s="129"/>
      <c r="H155" s="6"/>
      <c r="I155" s="7"/>
      <c r="J155" s="132"/>
      <c r="K155" s="23"/>
    </row>
    <row r="156" spans="1:15" ht="15" customHeight="1" x14ac:dyDescent="0.25">
      <c r="A156" s="20"/>
      <c r="B156" s="141"/>
      <c r="C156" s="47"/>
      <c r="D156" s="129"/>
      <c r="E156" s="129"/>
      <c r="F156" s="129"/>
      <c r="G156" s="156"/>
      <c r="H156" s="6"/>
      <c r="I156" s="7"/>
      <c r="J156" s="132"/>
      <c r="K156" s="23"/>
      <c r="O156" s="116">
        <f>3.5/3.281</f>
        <v>1.0667479427003961</v>
      </c>
    </row>
    <row r="157" spans="1:15" ht="15" customHeight="1" x14ac:dyDescent="0.25">
      <c r="A157" s="20"/>
      <c r="B157" s="141"/>
      <c r="C157" s="47"/>
      <c r="D157" s="129"/>
      <c r="E157" s="129"/>
      <c r="F157" s="129"/>
      <c r="G157" s="156"/>
      <c r="H157" s="6"/>
      <c r="I157" s="7"/>
      <c r="J157" s="132"/>
      <c r="K157" s="23"/>
    </row>
    <row r="158" spans="1:15" ht="15" customHeight="1" x14ac:dyDescent="0.25">
      <c r="A158" s="20"/>
      <c r="B158" s="141"/>
      <c r="C158" s="47"/>
      <c r="D158" s="129"/>
      <c r="E158" s="129"/>
      <c r="F158" s="129"/>
      <c r="G158" s="156"/>
      <c r="H158" s="6"/>
      <c r="I158" s="7"/>
      <c r="J158" s="132"/>
      <c r="K158" s="23"/>
    </row>
    <row r="159" spans="1:15" ht="15" customHeight="1" x14ac:dyDescent="0.25">
      <c r="A159" s="20"/>
      <c r="B159" s="141"/>
      <c r="C159" s="47"/>
      <c r="D159" s="129"/>
      <c r="E159" s="129"/>
      <c r="F159" s="129"/>
      <c r="G159" s="129"/>
      <c r="H159" s="6"/>
      <c r="I159" s="7"/>
      <c r="J159" s="132"/>
      <c r="K159" s="23"/>
    </row>
    <row r="160" spans="1:15" ht="15" customHeight="1" x14ac:dyDescent="0.25">
      <c r="A160" s="20"/>
      <c r="B160" s="141"/>
      <c r="C160" s="47"/>
      <c r="D160" s="129"/>
      <c r="E160" s="129"/>
      <c r="F160" s="129"/>
      <c r="G160" s="129"/>
      <c r="H160" s="6"/>
      <c r="I160" s="7"/>
      <c r="J160" s="132"/>
      <c r="K160" s="23"/>
    </row>
    <row r="161" spans="1:17" ht="15" customHeight="1" x14ac:dyDescent="0.25">
      <c r="A161" s="20"/>
      <c r="B161" s="141"/>
      <c r="C161" s="47"/>
      <c r="D161" s="129"/>
      <c r="E161" s="129"/>
      <c r="F161" s="129"/>
      <c r="G161" s="129"/>
      <c r="H161" s="6"/>
      <c r="I161" s="7"/>
      <c r="J161" s="132"/>
      <c r="K161" s="23"/>
    </row>
    <row r="162" spans="1:17" ht="15" customHeight="1" x14ac:dyDescent="0.25">
      <c r="A162" s="20"/>
      <c r="B162" s="141"/>
      <c r="C162" s="47"/>
      <c r="D162" s="129"/>
      <c r="E162" s="129"/>
      <c r="F162" s="129"/>
      <c r="G162" s="156"/>
      <c r="H162" s="6"/>
      <c r="I162" s="7"/>
      <c r="J162" s="132"/>
      <c r="K162" s="23"/>
    </row>
    <row r="163" spans="1:17" ht="15" customHeight="1" x14ac:dyDescent="0.25">
      <c r="A163" s="20"/>
      <c r="B163" s="141"/>
      <c r="C163" s="47"/>
      <c r="D163" s="129"/>
      <c r="E163" s="129"/>
      <c r="F163" s="129"/>
      <c r="G163" s="156"/>
      <c r="H163" s="6"/>
      <c r="I163" s="7"/>
      <c r="J163" s="132"/>
      <c r="K163" s="23"/>
    </row>
    <row r="164" spans="1:17" ht="15" customHeight="1" x14ac:dyDescent="0.25">
      <c r="A164" s="20"/>
      <c r="B164" s="141"/>
      <c r="C164" s="47"/>
      <c r="D164" s="129"/>
      <c r="E164" s="129"/>
      <c r="F164" s="129"/>
      <c r="G164" s="156"/>
      <c r="H164" s="6"/>
      <c r="I164" s="7"/>
      <c r="J164" s="132"/>
      <c r="K164" s="23"/>
    </row>
    <row r="165" spans="1:17" ht="15" customHeight="1" x14ac:dyDescent="0.25">
      <c r="A165" s="20"/>
      <c r="B165" s="141"/>
      <c r="C165" s="47"/>
      <c r="D165" s="129"/>
      <c r="E165" s="129"/>
      <c r="F165" s="129"/>
      <c r="G165" s="156"/>
      <c r="H165" s="6"/>
      <c r="I165" s="7"/>
      <c r="J165" s="132"/>
      <c r="K165" s="23"/>
    </row>
    <row r="166" spans="1:17" ht="15" customHeight="1" x14ac:dyDescent="0.25">
      <c r="A166" s="20"/>
      <c r="B166" s="141"/>
      <c r="C166" s="47"/>
      <c r="D166" s="129"/>
      <c r="E166" s="129"/>
      <c r="F166" s="129"/>
      <c r="G166" s="156"/>
      <c r="H166" s="6"/>
      <c r="I166" s="7"/>
      <c r="J166" s="132"/>
      <c r="K166" s="23"/>
    </row>
    <row r="167" spans="1:17" ht="15" customHeight="1" x14ac:dyDescent="0.25">
      <c r="A167" s="20"/>
      <c r="B167" s="141"/>
      <c r="C167" s="47"/>
      <c r="D167" s="129"/>
      <c r="E167" s="129"/>
      <c r="F167" s="129"/>
      <c r="G167" s="156"/>
      <c r="H167" s="6"/>
      <c r="I167" s="7"/>
      <c r="J167" s="132"/>
      <c r="K167" s="23"/>
      <c r="O167" s="157">
        <f>SUM(G162:G175)</f>
        <v>0</v>
      </c>
      <c r="P167" s="157">
        <f>SUM(G177:G188)</f>
        <v>0</v>
      </c>
      <c r="Q167" s="157">
        <f>SUM(O167:P167)</f>
        <v>0</v>
      </c>
    </row>
    <row r="168" spans="1:17" ht="15" customHeight="1" x14ac:dyDescent="0.25">
      <c r="A168" s="20"/>
      <c r="B168" s="127"/>
      <c r="C168" s="47"/>
      <c r="D168" s="129"/>
      <c r="E168" s="129"/>
      <c r="F168" s="129"/>
      <c r="G168" s="156"/>
      <c r="H168" s="6"/>
      <c r="I168" s="7"/>
      <c r="J168" s="132"/>
      <c r="K168" s="23"/>
    </row>
    <row r="169" spans="1:17" ht="15" customHeight="1" x14ac:dyDescent="0.25">
      <c r="A169" s="20"/>
      <c r="B169" s="141"/>
      <c r="C169" s="47"/>
      <c r="D169" s="129"/>
      <c r="E169" s="129"/>
      <c r="F169" s="129"/>
      <c r="G169" s="156"/>
      <c r="H169" s="6"/>
      <c r="I169" s="7"/>
      <c r="J169" s="132"/>
      <c r="K169" s="23"/>
    </row>
    <row r="170" spans="1:17" ht="15" customHeight="1" x14ac:dyDescent="0.25">
      <c r="A170" s="20"/>
      <c r="B170" s="141"/>
      <c r="C170" s="47"/>
      <c r="D170" s="129"/>
      <c r="E170" s="129"/>
      <c r="F170" s="129"/>
      <c r="G170" s="156"/>
      <c r="H170" s="6"/>
      <c r="I170" s="7"/>
      <c r="J170" s="132"/>
      <c r="K170" s="23"/>
    </row>
    <row r="171" spans="1:17" ht="15" customHeight="1" x14ac:dyDescent="0.25">
      <c r="A171" s="20"/>
      <c r="B171" s="141"/>
      <c r="C171" s="47"/>
      <c r="D171" s="129"/>
      <c r="E171" s="129"/>
      <c r="F171" s="129"/>
      <c r="G171" s="156"/>
      <c r="H171" s="6"/>
      <c r="I171" s="7"/>
      <c r="J171" s="132"/>
      <c r="K171" s="23"/>
    </row>
    <row r="172" spans="1:17" ht="15" customHeight="1" x14ac:dyDescent="0.25">
      <c r="A172" s="20"/>
      <c r="B172" s="141"/>
      <c r="C172" s="47"/>
      <c r="D172" s="129"/>
      <c r="E172" s="129"/>
      <c r="F172" s="129"/>
      <c r="G172" s="156"/>
      <c r="H172" s="6"/>
      <c r="I172" s="7"/>
      <c r="J172" s="132"/>
      <c r="K172" s="23"/>
    </row>
    <row r="173" spans="1:17" ht="15" customHeight="1" x14ac:dyDescent="0.25">
      <c r="A173" s="20"/>
      <c r="B173" s="141"/>
      <c r="C173" s="47"/>
      <c r="D173" s="129"/>
      <c r="E173" s="129"/>
      <c r="F173" s="129"/>
      <c r="G173" s="156"/>
      <c r="H173" s="6"/>
      <c r="I173" s="7"/>
      <c r="J173" s="132"/>
      <c r="K173" s="23"/>
    </row>
    <row r="174" spans="1:17" ht="15" customHeight="1" x14ac:dyDescent="0.25">
      <c r="A174" s="20"/>
      <c r="B174" s="141"/>
      <c r="C174" s="47"/>
      <c r="D174" s="129"/>
      <c r="E174" s="129"/>
      <c r="F174" s="129"/>
      <c r="G174" s="156"/>
      <c r="H174" s="6"/>
      <c r="I174" s="7"/>
      <c r="J174" s="132"/>
      <c r="K174" s="23"/>
    </row>
    <row r="175" spans="1:17" ht="15" customHeight="1" x14ac:dyDescent="0.25">
      <c r="A175" s="20"/>
      <c r="B175" s="141"/>
      <c r="C175" s="47"/>
      <c r="D175" s="129"/>
      <c r="E175" s="129"/>
      <c r="F175" s="129"/>
      <c r="G175" s="156"/>
      <c r="H175" s="6"/>
      <c r="I175" s="7"/>
      <c r="J175" s="132"/>
      <c r="K175" s="23"/>
    </row>
    <row r="176" spans="1:17" x14ac:dyDescent="0.25">
      <c r="A176" s="123"/>
      <c r="B176" s="127"/>
      <c r="C176" s="128"/>
      <c r="D176" s="129"/>
      <c r="E176" s="129"/>
      <c r="F176" s="129"/>
      <c r="G176" s="129"/>
      <c r="H176" s="125"/>
      <c r="I176" s="125"/>
      <c r="J176" s="126"/>
      <c r="K176" s="125"/>
    </row>
    <row r="177" spans="1:19" x14ac:dyDescent="0.25">
      <c r="A177" s="123"/>
      <c r="B177" s="127"/>
      <c r="C177" s="128"/>
      <c r="D177" s="129"/>
      <c r="E177" s="129"/>
      <c r="F177" s="129"/>
      <c r="G177" s="156"/>
      <c r="H177" s="125"/>
      <c r="I177" s="125"/>
      <c r="J177" s="126"/>
      <c r="K177" s="125"/>
    </row>
    <row r="178" spans="1:19" x14ac:dyDescent="0.25">
      <c r="A178" s="123"/>
      <c r="B178" s="127"/>
      <c r="C178" s="128"/>
      <c r="D178" s="129"/>
      <c r="E178" s="129"/>
      <c r="F178" s="129"/>
      <c r="G178" s="156"/>
      <c r="H178" s="125"/>
      <c r="I178" s="125"/>
      <c r="J178" s="126"/>
      <c r="K178" s="125"/>
    </row>
    <row r="179" spans="1:19" x14ac:dyDescent="0.25">
      <c r="A179" s="123"/>
      <c r="B179" s="127"/>
      <c r="C179" s="128"/>
      <c r="D179" s="129"/>
      <c r="E179" s="129"/>
      <c r="F179" s="129"/>
      <c r="G179" s="156"/>
      <c r="H179" s="125"/>
      <c r="I179" s="125"/>
      <c r="J179" s="126"/>
      <c r="K179" s="125"/>
    </row>
    <row r="180" spans="1:19" x14ac:dyDescent="0.25">
      <c r="A180" s="123"/>
      <c r="B180" s="127"/>
      <c r="C180" s="128"/>
      <c r="D180" s="129"/>
      <c r="E180" s="129"/>
      <c r="F180" s="129"/>
      <c r="G180" s="156"/>
      <c r="H180" s="125"/>
      <c r="I180" s="125"/>
      <c r="J180" s="126"/>
      <c r="K180" s="125"/>
      <c r="M180" s="157"/>
    </row>
    <row r="181" spans="1:19" x14ac:dyDescent="0.25">
      <c r="A181" s="123"/>
      <c r="B181" s="127"/>
      <c r="C181" s="128"/>
      <c r="D181" s="129"/>
      <c r="E181" s="129"/>
      <c r="F181" s="129"/>
      <c r="G181" s="156"/>
      <c r="H181" s="125"/>
      <c r="I181" s="125"/>
      <c r="J181" s="126"/>
      <c r="K181" s="125"/>
      <c r="M181" s="157">
        <f>SUM(G177:G188)</f>
        <v>0</v>
      </c>
    </row>
    <row r="182" spans="1:19" x14ac:dyDescent="0.25">
      <c r="A182" s="123"/>
      <c r="B182" s="127"/>
      <c r="C182" s="128"/>
      <c r="D182" s="129"/>
      <c r="E182" s="129"/>
      <c r="F182" s="129"/>
      <c r="G182" s="156"/>
      <c r="H182" s="125"/>
      <c r="I182" s="125"/>
      <c r="J182" s="126"/>
      <c r="K182" s="125"/>
    </row>
    <row r="183" spans="1:19" x14ac:dyDescent="0.25">
      <c r="A183" s="123"/>
      <c r="B183" s="127"/>
      <c r="C183" s="128"/>
      <c r="D183" s="129"/>
      <c r="E183" s="129"/>
      <c r="F183" s="129"/>
      <c r="G183" s="156"/>
      <c r="H183" s="125"/>
      <c r="I183" s="125"/>
      <c r="J183" s="126"/>
      <c r="K183" s="125"/>
    </row>
    <row r="184" spans="1:19" x14ac:dyDescent="0.25">
      <c r="A184" s="123"/>
      <c r="B184" s="127"/>
      <c r="C184" s="128"/>
      <c r="D184" s="129"/>
      <c r="E184" s="129"/>
      <c r="F184" s="129"/>
      <c r="G184" s="156"/>
      <c r="H184" s="125"/>
      <c r="I184" s="125"/>
      <c r="J184" s="126"/>
      <c r="K184" s="125"/>
    </row>
    <row r="185" spans="1:19" x14ac:dyDescent="0.25">
      <c r="A185" s="123"/>
      <c r="B185" s="127"/>
      <c r="C185" s="128"/>
      <c r="D185" s="129"/>
      <c r="E185" s="129"/>
      <c r="F185" s="129"/>
      <c r="G185" s="156"/>
      <c r="H185" s="125"/>
      <c r="I185" s="125"/>
      <c r="J185" s="126"/>
      <c r="K185" s="125"/>
    </row>
    <row r="186" spans="1:19" x14ac:dyDescent="0.25">
      <c r="A186" s="123"/>
      <c r="B186" s="127"/>
      <c r="C186" s="128"/>
      <c r="D186" s="129"/>
      <c r="E186" s="129"/>
      <c r="F186" s="129"/>
      <c r="G186" s="156"/>
      <c r="H186" s="125"/>
      <c r="I186" s="125"/>
      <c r="J186" s="126"/>
      <c r="K186" s="125"/>
    </row>
    <row r="187" spans="1:19" x14ac:dyDescent="0.25">
      <c r="A187" s="123"/>
      <c r="B187" s="127"/>
      <c r="C187" s="128"/>
      <c r="D187" s="129"/>
      <c r="E187" s="129"/>
      <c r="F187" s="129"/>
      <c r="G187" s="156"/>
      <c r="H187" s="125"/>
      <c r="I187" s="125"/>
      <c r="J187" s="126"/>
      <c r="K187" s="125"/>
    </row>
    <row r="188" spans="1:19" x14ac:dyDescent="0.25">
      <c r="A188" s="123"/>
      <c r="B188" s="127"/>
      <c r="C188" s="128"/>
      <c r="D188" s="129"/>
      <c r="E188" s="129"/>
      <c r="F188" s="129"/>
      <c r="G188" s="156"/>
      <c r="H188" s="125"/>
      <c r="I188" s="125"/>
      <c r="J188" s="126"/>
      <c r="K188" s="125"/>
    </row>
    <row r="189" spans="1:19" ht="15" customHeight="1" x14ac:dyDescent="0.25">
      <c r="A189" s="123"/>
      <c r="B189" s="142" t="s">
        <v>16</v>
      </c>
      <c r="C189" s="131"/>
      <c r="D189" s="126"/>
      <c r="E189" s="126"/>
      <c r="F189" s="126"/>
      <c r="G189" s="132">
        <f>SUM(G134:G188)</f>
        <v>0</v>
      </c>
      <c r="H189" s="132" t="s">
        <v>37</v>
      </c>
      <c r="I189" s="134">
        <v>130210</v>
      </c>
      <c r="J189" s="135">
        <f>G189*I189</f>
        <v>0</v>
      </c>
      <c r="K189" s="125"/>
    </row>
    <row r="190" spans="1:19" ht="15" customHeight="1" x14ac:dyDescent="0.25">
      <c r="A190" s="20"/>
      <c r="B190" s="142" t="s">
        <v>30</v>
      </c>
      <c r="C190" s="21"/>
      <c r="D190" s="22"/>
      <c r="E190" s="23"/>
      <c r="F190" s="23"/>
      <c r="G190" s="7"/>
      <c r="H190" s="6"/>
      <c r="I190" s="7"/>
      <c r="J190" s="132">
        <f>0.13*G189*105010</f>
        <v>0</v>
      </c>
      <c r="K190" s="23"/>
    </row>
    <row r="191" spans="1:19" ht="15" customHeight="1" x14ac:dyDescent="0.25">
      <c r="A191" s="20"/>
      <c r="B191" s="142"/>
      <c r="C191" s="21"/>
      <c r="D191" s="22"/>
      <c r="E191" s="23"/>
      <c r="F191" s="23"/>
      <c r="G191" s="7"/>
      <c r="H191" s="6"/>
      <c r="I191" s="7"/>
      <c r="J191" s="132"/>
      <c r="K191" s="23"/>
      <c r="M191" s="158"/>
      <c r="N191" s="158"/>
      <c r="O191" s="158"/>
      <c r="P191" s="158"/>
      <c r="Q191" s="158"/>
      <c r="R191" s="158"/>
      <c r="S191" s="158"/>
    </row>
    <row r="192" spans="1:19" ht="30" x14ac:dyDescent="0.25">
      <c r="A192" s="20">
        <v>11</v>
      </c>
      <c r="B192" s="139" t="s">
        <v>174</v>
      </c>
      <c r="C192" s="21"/>
      <c r="D192" s="22"/>
      <c r="E192" s="23"/>
      <c r="F192" s="23"/>
      <c r="G192" s="7"/>
      <c r="H192" s="6"/>
      <c r="I192" s="7"/>
      <c r="J192" s="132"/>
      <c r="K192" s="23"/>
    </row>
    <row r="193" spans="1:11" ht="15" customHeight="1" x14ac:dyDescent="0.25">
      <c r="A193" s="20"/>
      <c r="B193" s="142"/>
      <c r="C193" s="21"/>
      <c r="D193" s="22"/>
      <c r="E193" s="23"/>
      <c r="F193" s="23"/>
      <c r="G193" s="126"/>
      <c r="H193" s="6"/>
      <c r="I193" s="7"/>
      <c r="J193" s="132"/>
      <c r="K193" s="228"/>
    </row>
    <row r="194" spans="1:11" ht="15" customHeight="1" x14ac:dyDescent="0.25">
      <c r="A194" s="20"/>
      <c r="B194" s="142"/>
      <c r="C194" s="21"/>
      <c r="D194" s="22"/>
      <c r="E194" s="23"/>
      <c r="F194" s="23"/>
      <c r="G194" s="126"/>
      <c r="H194" s="6"/>
      <c r="I194" s="7"/>
      <c r="J194" s="132"/>
      <c r="K194" s="228"/>
    </row>
    <row r="195" spans="1:11" ht="15" customHeight="1" x14ac:dyDescent="0.25">
      <c r="A195" s="20"/>
      <c r="B195" s="142"/>
      <c r="C195" s="21"/>
      <c r="D195" s="22"/>
      <c r="E195" s="23"/>
      <c r="F195" s="23"/>
      <c r="G195" s="126"/>
      <c r="H195" s="6"/>
      <c r="I195" s="7"/>
      <c r="J195" s="132"/>
      <c r="K195" s="228"/>
    </row>
    <row r="196" spans="1:11" ht="15" customHeight="1" x14ac:dyDescent="0.25">
      <c r="A196" s="20"/>
      <c r="B196" s="142"/>
      <c r="C196" s="21"/>
      <c r="D196" s="22"/>
      <c r="E196" s="23"/>
      <c r="F196" s="23"/>
      <c r="G196" s="126"/>
      <c r="H196" s="6"/>
      <c r="I196" s="7"/>
      <c r="J196" s="132"/>
      <c r="K196" s="228"/>
    </row>
    <row r="197" spans="1:11" ht="15" customHeight="1" x14ac:dyDescent="0.25">
      <c r="A197" s="20"/>
      <c r="B197" s="142"/>
      <c r="C197" s="21"/>
      <c r="D197" s="22"/>
      <c r="E197" s="23"/>
      <c r="F197" s="23"/>
      <c r="G197" s="126"/>
      <c r="H197" s="6"/>
      <c r="I197" s="7"/>
      <c r="J197" s="132"/>
      <c r="K197" s="102"/>
    </row>
    <row r="198" spans="1:11" ht="15" customHeight="1" x14ac:dyDescent="0.25">
      <c r="A198" s="20"/>
      <c r="B198" s="142"/>
      <c r="C198" s="21"/>
      <c r="D198" s="22"/>
      <c r="E198" s="23"/>
      <c r="F198" s="23"/>
      <c r="G198" s="126"/>
      <c r="H198" s="6"/>
      <c r="I198" s="7"/>
      <c r="J198" s="132"/>
      <c r="K198" s="228"/>
    </row>
    <row r="199" spans="1:11" ht="15" customHeight="1" x14ac:dyDescent="0.25">
      <c r="A199" s="20"/>
      <c r="B199" s="142"/>
      <c r="C199" s="21"/>
      <c r="D199" s="22"/>
      <c r="E199" s="23"/>
      <c r="F199" s="23"/>
      <c r="G199" s="126"/>
      <c r="H199" s="6"/>
      <c r="I199" s="7"/>
      <c r="J199" s="132"/>
      <c r="K199" s="228"/>
    </row>
    <row r="200" spans="1:11" ht="15" customHeight="1" x14ac:dyDescent="0.25">
      <c r="A200" s="20"/>
      <c r="B200" s="142"/>
      <c r="C200" s="21"/>
      <c r="D200" s="22"/>
      <c r="E200" s="23"/>
      <c r="F200" s="23"/>
      <c r="G200" s="126"/>
      <c r="H200" s="6"/>
      <c r="I200" s="7"/>
      <c r="J200" s="132"/>
      <c r="K200" s="228"/>
    </row>
    <row r="201" spans="1:11" ht="15" customHeight="1" x14ac:dyDescent="0.25">
      <c r="A201" s="20"/>
      <c r="B201" s="142"/>
      <c r="C201" s="21"/>
      <c r="D201" s="22"/>
      <c r="E201" s="23"/>
      <c r="F201" s="23"/>
      <c r="G201" s="126"/>
      <c r="H201" s="6"/>
      <c r="I201" s="7"/>
      <c r="J201" s="132"/>
      <c r="K201" s="228"/>
    </row>
    <row r="202" spans="1:11" ht="15" customHeight="1" x14ac:dyDescent="0.25">
      <c r="A202" s="20"/>
      <c r="B202" s="142"/>
      <c r="C202" s="21"/>
      <c r="D202" s="22"/>
      <c r="E202" s="23"/>
      <c r="F202" s="23"/>
      <c r="G202" s="126"/>
      <c r="H202" s="6"/>
      <c r="I202" s="7"/>
      <c r="J202" s="132"/>
      <c r="K202" s="228"/>
    </row>
    <row r="203" spans="1:11" ht="15" customHeight="1" x14ac:dyDescent="0.25">
      <c r="A203" s="20"/>
      <c r="B203" s="142"/>
      <c r="C203" s="21"/>
      <c r="D203" s="22"/>
      <c r="E203" s="23"/>
      <c r="F203" s="23"/>
      <c r="G203" s="126"/>
      <c r="H203" s="6"/>
      <c r="I203" s="7"/>
      <c r="J203" s="132"/>
      <c r="K203" s="23"/>
    </row>
    <row r="204" spans="1:11" ht="15" customHeight="1" x14ac:dyDescent="0.25">
      <c r="A204" s="20"/>
      <c r="B204" s="142"/>
      <c r="C204" s="21"/>
      <c r="D204" s="22"/>
      <c r="E204" s="23"/>
      <c r="F204" s="23"/>
      <c r="G204" s="126"/>
      <c r="H204" s="6"/>
      <c r="I204" s="7"/>
      <c r="J204" s="132"/>
      <c r="K204" s="228"/>
    </row>
    <row r="205" spans="1:11" ht="15" customHeight="1" x14ac:dyDescent="0.25">
      <c r="A205" s="20"/>
      <c r="B205" s="142"/>
      <c r="C205" s="21"/>
      <c r="D205" s="22"/>
      <c r="E205" s="23"/>
      <c r="F205" s="23"/>
      <c r="G205" s="126"/>
      <c r="H205" s="6"/>
      <c r="I205" s="7"/>
      <c r="J205" s="132"/>
      <c r="K205" s="228"/>
    </row>
    <row r="206" spans="1:11" ht="15" customHeight="1" x14ac:dyDescent="0.25">
      <c r="A206" s="20"/>
      <c r="B206" s="142"/>
      <c r="C206" s="21"/>
      <c r="D206" s="22"/>
      <c r="E206" s="23"/>
      <c r="F206" s="23"/>
      <c r="G206" s="126"/>
      <c r="H206" s="6"/>
      <c r="I206" s="7"/>
      <c r="J206" s="132"/>
      <c r="K206" s="228"/>
    </row>
    <row r="207" spans="1:11" ht="15" customHeight="1" x14ac:dyDescent="0.25">
      <c r="A207" s="20"/>
      <c r="B207" s="142"/>
      <c r="C207" s="21"/>
      <c r="D207" s="22"/>
      <c r="E207" s="23"/>
      <c r="F207" s="23"/>
      <c r="G207" s="126"/>
      <c r="H207" s="6"/>
      <c r="I207" s="7"/>
      <c r="J207" s="132"/>
      <c r="K207" s="228"/>
    </row>
    <row r="208" spans="1:11" ht="15" customHeight="1" x14ac:dyDescent="0.25">
      <c r="A208" s="20"/>
      <c r="B208" s="142"/>
      <c r="C208" s="21"/>
      <c r="D208" s="22"/>
      <c r="E208" s="23"/>
      <c r="F208" s="23"/>
      <c r="G208" s="126"/>
      <c r="H208" s="6"/>
      <c r="I208" s="7"/>
      <c r="J208" s="132"/>
      <c r="K208" s="228"/>
    </row>
    <row r="209" spans="1:14" ht="15" customHeight="1" x14ac:dyDescent="0.25">
      <c r="A209" s="20"/>
      <c r="B209" s="142"/>
      <c r="C209" s="21"/>
      <c r="D209" s="22"/>
      <c r="E209" s="23"/>
      <c r="F209" s="23"/>
      <c r="G209" s="126"/>
      <c r="H209" s="6"/>
      <c r="I209" s="7"/>
      <c r="J209" s="132"/>
      <c r="K209" s="23"/>
    </row>
    <row r="210" spans="1:14" ht="15" customHeight="1" x14ac:dyDescent="0.25">
      <c r="A210" s="20"/>
      <c r="B210" s="142"/>
      <c r="C210" s="21"/>
      <c r="D210" s="22"/>
      <c r="E210" s="23"/>
      <c r="F210" s="23"/>
      <c r="G210" s="126"/>
      <c r="H210" s="6"/>
      <c r="I210" s="7"/>
      <c r="J210" s="132"/>
      <c r="K210" s="23"/>
    </row>
    <row r="211" spans="1:14" ht="15" customHeight="1" x14ac:dyDescent="0.25">
      <c r="A211" s="20"/>
      <c r="B211" s="142"/>
      <c r="C211" s="21"/>
      <c r="D211" s="22"/>
      <c r="E211" s="23"/>
      <c r="F211" s="23"/>
      <c r="G211" s="126"/>
      <c r="H211" s="6"/>
      <c r="I211" s="7"/>
      <c r="J211" s="132"/>
      <c r="K211" s="23"/>
    </row>
    <row r="212" spans="1:14" ht="15" customHeight="1" x14ac:dyDescent="0.25">
      <c r="A212" s="20"/>
      <c r="B212" s="142"/>
      <c r="C212" s="21"/>
      <c r="D212" s="22"/>
      <c r="E212" s="23"/>
      <c r="F212" s="23"/>
      <c r="G212" s="126"/>
      <c r="H212" s="6"/>
      <c r="I212" s="7"/>
      <c r="J212" s="132"/>
      <c r="K212" s="23"/>
    </row>
    <row r="213" spans="1:14" ht="15" customHeight="1" x14ac:dyDescent="0.25">
      <c r="A213" s="20"/>
      <c r="B213" s="142"/>
      <c r="C213" s="21"/>
      <c r="D213" s="22"/>
      <c r="E213" s="23"/>
      <c r="F213" s="23"/>
      <c r="G213" s="126"/>
      <c r="H213" s="6"/>
      <c r="I213" s="7"/>
      <c r="J213" s="132"/>
      <c r="K213" s="23"/>
    </row>
    <row r="214" spans="1:14" ht="15" customHeight="1" x14ac:dyDescent="0.25">
      <c r="A214" s="20"/>
      <c r="B214" s="142"/>
      <c r="C214" s="21"/>
      <c r="D214" s="22"/>
      <c r="E214" s="23"/>
      <c r="F214" s="23"/>
      <c r="G214" s="126"/>
      <c r="H214" s="6"/>
      <c r="I214" s="7"/>
      <c r="J214" s="132"/>
      <c r="K214" s="23"/>
      <c r="N214" s="116">
        <f>0.02+0.003*1*7850</f>
        <v>23.57</v>
      </c>
    </row>
    <row r="215" spans="1:14" ht="15" customHeight="1" x14ac:dyDescent="0.25">
      <c r="A215" s="20"/>
      <c r="B215" s="142"/>
      <c r="C215" s="21"/>
      <c r="D215" s="22"/>
      <c r="E215" s="23"/>
      <c r="F215" s="23"/>
      <c r="G215" s="126"/>
      <c r="H215" s="6"/>
      <c r="I215" s="7"/>
      <c r="J215" s="132"/>
      <c r="K215" s="23"/>
    </row>
    <row r="216" spans="1:14" ht="15" customHeight="1" x14ac:dyDescent="0.25">
      <c r="A216" s="20"/>
      <c r="C216" s="21"/>
      <c r="D216" s="22"/>
      <c r="E216" s="23"/>
      <c r="F216" s="23"/>
      <c r="G216" s="126"/>
      <c r="H216" s="6"/>
      <c r="I216" s="7"/>
      <c r="J216" s="132"/>
      <c r="K216" s="23"/>
    </row>
    <row r="217" spans="1:14" ht="15" customHeight="1" x14ac:dyDescent="0.25">
      <c r="A217" s="20"/>
      <c r="B217" s="142"/>
      <c r="C217" s="21"/>
      <c r="D217" s="22"/>
      <c r="E217" s="23"/>
      <c r="F217" s="23"/>
      <c r="G217" s="126"/>
      <c r="H217" s="6"/>
      <c r="I217" s="7"/>
      <c r="J217" s="132"/>
      <c r="K217" s="23"/>
    </row>
    <row r="218" spans="1:14" ht="15" customHeight="1" x14ac:dyDescent="0.25">
      <c r="A218" s="20"/>
      <c r="B218" s="142"/>
      <c r="C218" s="21"/>
      <c r="D218" s="22"/>
      <c r="E218" s="23"/>
      <c r="F218" s="23"/>
      <c r="G218" s="126"/>
      <c r="H218" s="6"/>
      <c r="I218" s="7"/>
      <c r="J218" s="132"/>
      <c r="K218" s="23"/>
    </row>
    <row r="219" spans="1:14" ht="15" customHeight="1" x14ac:dyDescent="0.25">
      <c r="A219" s="20"/>
      <c r="B219" s="159"/>
      <c r="C219" s="21"/>
      <c r="D219" s="22"/>
      <c r="E219" s="23"/>
      <c r="F219" s="23"/>
      <c r="G219" s="126"/>
      <c r="H219" s="6"/>
      <c r="I219" s="7"/>
      <c r="J219" s="132"/>
      <c r="K219" s="23"/>
    </row>
    <row r="220" spans="1:14" ht="15" customHeight="1" x14ac:dyDescent="0.25">
      <c r="A220" s="20"/>
      <c r="B220" s="142"/>
      <c r="C220" s="21"/>
      <c r="D220" s="22"/>
      <c r="E220" s="23"/>
      <c r="F220" s="23"/>
      <c r="G220" s="126"/>
      <c r="H220" s="6"/>
      <c r="I220" s="7"/>
      <c r="J220" s="132"/>
      <c r="K220" s="23"/>
    </row>
    <row r="221" spans="1:14" ht="15" customHeight="1" x14ac:dyDescent="0.25">
      <c r="A221" s="123"/>
      <c r="B221" s="142" t="s">
        <v>16</v>
      </c>
      <c r="C221" s="131"/>
      <c r="D221" s="126"/>
      <c r="E221" s="126"/>
      <c r="F221" s="126"/>
      <c r="G221" s="132">
        <f>SUM(G193:G220)</f>
        <v>0</v>
      </c>
      <c r="H221" s="132" t="s">
        <v>175</v>
      </c>
      <c r="I221" s="134">
        <v>154</v>
      </c>
      <c r="J221" s="135">
        <f>G221*I221</f>
        <v>0</v>
      </c>
      <c r="K221" s="125"/>
      <c r="N221" s="116">
        <f>14.76/0.15*0.13</f>
        <v>12.792000000000002</v>
      </c>
    </row>
    <row r="222" spans="1:14" ht="15" customHeight="1" x14ac:dyDescent="0.25">
      <c r="A222" s="20"/>
      <c r="B222" s="142" t="s">
        <v>30</v>
      </c>
      <c r="C222" s="21"/>
      <c r="D222" s="22"/>
      <c r="E222" s="23"/>
      <c r="F222" s="23"/>
      <c r="G222" s="7"/>
      <c r="H222" s="6"/>
      <c r="I222" s="7"/>
      <c r="J222" s="132">
        <f>0.13*J221</f>
        <v>0</v>
      </c>
      <c r="K222" s="23"/>
    </row>
    <row r="223" spans="1:14" ht="15" customHeight="1" x14ac:dyDescent="0.25">
      <c r="A223" s="20"/>
      <c r="B223" s="142"/>
      <c r="C223" s="21"/>
      <c r="D223" s="22"/>
      <c r="E223" s="23"/>
      <c r="F223" s="23"/>
      <c r="G223" s="7"/>
      <c r="H223" s="6"/>
      <c r="I223" s="7"/>
      <c r="J223" s="132"/>
      <c r="K223" s="23"/>
    </row>
    <row r="224" spans="1:14" ht="30" x14ac:dyDescent="0.25">
      <c r="A224" s="20">
        <v>12</v>
      </c>
      <c r="B224" s="139" t="s">
        <v>105</v>
      </c>
      <c r="C224" s="21"/>
      <c r="D224" s="22"/>
      <c r="E224" s="23"/>
      <c r="F224" s="23"/>
      <c r="G224" s="7"/>
      <c r="H224" s="6"/>
      <c r="I224" s="7"/>
      <c r="J224" s="132"/>
      <c r="K224" s="23"/>
    </row>
    <row r="225" spans="1:11" ht="15" customHeight="1" x14ac:dyDescent="0.25">
      <c r="A225" s="20"/>
      <c r="B225" s="142"/>
      <c r="C225" s="21"/>
      <c r="D225" s="22"/>
      <c r="E225" s="23"/>
      <c r="F225" s="23"/>
      <c r="G225" s="126"/>
      <c r="H225" s="6"/>
      <c r="I225" s="7"/>
      <c r="J225" s="132"/>
      <c r="K225" s="23"/>
    </row>
    <row r="226" spans="1:11" ht="15" customHeight="1" x14ac:dyDescent="0.25">
      <c r="A226" s="123"/>
      <c r="B226" s="142" t="s">
        <v>16</v>
      </c>
      <c r="C226" s="131"/>
      <c r="D226" s="126"/>
      <c r="E226" s="126"/>
      <c r="F226" s="126"/>
      <c r="G226" s="132">
        <f>SUM(G225:G225)</f>
        <v>0</v>
      </c>
      <c r="H226" s="132" t="s">
        <v>23</v>
      </c>
      <c r="I226" s="134">
        <v>6391.43</v>
      </c>
      <c r="J226" s="135">
        <f>G226*I226</f>
        <v>0</v>
      </c>
      <c r="K226" s="125"/>
    </row>
    <row r="227" spans="1:11" ht="15" customHeight="1" x14ac:dyDescent="0.25">
      <c r="A227" s="20"/>
      <c r="B227" s="142" t="s">
        <v>30</v>
      </c>
      <c r="C227" s="21"/>
      <c r="D227" s="22"/>
      <c r="E227" s="23"/>
      <c r="F227" s="23"/>
      <c r="G227" s="7"/>
      <c r="H227" s="6"/>
      <c r="I227" s="7"/>
      <c r="J227" s="132">
        <f>0.13*J226</f>
        <v>0</v>
      </c>
      <c r="K227" s="23"/>
    </row>
    <row r="228" spans="1:11" ht="15" customHeight="1" x14ac:dyDescent="0.25">
      <c r="A228" s="20"/>
      <c r="B228" s="160"/>
      <c r="C228" s="21"/>
      <c r="D228" s="22"/>
      <c r="E228" s="23"/>
      <c r="F228" s="23"/>
      <c r="G228" s="7"/>
      <c r="H228" s="6"/>
      <c r="I228" s="7"/>
      <c r="J228" s="132"/>
      <c r="K228" s="23"/>
    </row>
    <row r="229" spans="1:11" ht="47.25" x14ac:dyDescent="0.25">
      <c r="A229" s="20">
        <v>13</v>
      </c>
      <c r="B229" s="161" t="s">
        <v>79</v>
      </c>
      <c r="C229" s="21"/>
      <c r="D229" s="22"/>
      <c r="E229" s="23"/>
      <c r="F229" s="23"/>
      <c r="G229" s="7"/>
      <c r="H229" s="6"/>
      <c r="I229" s="7"/>
      <c r="J229" s="132"/>
      <c r="K229" s="23"/>
    </row>
    <row r="230" spans="1:11" ht="15" customHeight="1" x14ac:dyDescent="0.25">
      <c r="A230" s="20"/>
      <c r="B230" s="141"/>
      <c r="C230" s="47"/>
      <c r="D230" s="61"/>
      <c r="E230" s="62"/>
      <c r="F230" s="62"/>
      <c r="G230" s="129"/>
      <c r="H230" s="6"/>
      <c r="I230" s="7"/>
      <c r="J230" s="132"/>
      <c r="K230" s="23"/>
    </row>
    <row r="231" spans="1:11" ht="15" customHeight="1" x14ac:dyDescent="0.25">
      <c r="A231" s="20"/>
      <c r="B231" s="141"/>
      <c r="C231" s="47"/>
      <c r="D231" s="61"/>
      <c r="E231" s="62"/>
      <c r="F231" s="62"/>
      <c r="G231" s="129"/>
      <c r="H231" s="6"/>
      <c r="I231" s="7"/>
      <c r="J231" s="132"/>
      <c r="K231" s="23"/>
    </row>
    <row r="232" spans="1:11" ht="15" customHeight="1" x14ac:dyDescent="0.25">
      <c r="A232" s="20"/>
      <c r="B232" s="141"/>
      <c r="C232" s="128"/>
      <c r="D232" s="129"/>
      <c r="E232" s="129"/>
      <c r="F232" s="129"/>
      <c r="G232" s="129"/>
      <c r="H232" s="6"/>
      <c r="I232" s="7"/>
      <c r="J232" s="132"/>
      <c r="K232" s="23"/>
    </row>
    <row r="233" spans="1:11" ht="15" customHeight="1" x14ac:dyDescent="0.25">
      <c r="A233" s="123"/>
      <c r="B233" s="142" t="s">
        <v>16</v>
      </c>
      <c r="G233" s="132">
        <f>SUM(G230:G232)</f>
        <v>0</v>
      </c>
      <c r="H233" s="132" t="s">
        <v>23</v>
      </c>
      <c r="I233" s="134">
        <v>6997</v>
      </c>
      <c r="J233" s="135">
        <f>G233*I233</f>
        <v>0</v>
      </c>
      <c r="K233" s="125"/>
    </row>
    <row r="234" spans="1:11" ht="15" customHeight="1" x14ac:dyDescent="0.25">
      <c r="A234" s="20"/>
      <c r="B234" s="142" t="s">
        <v>30</v>
      </c>
      <c r="C234" s="21"/>
      <c r="D234" s="22"/>
      <c r="E234" s="23"/>
      <c r="F234" s="23"/>
      <c r="G234" s="7"/>
      <c r="H234" s="6"/>
      <c r="I234" s="7"/>
      <c r="J234" s="132">
        <f>0.13*J233</f>
        <v>0</v>
      </c>
      <c r="K234" s="23"/>
    </row>
    <row r="235" spans="1:11" ht="15" customHeight="1" x14ac:dyDescent="0.25">
      <c r="A235" s="20"/>
      <c r="B235" s="142"/>
      <c r="C235" s="21"/>
      <c r="D235" s="22"/>
      <c r="E235" s="23"/>
      <c r="F235" s="23"/>
      <c r="G235" s="7"/>
      <c r="H235" s="6"/>
      <c r="I235" s="7"/>
      <c r="J235" s="132"/>
      <c r="K235" s="23"/>
    </row>
    <row r="236" spans="1:11" ht="63" x14ac:dyDescent="0.25">
      <c r="A236" s="20">
        <v>14</v>
      </c>
      <c r="B236" s="161" t="s">
        <v>107</v>
      </c>
      <c r="C236" s="21"/>
      <c r="D236" s="22"/>
      <c r="E236" s="23"/>
      <c r="F236" s="23"/>
      <c r="G236" s="7"/>
      <c r="H236" s="6"/>
      <c r="I236" s="7"/>
      <c r="J236" s="132"/>
      <c r="K236" s="23"/>
    </row>
    <row r="237" spans="1:11" ht="15.75" x14ac:dyDescent="0.25">
      <c r="A237" s="20"/>
      <c r="B237" s="162"/>
      <c r="C237" s="47"/>
      <c r="D237" s="61"/>
      <c r="E237" s="62"/>
      <c r="F237" s="62"/>
      <c r="G237" s="129"/>
      <c r="H237" s="6"/>
      <c r="I237" s="7"/>
      <c r="J237" s="132"/>
      <c r="K237" s="23"/>
    </row>
    <row r="238" spans="1:11" ht="15" customHeight="1" x14ac:dyDescent="0.25">
      <c r="A238" s="123"/>
      <c r="B238" s="142" t="s">
        <v>16</v>
      </c>
      <c r="C238" s="131"/>
      <c r="D238" s="126"/>
      <c r="E238" s="126"/>
      <c r="F238" s="126"/>
      <c r="G238" s="132">
        <f>SUM(G236:G237)</f>
        <v>0</v>
      </c>
      <c r="H238" s="132" t="s">
        <v>23</v>
      </c>
      <c r="I238" s="134">
        <v>8744</v>
      </c>
      <c r="J238" s="135">
        <f>G238*I238</f>
        <v>0</v>
      </c>
      <c r="K238" s="125"/>
    </row>
    <row r="239" spans="1:11" ht="15" customHeight="1" x14ac:dyDescent="0.25">
      <c r="A239" s="20"/>
      <c r="B239" s="142" t="s">
        <v>30</v>
      </c>
      <c r="C239" s="21"/>
      <c r="D239" s="22"/>
      <c r="E239" s="23"/>
      <c r="F239" s="23"/>
      <c r="G239" s="7"/>
      <c r="H239" s="6"/>
      <c r="I239" s="7"/>
      <c r="J239" s="132">
        <f>0.13*J238</f>
        <v>0</v>
      </c>
      <c r="K239" s="23"/>
    </row>
    <row r="240" spans="1:11" ht="15.75" x14ac:dyDescent="0.25">
      <c r="A240" s="20"/>
      <c r="B240" s="161"/>
      <c r="C240" s="21"/>
      <c r="D240" s="22"/>
      <c r="E240" s="23"/>
      <c r="F240" s="23"/>
      <c r="G240" s="7"/>
      <c r="H240" s="6"/>
      <c r="I240" s="7"/>
      <c r="J240" s="132"/>
      <c r="K240" s="23"/>
    </row>
    <row r="241" spans="1:13" ht="30" x14ac:dyDescent="0.25">
      <c r="A241" s="20">
        <v>15</v>
      </c>
      <c r="B241" s="139" t="s">
        <v>85</v>
      </c>
      <c r="C241" s="21"/>
      <c r="D241" s="22"/>
      <c r="E241" s="23"/>
      <c r="F241" s="23"/>
      <c r="G241" s="7"/>
      <c r="H241" s="6"/>
      <c r="I241" s="7"/>
      <c r="J241" s="132"/>
      <c r="K241" s="23"/>
    </row>
    <row r="242" spans="1:13" x14ac:dyDescent="0.25">
      <c r="A242" s="20"/>
      <c r="B242" s="141"/>
      <c r="C242" s="47"/>
      <c r="D242" s="61"/>
      <c r="E242" s="62"/>
      <c r="F242" s="62"/>
      <c r="G242" s="129"/>
      <c r="H242" s="6"/>
      <c r="I242" s="7"/>
      <c r="J242" s="132"/>
      <c r="K242" s="23"/>
      <c r="M242" s="116">
        <f>2.62+0.32+2.595+0.075*2</f>
        <v>5.6850000000000005</v>
      </c>
    </row>
    <row r="243" spans="1:13" ht="15" customHeight="1" x14ac:dyDescent="0.25">
      <c r="A243" s="20"/>
      <c r="B243" s="141"/>
      <c r="C243" s="47"/>
      <c r="D243" s="61"/>
      <c r="E243" s="61"/>
      <c r="F243" s="62"/>
      <c r="G243" s="129"/>
      <c r="H243" s="6"/>
      <c r="I243" s="7"/>
      <c r="J243" s="132"/>
      <c r="K243" s="23"/>
      <c r="M243" s="116">
        <f>2.575+0.34+2.57+0.075*2</f>
        <v>5.6349999999999998</v>
      </c>
    </row>
    <row r="244" spans="1:13" ht="15" customHeight="1" x14ac:dyDescent="0.25">
      <c r="A244" s="20"/>
      <c r="B244" s="141"/>
      <c r="C244" s="47"/>
      <c r="D244" s="61"/>
      <c r="E244" s="61"/>
      <c r="F244" s="62"/>
      <c r="G244" s="129"/>
      <c r="H244" s="6"/>
      <c r="I244" s="7"/>
      <c r="J244" s="132"/>
      <c r="K244" s="23"/>
    </row>
    <row r="245" spans="1:13" ht="15" customHeight="1" x14ac:dyDescent="0.25">
      <c r="A245" s="20"/>
      <c r="B245" s="141"/>
      <c r="C245" s="47"/>
      <c r="D245" s="61"/>
      <c r="E245" s="61"/>
      <c r="F245" s="62"/>
      <c r="G245" s="129"/>
      <c r="H245" s="6"/>
      <c r="I245" s="7"/>
      <c r="J245" s="132"/>
      <c r="K245" s="23"/>
    </row>
    <row r="246" spans="1:13" ht="15" customHeight="1" x14ac:dyDescent="0.25">
      <c r="A246" s="20"/>
      <c r="B246" s="141"/>
      <c r="C246" s="47"/>
      <c r="D246" s="61"/>
      <c r="E246" s="61"/>
      <c r="F246" s="62"/>
      <c r="G246" s="129"/>
      <c r="H246" s="6"/>
      <c r="I246" s="7"/>
      <c r="J246" s="132"/>
      <c r="K246" s="23"/>
    </row>
    <row r="247" spans="1:13" ht="15" customHeight="1" x14ac:dyDescent="0.25">
      <c r="A247" s="123"/>
      <c r="B247" s="142" t="s">
        <v>16</v>
      </c>
      <c r="C247" s="131"/>
      <c r="D247" s="126"/>
      <c r="E247" s="126"/>
      <c r="F247" s="126"/>
      <c r="G247" s="132">
        <f>SUM(G242:G246)</f>
        <v>0</v>
      </c>
      <c r="H247" s="132" t="s">
        <v>23</v>
      </c>
      <c r="I247" s="134">
        <v>692.38</v>
      </c>
      <c r="J247" s="135">
        <f>G247*I247</f>
        <v>0</v>
      </c>
      <c r="K247" s="125"/>
    </row>
    <row r="248" spans="1:13" ht="15" customHeight="1" x14ac:dyDescent="0.25">
      <c r="A248" s="20"/>
      <c r="B248" s="142" t="s">
        <v>30</v>
      </c>
      <c r="C248" s="21"/>
      <c r="D248" s="22"/>
      <c r="E248" s="23"/>
      <c r="F248" s="23"/>
      <c r="G248" s="7"/>
      <c r="H248" s="6"/>
      <c r="I248" s="7"/>
      <c r="J248" s="132">
        <f>0.13*G247*3623.87/10</f>
        <v>0</v>
      </c>
      <c r="K248" s="23"/>
    </row>
    <row r="249" spans="1:13" ht="15" customHeight="1" x14ac:dyDescent="0.25">
      <c r="A249" s="20"/>
      <c r="B249" s="142"/>
      <c r="C249" s="21"/>
      <c r="D249" s="22"/>
      <c r="E249" s="23"/>
      <c r="F249" s="23"/>
      <c r="G249" s="7"/>
      <c r="H249" s="6"/>
      <c r="I249" s="7"/>
      <c r="J249" s="132"/>
      <c r="K249" s="23"/>
    </row>
    <row r="250" spans="1:13" ht="30" x14ac:dyDescent="0.25">
      <c r="A250" s="20">
        <v>16</v>
      </c>
      <c r="B250" s="139" t="s">
        <v>88</v>
      </c>
      <c r="C250" s="21"/>
      <c r="D250" s="22"/>
      <c r="E250" s="23"/>
      <c r="F250" s="23"/>
      <c r="G250" s="7"/>
      <c r="H250" s="6"/>
      <c r="I250" s="7"/>
      <c r="J250" s="132"/>
      <c r="K250" s="23"/>
    </row>
    <row r="251" spans="1:13" x14ac:dyDescent="0.25">
      <c r="A251" s="20"/>
      <c r="B251" s="141"/>
      <c r="C251" s="21"/>
      <c r="D251" s="22"/>
      <c r="E251" s="23"/>
      <c r="F251" s="23"/>
      <c r="G251" s="129"/>
      <c r="H251" s="6"/>
      <c r="I251" s="7"/>
      <c r="J251" s="132"/>
      <c r="K251" s="23"/>
    </row>
    <row r="252" spans="1:13" ht="15" customHeight="1" x14ac:dyDescent="0.25">
      <c r="A252" s="20"/>
      <c r="B252" s="141"/>
      <c r="C252" s="47"/>
      <c r="D252" s="61"/>
      <c r="E252" s="62"/>
      <c r="F252" s="62"/>
      <c r="G252" s="61"/>
      <c r="H252" s="6"/>
      <c r="I252" s="7"/>
      <c r="J252" s="132"/>
      <c r="K252" s="23"/>
    </row>
    <row r="253" spans="1:13" ht="15" customHeight="1" x14ac:dyDescent="0.25">
      <c r="A253" s="123"/>
      <c r="B253" s="142" t="s">
        <v>16</v>
      </c>
      <c r="C253" s="131"/>
      <c r="D253" s="126"/>
      <c r="E253" s="126"/>
      <c r="F253" s="126"/>
      <c r="G253" s="132">
        <f>SUM(G251:G252)</f>
        <v>0</v>
      </c>
      <c r="H253" s="132" t="s">
        <v>23</v>
      </c>
      <c r="I253" s="134">
        <v>286.77</v>
      </c>
      <c r="J253" s="135">
        <f>G253*I253</f>
        <v>0</v>
      </c>
      <c r="K253" s="125"/>
    </row>
    <row r="254" spans="1:13" ht="15" customHeight="1" x14ac:dyDescent="0.25">
      <c r="A254" s="20"/>
      <c r="B254" s="142" t="s">
        <v>30</v>
      </c>
      <c r="C254" s="21"/>
      <c r="D254" s="22"/>
      <c r="E254" s="23"/>
      <c r="F254" s="23"/>
      <c r="G254" s="7"/>
      <c r="H254" s="6"/>
      <c r="I254" s="7"/>
      <c r="J254" s="132">
        <f>0.13*G253*767.72/10</f>
        <v>0</v>
      </c>
      <c r="K254" s="23"/>
    </row>
    <row r="255" spans="1:13" ht="15" customHeight="1" x14ac:dyDescent="0.25">
      <c r="A255" s="20"/>
      <c r="B255" s="142"/>
      <c r="C255" s="21"/>
      <c r="D255" s="22"/>
      <c r="E255" s="23"/>
      <c r="F255" s="23"/>
      <c r="G255" s="7"/>
      <c r="H255" s="6"/>
      <c r="I255" s="7"/>
      <c r="J255" s="132"/>
      <c r="K255" s="23"/>
    </row>
    <row r="256" spans="1:13" ht="30" x14ac:dyDescent="0.25">
      <c r="A256" s="20">
        <v>17</v>
      </c>
      <c r="B256" s="139" t="s">
        <v>90</v>
      </c>
      <c r="C256" s="21"/>
      <c r="D256" s="22"/>
      <c r="E256" s="23"/>
      <c r="F256" s="23"/>
      <c r="G256" s="7"/>
      <c r="H256" s="6"/>
      <c r="I256" s="7"/>
      <c r="J256" s="132"/>
      <c r="K256" s="23"/>
    </row>
    <row r="257" spans="1:18" ht="15" customHeight="1" x14ac:dyDescent="0.25">
      <c r="A257" s="20"/>
      <c r="B257" s="141"/>
      <c r="C257" s="47"/>
      <c r="D257" s="61"/>
      <c r="E257" s="62"/>
      <c r="F257" s="62"/>
      <c r="G257" s="129"/>
      <c r="H257" s="6"/>
      <c r="I257" s="7"/>
      <c r="J257" s="132"/>
      <c r="K257" s="23"/>
    </row>
    <row r="258" spans="1:18" ht="15" customHeight="1" x14ac:dyDescent="0.25">
      <c r="A258" s="20"/>
      <c r="B258" s="141"/>
      <c r="C258" s="47"/>
      <c r="D258" s="61"/>
      <c r="E258" s="62"/>
      <c r="F258" s="62"/>
      <c r="G258" s="129"/>
      <c r="H258" s="6"/>
      <c r="I258" s="7"/>
      <c r="J258" s="132"/>
      <c r="K258" s="23"/>
    </row>
    <row r="259" spans="1:18" ht="15" customHeight="1" x14ac:dyDescent="0.25">
      <c r="A259" s="20"/>
      <c r="B259" s="141"/>
      <c r="C259" s="47"/>
      <c r="D259" s="61"/>
      <c r="E259" s="62"/>
      <c r="F259" s="62"/>
      <c r="G259" s="129"/>
      <c r="H259" s="6"/>
      <c r="I259" s="7"/>
      <c r="J259" s="132"/>
      <c r="K259" s="23"/>
    </row>
    <row r="260" spans="1:18" ht="15" customHeight="1" x14ac:dyDescent="0.25">
      <c r="A260" s="20"/>
      <c r="B260" s="141"/>
      <c r="C260" s="47"/>
      <c r="D260" s="61"/>
      <c r="E260" s="62"/>
      <c r="F260" s="62"/>
      <c r="G260" s="129"/>
      <c r="H260" s="6"/>
      <c r="I260" s="7"/>
      <c r="J260" s="132"/>
      <c r="K260" s="23"/>
      <c r="Q260" s="116">
        <f>3.61*3.281</f>
        <v>11.84441</v>
      </c>
      <c r="R260" s="116">
        <f>3.635*3.281</f>
        <v>11.926435</v>
      </c>
    </row>
    <row r="261" spans="1:18" ht="15" customHeight="1" x14ac:dyDescent="0.25">
      <c r="A261" s="20"/>
      <c r="B261" s="141"/>
      <c r="C261" s="47"/>
      <c r="D261" s="61"/>
      <c r="E261" s="62"/>
      <c r="F261" s="62"/>
      <c r="G261" s="129"/>
      <c r="H261" s="6"/>
      <c r="I261" s="7"/>
      <c r="J261" s="132"/>
      <c r="K261" s="23"/>
    </row>
    <row r="262" spans="1:18" ht="15" customHeight="1" x14ac:dyDescent="0.25">
      <c r="A262" s="20"/>
      <c r="B262" s="141"/>
      <c r="C262" s="47"/>
      <c r="D262" s="61"/>
      <c r="E262" s="62"/>
      <c r="F262" s="62"/>
      <c r="G262" s="129"/>
      <c r="H262" s="6"/>
      <c r="I262" s="7"/>
      <c r="J262" s="132"/>
      <c r="K262" s="23"/>
    </row>
    <row r="263" spans="1:18" ht="15" customHeight="1" x14ac:dyDescent="0.25">
      <c r="A263" s="20"/>
      <c r="B263" s="141"/>
      <c r="C263" s="47"/>
      <c r="D263" s="61"/>
      <c r="E263" s="62"/>
      <c r="F263" s="62"/>
      <c r="G263" s="129"/>
      <c r="H263" s="6"/>
      <c r="I263" s="7"/>
      <c r="J263" s="132"/>
      <c r="K263" s="23"/>
    </row>
    <row r="264" spans="1:18" ht="15" customHeight="1" x14ac:dyDescent="0.25">
      <c r="A264" s="20"/>
      <c r="B264" s="141"/>
      <c r="C264" s="47"/>
      <c r="D264" s="61"/>
      <c r="E264" s="62"/>
      <c r="F264" s="62"/>
      <c r="G264" s="129"/>
      <c r="H264" s="6"/>
      <c r="I264" s="7"/>
      <c r="J264" s="132"/>
      <c r="K264" s="23"/>
    </row>
    <row r="265" spans="1:18" ht="15" customHeight="1" x14ac:dyDescent="0.25">
      <c r="A265" s="20"/>
      <c r="B265" s="141"/>
      <c r="C265" s="47"/>
      <c r="D265" s="61"/>
      <c r="E265" s="62"/>
      <c r="F265" s="62"/>
      <c r="G265" s="129"/>
      <c r="H265" s="6"/>
      <c r="I265" s="7"/>
      <c r="J265" s="132"/>
      <c r="K265" s="23"/>
    </row>
    <row r="266" spans="1:18" ht="15" customHeight="1" x14ac:dyDescent="0.25">
      <c r="A266" s="20"/>
      <c r="B266" s="141"/>
      <c r="C266" s="47"/>
      <c r="D266" s="61"/>
      <c r="E266" s="62"/>
      <c r="F266" s="62"/>
      <c r="G266" s="129"/>
      <c r="H266" s="6"/>
      <c r="I266" s="7"/>
      <c r="J266" s="132"/>
      <c r="K266" s="23"/>
    </row>
    <row r="267" spans="1:18" ht="15" customHeight="1" x14ac:dyDescent="0.25">
      <c r="A267" s="20"/>
      <c r="B267" s="141"/>
      <c r="C267" s="47"/>
      <c r="D267" s="61"/>
      <c r="E267" s="62"/>
      <c r="F267" s="62"/>
      <c r="G267" s="129"/>
      <c r="H267" s="6"/>
      <c r="I267" s="7"/>
      <c r="J267" s="132"/>
      <c r="K267" s="23"/>
    </row>
    <row r="268" spans="1:18" ht="15" customHeight="1" x14ac:dyDescent="0.25">
      <c r="A268" s="20"/>
      <c r="B268" s="141"/>
      <c r="C268" s="47"/>
      <c r="D268" s="61"/>
      <c r="E268" s="62"/>
      <c r="F268" s="62"/>
      <c r="G268" s="129"/>
      <c r="H268" s="6"/>
      <c r="I268" s="7"/>
      <c r="J268" s="132"/>
      <c r="K268" s="23"/>
    </row>
    <row r="269" spans="1:18" ht="15" customHeight="1" x14ac:dyDescent="0.25">
      <c r="A269" s="20"/>
      <c r="B269" s="141"/>
      <c r="C269" s="47"/>
      <c r="D269" s="61"/>
      <c r="E269" s="62"/>
      <c r="F269" s="62"/>
      <c r="G269" s="129"/>
      <c r="H269" s="6"/>
      <c r="I269" s="7"/>
      <c r="J269" s="132"/>
      <c r="K269" s="23"/>
    </row>
    <row r="270" spans="1:18" ht="15" customHeight="1" x14ac:dyDescent="0.25">
      <c r="A270" s="20"/>
      <c r="B270" s="141"/>
      <c r="C270" s="47"/>
      <c r="D270" s="61"/>
      <c r="E270" s="62"/>
      <c r="F270" s="62"/>
      <c r="G270" s="129"/>
      <c r="H270" s="6"/>
      <c r="I270" s="7"/>
      <c r="J270" s="132"/>
      <c r="K270" s="23"/>
    </row>
    <row r="271" spans="1:18" ht="15" customHeight="1" x14ac:dyDescent="0.25">
      <c r="A271" s="20"/>
      <c r="B271" s="141"/>
      <c r="C271" s="47"/>
      <c r="D271" s="61"/>
      <c r="E271" s="62"/>
      <c r="F271" s="62"/>
      <c r="G271" s="129"/>
      <c r="H271" s="6"/>
      <c r="I271" s="7"/>
      <c r="J271" s="132"/>
      <c r="K271" s="23"/>
    </row>
    <row r="272" spans="1:18" ht="15" customHeight="1" x14ac:dyDescent="0.25">
      <c r="A272" s="20"/>
      <c r="B272" s="141"/>
      <c r="C272" s="47"/>
      <c r="D272" s="61"/>
      <c r="E272" s="62"/>
      <c r="F272" s="62"/>
      <c r="G272" s="129"/>
      <c r="H272" s="6"/>
      <c r="I272" s="7"/>
      <c r="J272" s="132"/>
      <c r="K272" s="23"/>
    </row>
    <row r="273" spans="1:18" ht="15" customHeight="1" x14ac:dyDescent="0.25">
      <c r="A273" s="20"/>
      <c r="B273" s="141"/>
      <c r="C273" s="47"/>
      <c r="D273" s="61"/>
      <c r="E273" s="62"/>
      <c r="F273" s="62"/>
      <c r="G273" s="129"/>
      <c r="H273" s="6"/>
      <c r="I273" s="7"/>
      <c r="J273" s="132"/>
      <c r="K273" s="23"/>
    </row>
    <row r="274" spans="1:18" ht="15" customHeight="1" x14ac:dyDescent="0.25">
      <c r="A274" s="20"/>
      <c r="B274" s="141"/>
      <c r="C274" s="47"/>
      <c r="D274" s="61"/>
      <c r="E274" s="62"/>
      <c r="F274" s="62"/>
      <c r="G274" s="129"/>
      <c r="H274" s="6"/>
      <c r="I274" s="7"/>
      <c r="J274" s="132"/>
      <c r="K274" s="23"/>
    </row>
    <row r="275" spans="1:18" ht="15" customHeight="1" x14ac:dyDescent="0.25">
      <c r="A275" s="20"/>
      <c r="B275" s="141"/>
      <c r="C275" s="47"/>
      <c r="D275" s="61"/>
      <c r="E275" s="62"/>
      <c r="F275" s="62"/>
      <c r="G275" s="129"/>
      <c r="H275" s="6"/>
      <c r="I275" s="7"/>
      <c r="J275" s="132"/>
      <c r="K275" s="23"/>
    </row>
    <row r="276" spans="1:18" ht="15" customHeight="1" x14ac:dyDescent="0.25">
      <c r="A276" s="20"/>
      <c r="B276" s="141"/>
      <c r="C276" s="47"/>
      <c r="D276" s="61"/>
      <c r="E276" s="62"/>
      <c r="F276" s="62"/>
      <c r="G276" s="129"/>
      <c r="H276" s="6"/>
      <c r="I276" s="7"/>
      <c r="J276" s="132"/>
      <c r="K276" s="23"/>
    </row>
    <row r="277" spans="1:18" ht="15" customHeight="1" x14ac:dyDescent="0.25">
      <c r="A277" s="20"/>
      <c r="B277" s="141"/>
      <c r="C277" s="47"/>
      <c r="D277" s="61"/>
      <c r="E277" s="62"/>
      <c r="F277" s="62"/>
      <c r="G277" s="129"/>
      <c r="H277" s="6"/>
      <c r="I277" s="7"/>
      <c r="J277" s="132"/>
      <c r="K277" s="23"/>
    </row>
    <row r="278" spans="1:18" ht="15" customHeight="1" x14ac:dyDescent="0.25">
      <c r="A278" s="20"/>
      <c r="B278" s="141"/>
      <c r="C278" s="47"/>
      <c r="D278" s="61"/>
      <c r="E278" s="62"/>
      <c r="F278" s="62"/>
      <c r="G278" s="129"/>
      <c r="H278" s="6"/>
      <c r="I278" s="7"/>
      <c r="J278" s="132"/>
      <c r="K278" s="23"/>
    </row>
    <row r="279" spans="1:18" ht="15" customHeight="1" x14ac:dyDescent="0.25">
      <c r="A279" s="123"/>
      <c r="B279" s="142" t="s">
        <v>16</v>
      </c>
      <c r="C279" s="131"/>
      <c r="D279" s="126"/>
      <c r="E279" s="126"/>
      <c r="F279" s="126"/>
      <c r="G279" s="132">
        <f>SUM(G257:G278)</f>
        <v>0</v>
      </c>
      <c r="H279" s="132" t="s">
        <v>23</v>
      </c>
      <c r="I279" s="134">
        <v>402.23</v>
      </c>
      <c r="J279" s="135">
        <f>G279*I279</f>
        <v>0</v>
      </c>
      <c r="K279" s="125"/>
    </row>
    <row r="280" spans="1:18" ht="15" customHeight="1" x14ac:dyDescent="0.25">
      <c r="A280" s="20"/>
      <c r="B280" s="142" t="s">
        <v>30</v>
      </c>
      <c r="C280" s="21"/>
      <c r="D280" s="22"/>
      <c r="E280" s="23"/>
      <c r="F280" s="23"/>
      <c r="G280" s="7"/>
      <c r="H280" s="6"/>
      <c r="I280" s="7"/>
      <c r="J280" s="132">
        <f>0.13*G279*11424.1/100</f>
        <v>0</v>
      </c>
      <c r="K280" s="23"/>
      <c r="P280" s="116">
        <f>115/12</f>
        <v>9.5833333333333339</v>
      </c>
    </row>
    <row r="281" spans="1:18" ht="15" customHeight="1" x14ac:dyDescent="0.25">
      <c r="A281" s="20"/>
      <c r="B281" s="142"/>
      <c r="C281" s="21"/>
      <c r="D281" s="22"/>
      <c r="E281" s="23"/>
      <c r="F281" s="23"/>
      <c r="G281" s="7"/>
      <c r="H281" s="6"/>
      <c r="I281" s="7"/>
      <c r="J281" s="132"/>
      <c r="K281" s="23"/>
      <c r="P281" s="116">
        <f>212/12</f>
        <v>17.666666666666668</v>
      </c>
      <c r="R281" s="116">
        <f>10/0.5</f>
        <v>20</v>
      </c>
    </row>
    <row r="282" spans="1:18" ht="45" x14ac:dyDescent="0.25">
      <c r="A282" s="20">
        <v>18</v>
      </c>
      <c r="B282" s="139" t="s">
        <v>96</v>
      </c>
      <c r="C282" s="21"/>
      <c r="D282" s="22"/>
      <c r="E282" s="23"/>
      <c r="F282" s="23"/>
      <c r="G282" s="7"/>
      <c r="H282" s="6"/>
      <c r="I282" s="7"/>
      <c r="J282" s="132"/>
      <c r="K282" s="23"/>
    </row>
    <row r="283" spans="1:18" ht="15" customHeight="1" x14ac:dyDescent="0.25">
      <c r="A283" s="20"/>
      <c r="B283" s="142"/>
      <c r="C283" s="21"/>
      <c r="D283" s="22"/>
      <c r="E283" s="23"/>
      <c r="F283" s="23"/>
      <c r="G283" s="22"/>
      <c r="H283" s="6"/>
      <c r="I283" s="7"/>
      <c r="J283" s="132"/>
      <c r="K283" s="23"/>
    </row>
    <row r="284" spans="1:18" ht="15" customHeight="1" x14ac:dyDescent="0.25">
      <c r="A284" s="20"/>
      <c r="B284" s="142"/>
      <c r="C284" s="21"/>
      <c r="D284" s="22"/>
      <c r="E284" s="23"/>
      <c r="F284" s="23"/>
      <c r="G284" s="129"/>
      <c r="H284" s="6"/>
      <c r="I284" s="7"/>
      <c r="J284" s="132"/>
      <c r="K284" s="23"/>
    </row>
    <row r="285" spans="1:18" ht="15" customHeight="1" x14ac:dyDescent="0.25">
      <c r="A285" s="123"/>
      <c r="B285" s="142" t="s">
        <v>16</v>
      </c>
      <c r="C285" s="131"/>
      <c r="D285" s="126"/>
      <c r="E285" s="126"/>
      <c r="F285" s="126"/>
      <c r="G285" s="132">
        <f>SUM(G283:G284)</f>
        <v>0</v>
      </c>
      <c r="H285" s="132" t="s">
        <v>23</v>
      </c>
      <c r="I285" s="134">
        <v>181.8</v>
      </c>
      <c r="J285" s="135">
        <f>G285*I285</f>
        <v>0</v>
      </c>
      <c r="K285" s="125"/>
    </row>
    <row r="286" spans="1:18" ht="15" customHeight="1" x14ac:dyDescent="0.25">
      <c r="A286" s="20"/>
      <c r="B286" s="142" t="s">
        <v>30</v>
      </c>
      <c r="C286" s="21"/>
      <c r="D286" s="22"/>
      <c r="E286" s="23"/>
      <c r="F286" s="23"/>
      <c r="G286" s="7"/>
      <c r="H286" s="6"/>
      <c r="I286" s="7"/>
      <c r="J286" s="132">
        <f>0.13*G285*6000/100</f>
        <v>0</v>
      </c>
      <c r="K286" s="23"/>
    </row>
    <row r="287" spans="1:18" ht="15" customHeight="1" x14ac:dyDescent="0.25">
      <c r="A287" s="20"/>
      <c r="B287" s="142"/>
      <c r="C287" s="21"/>
      <c r="D287" s="22"/>
      <c r="E287" s="23"/>
      <c r="F287" s="23"/>
      <c r="G287" s="7"/>
      <c r="H287" s="6"/>
      <c r="I287" s="7"/>
      <c r="J287" s="132"/>
      <c r="K287" s="23"/>
    </row>
    <row r="288" spans="1:18" ht="30" x14ac:dyDescent="0.25">
      <c r="A288" s="20">
        <v>19</v>
      </c>
      <c r="B288" s="139" t="s">
        <v>100</v>
      </c>
      <c r="C288" s="21"/>
      <c r="D288" s="22"/>
      <c r="E288" s="23"/>
      <c r="F288" s="23"/>
      <c r="G288" s="7"/>
      <c r="H288" s="6"/>
      <c r="I288" s="7"/>
      <c r="J288" s="132"/>
      <c r="K288" s="23"/>
    </row>
    <row r="289" spans="1:11" ht="15" customHeight="1" x14ac:dyDescent="0.25">
      <c r="A289" s="20"/>
      <c r="B289" s="141"/>
      <c r="C289" s="47"/>
      <c r="D289" s="61"/>
      <c r="E289" s="62"/>
      <c r="F289" s="62"/>
      <c r="G289" s="129"/>
      <c r="H289" s="6"/>
      <c r="I289" s="7"/>
      <c r="J289" s="132"/>
      <c r="K289" s="23"/>
    </row>
    <row r="290" spans="1:11" ht="15" customHeight="1" x14ac:dyDescent="0.25">
      <c r="A290" s="20"/>
      <c r="B290" s="141"/>
      <c r="C290" s="47"/>
      <c r="D290" s="61"/>
      <c r="E290" s="62"/>
      <c r="F290" s="62"/>
      <c r="G290" s="129"/>
      <c r="H290" s="6"/>
      <c r="I290" s="7"/>
      <c r="J290" s="132"/>
      <c r="K290" s="23"/>
    </row>
    <row r="291" spans="1:11" ht="15" customHeight="1" x14ac:dyDescent="0.25">
      <c r="A291" s="123"/>
      <c r="B291" s="142" t="s">
        <v>16</v>
      </c>
      <c r="C291" s="131"/>
      <c r="D291" s="126"/>
      <c r="E291" s="126"/>
      <c r="F291" s="126"/>
      <c r="G291" s="132">
        <f>SUM(G289:G290)</f>
        <v>0</v>
      </c>
      <c r="H291" s="132" t="s">
        <v>148</v>
      </c>
      <c r="I291" s="134">
        <v>150.04</v>
      </c>
      <c r="J291" s="135">
        <f>G291*I291</f>
        <v>0</v>
      </c>
      <c r="K291" s="125"/>
    </row>
    <row r="292" spans="1:11" ht="15" customHeight="1" x14ac:dyDescent="0.25">
      <c r="A292" s="20"/>
      <c r="B292" s="142" t="s">
        <v>30</v>
      </c>
      <c r="C292" s="21"/>
      <c r="D292" s="22"/>
      <c r="E292" s="23"/>
      <c r="F292" s="23"/>
      <c r="G292" s="7"/>
      <c r="H292" s="6"/>
      <c r="I292" s="7"/>
      <c r="J292" s="132">
        <f>0.13*G291*111.05</f>
        <v>0</v>
      </c>
      <c r="K292" s="23"/>
    </row>
    <row r="293" spans="1:11" ht="15" customHeight="1" x14ac:dyDescent="0.25">
      <c r="A293" s="20"/>
      <c r="B293" s="142"/>
      <c r="C293" s="21"/>
      <c r="D293" s="22"/>
      <c r="E293" s="23"/>
      <c r="F293" s="23"/>
      <c r="G293" s="7"/>
      <c r="H293" s="6"/>
      <c r="I293" s="7"/>
      <c r="J293" s="132"/>
      <c r="K293" s="23"/>
    </row>
    <row r="294" spans="1:11" ht="150" x14ac:dyDescent="0.25">
      <c r="A294" s="20">
        <v>20</v>
      </c>
      <c r="B294" s="139" t="s">
        <v>102</v>
      </c>
      <c r="C294" s="21"/>
      <c r="D294" s="22"/>
      <c r="E294" s="23"/>
      <c r="F294" s="23"/>
      <c r="G294" s="7"/>
      <c r="H294" s="6"/>
      <c r="I294" s="7"/>
      <c r="J294" s="132"/>
      <c r="K294" s="23"/>
    </row>
    <row r="295" spans="1:11" ht="15" customHeight="1" x14ac:dyDescent="0.25">
      <c r="A295" s="20"/>
      <c r="B295" s="142"/>
      <c r="C295" s="131"/>
      <c r="D295" s="22"/>
      <c r="E295" s="23"/>
      <c r="F295" s="23"/>
      <c r="G295" s="136"/>
      <c r="H295" s="6"/>
      <c r="I295" s="7"/>
      <c r="J295" s="132"/>
      <c r="K295" s="23"/>
    </row>
    <row r="296" spans="1:11" ht="15" customHeight="1" x14ac:dyDescent="0.25">
      <c r="A296" s="123"/>
      <c r="B296" s="142" t="s">
        <v>16</v>
      </c>
      <c r="C296" s="131"/>
      <c r="D296" s="126"/>
      <c r="E296" s="126"/>
      <c r="F296" s="126"/>
      <c r="G296" s="132">
        <f>SUM(G295)</f>
        <v>0</v>
      </c>
      <c r="H296" s="132" t="s">
        <v>23</v>
      </c>
      <c r="I296" s="134">
        <v>3213.56</v>
      </c>
      <c r="J296" s="135">
        <f>G296*I296</f>
        <v>0</v>
      </c>
      <c r="K296" s="125"/>
    </row>
    <row r="297" spans="1:11" ht="15" customHeight="1" x14ac:dyDescent="0.25">
      <c r="A297" s="20"/>
      <c r="B297" s="142" t="s">
        <v>30</v>
      </c>
      <c r="C297" s="21"/>
      <c r="D297" s="22"/>
      <c r="E297" s="23"/>
      <c r="F297" s="23"/>
      <c r="G297" s="7"/>
      <c r="H297" s="6"/>
      <c r="I297" s="7"/>
      <c r="J297" s="132">
        <f>0.13*G296*1672.66/10</f>
        <v>0</v>
      </c>
      <c r="K297" s="23"/>
    </row>
    <row r="298" spans="1:11" ht="15" customHeight="1" x14ac:dyDescent="0.25">
      <c r="A298" s="20"/>
      <c r="B298" s="142"/>
      <c r="C298" s="21"/>
      <c r="D298" s="22"/>
      <c r="E298" s="23"/>
      <c r="F298" s="23"/>
      <c r="G298" s="7"/>
      <c r="H298" s="6"/>
      <c r="I298" s="7"/>
      <c r="J298" s="132"/>
      <c r="K298" s="23"/>
    </row>
    <row r="299" spans="1:11" ht="15" customHeight="1" x14ac:dyDescent="0.25">
      <c r="A299" s="20">
        <v>21</v>
      </c>
      <c r="B299" s="163" t="s">
        <v>112</v>
      </c>
      <c r="C299" s="131"/>
      <c r="D299" s="126"/>
      <c r="E299" s="126"/>
      <c r="F299" s="126"/>
      <c r="G299" s="132"/>
      <c r="H299" s="123" t="s">
        <v>20</v>
      </c>
      <c r="I299" s="132">
        <v>15000</v>
      </c>
      <c r="J299" s="132">
        <f>G299*I299</f>
        <v>0</v>
      </c>
      <c r="K299" s="23"/>
    </row>
    <row r="300" spans="1:11" ht="15" customHeight="1" x14ac:dyDescent="0.25">
      <c r="A300" s="20"/>
      <c r="B300" s="163"/>
      <c r="C300" s="131"/>
      <c r="D300" s="126"/>
      <c r="E300" s="126"/>
      <c r="F300" s="126"/>
      <c r="G300" s="132"/>
      <c r="H300" s="123"/>
      <c r="I300" s="132"/>
      <c r="J300" s="132"/>
      <c r="K300" s="23"/>
    </row>
    <row r="301" spans="1:11" ht="15" customHeight="1" x14ac:dyDescent="0.25">
      <c r="A301" s="20">
        <v>21</v>
      </c>
      <c r="B301" s="163" t="s">
        <v>114</v>
      </c>
      <c r="C301" s="131"/>
      <c r="D301" s="126"/>
      <c r="E301" s="126"/>
      <c r="F301" s="126"/>
      <c r="G301" s="132"/>
      <c r="H301" s="123" t="s">
        <v>20</v>
      </c>
      <c r="I301" s="132">
        <v>15000</v>
      </c>
      <c r="J301" s="132">
        <f>G301*I301</f>
        <v>0</v>
      </c>
      <c r="K301" s="23"/>
    </row>
    <row r="302" spans="1:11" ht="15" customHeight="1" x14ac:dyDescent="0.25">
      <c r="A302" s="20"/>
      <c r="B302" s="163"/>
      <c r="C302" s="131"/>
      <c r="D302" s="126"/>
      <c r="E302" s="126"/>
      <c r="F302" s="126"/>
      <c r="G302" s="132"/>
      <c r="H302" s="123"/>
      <c r="I302" s="132"/>
      <c r="J302" s="132"/>
      <c r="K302" s="23"/>
    </row>
    <row r="303" spans="1:11" ht="60" x14ac:dyDescent="0.25">
      <c r="A303" s="20">
        <v>22</v>
      </c>
      <c r="B303" s="139" t="s">
        <v>236</v>
      </c>
      <c r="C303" s="131"/>
      <c r="D303" s="126"/>
      <c r="E303" s="126"/>
      <c r="F303" s="126"/>
      <c r="G303" s="132"/>
      <c r="H303" s="123"/>
      <c r="I303" s="132"/>
      <c r="J303" s="132"/>
      <c r="K303" s="23"/>
    </row>
    <row r="304" spans="1:11" x14ac:dyDescent="0.25">
      <c r="A304" s="20"/>
      <c r="B304" s="142"/>
      <c r="C304" s="131"/>
      <c r="D304" s="126"/>
      <c r="E304" s="126"/>
      <c r="F304" s="126"/>
      <c r="G304" s="132"/>
      <c r="H304" s="123"/>
      <c r="I304" s="132"/>
      <c r="J304" s="132"/>
      <c r="K304" s="23"/>
    </row>
    <row r="305" spans="1:13" x14ac:dyDescent="0.25">
      <c r="A305" s="20"/>
      <c r="B305" s="142"/>
      <c r="C305" s="131"/>
      <c r="D305" s="126"/>
      <c r="E305" s="126"/>
      <c r="F305" s="126"/>
      <c r="G305" s="132"/>
      <c r="H305" s="123"/>
      <c r="I305" s="132"/>
      <c r="J305" s="132"/>
      <c r="K305" s="23"/>
    </row>
    <row r="306" spans="1:13" x14ac:dyDescent="0.25">
      <c r="A306" s="20"/>
      <c r="B306" s="142"/>
      <c r="C306" s="131"/>
      <c r="D306" s="126"/>
      <c r="E306" s="126"/>
      <c r="F306" s="126"/>
      <c r="G306" s="132"/>
      <c r="H306" s="123"/>
      <c r="I306" s="132"/>
      <c r="J306" s="132"/>
      <c r="K306" s="23"/>
    </row>
    <row r="307" spans="1:13" ht="15" customHeight="1" x14ac:dyDescent="0.25">
      <c r="A307" s="123"/>
      <c r="B307" s="142" t="s">
        <v>16</v>
      </c>
      <c r="C307" s="131"/>
      <c r="D307" s="126"/>
      <c r="E307" s="126"/>
      <c r="F307" s="126"/>
      <c r="G307" s="132">
        <f>SUM(G304:G306)</f>
        <v>0</v>
      </c>
      <c r="H307" s="132" t="s">
        <v>23</v>
      </c>
      <c r="I307" s="134">
        <v>5755.67</v>
      </c>
      <c r="J307" s="135">
        <f>G307*I307</f>
        <v>0</v>
      </c>
      <c r="K307" s="125"/>
      <c r="M307" s="116">
        <f>14520*G307</f>
        <v>0</v>
      </c>
    </row>
    <row r="308" spans="1:13" ht="15" customHeight="1" x14ac:dyDescent="0.25">
      <c r="A308" s="20"/>
      <c r="B308" s="142" t="s">
        <v>30</v>
      </c>
      <c r="C308" s="21"/>
      <c r="D308" s="22"/>
      <c r="E308" s="23"/>
      <c r="F308" s="23"/>
      <c r="G308" s="7"/>
      <c r="H308" s="6"/>
      <c r="I308" s="7"/>
      <c r="J308" s="132">
        <f>0.13*G307*1790.27</f>
        <v>0</v>
      </c>
      <c r="K308" s="23"/>
    </row>
    <row r="309" spans="1:13" ht="15" customHeight="1" x14ac:dyDescent="0.25">
      <c r="A309" s="20"/>
      <c r="B309" s="142"/>
      <c r="C309" s="21"/>
      <c r="D309" s="22"/>
      <c r="E309" s="23"/>
      <c r="F309" s="23"/>
      <c r="G309" s="7"/>
      <c r="H309" s="6"/>
      <c r="I309" s="7"/>
      <c r="J309" s="132"/>
      <c r="K309" s="23"/>
    </row>
    <row r="310" spans="1:13" x14ac:dyDescent="0.25">
      <c r="A310" s="123">
        <v>22</v>
      </c>
      <c r="B310" s="10" t="s">
        <v>19</v>
      </c>
      <c r="C310" s="131"/>
      <c r="D310" s="126"/>
      <c r="E310" s="126"/>
      <c r="F310" s="126"/>
      <c r="G310" s="132"/>
      <c r="H310" s="123" t="s">
        <v>20</v>
      </c>
      <c r="I310" s="132">
        <v>1000</v>
      </c>
      <c r="J310" s="132">
        <f>G310*I310</f>
        <v>0</v>
      </c>
      <c r="K310" s="125"/>
    </row>
    <row r="311" spans="1:13" x14ac:dyDescent="0.25">
      <c r="A311" s="123"/>
      <c r="B311" s="164" t="s">
        <v>21</v>
      </c>
      <c r="C311" s="131"/>
      <c r="D311" s="126"/>
      <c r="E311" s="126"/>
      <c r="F311" s="126"/>
      <c r="G311" s="126"/>
      <c r="H311" s="125"/>
      <c r="I311" s="126"/>
      <c r="J311" s="132">
        <f>SUM(J9:J310)</f>
        <v>0</v>
      </c>
      <c r="K311" s="125"/>
    </row>
    <row r="313" spans="1:13" s="140" customFormat="1" x14ac:dyDescent="0.25">
      <c r="B313" s="125" t="s">
        <v>24</v>
      </c>
      <c r="C313" s="265">
        <f>J311</f>
        <v>0</v>
      </c>
      <c r="D313" s="266"/>
      <c r="E313" s="126">
        <v>100</v>
      </c>
      <c r="F313" s="165"/>
      <c r="G313" s="166"/>
      <c r="H313" s="165"/>
      <c r="I313" s="167"/>
      <c r="J313" s="168"/>
      <c r="K313" s="169"/>
    </row>
    <row r="314" spans="1:13" x14ac:dyDescent="0.25">
      <c r="A314" s="170"/>
      <c r="B314" s="125" t="s">
        <v>25</v>
      </c>
      <c r="C314" s="274">
        <v>1600000</v>
      </c>
      <c r="D314" s="275"/>
      <c r="E314" s="126"/>
      <c r="G314" s="170"/>
      <c r="H314" s="170"/>
      <c r="I314" s="170"/>
      <c r="J314" s="171"/>
    </row>
    <row r="315" spans="1:13" x14ac:dyDescent="0.25">
      <c r="A315" s="170"/>
      <c r="B315" s="125" t="s">
        <v>26</v>
      </c>
      <c r="C315" s="274">
        <f>C314-C317-C318</f>
        <v>1520000</v>
      </c>
      <c r="D315" s="275"/>
      <c r="E315" s="126" t="e">
        <f>C315/C313*100</f>
        <v>#DIV/0!</v>
      </c>
      <c r="G315" s="170"/>
      <c r="H315" s="170"/>
      <c r="I315" s="170"/>
      <c r="J315" s="170"/>
    </row>
    <row r="316" spans="1:13" x14ac:dyDescent="0.25">
      <c r="A316" s="170"/>
      <c r="B316" s="125" t="s">
        <v>27</v>
      </c>
      <c r="C316" s="276">
        <f>C313-C315</f>
        <v>-1520000</v>
      </c>
      <c r="D316" s="276"/>
      <c r="E316" s="126" t="e">
        <f>100-E315</f>
        <v>#DIV/0!</v>
      </c>
      <c r="G316" s="170"/>
      <c r="H316" s="170"/>
      <c r="I316" s="170"/>
      <c r="J316" s="170"/>
    </row>
    <row r="317" spans="1:13" x14ac:dyDescent="0.25">
      <c r="A317" s="170"/>
      <c r="B317" s="125" t="s">
        <v>28</v>
      </c>
      <c r="C317" s="265">
        <f>C314*0.03</f>
        <v>48000</v>
      </c>
      <c r="D317" s="266"/>
      <c r="E317" s="126">
        <v>3</v>
      </c>
      <c r="G317" s="170"/>
      <c r="H317" s="170"/>
      <c r="I317" s="170"/>
      <c r="J317" s="170"/>
    </row>
    <row r="318" spans="1:13" x14ac:dyDescent="0.25">
      <c r="A318" s="170"/>
      <c r="B318" s="125" t="s">
        <v>29</v>
      </c>
      <c r="C318" s="265">
        <f>C314*0.02</f>
        <v>32000</v>
      </c>
      <c r="D318" s="266"/>
      <c r="E318" s="126">
        <v>2</v>
      </c>
      <c r="G318" s="170"/>
      <c r="H318" s="170"/>
      <c r="I318" s="170"/>
      <c r="J318" s="170"/>
    </row>
  </sheetData>
  <mergeCells count="25">
    <mergeCell ref="C314:D314"/>
    <mergeCell ref="C315:D315"/>
    <mergeCell ref="C316:D316"/>
    <mergeCell ref="C317:D317"/>
    <mergeCell ref="C318:D318"/>
    <mergeCell ref="C313:D313"/>
    <mergeCell ref="A7:F7"/>
    <mergeCell ref="H7:K7"/>
    <mergeCell ref="K37:K38"/>
    <mergeCell ref="C92:C93"/>
    <mergeCell ref="F92:F93"/>
    <mergeCell ref="C94:C95"/>
    <mergeCell ref="F94:F95"/>
    <mergeCell ref="C96:C97"/>
    <mergeCell ref="F96:F97"/>
    <mergeCell ref="K193:K196"/>
    <mergeCell ref="K198:K202"/>
    <mergeCell ref="K204:K208"/>
    <mergeCell ref="A6:F6"/>
    <mergeCell ref="H6:K6"/>
    <mergeCell ref="A1:K1"/>
    <mergeCell ref="A2:K2"/>
    <mergeCell ref="A3:K3"/>
    <mergeCell ref="A4:K4"/>
    <mergeCell ref="A5:K5"/>
  </mergeCells>
  <pageMargins left="0.7" right="0.7" top="0.75" bottom="0.75" header="0.3" footer="0.3"/>
  <pageSetup paperSize="9" scale="70" orientation="portrait" r:id="rId1"/>
  <headerFooter>
    <oddFooter>&amp;LPrepared By:
Kristal Suwal&amp;CChecked By:
Er. Milan Phuyal&amp;RApproved By:
Er. Prakash Singh Saud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estimate</vt:lpstr>
      <vt:lpstr>F_estimate</vt:lpstr>
      <vt:lpstr>WCR</vt:lpstr>
      <vt:lpstr>valuated</vt:lpstr>
      <vt:lpstr>Sheet1</vt:lpstr>
      <vt:lpstr>mea</vt:lpstr>
      <vt:lpstr>M</vt:lpstr>
      <vt:lpstr>level check</vt:lpstr>
      <vt:lpstr>empty</vt:lpstr>
      <vt:lpstr>empty!Print_Area</vt:lpstr>
      <vt:lpstr>estimate!Print_Area</vt:lpstr>
      <vt:lpstr>F_estimate!Print_Area</vt:lpstr>
      <vt:lpstr>M!Print_Area</vt:lpstr>
      <vt:lpstr>mea!Print_Area</vt:lpstr>
      <vt:lpstr>Sheet1!Print_Area</vt:lpstr>
      <vt:lpstr>valuated!Print_Area</vt:lpstr>
      <vt:lpstr>WCR!Print_Area</vt:lpstr>
      <vt:lpstr>empty!Print_Titles</vt:lpstr>
      <vt:lpstr>estimate!Print_Titles</vt:lpstr>
      <vt:lpstr>F_estimate!Print_Titles</vt:lpstr>
      <vt:lpstr>M!Print_Titles</vt:lpstr>
      <vt:lpstr>mea!Print_Titles</vt:lpstr>
      <vt:lpstr>valuated!Print_Titles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2024-08-25T05:48:42Z</dcterms:modified>
</cp:coreProperties>
</file>