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081-082\ofc\estimates\estimate for pahiro\"/>
    </mc:Choice>
  </mc:AlternateContent>
  <bookViews>
    <workbookView xWindow="-120" yWindow="-120" windowWidth="20730" windowHeight="11160" activeTab="1"/>
  </bookViews>
  <sheets>
    <sheet name="new" sheetId="18" r:id="rId1"/>
    <sheet name="WCR" sheetId="6" r:id="rId2"/>
    <sheet name="V" sheetId="22" r:id="rId3"/>
    <sheet name="M" sheetId="24" r:id="rId4"/>
  </sheets>
  <externalReferences>
    <externalReference r:id="rId5"/>
    <externalReference r:id="rId6"/>
    <externalReference r:id="rId7"/>
    <externalReference r:id="rId8"/>
    <externalReference r:id="rId9"/>
    <externalReference r:id="rId10"/>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3">[6]Abstract!$B$169</definedName>
    <definedName name="description_6">[2]Abstract!$B$172</definedName>
    <definedName name="description_784">[2]Abstract!$B$300</definedName>
    <definedName name="excavator">[1]Equipment_Rate!$J$19</definedName>
    <definedName name="generator">[1]Equipment_Rate!$J$20</definedName>
    <definedName name="_xlnm.Print_Area" localSheetId="3">M!$A$1:$K$54</definedName>
    <definedName name="_xlnm.Print_Area" localSheetId="0">new!$A$1:$K$56</definedName>
    <definedName name="_xlnm.Print_Area" localSheetId="2">V!$A$1:$K$56</definedName>
    <definedName name="_xlnm.Print_Area" localSheetId="1">WCR!$A$1:$K$35</definedName>
    <definedName name="_xlnm.Print_Titles" localSheetId="3">M!$1:$8</definedName>
    <definedName name="_xlnm.Print_Titles" localSheetId="0">new!$1:$8</definedName>
    <definedName name="_xlnm.Print_Titles" localSheetId="2">V!$1:$8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6" i="6" l="1"/>
  <c r="J37" i="6"/>
  <c r="I37" i="6"/>
  <c r="F37" i="6"/>
  <c r="I36" i="6"/>
  <c r="F36" i="6"/>
  <c r="C58" i="22" l="1"/>
  <c r="G52" i="24"/>
  <c r="J52" i="24" s="1"/>
  <c r="I50" i="24"/>
  <c r="G49" i="24"/>
  <c r="G50" i="24" s="1"/>
  <c r="J50" i="24" s="1"/>
  <c r="I47" i="24"/>
  <c r="G46" i="24"/>
  <c r="G47" i="24" s="1"/>
  <c r="J47" i="24" s="1"/>
  <c r="I44" i="24"/>
  <c r="G43" i="24"/>
  <c r="G44" i="24" s="1"/>
  <c r="J44" i="24" s="1"/>
  <c r="I40" i="24"/>
  <c r="F39" i="24"/>
  <c r="D39" i="24"/>
  <c r="G39" i="24" s="1"/>
  <c r="F38" i="24"/>
  <c r="E38" i="24"/>
  <c r="G38" i="24" s="1"/>
  <c r="D38" i="24"/>
  <c r="F37" i="24"/>
  <c r="D37" i="24"/>
  <c r="G37" i="24" s="1"/>
  <c r="I34" i="24"/>
  <c r="F33" i="24"/>
  <c r="G33" i="24" s="1"/>
  <c r="D33" i="24"/>
  <c r="F32" i="24"/>
  <c r="G32" i="24" s="1"/>
  <c r="D32" i="24"/>
  <c r="D31" i="24"/>
  <c r="G31" i="24" s="1"/>
  <c r="I28" i="24"/>
  <c r="F27" i="24"/>
  <c r="G27" i="24" s="1"/>
  <c r="G26" i="24"/>
  <c r="G28" i="24" s="1"/>
  <c r="J28" i="24" s="1"/>
  <c r="F26" i="24"/>
  <c r="D26" i="24"/>
  <c r="M23" i="24"/>
  <c r="I23" i="24"/>
  <c r="G22" i="24"/>
  <c r="G23" i="24" s="1"/>
  <c r="J23" i="24" s="1"/>
  <c r="M19" i="24"/>
  <c r="I19" i="24"/>
  <c r="G18" i="24"/>
  <c r="G19" i="24" s="1"/>
  <c r="J19" i="24" s="1"/>
  <c r="I15" i="24"/>
  <c r="G14" i="24"/>
  <c r="G15" i="24" s="1"/>
  <c r="J15" i="24" s="1"/>
  <c r="F14" i="24"/>
  <c r="I11" i="24"/>
  <c r="G11" i="24"/>
  <c r="J11" i="24" s="1"/>
  <c r="G10" i="24"/>
  <c r="A6" i="24"/>
  <c r="C58" i="18"/>
  <c r="C57" i="18"/>
  <c r="I47" i="22"/>
  <c r="I44" i="22"/>
  <c r="I40" i="22"/>
  <c r="I34" i="22"/>
  <c r="I28" i="22"/>
  <c r="I23" i="22"/>
  <c r="I19" i="22"/>
  <c r="I15" i="22"/>
  <c r="I11" i="22"/>
  <c r="I50" i="22"/>
  <c r="I47" i="18"/>
  <c r="I44" i="18"/>
  <c r="I40" i="18"/>
  <c r="I34" i="18"/>
  <c r="I28" i="18"/>
  <c r="I23" i="18"/>
  <c r="I19" i="18"/>
  <c r="I15" i="18"/>
  <c r="I11" i="18"/>
  <c r="G40" i="24" l="1"/>
  <c r="J40" i="24" s="1"/>
  <c r="G34" i="24"/>
  <c r="J34" i="24" s="1"/>
  <c r="J54" i="24" s="1"/>
  <c r="C56" i="24" s="1"/>
  <c r="A6" i="22"/>
  <c r="H31" i="6"/>
  <c r="H33" i="6"/>
  <c r="E33" i="6"/>
  <c r="E31" i="6"/>
  <c r="C31" i="6"/>
  <c r="B31" i="6"/>
  <c r="A31" i="6"/>
  <c r="H29" i="6"/>
  <c r="E29" i="6"/>
  <c r="C29" i="6"/>
  <c r="B29" i="6"/>
  <c r="A29" i="6"/>
  <c r="H27" i="6"/>
  <c r="E27" i="6"/>
  <c r="C27" i="6"/>
  <c r="B27" i="6"/>
  <c r="A27" i="6"/>
  <c r="H25" i="6"/>
  <c r="E25" i="6"/>
  <c r="C25" i="6"/>
  <c r="B25" i="6"/>
  <c r="A25" i="6"/>
  <c r="H23" i="6"/>
  <c r="E23" i="6"/>
  <c r="C23" i="6"/>
  <c r="B23" i="6"/>
  <c r="A23" i="6"/>
  <c r="C21" i="6"/>
  <c r="B21" i="6"/>
  <c r="A21" i="6"/>
  <c r="M22" i="6"/>
  <c r="M24" i="6"/>
  <c r="M26" i="6"/>
  <c r="M28" i="6"/>
  <c r="M30" i="6"/>
  <c r="H19" i="6"/>
  <c r="E19" i="6"/>
  <c r="C19" i="6"/>
  <c r="A19" i="6"/>
  <c r="H17" i="6"/>
  <c r="E17" i="6"/>
  <c r="C17" i="6"/>
  <c r="B19" i="6"/>
  <c r="B17" i="6"/>
  <c r="A17" i="6"/>
  <c r="H15" i="6"/>
  <c r="E15" i="6"/>
  <c r="C15" i="6"/>
  <c r="B15" i="6"/>
  <c r="A15" i="6"/>
  <c r="H13" i="6"/>
  <c r="E13" i="6"/>
  <c r="C13" i="6"/>
  <c r="B13" i="6"/>
  <c r="A13" i="6"/>
  <c r="A9" i="6"/>
  <c r="A8" i="6"/>
  <c r="G52" i="22"/>
  <c r="J52" i="22" s="1"/>
  <c r="G49" i="22"/>
  <c r="G50" i="22" s="1"/>
  <c r="G46" i="22"/>
  <c r="G47" i="22" s="1"/>
  <c r="G43" i="22"/>
  <c r="G44" i="22" s="1"/>
  <c r="F39" i="22"/>
  <c r="D39" i="22"/>
  <c r="F38" i="22"/>
  <c r="E38" i="22"/>
  <c r="D38" i="22"/>
  <c r="F37" i="22"/>
  <c r="D37" i="22"/>
  <c r="F33" i="22"/>
  <c r="D33" i="22"/>
  <c r="F32" i="22"/>
  <c r="D32" i="22"/>
  <c r="D31" i="22"/>
  <c r="G31" i="22" s="1"/>
  <c r="H21" i="6"/>
  <c r="F27" i="22"/>
  <c r="G27" i="22" s="1"/>
  <c r="F26" i="22"/>
  <c r="D26" i="22"/>
  <c r="M23" i="22"/>
  <c r="G22" i="22"/>
  <c r="G23" i="22" s="1"/>
  <c r="M19" i="22"/>
  <c r="G18" i="22"/>
  <c r="G19" i="22" s="1"/>
  <c r="G17" i="6" s="1"/>
  <c r="F14" i="22"/>
  <c r="G14" i="22" s="1"/>
  <c r="G15" i="22" s="1"/>
  <c r="G15" i="6" s="1"/>
  <c r="G10" i="22"/>
  <c r="G11" i="22" s="1"/>
  <c r="J11" i="22" s="1"/>
  <c r="F27" i="18"/>
  <c r="F26" i="18"/>
  <c r="M23" i="18"/>
  <c r="G22" i="18"/>
  <c r="G23" i="18" s="1"/>
  <c r="G10" i="18"/>
  <c r="G11" i="18" s="1"/>
  <c r="J11" i="18" s="1"/>
  <c r="M19" i="18"/>
  <c r="G49" i="18"/>
  <c r="G50" i="18" s="1"/>
  <c r="J50" i="18" s="1"/>
  <c r="F39" i="18"/>
  <c r="D39" i="18"/>
  <c r="G46" i="18"/>
  <c r="G47" i="18" s="1"/>
  <c r="D29" i="6" s="1"/>
  <c r="G43" i="18"/>
  <c r="G44" i="18" s="1"/>
  <c r="D27" i="6" s="1"/>
  <c r="F38" i="18"/>
  <c r="F37" i="18"/>
  <c r="D37" i="18"/>
  <c r="D38" i="18"/>
  <c r="E38" i="18"/>
  <c r="D33" i="18"/>
  <c r="F33" i="18"/>
  <c r="D32" i="18"/>
  <c r="F32" i="18"/>
  <c r="C57" i="24" l="1"/>
  <c r="C58" i="24" s="1"/>
  <c r="G26" i="22"/>
  <c r="G37" i="22"/>
  <c r="J50" i="22"/>
  <c r="G32" i="22"/>
  <c r="G38" i="22"/>
  <c r="G31" i="6"/>
  <c r="G33" i="6"/>
  <c r="G39" i="22"/>
  <c r="G33" i="22"/>
  <c r="F27" i="6"/>
  <c r="F29" i="6"/>
  <c r="D31" i="6"/>
  <c r="J23" i="22"/>
  <c r="G19" i="6"/>
  <c r="G27" i="6"/>
  <c r="I27" i="6" s="1"/>
  <c r="J27" i="6" s="1"/>
  <c r="J47" i="22"/>
  <c r="G29" i="6"/>
  <c r="I29" i="6" s="1"/>
  <c r="G28" i="22"/>
  <c r="G21" i="6" s="1"/>
  <c r="I21" i="6" s="1"/>
  <c r="G13" i="6"/>
  <c r="D13" i="6"/>
  <c r="D19" i="6"/>
  <c r="J19" i="22"/>
  <c r="J15" i="22"/>
  <c r="J44" i="22"/>
  <c r="J23" i="18"/>
  <c r="G32" i="18"/>
  <c r="G39" i="18"/>
  <c r="G38" i="18"/>
  <c r="G33" i="18"/>
  <c r="G37" i="18"/>
  <c r="G34" i="22" l="1"/>
  <c r="G23" i="6" s="1"/>
  <c r="I23" i="6" s="1"/>
  <c r="J29" i="6"/>
  <c r="G40" i="22"/>
  <c r="G25" i="6" s="1"/>
  <c r="I25" i="6" s="1"/>
  <c r="J28" i="22"/>
  <c r="J34" i="22"/>
  <c r="G40" i="18"/>
  <c r="D25" i="6" s="1"/>
  <c r="F25" i="6" s="1"/>
  <c r="J44" i="18"/>
  <c r="J40" i="22" l="1"/>
  <c r="J54" i="22" s="1"/>
  <c r="C56" i="22" s="1"/>
  <c r="C57" i="22" s="1"/>
  <c r="J25" i="6"/>
  <c r="J40" i="18"/>
  <c r="D31" i="18" l="1"/>
  <c r="D26" i="18"/>
  <c r="E21" i="6"/>
  <c r="G27" i="18"/>
  <c r="G26" i="18" l="1"/>
  <c r="G28" i="18" s="1"/>
  <c r="D21" i="6" s="1"/>
  <c r="F21" i="6" s="1"/>
  <c r="J21" i="6" s="1"/>
  <c r="G31" i="18" l="1"/>
  <c r="G34" i="18" s="1"/>
  <c r="D23" i="6" s="1"/>
  <c r="F23" i="6" s="1"/>
  <c r="J23" i="6" s="1"/>
  <c r="J47" i="18" l="1"/>
  <c r="J34" i="18" l="1"/>
  <c r="G18" i="18"/>
  <c r="G19" i="18" s="1"/>
  <c r="F14" i="18"/>
  <c r="D17" i="6" l="1"/>
  <c r="J28" i="18"/>
  <c r="J19" i="18"/>
  <c r="C33" i="6" l="1"/>
  <c r="B33" i="6"/>
  <c r="A33" i="6"/>
  <c r="M32" i="6"/>
  <c r="M20" i="6"/>
  <c r="M18" i="6"/>
  <c r="I17" i="6" l="1"/>
  <c r="G52" i="18"/>
  <c r="G14" i="18"/>
  <c r="G15" i="18" s="1"/>
  <c r="D15" i="6" l="1"/>
  <c r="J52" i="18"/>
  <c r="D33" i="6"/>
  <c r="J15" i="18"/>
  <c r="J54" i="18" s="1"/>
  <c r="I19" i="6" l="1"/>
  <c r="F17" i="6"/>
  <c r="J17" i="6" s="1"/>
  <c r="I31" i="6"/>
  <c r="F19" i="6" l="1"/>
  <c r="J19" i="6" s="1"/>
  <c r="F31" i="6" l="1"/>
  <c r="J31" i="6" s="1"/>
  <c r="C56" i="18" l="1"/>
  <c r="F15" i="6" l="1"/>
  <c r="I15" i="6"/>
  <c r="J15" i="6" l="1"/>
  <c r="M16" i="6" l="1"/>
  <c r="I33" i="6" l="1"/>
  <c r="I13" i="6"/>
  <c r="F33" i="6" l="1"/>
  <c r="J33" i="6" s="1"/>
  <c r="F13" i="6" l="1"/>
  <c r="M13" i="6" l="1"/>
  <c r="J13" i="6"/>
  <c r="I35" i="6" l="1"/>
  <c r="J6" i="6" l="1"/>
  <c r="F35" i="6" l="1"/>
  <c r="J35" i="6" l="1"/>
  <c r="C6" i="6" l="1"/>
</calcChain>
</file>

<file path=xl/sharedStrings.xml><?xml version="1.0" encoding="utf-8"?>
<sst xmlns="http://schemas.openxmlformats.org/spreadsheetml/2006/main" count="235" uniqueCount="63">
  <si>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</si>
  <si>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</si>
  <si>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</si>
  <si>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</si>
  <si>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</si>
  <si>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</si>
  <si>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</si>
  <si>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</si>
  <si>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</si>
  <si>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</si>
  <si>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</si>
  <si>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</si>
  <si>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</si>
  <si>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</si>
  <si>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</si>
  <si>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</si>
  <si>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</si>
  <si>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</si>
  <si>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</si>
  <si>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</si>
  <si>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</si>
  <si>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</si>
  <si>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</si>
  <si>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</si>
  <si>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</si>
  <si>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</si>
  <si>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</si>
  <si>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</si>
  <si>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</si>
  <si>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</si>
  <si>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Information board</t>
  </si>
  <si>
    <t>no.</t>
  </si>
  <si>
    <t>Sub-total</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</si>
  <si>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</si>
  <si>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</si>
  <si>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</si>
  <si>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Detail Quantity Measurement Sheet</t>
  </si>
  <si>
    <t>Total Valuated</t>
  </si>
  <si>
    <t>Detail Valuated Sheet</t>
  </si>
  <si>
    <t xml:space="preserve">Work Started : </t>
  </si>
  <si>
    <t xml:space="preserve">Work Finished:       </t>
  </si>
  <si>
    <t xml:space="preserve">F.Y.: 2081/082     </t>
  </si>
  <si>
    <t xml:space="preserve">Date:                     </t>
  </si>
  <si>
    <t>Providing and Laying Reinforced cement concrete NP3 Flush jointed pipe for culverts including fixing with cement mortar 1:2 as per Drawing and Technical Specifications., 450 mm  internal dia.</t>
  </si>
  <si>
    <t>rm</t>
  </si>
  <si>
    <t>-For hume pipe laying</t>
  </si>
  <si>
    <t>e'O{+tNnfdf lrDgL e§fsf] O{+6fsf] uf/f] l;d]G6 d;nf -!M^_ df</t>
  </si>
  <si>
    <t>-For roadside drain mangaal</t>
  </si>
  <si>
    <t>-For road</t>
  </si>
  <si>
    <t>Providing and laying  granular sub-base   without compaction on prepared surface, mixing  , complete as per Drawing and Technical Specifications., By Mechanical means</t>
  </si>
  <si>
    <t xml:space="preserve"> </t>
  </si>
  <si>
    <t>Round manhole cover medium 450mm (22")</t>
  </si>
  <si>
    <t>-deduction for hume pipe opening</t>
  </si>
  <si>
    <t>-Roadside drain wall</t>
  </si>
  <si>
    <t>Random Rubble Masonry, Providing and laying of Stone Masonry Work in Cement Mortar 1:6 in Foundation complete as per Drawing and Technical Specifications.</t>
  </si>
  <si>
    <t>PS</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</si>
  <si>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</si>
  <si>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Providing and Laying Reinforced cement concrete NP3 Flush jointed pipe for culverts including fixing with cement mortar 1:2 as per Drawing and Technical Specifications., 300 mm  internal dia.</t>
  </si>
  <si>
    <t>Provisional sum for unforseen works</t>
  </si>
  <si>
    <t>F.Y:2081/2082</t>
  </si>
  <si>
    <t>Project:- Pasikhel pahiro roktham kaarya</t>
  </si>
  <si>
    <t>VAT 13%</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</si>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</sst>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73">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164"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0" fontId="17" fillId="3" borderId="1" xfId="0" applyFont="1" applyFill="1" applyBorder="1" applyAlignment="1">
      <alignment wrapText="1"/>
    </xf>
    <xf numFmtId="0" fontId="6" fillId="0" borderId="0" xfId="0" applyFont="1"/>
    <xf numFmtId="0" fontId="6" fillId="0" borderId="0" xfId="0" applyFont="1" applyAlignment="1">
      <alignment horizontal="right"/>
    </xf>
    <xf numFmtId="2" fontId="0" fillId="0" borderId="1" xfId="0" applyNumberFormat="1" applyBorder="1" applyAlignment="1">
      <alignment horizontal="center" vertical="center"/>
    </xf>
    <xf numFmtId="2" fontId="0" fillId="0" borderId="1" xfId="0" applyNumberFormat="1" applyBorder="1" applyAlignment="1">
      <alignment horizontal="center"/>
    </xf>
    <xf numFmtId="0" fontId="16"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0" xfId="0" applyFont="1" applyAlignment="1"/>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topLeftCell="A46" zoomScaleNormal="100" zoomScaleSheetLayoutView="80" workbookViewId="0">
      <selection activeCell="G57" sqref="G57"/>
    </sheetView>
  </sheetViews>
  <sheetFormatPr defaultRowHeight="15" x14ac:dyDescent="0.25"/>
  <cols>
    <col min="1" max="1" width="5.140625" style="6" bestFit="1" customWidth="1"/>
    <col min="2" max="2" width="29.5703125" customWidth="1"/>
    <col min="3" max="3" width="4.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s>
  <sheetData>
    <row r="1" spans="1:11" s="1" customFormat="1" x14ac:dyDescent="0.25">
      <c r="A1" s="56" t="s">
        <v>0</v>
      </c>
      <c r="B1" s="56"/>
      <c r="C1" s="56"/>
      <c r="D1" s="56"/>
      <c r="E1" s="56"/>
      <c r="F1" s="56"/>
      <c r="G1" s="56"/>
      <c r="H1" s="56"/>
      <c r="I1" s="56"/>
      <c r="J1" s="56"/>
      <c r="K1" s="56"/>
    </row>
    <row r="2" spans="1:11" s="1" customFormat="1" ht="22.5" x14ac:dyDescent="0.25">
      <c r="A2" s="57" t="s">
        <v>1</v>
      </c>
      <c r="B2" s="57"/>
      <c r="C2" s="57"/>
      <c r="D2" s="57"/>
      <c r="E2" s="57"/>
      <c r="F2" s="57"/>
      <c r="G2" s="57"/>
      <c r="H2" s="57"/>
      <c r="I2" s="57"/>
      <c r="J2" s="57"/>
      <c r="K2" s="57"/>
    </row>
    <row r="3" spans="1:11" s="1" customFormat="1" x14ac:dyDescent="0.25">
      <c r="A3" s="58" t="s">
        <v>2</v>
      </c>
      <c r="B3" s="58"/>
      <c r="C3" s="58"/>
      <c r="D3" s="58"/>
      <c r="E3" s="58"/>
      <c r="F3" s="58"/>
      <c r="G3" s="58"/>
      <c r="H3" s="58"/>
      <c r="I3" s="58"/>
      <c r="J3" s="58"/>
      <c r="K3" s="58"/>
    </row>
    <row r="4" spans="1:11" s="1" customFormat="1" x14ac:dyDescent="0.25">
      <c r="A4" s="58" t="s">
        <v>3</v>
      </c>
      <c r="B4" s="58"/>
      <c r="C4" s="58"/>
      <c r="D4" s="58"/>
      <c r="E4" s="58"/>
      <c r="F4" s="58"/>
      <c r="G4" s="58"/>
      <c r="H4" s="58"/>
      <c r="I4" s="58"/>
      <c r="J4" s="58"/>
      <c r="K4" s="58"/>
    </row>
    <row r="5" spans="1:11" ht="18.75" x14ac:dyDescent="0.3">
      <c r="A5" s="59" t="s">
        <v>4</v>
      </c>
      <c r="B5" s="59"/>
      <c r="C5" s="59"/>
      <c r="D5" s="59"/>
      <c r="E5" s="59"/>
      <c r="F5" s="59"/>
      <c r="G5" s="59"/>
      <c r="H5" s="59"/>
      <c r="I5" s="59"/>
      <c r="J5" s="59"/>
      <c r="K5" s="59"/>
    </row>
    <row r="6" spans="1:11" ht="18.75" x14ac:dyDescent="0.3">
      <c r="A6" s="55" t="s">
        <v>60</v>
      </c>
      <c r="B6" s="55"/>
      <c r="C6" s="55"/>
      <c r="D6" s="55"/>
      <c r="E6" s="55"/>
      <c r="F6" s="55"/>
      <c r="G6" s="55"/>
      <c r="H6" s="52" t="s">
        <v>41</v>
      </c>
      <c r="I6" s="52"/>
      <c r="J6" s="52"/>
      <c r="K6" s="52"/>
    </row>
    <row r="7" spans="1:11" ht="15.75" x14ac:dyDescent="0.25">
      <c r="A7" s="51" t="s">
        <v>28</v>
      </c>
      <c r="B7" s="51"/>
      <c r="C7" s="51"/>
      <c r="D7" s="51"/>
      <c r="E7" s="51"/>
      <c r="F7" s="51"/>
      <c r="G7" s="2"/>
      <c r="H7" s="52" t="s">
        <v>42</v>
      </c>
      <c r="I7" s="52"/>
      <c r="J7" s="52"/>
      <c r="K7" s="52"/>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50" x14ac:dyDescent="0.25">
      <c r="A9" s="28">
        <v>1</v>
      </c>
      <c r="B9" s="46" t="s">
        <v>56</v>
      </c>
      <c r="C9" s="31"/>
      <c r="D9" s="30"/>
      <c r="E9" s="31"/>
      <c r="F9" s="31"/>
      <c r="G9" s="33"/>
      <c r="H9" s="32"/>
      <c r="I9" s="33"/>
      <c r="J9" s="39"/>
      <c r="K9" s="31"/>
    </row>
    <row r="10" spans="1:11" x14ac:dyDescent="0.25">
      <c r="A10" s="43"/>
      <c r="B10" s="48" t="s">
        <v>35</v>
      </c>
      <c r="C10" s="44">
        <v>1</v>
      </c>
      <c r="D10" s="30">
        <v>20</v>
      </c>
      <c r="E10" s="31">
        <v>0.4</v>
      </c>
      <c r="F10" s="31">
        <v>0.2</v>
      </c>
      <c r="G10" s="40">
        <f>PRODUCT(C10:F10)</f>
        <v>1.6</v>
      </c>
      <c r="H10" s="32"/>
      <c r="I10" s="33"/>
      <c r="J10" s="33"/>
      <c r="K10" s="31"/>
    </row>
    <row r="11" spans="1:11" x14ac:dyDescent="0.25">
      <c r="A11" s="28"/>
      <c r="B11" s="34" t="s">
        <v>32</v>
      </c>
      <c r="C11" s="31"/>
      <c r="D11" s="30"/>
      <c r="E11" s="31"/>
      <c r="F11" s="31"/>
      <c r="G11" s="33">
        <f>SUM(G10:G10)</f>
        <v>1.6</v>
      </c>
      <c r="H11" s="32" t="s">
        <v>29</v>
      </c>
      <c r="I11" s="33">
        <f>736.88*1.15</f>
        <v>847.41199999999992</v>
      </c>
      <c r="J11" s="39">
        <f>G11*I11</f>
        <v>1355.8591999999999</v>
      </c>
      <c r="K11" s="31"/>
    </row>
    <row r="12" spans="1:11" x14ac:dyDescent="0.25">
      <c r="A12" s="28"/>
      <c r="B12" s="46"/>
      <c r="C12" s="31"/>
      <c r="D12" s="30"/>
      <c r="E12" s="31"/>
      <c r="F12" s="31"/>
      <c r="G12" s="33"/>
      <c r="H12" s="32"/>
      <c r="I12" s="33"/>
      <c r="J12" s="39"/>
      <c r="K12" s="31"/>
    </row>
    <row r="13" spans="1:11" ht="156" customHeight="1" x14ac:dyDescent="0.25">
      <c r="A13" s="28">
        <v>2</v>
      </c>
      <c r="B13" s="46" t="s">
        <v>34</v>
      </c>
      <c r="C13" s="17"/>
      <c r="D13" s="17"/>
      <c r="E13" s="17"/>
      <c r="F13" s="17"/>
      <c r="G13" s="43"/>
      <c r="H13" s="32"/>
      <c r="I13" s="33"/>
      <c r="J13" s="33"/>
      <c r="K13" s="31"/>
    </row>
    <row r="14" spans="1:11" x14ac:dyDescent="0.25">
      <c r="A14" s="43"/>
      <c r="B14" s="48" t="s">
        <v>45</v>
      </c>
      <c r="C14" s="44">
        <v>10</v>
      </c>
      <c r="D14" s="30">
        <v>2.5</v>
      </c>
      <c r="E14" s="31">
        <v>0.75</v>
      </c>
      <c r="F14" s="31">
        <f>23/12/3.281</f>
        <v>0.58417149243116939</v>
      </c>
      <c r="G14" s="40">
        <f>PRODUCT(C14:F14)</f>
        <v>10.953215483084426</v>
      </c>
      <c r="H14" s="32"/>
      <c r="I14" s="33"/>
      <c r="J14" s="33"/>
      <c r="K14" s="31"/>
    </row>
    <row r="15" spans="1:11" x14ac:dyDescent="0.25">
      <c r="A15" s="28"/>
      <c r="B15" s="34" t="s">
        <v>32</v>
      </c>
      <c r="C15" s="31"/>
      <c r="D15" s="30"/>
      <c r="E15" s="31"/>
      <c r="F15" s="31"/>
      <c r="G15" s="33">
        <f>SUM(G14:G14)</f>
        <v>10.953215483084426</v>
      </c>
      <c r="H15" s="32" t="s">
        <v>29</v>
      </c>
      <c r="I15" s="33">
        <f>64.63*1.15</f>
        <v>74.324499999999986</v>
      </c>
      <c r="J15" s="39">
        <f>G15*I15</f>
        <v>814.09226417250829</v>
      </c>
      <c r="K15" s="31"/>
    </row>
    <row r="16" spans="1:11" x14ac:dyDescent="0.25">
      <c r="A16" s="28"/>
      <c r="B16" s="34"/>
      <c r="C16" s="31"/>
      <c r="D16" s="30"/>
      <c r="E16" s="31"/>
      <c r="F16" s="31"/>
      <c r="G16" s="33"/>
      <c r="H16" s="32"/>
      <c r="I16" s="33"/>
      <c r="J16" s="39"/>
      <c r="K16" s="31"/>
    </row>
    <row r="17" spans="1:13" ht="105" x14ac:dyDescent="0.25">
      <c r="A17" s="28">
        <v>3</v>
      </c>
      <c r="B17" s="45" t="s">
        <v>43</v>
      </c>
      <c r="C17" s="29"/>
      <c r="D17" s="30"/>
      <c r="E17" s="31"/>
      <c r="F17" s="31"/>
      <c r="G17" s="33"/>
      <c r="H17" s="32"/>
      <c r="I17" s="33"/>
      <c r="J17" s="49"/>
      <c r="K17" s="31"/>
    </row>
    <row r="18" spans="1:13" x14ac:dyDescent="0.25">
      <c r="A18" s="43"/>
      <c r="B18" s="48" t="s">
        <v>35</v>
      </c>
      <c r="C18" s="44">
        <v>10</v>
      </c>
      <c r="D18" s="30">
        <v>2.5</v>
      </c>
      <c r="E18" s="31"/>
      <c r="F18" s="31"/>
      <c r="G18" s="40">
        <f>PRODUCT(C18:F18)</f>
        <v>25</v>
      </c>
      <c r="H18" s="32"/>
      <c r="I18" s="33"/>
      <c r="J18" s="33"/>
      <c r="K18" s="31"/>
    </row>
    <row r="19" spans="1:13" x14ac:dyDescent="0.25">
      <c r="A19" s="28"/>
      <c r="B19" s="34" t="s">
        <v>32</v>
      </c>
      <c r="C19" s="31"/>
      <c r="D19" s="30"/>
      <c r="E19" s="31"/>
      <c r="F19" s="31"/>
      <c r="G19" s="33">
        <f>SUM(G18:G18)</f>
        <v>25</v>
      </c>
      <c r="H19" s="32" t="s">
        <v>44</v>
      </c>
      <c r="I19" s="33">
        <f>5144.96*1.15</f>
        <v>5916.7039999999997</v>
      </c>
      <c r="J19" s="39">
        <f>G19*I19</f>
        <v>147917.6</v>
      </c>
      <c r="K19" s="31"/>
      <c r="M19">
        <f>I19*2.5</f>
        <v>14791.759999999998</v>
      </c>
    </row>
    <row r="20" spans="1:13" x14ac:dyDescent="0.25">
      <c r="A20" s="28"/>
      <c r="B20" s="34"/>
      <c r="C20" s="31"/>
      <c r="D20" s="30"/>
      <c r="E20" s="31"/>
      <c r="F20" s="31"/>
      <c r="G20" s="33"/>
      <c r="H20" s="32"/>
      <c r="I20" s="33"/>
      <c r="J20" s="39"/>
      <c r="K20" s="31"/>
    </row>
    <row r="21" spans="1:13" ht="105" x14ac:dyDescent="0.25">
      <c r="A21" s="28">
        <v>4</v>
      </c>
      <c r="B21" s="45" t="s">
        <v>57</v>
      </c>
      <c r="C21" s="29"/>
      <c r="D21" s="30"/>
      <c r="E21" s="31"/>
      <c r="F21" s="31"/>
      <c r="G21" s="33"/>
      <c r="H21" s="32"/>
      <c r="I21" s="33"/>
      <c r="J21" s="49"/>
      <c r="K21" s="31"/>
    </row>
    <row r="22" spans="1:13" x14ac:dyDescent="0.25">
      <c r="A22" s="43"/>
      <c r="B22" s="48" t="s">
        <v>35</v>
      </c>
      <c r="C22" s="44">
        <v>1</v>
      </c>
      <c r="D22" s="30">
        <v>2.5</v>
      </c>
      <c r="E22" s="31"/>
      <c r="F22" s="31"/>
      <c r="G22" s="40">
        <f>PRODUCT(C22:F22)</f>
        <v>2.5</v>
      </c>
      <c r="H22" s="32"/>
      <c r="I22" s="33"/>
      <c r="J22" s="33"/>
      <c r="K22" s="31"/>
    </row>
    <row r="23" spans="1:13" x14ac:dyDescent="0.25">
      <c r="A23" s="28"/>
      <c r="B23" s="34" t="s">
        <v>32</v>
      </c>
      <c r="C23" s="31"/>
      <c r="D23" s="30"/>
      <c r="E23" s="31"/>
      <c r="F23" s="31"/>
      <c r="G23" s="33">
        <f>SUM(G22:G22)</f>
        <v>2.5</v>
      </c>
      <c r="H23" s="32" t="s">
        <v>44</v>
      </c>
      <c r="I23" s="33">
        <f>3697.12*1.15</f>
        <v>4251.6879999999992</v>
      </c>
      <c r="J23" s="39">
        <f>G23*I23</f>
        <v>10629.219999999998</v>
      </c>
      <c r="K23" s="31"/>
      <c r="M23">
        <f>I23*2.5</f>
        <v>10629.219999999998</v>
      </c>
    </row>
    <row r="24" spans="1:13" x14ac:dyDescent="0.25">
      <c r="A24" s="28"/>
      <c r="B24" s="34"/>
      <c r="C24" s="31"/>
      <c r="D24" s="30"/>
      <c r="E24" s="31"/>
      <c r="F24" s="31"/>
      <c r="G24" s="33"/>
      <c r="H24" s="32"/>
      <c r="I24" s="33"/>
      <c r="J24" s="39"/>
      <c r="K24" s="31"/>
    </row>
    <row r="25" spans="1:13" ht="90" customHeight="1" x14ac:dyDescent="0.25">
      <c r="A25" s="28">
        <v>5</v>
      </c>
      <c r="B25" s="45" t="s">
        <v>49</v>
      </c>
      <c r="C25" s="31"/>
      <c r="D25" s="30"/>
      <c r="E25" s="31"/>
      <c r="F25" s="31"/>
      <c r="G25" s="33"/>
      <c r="H25" s="32"/>
      <c r="I25" s="33"/>
      <c r="J25" s="39"/>
      <c r="K25" s="31"/>
    </row>
    <row r="26" spans="1:13" ht="15" customHeight="1" x14ac:dyDescent="0.25">
      <c r="A26" s="43"/>
      <c r="B26" s="48" t="s">
        <v>48</v>
      </c>
      <c r="C26" s="44">
        <v>1</v>
      </c>
      <c r="D26" s="30">
        <f>10*2.5-7.5</f>
        <v>17.5</v>
      </c>
      <c r="E26" s="31">
        <v>2</v>
      </c>
      <c r="F26" s="31">
        <f>1/3.2808</f>
        <v>0.30480370641306997</v>
      </c>
      <c r="G26" s="40">
        <f>PRODUCT(C26:F26)</f>
        <v>10.668129724457449</v>
      </c>
      <c r="H26" s="32"/>
      <c r="I26" s="33"/>
      <c r="J26" s="33"/>
      <c r="K26" s="31"/>
    </row>
    <row r="27" spans="1:13" ht="15" customHeight="1" x14ac:dyDescent="0.25">
      <c r="A27" s="43"/>
      <c r="B27" s="48"/>
      <c r="C27" s="44">
        <v>1</v>
      </c>
      <c r="D27" s="30">
        <v>7.5</v>
      </c>
      <c r="E27" s="31">
        <v>1.46</v>
      </c>
      <c r="F27" s="31">
        <f>1/3.2808</f>
        <v>0.30480370641306997</v>
      </c>
      <c r="G27" s="40">
        <f>PRODUCT(C27:F27)</f>
        <v>3.3376005852231159</v>
      </c>
      <c r="H27" s="32"/>
      <c r="I27" s="33"/>
      <c r="J27" s="33"/>
      <c r="K27" s="31"/>
    </row>
    <row r="28" spans="1:13" x14ac:dyDescent="0.25">
      <c r="A28" s="28"/>
      <c r="B28" s="34" t="s">
        <v>32</v>
      </c>
      <c r="C28" s="31"/>
      <c r="D28" s="30"/>
      <c r="E28" s="31"/>
      <c r="F28" s="31"/>
      <c r="G28" s="33">
        <f>SUM(G26:G27)</f>
        <v>14.005730309680565</v>
      </c>
      <c r="H28" s="32" t="s">
        <v>29</v>
      </c>
      <c r="I28" s="33">
        <f>(3244.12/1.15)*1.15</f>
        <v>3244.12</v>
      </c>
      <c r="J28" s="39">
        <f>G28*I28</f>
        <v>45436.269812240913</v>
      </c>
      <c r="K28" s="31"/>
    </row>
    <row r="29" spans="1:13" x14ac:dyDescent="0.25">
      <c r="A29" s="28"/>
      <c r="B29" s="34"/>
      <c r="C29" s="31"/>
      <c r="D29" s="30"/>
      <c r="E29" s="31"/>
      <c r="F29" s="31"/>
      <c r="G29" s="33"/>
      <c r="H29" s="32"/>
      <c r="I29" s="33"/>
      <c r="J29" s="39"/>
      <c r="K29" s="31"/>
    </row>
    <row r="30" spans="1:13" ht="30.75" x14ac:dyDescent="0.25">
      <c r="A30" s="28">
        <v>6</v>
      </c>
      <c r="B30" s="50" t="s">
        <v>46</v>
      </c>
      <c r="C30" s="31"/>
      <c r="D30" s="30"/>
      <c r="E30" s="31"/>
      <c r="F30" s="31"/>
      <c r="G30" s="33"/>
      <c r="H30" s="32"/>
      <c r="I30" s="33" t="s">
        <v>50</v>
      </c>
      <c r="J30" s="39"/>
      <c r="K30" s="31"/>
    </row>
    <row r="31" spans="1:13" x14ac:dyDescent="0.25">
      <c r="A31" s="43"/>
      <c r="B31" s="48" t="s">
        <v>47</v>
      </c>
      <c r="C31" s="44">
        <v>1</v>
      </c>
      <c r="D31" s="30">
        <f>1.03+1.03+(1-0.23*2)*2</f>
        <v>3.14</v>
      </c>
      <c r="E31" s="31">
        <v>0.23</v>
      </c>
      <c r="F31" s="31">
        <v>0.6</v>
      </c>
      <c r="G31" s="40">
        <f>PRODUCT(C31:F31)</f>
        <v>0.43332000000000004</v>
      </c>
      <c r="H31" s="32"/>
      <c r="I31" s="33"/>
      <c r="J31" s="33"/>
      <c r="K31" s="31"/>
    </row>
    <row r="32" spans="1:13" x14ac:dyDescent="0.25">
      <c r="A32" s="43"/>
      <c r="B32" s="48" t="s">
        <v>52</v>
      </c>
      <c r="C32" s="44">
        <v>-1</v>
      </c>
      <c r="D32" s="30">
        <f>(0.3+5/12/3.281)</f>
        <v>0.42699380270242815</v>
      </c>
      <c r="E32" s="4">
        <v>0.23</v>
      </c>
      <c r="F32" s="31">
        <f>PI()</f>
        <v>3.1415926535897931</v>
      </c>
      <c r="G32" s="40">
        <f>C32*(F32*(D32*D32)/4)*E32</f>
        <v>-3.2935242161652237E-2</v>
      </c>
      <c r="H32" s="32"/>
      <c r="I32" s="33"/>
      <c r="J32" s="33"/>
      <c r="K32" s="31"/>
    </row>
    <row r="33" spans="1:11" x14ac:dyDescent="0.25">
      <c r="A33" s="43"/>
      <c r="B33" s="48"/>
      <c r="C33" s="44">
        <v>-1</v>
      </c>
      <c r="D33" s="30">
        <f>(0.45+5/12/3.281)</f>
        <v>0.57699380270242817</v>
      </c>
      <c r="E33" s="4">
        <v>0.23</v>
      </c>
      <c r="F33" s="31">
        <f>PI()</f>
        <v>3.1415926535897931</v>
      </c>
      <c r="G33" s="40">
        <f>C33*(F33*(D33*D33)/4)*E33</f>
        <v>-6.0139527898530026E-2</v>
      </c>
      <c r="H33" s="32"/>
      <c r="I33" s="33"/>
      <c r="J33" s="33"/>
      <c r="K33" s="31"/>
    </row>
    <row r="34" spans="1:11" x14ac:dyDescent="0.25">
      <c r="A34" s="28"/>
      <c r="B34" s="34" t="s">
        <v>32</v>
      </c>
      <c r="C34" s="31"/>
      <c r="D34" s="30" t="s">
        <v>50</v>
      </c>
      <c r="E34" s="4"/>
      <c r="F34" s="31"/>
      <c r="G34" s="33">
        <f>SUM(G31:G33)</f>
        <v>0.34024522993981776</v>
      </c>
      <c r="H34" s="32" t="s">
        <v>29</v>
      </c>
      <c r="I34" s="33">
        <f>14362.76*1.15</f>
        <v>16517.173999999999</v>
      </c>
      <c r="J34" s="39">
        <f>G34*I34</f>
        <v>5619.8896655859789</v>
      </c>
      <c r="K34" s="31"/>
    </row>
    <row r="35" spans="1:11" x14ac:dyDescent="0.25">
      <c r="A35" s="28"/>
      <c r="B35" s="34"/>
      <c r="C35" s="31"/>
      <c r="D35" s="30"/>
      <c r="E35" s="31"/>
      <c r="F35" s="31"/>
      <c r="G35" s="33"/>
      <c r="H35" s="32"/>
      <c r="I35" s="33"/>
      <c r="J35" s="39"/>
      <c r="K35" s="31"/>
    </row>
    <row r="36" spans="1:11" s="1" customFormat="1" ht="77.25" customHeight="1" x14ac:dyDescent="0.25">
      <c r="A36" s="28">
        <v>7</v>
      </c>
      <c r="B36" s="45" t="s">
        <v>33</v>
      </c>
      <c r="C36" s="31"/>
      <c r="D36" s="30"/>
      <c r="E36" s="31"/>
      <c r="F36" s="31"/>
      <c r="G36" s="33"/>
      <c r="H36" s="32"/>
      <c r="I36" s="33"/>
      <c r="J36" s="39"/>
      <c r="K36" s="31"/>
    </row>
    <row r="37" spans="1:11" x14ac:dyDescent="0.25">
      <c r="A37" s="43"/>
      <c r="B37" s="48" t="s">
        <v>47</v>
      </c>
      <c r="C37" s="44">
        <v>1</v>
      </c>
      <c r="D37" s="30">
        <f>1.03</f>
        <v>1.03</v>
      </c>
      <c r="E37" s="31">
        <v>1</v>
      </c>
      <c r="F37" s="31">
        <f>1.5/12/3.281</f>
        <v>3.8098140810728431E-2</v>
      </c>
      <c r="G37" s="40">
        <f>PRODUCT(C37:F37)</f>
        <v>3.9241085035050284E-2</v>
      </c>
      <c r="H37" s="32"/>
      <c r="I37" s="33"/>
      <c r="J37" s="33"/>
      <c r="K37" s="31"/>
    </row>
    <row r="38" spans="1:11" x14ac:dyDescent="0.25">
      <c r="A38" s="43"/>
      <c r="B38" s="48" t="s">
        <v>52</v>
      </c>
      <c r="C38" s="44">
        <v>-1</v>
      </c>
      <c r="D38" s="30">
        <f>(23/12/3.281)</f>
        <v>0.58417149243116939</v>
      </c>
      <c r="E38" s="31">
        <f>PI()</f>
        <v>3.1415926535897931</v>
      </c>
      <c r="F38" s="31">
        <f>1.5/12/3.281</f>
        <v>3.8098140810728431E-2</v>
      </c>
      <c r="G38" s="40">
        <f>C38*(E38*(D38*D38)/4)*F38</f>
        <v>-1.021114358608829E-2</v>
      </c>
      <c r="H38" s="32"/>
      <c r="I38" s="33"/>
      <c r="J38" s="33"/>
      <c r="K38" s="31"/>
    </row>
    <row r="39" spans="1:11" x14ac:dyDescent="0.25">
      <c r="A39" s="43"/>
      <c r="B39" s="48"/>
      <c r="C39" s="44">
        <v>1</v>
      </c>
      <c r="D39" s="30">
        <f>1.03</f>
        <v>1.03</v>
      </c>
      <c r="E39" s="31">
        <v>1</v>
      </c>
      <c r="F39" s="31">
        <f>2/12/3.281</f>
        <v>5.0797521080971242E-2</v>
      </c>
      <c r="G39" s="40">
        <f>PRODUCT(C39:F39)</f>
        <v>5.2321446713400381E-2</v>
      </c>
      <c r="H39" s="32"/>
      <c r="I39" s="33"/>
      <c r="J39" s="33"/>
      <c r="K39" s="31"/>
    </row>
    <row r="40" spans="1:11" x14ac:dyDescent="0.25">
      <c r="A40" s="28"/>
      <c r="B40" s="34" t="s">
        <v>32</v>
      </c>
      <c r="C40" s="31"/>
      <c r="D40" s="30" t="s">
        <v>50</v>
      </c>
      <c r="E40" s="31"/>
      <c r="F40" s="31"/>
      <c r="G40" s="33">
        <f>SUM(G37:G39)</f>
        <v>8.135138816236237E-2</v>
      </c>
      <c r="H40" s="32" t="s">
        <v>29</v>
      </c>
      <c r="I40" s="33">
        <f>11219.5*1.15</f>
        <v>12902.424999999999</v>
      </c>
      <c r="J40" s="39">
        <f>G40*I40</f>
        <v>1049.6301844107682</v>
      </c>
      <c r="K40" s="31"/>
    </row>
    <row r="41" spans="1:11" x14ac:dyDescent="0.25">
      <c r="A41" s="28"/>
      <c r="B41" s="34"/>
      <c r="C41" s="31"/>
      <c r="D41" s="30"/>
      <c r="E41" s="31"/>
      <c r="F41" s="31"/>
      <c r="G41" s="33"/>
      <c r="H41" s="32"/>
      <c r="I41" s="33"/>
      <c r="J41" s="39"/>
      <c r="K41" s="31"/>
    </row>
    <row r="42" spans="1:11" s="1" customFormat="1" ht="90" customHeight="1" x14ac:dyDescent="0.25">
      <c r="A42" s="28">
        <v>8</v>
      </c>
      <c r="B42" s="45" t="s">
        <v>54</v>
      </c>
      <c r="C42" s="31"/>
      <c r="D42" s="30"/>
      <c r="E42" s="31"/>
      <c r="F42" s="31"/>
      <c r="G42" s="33"/>
      <c r="H42" s="32"/>
      <c r="I42" s="33"/>
      <c r="J42" s="39"/>
      <c r="K42" s="31"/>
    </row>
    <row r="43" spans="1:11" ht="15" customHeight="1" x14ac:dyDescent="0.25">
      <c r="A43" s="28"/>
      <c r="B43" s="47" t="s">
        <v>53</v>
      </c>
      <c r="C43" s="31">
        <v>1</v>
      </c>
      <c r="D43" s="30">
        <v>1.5</v>
      </c>
      <c r="E43" s="31">
        <v>0.35</v>
      </c>
      <c r="F43" s="31">
        <v>0.45</v>
      </c>
      <c r="G43" s="40">
        <f>PRODUCT(C43:F43)</f>
        <v>0.23624999999999996</v>
      </c>
      <c r="H43" s="32"/>
      <c r="I43" s="33"/>
      <c r="J43" s="39"/>
      <c r="K43" s="31"/>
    </row>
    <row r="44" spans="1:11" ht="15" customHeight="1" x14ac:dyDescent="0.25">
      <c r="A44" s="28"/>
      <c r="B44" s="34" t="s">
        <v>32</v>
      </c>
      <c r="C44" s="31"/>
      <c r="D44" s="30" t="s">
        <v>50</v>
      </c>
      <c r="E44" s="31"/>
      <c r="F44" s="31"/>
      <c r="G44" s="33">
        <f>SUM(G43)</f>
        <v>0.23624999999999996</v>
      </c>
      <c r="H44" s="32" t="s">
        <v>29</v>
      </c>
      <c r="I44" s="33">
        <f>9709.43*1.15</f>
        <v>11165.844499999999</v>
      </c>
      <c r="J44" s="39">
        <f>G44*I44</f>
        <v>2637.9307631249994</v>
      </c>
      <c r="K44" s="31"/>
    </row>
    <row r="45" spans="1:11" x14ac:dyDescent="0.25">
      <c r="A45" s="28"/>
      <c r="B45" s="34"/>
      <c r="C45" s="31"/>
      <c r="D45" s="30"/>
      <c r="E45" s="31"/>
      <c r="F45" s="31"/>
      <c r="G45" s="33"/>
      <c r="H45" s="32"/>
      <c r="I45" s="33"/>
      <c r="J45" s="39"/>
      <c r="K45" s="31"/>
    </row>
    <row r="46" spans="1:11" ht="30" x14ac:dyDescent="0.25">
      <c r="A46" s="28">
        <v>9</v>
      </c>
      <c r="B46" s="46" t="s">
        <v>51</v>
      </c>
      <c r="C46" s="31">
        <v>1</v>
      </c>
      <c r="D46" s="30"/>
      <c r="E46" s="31"/>
      <c r="F46" s="31"/>
      <c r="G46" s="40">
        <f>PRODUCT(C46:F46)</f>
        <v>1</v>
      </c>
      <c r="H46" s="32"/>
      <c r="I46" s="33"/>
      <c r="J46" s="39"/>
      <c r="K46" s="31"/>
    </row>
    <row r="47" spans="1:11" x14ac:dyDescent="0.25">
      <c r="A47" s="28"/>
      <c r="B47" s="34" t="s">
        <v>32</v>
      </c>
      <c r="C47" s="31"/>
      <c r="D47" s="30"/>
      <c r="E47" s="31"/>
      <c r="F47" s="31"/>
      <c r="G47" s="33">
        <f>SUM(G46:G46)</f>
        <v>1</v>
      </c>
      <c r="H47" s="32" t="s">
        <v>31</v>
      </c>
      <c r="I47" s="33">
        <f>4487*1.15</f>
        <v>5160.0499999999993</v>
      </c>
      <c r="J47" s="39">
        <f>G47*I47</f>
        <v>5160.0499999999993</v>
      </c>
      <c r="K47" s="31"/>
    </row>
    <row r="48" spans="1:11" x14ac:dyDescent="0.25">
      <c r="A48" s="28"/>
      <c r="B48" s="34"/>
      <c r="C48" s="31"/>
      <c r="D48" s="30"/>
      <c r="E48" s="31"/>
      <c r="F48" s="31"/>
      <c r="G48" s="33"/>
      <c r="H48" s="32"/>
      <c r="I48" s="33"/>
      <c r="J48" s="39"/>
      <c r="K48" s="31"/>
    </row>
    <row r="49" spans="1:11" ht="30" x14ac:dyDescent="0.25">
      <c r="A49" s="28">
        <v>10</v>
      </c>
      <c r="B49" s="46" t="s">
        <v>58</v>
      </c>
      <c r="C49" s="31">
        <v>1</v>
      </c>
      <c r="D49" s="30"/>
      <c r="E49" s="31"/>
      <c r="F49" s="31"/>
      <c r="G49" s="40">
        <f>PRODUCT(C49:F49)</f>
        <v>1</v>
      </c>
      <c r="H49" s="32"/>
      <c r="I49" s="33"/>
      <c r="J49" s="39"/>
      <c r="K49" s="31"/>
    </row>
    <row r="50" spans="1:11" x14ac:dyDescent="0.25">
      <c r="A50" s="28"/>
      <c r="B50" s="34" t="s">
        <v>32</v>
      </c>
      <c r="C50" s="31"/>
      <c r="D50" s="30"/>
      <c r="E50" s="31"/>
      <c r="F50" s="31"/>
      <c r="G50" s="33">
        <f>SUM(G49:G49)</f>
        <v>1</v>
      </c>
      <c r="H50" s="32" t="s">
        <v>55</v>
      </c>
      <c r="I50" s="33">
        <v>40000</v>
      </c>
      <c r="J50" s="39">
        <f>G50*I50</f>
        <v>40000</v>
      </c>
      <c r="K50" s="31"/>
    </row>
    <row r="51" spans="1:11" x14ac:dyDescent="0.25">
      <c r="A51" s="28"/>
      <c r="B51" s="34"/>
      <c r="C51" s="31"/>
      <c r="D51" s="30"/>
      <c r="E51" s="31"/>
      <c r="F51" s="31"/>
      <c r="G51" s="33"/>
      <c r="H51" s="32"/>
      <c r="I51" s="33"/>
      <c r="J51" s="39"/>
      <c r="K51" s="31"/>
    </row>
    <row r="52" spans="1:11" x14ac:dyDescent="0.25">
      <c r="A52" s="28">
        <v>11</v>
      </c>
      <c r="B52" s="41" t="s">
        <v>30</v>
      </c>
      <c r="C52" s="29">
        <v>1</v>
      </c>
      <c r="D52" s="30"/>
      <c r="E52" s="31"/>
      <c r="F52" s="31"/>
      <c r="G52" s="39">
        <f>PRODUCT(C52:F52)</f>
        <v>1</v>
      </c>
      <c r="H52" s="32" t="s">
        <v>31</v>
      </c>
      <c r="I52" s="33">
        <v>500</v>
      </c>
      <c r="J52" s="8">
        <f>G52*I52</f>
        <v>500</v>
      </c>
      <c r="K52" s="31"/>
    </row>
    <row r="53" spans="1:11" x14ac:dyDescent="0.25">
      <c r="A53" s="10"/>
      <c r="B53" s="27"/>
      <c r="C53" s="9"/>
      <c r="D53" s="7"/>
      <c r="E53" s="7"/>
      <c r="F53" s="7"/>
      <c r="G53" s="8"/>
      <c r="H53" s="8"/>
      <c r="I53" s="8"/>
      <c r="J53" s="8"/>
      <c r="K53" s="4"/>
    </row>
    <row r="54" spans="1:11" x14ac:dyDescent="0.25">
      <c r="A54" s="10"/>
      <c r="B54" s="27" t="s">
        <v>17</v>
      </c>
      <c r="C54" s="9"/>
      <c r="D54" s="7"/>
      <c r="E54" s="7"/>
      <c r="F54" s="7"/>
      <c r="G54" s="8"/>
      <c r="H54" s="8"/>
      <c r="I54" s="8"/>
      <c r="J54" s="8">
        <f>SUM(J9:J53)</f>
        <v>261120.54188953518</v>
      </c>
      <c r="K54" s="4"/>
    </row>
    <row r="56" spans="1:11" s="1" customFormat="1" x14ac:dyDescent="0.25">
      <c r="B56" s="17" t="s">
        <v>27</v>
      </c>
      <c r="C56" s="53">
        <f>J54</f>
        <v>261120.54188953518</v>
      </c>
      <c r="D56" s="53"/>
      <c r="E56" s="19"/>
      <c r="F56" s="20"/>
      <c r="G56" s="19"/>
      <c r="H56" s="21"/>
      <c r="I56" s="22"/>
      <c r="J56" s="23"/>
    </row>
    <row r="57" spans="1:11" x14ac:dyDescent="0.25">
      <c r="B57" s="4" t="s">
        <v>61</v>
      </c>
      <c r="C57" s="53">
        <f>13%*C56</f>
        <v>33945.670445639575</v>
      </c>
      <c r="D57" s="53"/>
    </row>
    <row r="58" spans="1:11" x14ac:dyDescent="0.25">
      <c r="B58" s="4" t="s">
        <v>17</v>
      </c>
      <c r="C58" s="54">
        <f>SUM(C56:D57)</f>
        <v>295066.21233517473</v>
      </c>
      <c r="D58" s="54"/>
    </row>
  </sheetData>
  <mergeCells count="12">
    <mergeCell ref="A6:G6"/>
    <mergeCell ref="H6:K6"/>
    <mergeCell ref="A1:K1"/>
    <mergeCell ref="A2:K2"/>
    <mergeCell ref="A3:K3"/>
    <mergeCell ref="A4:K4"/>
    <mergeCell ref="A5:K5"/>
    <mergeCell ref="A7:F7"/>
    <mergeCell ref="H7:K7"/>
    <mergeCell ref="C56:D56"/>
    <mergeCell ref="C57:D57"/>
    <mergeCell ref="C58:D58"/>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abSelected="1" zoomScaleNormal="100" workbookViewId="0">
      <selection activeCell="G42" sqref="G42"/>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69" t="s">
        <v>0</v>
      </c>
      <c r="B1" s="69"/>
      <c r="C1" s="69"/>
      <c r="D1" s="69"/>
      <c r="E1" s="69"/>
      <c r="F1" s="69"/>
      <c r="G1" s="69"/>
      <c r="H1" s="69"/>
      <c r="I1" s="69"/>
      <c r="J1" s="69"/>
      <c r="K1" s="69"/>
    </row>
    <row r="2" spans="1:13" ht="25.5" x14ac:dyDescent="0.35">
      <c r="A2" s="70" t="s">
        <v>1</v>
      </c>
      <c r="B2" s="70"/>
      <c r="C2" s="70"/>
      <c r="D2" s="70"/>
      <c r="E2" s="70"/>
      <c r="F2" s="70"/>
      <c r="G2" s="70"/>
      <c r="H2" s="70"/>
      <c r="I2" s="70"/>
      <c r="J2" s="70"/>
      <c r="K2" s="70"/>
    </row>
    <row r="3" spans="1:13" s="1" customFormat="1" x14ac:dyDescent="0.25">
      <c r="A3" s="58" t="s">
        <v>2</v>
      </c>
      <c r="B3" s="58"/>
      <c r="C3" s="58"/>
      <c r="D3" s="58"/>
      <c r="E3" s="58"/>
      <c r="F3" s="58"/>
      <c r="G3" s="58"/>
      <c r="H3" s="58"/>
      <c r="I3" s="58"/>
      <c r="J3" s="58"/>
      <c r="K3" s="58"/>
    </row>
    <row r="4" spans="1:13" s="1" customFormat="1" x14ac:dyDescent="0.25">
      <c r="A4" s="58" t="s">
        <v>3</v>
      </c>
      <c r="B4" s="58"/>
      <c r="C4" s="58"/>
      <c r="D4" s="58"/>
      <c r="E4" s="58"/>
      <c r="F4" s="58"/>
      <c r="G4" s="58"/>
      <c r="H4" s="58"/>
      <c r="I4" s="58"/>
      <c r="J4" s="58"/>
      <c r="K4" s="58"/>
    </row>
    <row r="5" spans="1:13" ht="18.75" x14ac:dyDescent="0.3">
      <c r="A5" s="71" t="s">
        <v>18</v>
      </c>
      <c r="B5" s="71"/>
      <c r="C5" s="71"/>
      <c r="D5" s="71"/>
      <c r="E5" s="71"/>
      <c r="F5" s="71"/>
      <c r="G5" s="71"/>
      <c r="H5" s="71"/>
      <c r="I5" s="71"/>
      <c r="J5" s="71"/>
      <c r="K5" s="71"/>
    </row>
    <row r="6" spans="1:13" ht="18.75" x14ac:dyDescent="0.3">
      <c r="A6" s="11" t="s">
        <v>19</v>
      </c>
      <c r="B6" s="11"/>
      <c r="C6" s="67">
        <f>F35</f>
        <v>261120.54188953518</v>
      </c>
      <c r="D6" s="68"/>
      <c r="E6" s="12"/>
      <c r="F6" s="11"/>
      <c r="G6" s="11"/>
      <c r="H6" s="11" t="s">
        <v>20</v>
      </c>
      <c r="I6" s="11"/>
      <c r="J6" s="67">
        <f>I35</f>
        <v>255189.44538953516</v>
      </c>
      <c r="K6" s="68"/>
    </row>
    <row r="7" spans="1:13" x14ac:dyDescent="0.25">
      <c r="A7" s="35" t="s">
        <v>39</v>
      </c>
      <c r="B7" s="13"/>
      <c r="C7" s="13"/>
      <c r="D7" s="13"/>
      <c r="F7" s="63"/>
      <c r="G7" s="63"/>
      <c r="I7" s="64" t="s">
        <v>40</v>
      </c>
      <c r="J7" s="64"/>
      <c r="K7" s="64"/>
    </row>
    <row r="8" spans="1:13" ht="15.75" x14ac:dyDescent="0.25">
      <c r="A8" s="62" t="str">
        <f>new!A6</f>
        <v>Project:- Pasikhel pahiro roktham kaarya</v>
      </c>
      <c r="B8" s="62"/>
      <c r="C8" s="62"/>
      <c r="D8" s="62"/>
      <c r="E8" s="62"/>
      <c r="F8" s="62"/>
      <c r="I8" s="65" t="s">
        <v>59</v>
      </c>
      <c r="J8" s="65"/>
      <c r="K8" s="65"/>
    </row>
    <row r="9" spans="1:13" ht="15.75" x14ac:dyDescent="0.25">
      <c r="A9" s="62" t="str">
        <f>new!A7</f>
        <v>Location:- Shankharapur Municipality 9</v>
      </c>
      <c r="B9" s="62"/>
      <c r="C9" s="62"/>
      <c r="D9" s="62"/>
      <c r="E9" s="62"/>
      <c r="F9" s="62"/>
      <c r="I9" s="65" t="s">
        <v>62</v>
      </c>
      <c r="J9" s="65"/>
      <c r="K9" s="65"/>
    </row>
    <row r="11" spans="1:13" x14ac:dyDescent="0.25">
      <c r="A11" s="60" t="s">
        <v>21</v>
      </c>
      <c r="B11" s="60" t="s">
        <v>22</v>
      </c>
      <c r="C11" s="60" t="s">
        <v>12</v>
      </c>
      <c r="D11" s="66" t="s">
        <v>23</v>
      </c>
      <c r="E11" s="66"/>
      <c r="F11" s="66"/>
      <c r="G11" s="66" t="s">
        <v>24</v>
      </c>
      <c r="H11" s="66"/>
      <c r="I11" s="66"/>
      <c r="J11" s="60" t="s">
        <v>25</v>
      </c>
      <c r="K11" s="61" t="s">
        <v>15</v>
      </c>
    </row>
    <row r="12" spans="1:13" x14ac:dyDescent="0.25">
      <c r="A12" s="60"/>
      <c r="B12" s="60"/>
      <c r="C12" s="60"/>
      <c r="D12" s="14" t="s">
        <v>26</v>
      </c>
      <c r="E12" s="14" t="s">
        <v>13</v>
      </c>
      <c r="F12" s="14" t="s">
        <v>14</v>
      </c>
      <c r="G12" s="14" t="s">
        <v>26</v>
      </c>
      <c r="H12" s="14" t="s">
        <v>13</v>
      </c>
      <c r="I12" s="14" t="s">
        <v>14</v>
      </c>
      <c r="J12" s="60"/>
      <c r="K12" s="61"/>
    </row>
    <row r="13" spans="1:13" s="1" customFormat="1" ht="120" x14ac:dyDescent="0.25">
      <c r="A13" s="36">
        <f>new!A9</f>
        <v>1</v>
      </c>
      <c r="B13" s="42" t="str">
        <f>new!B9</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C13" s="15" t="str">
        <f>new!H11</f>
        <v>cum</v>
      </c>
      <c r="D13" s="15">
        <f>new!G11</f>
        <v>1.6</v>
      </c>
      <c r="E13" s="15">
        <f>new!I11</f>
        <v>847.41199999999992</v>
      </c>
      <c r="F13" s="15">
        <f>D13*E13</f>
        <v>1355.8591999999999</v>
      </c>
      <c r="G13" s="15">
        <f>V!G11</f>
        <v>1.6</v>
      </c>
      <c r="H13" s="15">
        <f>V!I11</f>
        <v>847.41199999999992</v>
      </c>
      <c r="I13" s="15">
        <f>G13*H13</f>
        <v>1355.8591999999999</v>
      </c>
      <c r="J13" s="37">
        <f>I13-F13</f>
        <v>0</v>
      </c>
      <c r="K13" s="18"/>
      <c r="M13" s="1">
        <f t="shared" ref="M13:M16" si="0">1.25*F13</f>
        <v>1694.8239999999998</v>
      </c>
    </row>
    <row r="14" spans="1:13" s="1" customFormat="1" x14ac:dyDescent="0.25">
      <c r="A14" s="36"/>
      <c r="B14" s="42"/>
      <c r="C14" s="15"/>
      <c r="D14" s="15"/>
      <c r="E14" s="15"/>
      <c r="F14" s="15"/>
      <c r="G14" s="15"/>
      <c r="H14" s="15"/>
      <c r="I14" s="15"/>
      <c r="J14" s="37"/>
      <c r="K14" s="18"/>
    </row>
    <row r="15" spans="1:13" s="1" customFormat="1" ht="75" x14ac:dyDescent="0.25">
      <c r="A15" s="36">
        <f>new!A13</f>
        <v>2</v>
      </c>
      <c r="B15" s="42" t="str">
        <f>new!B13</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5" s="15" t="str">
        <f>new!H15</f>
        <v>cum</v>
      </c>
      <c r="D15" s="15">
        <f>new!G15</f>
        <v>10.953215483084426</v>
      </c>
      <c r="E15" s="15">
        <f>new!I15</f>
        <v>74.324499999999986</v>
      </c>
      <c r="F15" s="15">
        <f>D15*E15</f>
        <v>814.09226417250829</v>
      </c>
      <c r="G15" s="15">
        <f>V!G15</f>
        <v>10.953215483084426</v>
      </c>
      <c r="H15" s="15">
        <f>V!I15</f>
        <v>74.324499999999986</v>
      </c>
      <c r="I15" s="15">
        <f>G15*H15</f>
        <v>814.09226417250829</v>
      </c>
      <c r="J15" s="37">
        <f>I15-F15</f>
        <v>0</v>
      </c>
      <c r="K15" s="18"/>
    </row>
    <row r="16" spans="1:13" s="1" customFormat="1" x14ac:dyDescent="0.25">
      <c r="A16" s="36"/>
      <c r="B16" s="42"/>
      <c r="C16" s="15"/>
      <c r="D16" s="15"/>
      <c r="E16" s="15"/>
      <c r="F16" s="15"/>
      <c r="G16" s="15"/>
      <c r="H16" s="15"/>
      <c r="I16" s="15"/>
      <c r="J16" s="37"/>
      <c r="K16" s="18"/>
      <c r="M16" s="1">
        <f t="shared" si="0"/>
        <v>0</v>
      </c>
    </row>
    <row r="17" spans="1:13" s="1" customFormat="1" ht="60" x14ac:dyDescent="0.25">
      <c r="A17" s="36">
        <f>new!A17</f>
        <v>3</v>
      </c>
      <c r="B17" s="42" t="str">
        <f>new!B17</f>
        <v>Providing and Laying Reinforced cement concrete NP3 Flush jointed pipe for culverts including fixing with cement mortar 1:2 as per Drawing and Technical Specifications., 450 mm  internal dia.</v>
      </c>
      <c r="C17" s="15" t="str">
        <f>new!H19</f>
        <v>rm</v>
      </c>
      <c r="D17" s="15">
        <f>new!G19</f>
        <v>25</v>
      </c>
      <c r="E17" s="15">
        <f>new!I19</f>
        <v>5916.7039999999997</v>
      </c>
      <c r="F17" s="15">
        <f>D17*E17</f>
        <v>147917.6</v>
      </c>
      <c r="G17" s="15">
        <f>V!G19</f>
        <v>25</v>
      </c>
      <c r="H17" s="15">
        <f>V!I19</f>
        <v>5916.7039999999997</v>
      </c>
      <c r="I17" s="15">
        <f>G17*H17</f>
        <v>147917.6</v>
      </c>
      <c r="J17" s="37">
        <f>I17-F17</f>
        <v>0</v>
      </c>
      <c r="K17" s="18"/>
    </row>
    <row r="18" spans="1:13" s="1" customFormat="1" x14ac:dyDescent="0.25">
      <c r="A18" s="36"/>
      <c r="B18" s="42"/>
      <c r="C18" s="15"/>
      <c r="D18" s="15"/>
      <c r="E18" s="15"/>
      <c r="F18" s="15"/>
      <c r="G18" s="15"/>
      <c r="H18" s="15"/>
      <c r="I18" s="15"/>
      <c r="J18" s="37"/>
      <c r="K18" s="18"/>
      <c r="M18" s="1">
        <f t="shared" ref="M18" si="1">1.25*F18</f>
        <v>0</v>
      </c>
    </row>
    <row r="19" spans="1:13" s="1" customFormat="1" ht="60" x14ac:dyDescent="0.25">
      <c r="A19" s="36">
        <f>new!A21</f>
        <v>4</v>
      </c>
      <c r="B19" s="42" t="str">
        <f>new!B21</f>
        <v>Providing and Laying Reinforced cement concrete NP3 Flush jointed pipe for culverts including fixing with cement mortar 1:2 as per Drawing and Technical Specifications., 300 mm  internal dia.</v>
      </c>
      <c r="C19" s="15" t="str">
        <f>new!H23</f>
        <v>rm</v>
      </c>
      <c r="D19" s="15">
        <f>new!G23</f>
        <v>2.5</v>
      </c>
      <c r="E19" s="15">
        <f>new!I23</f>
        <v>4251.6879999999992</v>
      </c>
      <c r="F19" s="15">
        <f>D19*E19</f>
        <v>10629.219999999998</v>
      </c>
      <c r="G19" s="15">
        <f>V!G23</f>
        <v>2.5</v>
      </c>
      <c r="H19" s="15">
        <f>V!I23</f>
        <v>4251.6879999999992</v>
      </c>
      <c r="I19" s="15">
        <f>G19*H19</f>
        <v>10629.219999999998</v>
      </c>
      <c r="J19" s="37">
        <f>I19-F19</f>
        <v>0</v>
      </c>
      <c r="K19" s="18"/>
    </row>
    <row r="20" spans="1:13" s="1" customFormat="1" x14ac:dyDescent="0.25">
      <c r="A20" s="36"/>
      <c r="B20" s="42"/>
      <c r="C20" s="15"/>
      <c r="D20" s="15"/>
      <c r="E20" s="15"/>
      <c r="F20" s="15"/>
      <c r="G20" s="15"/>
      <c r="H20" s="15"/>
      <c r="I20" s="15"/>
      <c r="J20" s="37"/>
      <c r="K20" s="18"/>
      <c r="M20" s="1">
        <f t="shared" ref="M20" si="2">1.25*F20</f>
        <v>0</v>
      </c>
    </row>
    <row r="21" spans="1:13" s="1" customFormat="1" ht="75" x14ac:dyDescent="0.25">
      <c r="A21" s="36">
        <f>new!A25</f>
        <v>5</v>
      </c>
      <c r="B21" s="42" t="str">
        <f>new!B25</f>
        <v>Providing and laying  granular sub-base   without compaction on prepared surface, mixing  , complete as per Drawing and Technical Specifications., By Mechanical means</v>
      </c>
      <c r="C21" s="15" t="str">
        <f>new!H28</f>
        <v>cum</v>
      </c>
      <c r="D21" s="15">
        <f>new!G28</f>
        <v>14.005730309680565</v>
      </c>
      <c r="E21" s="15">
        <f>new!I28</f>
        <v>3244.12</v>
      </c>
      <c r="F21" s="15">
        <f>D21*E21</f>
        <v>45436.269812240913</v>
      </c>
      <c r="G21" s="15">
        <f>V!G28</f>
        <v>14.005730309680565</v>
      </c>
      <c r="H21" s="15">
        <f>V!I28</f>
        <v>3244.12</v>
      </c>
      <c r="I21" s="15">
        <f>G21*H21</f>
        <v>45436.269812240913</v>
      </c>
      <c r="J21" s="37">
        <f>I21-F21</f>
        <v>0</v>
      </c>
      <c r="K21" s="18"/>
    </row>
    <row r="22" spans="1:13" s="1" customFormat="1" x14ac:dyDescent="0.25">
      <c r="A22" s="36"/>
      <c r="B22" s="42"/>
      <c r="C22" s="15"/>
      <c r="D22" s="15"/>
      <c r="E22" s="15"/>
      <c r="F22" s="15"/>
      <c r="G22" s="15"/>
      <c r="H22" s="15"/>
      <c r="I22" s="15"/>
      <c r="J22" s="37"/>
      <c r="K22" s="18"/>
      <c r="M22" s="1">
        <f t="shared" ref="M22" si="3">1.25*F22</f>
        <v>0</v>
      </c>
    </row>
    <row r="23" spans="1:13" s="1" customFormat="1" ht="30" x14ac:dyDescent="0.2">
      <c r="A23" s="36">
        <f>new!A30</f>
        <v>6</v>
      </c>
      <c r="B23" s="50" t="str">
        <f>new!B30</f>
        <v>e'O{+tNnfdf lrDgL e§fsf] O{+6fsf] uf/f] l;d]G6 d;nf -!M^_ df</v>
      </c>
      <c r="C23" s="15" t="str">
        <f>new!H34</f>
        <v>cum</v>
      </c>
      <c r="D23" s="15">
        <f>new!G34</f>
        <v>0.34024522993981776</v>
      </c>
      <c r="E23" s="15">
        <f>new!I34</f>
        <v>16517.173999999999</v>
      </c>
      <c r="F23" s="15">
        <f>D23*E23</f>
        <v>5619.8896655859789</v>
      </c>
      <c r="G23" s="15">
        <f>V!G34</f>
        <v>0.34024522993981776</v>
      </c>
      <c r="H23" s="15">
        <f>V!I34</f>
        <v>16517.173999999999</v>
      </c>
      <c r="I23" s="15">
        <f>G23*H23</f>
        <v>5619.8896655859789</v>
      </c>
      <c r="J23" s="37">
        <f>I23-F23</f>
        <v>0</v>
      </c>
      <c r="K23" s="18"/>
    </row>
    <row r="24" spans="1:13" s="1" customFormat="1" x14ac:dyDescent="0.25">
      <c r="A24" s="36"/>
      <c r="B24" s="42"/>
      <c r="C24" s="15"/>
      <c r="D24" s="15"/>
      <c r="E24" s="15"/>
      <c r="F24" s="15"/>
      <c r="G24" s="15"/>
      <c r="H24" s="15"/>
      <c r="I24" s="15"/>
      <c r="J24" s="37"/>
      <c r="K24" s="18"/>
      <c r="M24" s="1">
        <f t="shared" ref="M24" si="4">1.25*F24</f>
        <v>0</v>
      </c>
    </row>
    <row r="25" spans="1:13" s="1" customFormat="1" ht="60" x14ac:dyDescent="0.25">
      <c r="A25" s="36">
        <f>new!A36</f>
        <v>7</v>
      </c>
      <c r="B25" s="42" t="str">
        <f>new!B36</f>
        <v>Providing and laying of Plain/Reinforced Cement Concrete in Foundation complete as per Drawing and Technical Specifications, PCC Grade M 15</v>
      </c>
      <c r="C25" s="15" t="str">
        <f>new!H40</f>
        <v>cum</v>
      </c>
      <c r="D25" s="15">
        <f>new!G40</f>
        <v>8.135138816236237E-2</v>
      </c>
      <c r="E25" s="15">
        <f>new!I40</f>
        <v>12902.424999999999</v>
      </c>
      <c r="F25" s="15">
        <f>D25*E25</f>
        <v>1049.6301844107682</v>
      </c>
      <c r="G25" s="15">
        <f>V!G40</f>
        <v>8.135138816236237E-2</v>
      </c>
      <c r="H25" s="15">
        <f>V!I40</f>
        <v>12902.424999999999</v>
      </c>
      <c r="I25" s="15">
        <f>G25*H25</f>
        <v>1049.6301844107682</v>
      </c>
      <c r="J25" s="37">
        <f>I25-F25</f>
        <v>0</v>
      </c>
      <c r="K25" s="18"/>
    </row>
    <row r="26" spans="1:13" s="1" customFormat="1" x14ac:dyDescent="0.25">
      <c r="A26" s="36"/>
      <c r="B26" s="42"/>
      <c r="C26" s="15"/>
      <c r="D26" s="15"/>
      <c r="E26" s="15"/>
      <c r="F26" s="15"/>
      <c r="G26" s="15"/>
      <c r="H26" s="15"/>
      <c r="I26" s="15"/>
      <c r="J26" s="37"/>
      <c r="K26" s="18"/>
      <c r="M26" s="1">
        <f t="shared" ref="M26" si="5">1.25*F26</f>
        <v>0</v>
      </c>
    </row>
    <row r="27" spans="1:13" s="1" customFormat="1" ht="60" x14ac:dyDescent="0.25">
      <c r="A27" s="36">
        <f>new!A42</f>
        <v>8</v>
      </c>
      <c r="B27" s="42" t="str">
        <f>new!B42</f>
        <v>Random Rubble Masonry, Providing and laying of Stone Masonry Work in Cement Mortar 1:6 in Foundation complete as per Drawing and Technical Specifications.</v>
      </c>
      <c r="C27" s="15" t="str">
        <f>new!H44</f>
        <v>cum</v>
      </c>
      <c r="D27" s="15">
        <f>new!G44</f>
        <v>0.23624999999999996</v>
      </c>
      <c r="E27" s="15">
        <f>new!I44</f>
        <v>11165.844499999999</v>
      </c>
      <c r="F27" s="15">
        <f>D27*E27</f>
        <v>2637.9307631249994</v>
      </c>
      <c r="G27" s="15">
        <f>V!G44</f>
        <v>0.23624999999999996</v>
      </c>
      <c r="H27" s="15">
        <f>V!I44</f>
        <v>11165.844499999999</v>
      </c>
      <c r="I27" s="15">
        <f>G27*H27</f>
        <v>2637.9307631249994</v>
      </c>
      <c r="J27" s="37">
        <f>I27-F27</f>
        <v>0</v>
      </c>
      <c r="K27" s="18"/>
    </row>
    <row r="28" spans="1:13" s="1" customFormat="1" x14ac:dyDescent="0.25">
      <c r="A28" s="36"/>
      <c r="B28" s="42"/>
      <c r="C28" s="15"/>
      <c r="D28" s="15"/>
      <c r="E28" s="15"/>
      <c r="F28" s="15"/>
      <c r="G28" s="15"/>
      <c r="H28" s="15"/>
      <c r="I28" s="15"/>
      <c r="J28" s="37"/>
      <c r="K28" s="18"/>
      <c r="M28" s="1">
        <f t="shared" ref="M28" si="6">1.25*F28</f>
        <v>0</v>
      </c>
    </row>
    <row r="29" spans="1:13" s="1" customFormat="1" ht="30" x14ac:dyDescent="0.25">
      <c r="A29" s="36">
        <f>new!A46</f>
        <v>9</v>
      </c>
      <c r="B29" s="42" t="str">
        <f>new!B46</f>
        <v>Round manhole cover medium 450mm (22")</v>
      </c>
      <c r="C29" s="15" t="str">
        <f>new!H47</f>
        <v>no.</v>
      </c>
      <c r="D29" s="15">
        <f>new!G47</f>
        <v>1</v>
      </c>
      <c r="E29" s="15">
        <f>new!I47</f>
        <v>5160.0499999999993</v>
      </c>
      <c r="F29" s="15">
        <f>D29*E29</f>
        <v>5160.0499999999993</v>
      </c>
      <c r="G29" s="15">
        <f>V!G47</f>
        <v>1</v>
      </c>
      <c r="H29" s="15">
        <f>V!I47</f>
        <v>5160.0499999999993</v>
      </c>
      <c r="I29" s="15">
        <f>G29*H29</f>
        <v>5160.0499999999993</v>
      </c>
      <c r="J29" s="37">
        <f>I29-F29</f>
        <v>0</v>
      </c>
      <c r="K29" s="18"/>
    </row>
    <row r="30" spans="1:13" s="1" customFormat="1" x14ac:dyDescent="0.25">
      <c r="A30" s="36"/>
      <c r="B30" s="42"/>
      <c r="C30" s="15"/>
      <c r="D30" s="15"/>
      <c r="E30" s="15"/>
      <c r="F30" s="15"/>
      <c r="G30" s="15"/>
      <c r="H30" s="15"/>
      <c r="I30" s="15"/>
      <c r="J30" s="37"/>
      <c r="K30" s="18"/>
      <c r="M30" s="1">
        <f t="shared" ref="M30" si="7">1.25*F30</f>
        <v>0</v>
      </c>
    </row>
    <row r="31" spans="1:13" s="1" customFormat="1" x14ac:dyDescent="0.25">
      <c r="A31" s="36">
        <f>new!A49</f>
        <v>10</v>
      </c>
      <c r="B31" s="42" t="str">
        <f>new!B49</f>
        <v>Provisional sum for unforseen works</v>
      </c>
      <c r="C31" s="15" t="str">
        <f>new!H50</f>
        <v>PS</v>
      </c>
      <c r="D31" s="15">
        <f>new!G50</f>
        <v>1</v>
      </c>
      <c r="E31" s="15">
        <f>new!I50</f>
        <v>40000</v>
      </c>
      <c r="F31" s="15">
        <f>D31*E31</f>
        <v>40000</v>
      </c>
      <c r="G31" s="15">
        <f>V!G50</f>
        <v>1</v>
      </c>
      <c r="H31" s="15">
        <f>V!I50</f>
        <v>34568.9035</v>
      </c>
      <c r="I31" s="15">
        <f>G31*H31</f>
        <v>34568.9035</v>
      </c>
      <c r="J31" s="37">
        <f>I31-F31</f>
        <v>-5431.0964999999997</v>
      </c>
      <c r="K31" s="18"/>
    </row>
    <row r="32" spans="1:13" s="1" customFormat="1" x14ac:dyDescent="0.25">
      <c r="A32" s="36"/>
      <c r="B32" s="42"/>
      <c r="C32" s="15"/>
      <c r="D32" s="15"/>
      <c r="E32" s="15"/>
      <c r="F32" s="15"/>
      <c r="G32" s="15"/>
      <c r="H32" s="15"/>
      <c r="I32" s="15"/>
      <c r="J32" s="37"/>
      <c r="K32" s="18"/>
      <c r="M32" s="1">
        <f t="shared" ref="M32" si="8">1.25*F32</f>
        <v>0</v>
      </c>
    </row>
    <row r="33" spans="1:11" s="1" customFormat="1" x14ac:dyDescent="0.25">
      <c r="A33" s="42">
        <f>new!A52</f>
        <v>11</v>
      </c>
      <c r="B33" s="42" t="str">
        <f>new!B52</f>
        <v>Information board</v>
      </c>
      <c r="C33" s="15" t="str">
        <f>new!H52</f>
        <v>no.</v>
      </c>
      <c r="D33" s="15">
        <f>new!G52</f>
        <v>1</v>
      </c>
      <c r="E33" s="15">
        <f>new!I52</f>
        <v>500</v>
      </c>
      <c r="F33" s="15">
        <f>D33*E33</f>
        <v>500</v>
      </c>
      <c r="G33" s="15">
        <f>V!G52</f>
        <v>0</v>
      </c>
      <c r="H33" s="15">
        <f>V!I52</f>
        <v>500</v>
      </c>
      <c r="I33" s="15">
        <f>G33*H33</f>
        <v>0</v>
      </c>
      <c r="J33" s="37">
        <f>I33-F33</f>
        <v>-500</v>
      </c>
      <c r="K33" s="18"/>
    </row>
    <row r="34" spans="1:11" s="1" customFormat="1" x14ac:dyDescent="0.25">
      <c r="A34" s="38"/>
      <c r="B34" s="38"/>
      <c r="C34" s="15"/>
      <c r="D34" s="15"/>
      <c r="E34" s="15"/>
      <c r="F34" s="15"/>
      <c r="G34" s="15"/>
      <c r="H34" s="15"/>
      <c r="I34" s="15"/>
      <c r="J34" s="37"/>
      <c r="K34" s="18"/>
    </row>
    <row r="35" spans="1:11" x14ac:dyDescent="0.25">
      <c r="A35" s="4"/>
      <c r="B35" s="5" t="s">
        <v>16</v>
      </c>
      <c r="C35" s="5"/>
      <c r="D35" s="8"/>
      <c r="E35" s="8"/>
      <c r="F35" s="8">
        <f>SUM(F13:F34)</f>
        <v>261120.54188953518</v>
      </c>
      <c r="G35" s="8"/>
      <c r="H35" s="8"/>
      <c r="I35" s="8">
        <f>SUM(I13:I34)</f>
        <v>255189.44538953516</v>
      </c>
      <c r="J35" s="16">
        <f>I35-F35</f>
        <v>-5931.0965000000142</v>
      </c>
      <c r="K35" s="4"/>
    </row>
    <row r="36" spans="1:11" x14ac:dyDescent="0.25">
      <c r="A36" s="4"/>
      <c r="B36" s="5" t="s">
        <v>61</v>
      </c>
      <c r="C36" s="4"/>
      <c r="D36" s="4"/>
      <c r="E36" s="4"/>
      <c r="F36" s="10">
        <f>13%*F35</f>
        <v>33945.670445639575</v>
      </c>
      <c r="G36" s="10"/>
      <c r="H36" s="10"/>
      <c r="I36" s="10">
        <f>13%*I35</f>
        <v>33174.627900639571</v>
      </c>
      <c r="J36" s="16">
        <f t="shared" ref="J36:J37" si="9">I36-F36</f>
        <v>-771.04254500000388</v>
      </c>
      <c r="K36" s="4"/>
    </row>
    <row r="37" spans="1:11" x14ac:dyDescent="0.25">
      <c r="A37" s="4"/>
      <c r="B37" s="5" t="s">
        <v>17</v>
      </c>
      <c r="C37" s="4"/>
      <c r="D37" s="4"/>
      <c r="E37" s="4"/>
      <c r="F37" s="8">
        <f>SUM(F35:F36)</f>
        <v>295066.21233517473</v>
      </c>
      <c r="G37" s="10"/>
      <c r="H37" s="10"/>
      <c r="I37" s="8">
        <f>SUM(I35:I36)</f>
        <v>288364.07329017471</v>
      </c>
      <c r="J37" s="16">
        <f t="shared" si="9"/>
        <v>-6702.1390450000181</v>
      </c>
      <c r="K37" s="4"/>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topLeftCell="A46" zoomScaleNormal="100" zoomScaleSheetLayoutView="80" workbookViewId="0">
      <selection activeCell="F10" sqref="F10"/>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s>
  <sheetData>
    <row r="1" spans="1:11" s="1" customFormat="1" x14ac:dyDescent="0.25">
      <c r="A1" s="56" t="s">
        <v>0</v>
      </c>
      <c r="B1" s="56"/>
      <c r="C1" s="56"/>
      <c r="D1" s="56"/>
      <c r="E1" s="56"/>
      <c r="F1" s="56"/>
      <c r="G1" s="56"/>
      <c r="H1" s="56"/>
      <c r="I1" s="56"/>
      <c r="J1" s="56"/>
      <c r="K1" s="56"/>
    </row>
    <row r="2" spans="1:11" s="1" customFormat="1" ht="22.5" x14ac:dyDescent="0.25">
      <c r="A2" s="57" t="s">
        <v>1</v>
      </c>
      <c r="B2" s="57"/>
      <c r="C2" s="57"/>
      <c r="D2" s="57"/>
      <c r="E2" s="57"/>
      <c r="F2" s="57"/>
      <c r="G2" s="57"/>
      <c r="H2" s="57"/>
      <c r="I2" s="57"/>
      <c r="J2" s="57"/>
      <c r="K2" s="57"/>
    </row>
    <row r="3" spans="1:11" s="1" customFormat="1" x14ac:dyDescent="0.25">
      <c r="A3" s="58" t="s">
        <v>2</v>
      </c>
      <c r="B3" s="58"/>
      <c r="C3" s="58"/>
      <c r="D3" s="58"/>
      <c r="E3" s="58"/>
      <c r="F3" s="58"/>
      <c r="G3" s="58"/>
      <c r="H3" s="58"/>
      <c r="I3" s="58"/>
      <c r="J3" s="58"/>
      <c r="K3" s="58"/>
    </row>
    <row r="4" spans="1:11" s="1" customFormat="1" x14ac:dyDescent="0.25">
      <c r="A4" s="58" t="s">
        <v>3</v>
      </c>
      <c r="B4" s="58"/>
      <c r="C4" s="58"/>
      <c r="D4" s="58"/>
      <c r="E4" s="58"/>
      <c r="F4" s="58"/>
      <c r="G4" s="58"/>
      <c r="H4" s="58"/>
      <c r="I4" s="58"/>
      <c r="J4" s="58"/>
      <c r="K4" s="58"/>
    </row>
    <row r="5" spans="1:11" ht="18.75" x14ac:dyDescent="0.3">
      <c r="A5" s="59" t="s">
        <v>38</v>
      </c>
      <c r="B5" s="59"/>
      <c r="C5" s="59"/>
      <c r="D5" s="59"/>
      <c r="E5" s="59"/>
      <c r="F5" s="59"/>
      <c r="G5" s="59"/>
      <c r="H5" s="59"/>
      <c r="I5" s="59"/>
      <c r="J5" s="59"/>
      <c r="K5" s="59"/>
    </row>
    <row r="6" spans="1:11" ht="18.75" x14ac:dyDescent="0.3">
      <c r="A6" s="55" t="str">
        <f>new!A6</f>
        <v>Project:- Pasikhel pahiro roktham kaarya</v>
      </c>
      <c r="B6" s="55"/>
      <c r="C6" s="55"/>
      <c r="D6" s="55"/>
      <c r="E6" s="55"/>
      <c r="F6" s="55"/>
      <c r="G6" s="55"/>
      <c r="H6" s="52" t="s">
        <v>41</v>
      </c>
      <c r="I6" s="52"/>
      <c r="J6" s="52"/>
      <c r="K6" s="52"/>
    </row>
    <row r="7" spans="1:11" ht="15.75" x14ac:dyDescent="0.25">
      <c r="A7" s="51" t="s">
        <v>28</v>
      </c>
      <c r="B7" s="51"/>
      <c r="C7" s="51"/>
      <c r="D7" s="51"/>
      <c r="E7" s="51"/>
      <c r="F7" s="51"/>
      <c r="G7" s="2"/>
      <c r="H7" s="52" t="s">
        <v>42</v>
      </c>
      <c r="I7" s="52"/>
      <c r="J7" s="52"/>
      <c r="K7" s="52"/>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50" x14ac:dyDescent="0.25">
      <c r="A9" s="28">
        <v>1</v>
      </c>
      <c r="B9" s="46" t="s">
        <v>56</v>
      </c>
      <c r="C9" s="31"/>
      <c r="D9" s="30"/>
      <c r="E9" s="31"/>
      <c r="F9" s="31"/>
      <c r="G9" s="33"/>
      <c r="H9" s="32"/>
      <c r="I9" s="33"/>
      <c r="J9" s="39"/>
      <c r="K9" s="31"/>
    </row>
    <row r="10" spans="1:11" x14ac:dyDescent="0.25">
      <c r="A10" s="43"/>
      <c r="B10" s="48" t="s">
        <v>35</v>
      </c>
      <c r="C10" s="44">
        <v>1</v>
      </c>
      <c r="D10" s="30">
        <v>20</v>
      </c>
      <c r="E10" s="31">
        <v>0.4</v>
      </c>
      <c r="F10" s="31">
        <v>0.2</v>
      </c>
      <c r="G10" s="40">
        <f>PRODUCT(C10:F10)</f>
        <v>1.6</v>
      </c>
      <c r="H10" s="32"/>
      <c r="I10" s="33"/>
      <c r="J10" s="33"/>
      <c r="K10" s="31"/>
    </row>
    <row r="11" spans="1:11" x14ac:dyDescent="0.25">
      <c r="A11" s="28"/>
      <c r="B11" s="34" t="s">
        <v>32</v>
      </c>
      <c r="C11" s="31"/>
      <c r="D11" s="30"/>
      <c r="E11" s="31"/>
      <c r="F11" s="31"/>
      <c r="G11" s="33">
        <f>SUM(G10:G10)</f>
        <v>1.6</v>
      </c>
      <c r="H11" s="32" t="s">
        <v>29</v>
      </c>
      <c r="I11" s="33">
        <f>736.88*1.15</f>
        <v>847.41199999999992</v>
      </c>
      <c r="J11" s="39">
        <f>G11*I11</f>
        <v>1355.8591999999999</v>
      </c>
      <c r="K11" s="31"/>
    </row>
    <row r="12" spans="1:11" x14ac:dyDescent="0.25">
      <c r="A12" s="28"/>
      <c r="B12" s="46"/>
      <c r="C12" s="31"/>
      <c r="D12" s="30"/>
      <c r="E12" s="31"/>
      <c r="F12" s="31"/>
      <c r="G12" s="33"/>
      <c r="H12" s="32"/>
      <c r="I12" s="33"/>
      <c r="J12" s="39"/>
      <c r="K12" s="31"/>
    </row>
    <row r="13" spans="1:11" ht="156" customHeight="1" x14ac:dyDescent="0.25">
      <c r="A13" s="28">
        <v>2</v>
      </c>
      <c r="B13" s="46" t="s">
        <v>34</v>
      </c>
      <c r="C13" s="17"/>
      <c r="D13" s="17"/>
      <c r="E13" s="17"/>
      <c r="F13" s="17"/>
      <c r="G13" s="43"/>
      <c r="H13" s="32"/>
      <c r="I13" s="33"/>
      <c r="J13" s="33"/>
      <c r="K13" s="31"/>
    </row>
    <row r="14" spans="1:11" x14ac:dyDescent="0.25">
      <c r="A14" s="43"/>
      <c r="B14" s="48" t="s">
        <v>45</v>
      </c>
      <c r="C14" s="44">
        <v>10</v>
      </c>
      <c r="D14" s="30">
        <v>2.5</v>
      </c>
      <c r="E14" s="31">
        <v>0.75</v>
      </c>
      <c r="F14" s="31">
        <f>23/12/3.281</f>
        <v>0.58417149243116939</v>
      </c>
      <c r="G14" s="40">
        <f>PRODUCT(C14:F14)</f>
        <v>10.953215483084426</v>
      </c>
      <c r="H14" s="32"/>
      <c r="I14" s="33"/>
      <c r="J14" s="33"/>
      <c r="K14" s="31"/>
    </row>
    <row r="15" spans="1:11" x14ac:dyDescent="0.25">
      <c r="A15" s="28"/>
      <c r="B15" s="34" t="s">
        <v>32</v>
      </c>
      <c r="C15" s="31"/>
      <c r="D15" s="30"/>
      <c r="E15" s="31"/>
      <c r="F15" s="31"/>
      <c r="G15" s="33">
        <f>SUM(G14:G14)</f>
        <v>10.953215483084426</v>
      </c>
      <c r="H15" s="32" t="s">
        <v>29</v>
      </c>
      <c r="I15" s="33">
        <f>64.63*1.15</f>
        <v>74.324499999999986</v>
      </c>
      <c r="J15" s="39">
        <f>G15*I15</f>
        <v>814.09226417250829</v>
      </c>
      <c r="K15" s="31"/>
    </row>
    <row r="16" spans="1:11" x14ac:dyDescent="0.25">
      <c r="A16" s="28"/>
      <c r="B16" s="34"/>
      <c r="C16" s="31"/>
      <c r="D16" s="30"/>
      <c r="E16" s="31"/>
      <c r="F16" s="31"/>
      <c r="G16" s="33"/>
      <c r="H16" s="32"/>
      <c r="I16" s="33"/>
      <c r="J16" s="39"/>
      <c r="K16" s="31"/>
    </row>
    <row r="17" spans="1:13" ht="105" x14ac:dyDescent="0.25">
      <c r="A17" s="28">
        <v>3</v>
      </c>
      <c r="B17" s="45" t="s">
        <v>43</v>
      </c>
      <c r="C17" s="29"/>
      <c r="D17" s="30"/>
      <c r="E17" s="31"/>
      <c r="F17" s="31"/>
      <c r="G17" s="33"/>
      <c r="H17" s="32"/>
      <c r="I17" s="33"/>
      <c r="J17" s="49"/>
      <c r="K17" s="31"/>
    </row>
    <row r="18" spans="1:13" x14ac:dyDescent="0.25">
      <c r="A18" s="43"/>
      <c r="B18" s="48" t="s">
        <v>35</v>
      </c>
      <c r="C18" s="44">
        <v>10</v>
      </c>
      <c r="D18" s="30">
        <v>2.5</v>
      </c>
      <c r="E18" s="31"/>
      <c r="F18" s="31"/>
      <c r="G18" s="40">
        <f>PRODUCT(C18:F18)</f>
        <v>25</v>
      </c>
      <c r="H18" s="32"/>
      <c r="I18" s="33"/>
      <c r="J18" s="33"/>
      <c r="K18" s="31"/>
    </row>
    <row r="19" spans="1:13" x14ac:dyDescent="0.25">
      <c r="A19" s="28"/>
      <c r="B19" s="34" t="s">
        <v>32</v>
      </c>
      <c r="C19" s="31"/>
      <c r="D19" s="30"/>
      <c r="E19" s="31"/>
      <c r="F19" s="31"/>
      <c r="G19" s="33">
        <f>SUM(G18:G18)</f>
        <v>25</v>
      </c>
      <c r="H19" s="32" t="s">
        <v>44</v>
      </c>
      <c r="I19" s="33">
        <f>5144.96*1.15</f>
        <v>5916.7039999999997</v>
      </c>
      <c r="J19" s="39">
        <f>G19*I19</f>
        <v>147917.6</v>
      </c>
      <c r="K19" s="31"/>
      <c r="M19">
        <f>I19*2.5</f>
        <v>14791.759999999998</v>
      </c>
    </row>
    <row r="20" spans="1:13" x14ac:dyDescent="0.25">
      <c r="A20" s="28"/>
      <c r="B20" s="34"/>
      <c r="C20" s="31"/>
      <c r="D20" s="30"/>
      <c r="E20" s="31"/>
      <c r="F20" s="31"/>
      <c r="G20" s="33"/>
      <c r="H20" s="32"/>
      <c r="I20" s="33"/>
      <c r="J20" s="39"/>
      <c r="K20" s="31"/>
    </row>
    <row r="21" spans="1:13" ht="105" x14ac:dyDescent="0.25">
      <c r="A21" s="28">
        <v>4</v>
      </c>
      <c r="B21" s="45" t="s">
        <v>57</v>
      </c>
      <c r="C21" s="29"/>
      <c r="D21" s="30"/>
      <c r="E21" s="31"/>
      <c r="F21" s="31"/>
      <c r="G21" s="33"/>
      <c r="H21" s="32"/>
      <c r="I21" s="33"/>
      <c r="J21" s="49"/>
      <c r="K21" s="31"/>
    </row>
    <row r="22" spans="1:13" x14ac:dyDescent="0.25">
      <c r="A22" s="43"/>
      <c r="B22" s="48" t="s">
        <v>35</v>
      </c>
      <c r="C22" s="44">
        <v>1</v>
      </c>
      <c r="D22" s="30">
        <v>2.5</v>
      </c>
      <c r="E22" s="31"/>
      <c r="F22" s="31"/>
      <c r="G22" s="40">
        <f>PRODUCT(C22:F22)</f>
        <v>2.5</v>
      </c>
      <c r="H22" s="32"/>
      <c r="I22" s="33"/>
      <c r="J22" s="33"/>
      <c r="K22" s="31"/>
    </row>
    <row r="23" spans="1:13" x14ac:dyDescent="0.25">
      <c r="A23" s="28"/>
      <c r="B23" s="34" t="s">
        <v>32</v>
      </c>
      <c r="C23" s="31"/>
      <c r="D23" s="30"/>
      <c r="E23" s="31"/>
      <c r="F23" s="31"/>
      <c r="G23" s="33">
        <f>SUM(G22:G22)</f>
        <v>2.5</v>
      </c>
      <c r="H23" s="32" t="s">
        <v>44</v>
      </c>
      <c r="I23" s="33">
        <f>3697.12*1.15</f>
        <v>4251.6879999999992</v>
      </c>
      <c r="J23" s="39">
        <f>G23*I23</f>
        <v>10629.219999999998</v>
      </c>
      <c r="K23" s="31"/>
      <c r="M23">
        <f>I23*2.5</f>
        <v>10629.219999999998</v>
      </c>
    </row>
    <row r="24" spans="1:13" x14ac:dyDescent="0.25">
      <c r="A24" s="28"/>
      <c r="B24" s="34"/>
      <c r="C24" s="31"/>
      <c r="D24" s="30"/>
      <c r="E24" s="31"/>
      <c r="F24" s="31"/>
      <c r="G24" s="33"/>
      <c r="H24" s="32"/>
      <c r="I24" s="33"/>
      <c r="J24" s="39"/>
      <c r="K24" s="31"/>
    </row>
    <row r="25" spans="1:13" ht="90" customHeight="1" x14ac:dyDescent="0.25">
      <c r="A25" s="28">
        <v>5</v>
      </c>
      <c r="B25" s="45" t="s">
        <v>49</v>
      </c>
      <c r="C25" s="31"/>
      <c r="D25" s="30"/>
      <c r="E25" s="31"/>
      <c r="F25" s="31"/>
      <c r="G25" s="33"/>
      <c r="H25" s="32"/>
      <c r="I25" s="33"/>
      <c r="J25" s="39"/>
      <c r="K25" s="31"/>
    </row>
    <row r="26" spans="1:13" ht="15" customHeight="1" x14ac:dyDescent="0.25">
      <c r="A26" s="43"/>
      <c r="B26" s="48" t="s">
        <v>48</v>
      </c>
      <c r="C26" s="44">
        <v>1</v>
      </c>
      <c r="D26" s="30">
        <f>10*2.5-7.5</f>
        <v>17.5</v>
      </c>
      <c r="E26" s="31">
        <v>2</v>
      </c>
      <c r="F26" s="31">
        <f>1/3.2808</f>
        <v>0.30480370641306997</v>
      </c>
      <c r="G26" s="40">
        <f>PRODUCT(C26:F26)</f>
        <v>10.668129724457449</v>
      </c>
      <c r="H26" s="32"/>
      <c r="I26" s="33"/>
      <c r="J26" s="33"/>
      <c r="K26" s="31"/>
    </row>
    <row r="27" spans="1:13" ht="15" customHeight="1" x14ac:dyDescent="0.25">
      <c r="A27" s="43"/>
      <c r="B27" s="48"/>
      <c r="C27" s="44">
        <v>1</v>
      </c>
      <c r="D27" s="30">
        <v>7.5</v>
      </c>
      <c r="E27" s="31">
        <v>1.46</v>
      </c>
      <c r="F27" s="31">
        <f>1/3.2808</f>
        <v>0.30480370641306997</v>
      </c>
      <c r="G27" s="40">
        <f>PRODUCT(C27:F27)</f>
        <v>3.3376005852231159</v>
      </c>
      <c r="H27" s="32"/>
      <c r="I27" s="33"/>
      <c r="J27" s="33"/>
      <c r="K27" s="31"/>
    </row>
    <row r="28" spans="1:13" x14ac:dyDescent="0.25">
      <c r="A28" s="28"/>
      <c r="B28" s="34" t="s">
        <v>32</v>
      </c>
      <c r="C28" s="31"/>
      <c r="D28" s="30"/>
      <c r="E28" s="31"/>
      <c r="F28" s="31"/>
      <c r="G28" s="33">
        <f>SUM(G26:G27)</f>
        <v>14.005730309680565</v>
      </c>
      <c r="H28" s="32" t="s">
        <v>29</v>
      </c>
      <c r="I28" s="33">
        <f>(3244.12/1.15)*1.15</f>
        <v>3244.12</v>
      </c>
      <c r="J28" s="39">
        <f>G28*I28</f>
        <v>45436.269812240913</v>
      </c>
      <c r="K28" s="31"/>
    </row>
    <row r="29" spans="1:13" x14ac:dyDescent="0.25">
      <c r="A29" s="28"/>
      <c r="B29" s="34"/>
      <c r="C29" s="31"/>
      <c r="D29" s="30"/>
      <c r="E29" s="31"/>
      <c r="F29" s="31"/>
      <c r="G29" s="33"/>
      <c r="H29" s="32"/>
      <c r="I29" s="33"/>
      <c r="J29" s="39"/>
      <c r="K29" s="31"/>
    </row>
    <row r="30" spans="1:13" ht="30.75" x14ac:dyDescent="0.25">
      <c r="A30" s="28">
        <v>6</v>
      </c>
      <c r="B30" s="50" t="s">
        <v>46</v>
      </c>
      <c r="C30" s="31"/>
      <c r="D30" s="30"/>
      <c r="E30" s="31"/>
      <c r="F30" s="31"/>
      <c r="G30" s="33"/>
      <c r="H30" s="32"/>
      <c r="I30" s="33" t="s">
        <v>50</v>
      </c>
      <c r="J30" s="39"/>
      <c r="K30" s="31"/>
    </row>
    <row r="31" spans="1:13" x14ac:dyDescent="0.25">
      <c r="A31" s="43"/>
      <c r="B31" s="48" t="s">
        <v>47</v>
      </c>
      <c r="C31" s="44">
        <v>1</v>
      </c>
      <c r="D31" s="30">
        <f>1.03+1.03+(1-0.23*2)*2</f>
        <v>3.14</v>
      </c>
      <c r="E31" s="31">
        <v>0.23</v>
      </c>
      <c r="F31" s="31">
        <v>0.6</v>
      </c>
      <c r="G31" s="40">
        <f>PRODUCT(C31:F31)</f>
        <v>0.43332000000000004</v>
      </c>
      <c r="H31" s="32"/>
      <c r="I31" s="33"/>
      <c r="J31" s="33"/>
      <c r="K31" s="31"/>
    </row>
    <row r="32" spans="1:13" x14ac:dyDescent="0.25">
      <c r="A32" s="43"/>
      <c r="B32" s="48" t="s">
        <v>52</v>
      </c>
      <c r="C32" s="44">
        <v>-1</v>
      </c>
      <c r="D32" s="30">
        <f>(0.3+5/12/3.281)</f>
        <v>0.42699380270242815</v>
      </c>
      <c r="E32" s="4">
        <v>0.23</v>
      </c>
      <c r="F32" s="31">
        <f>PI()</f>
        <v>3.1415926535897931</v>
      </c>
      <c r="G32" s="40">
        <f>C32*(F32*(D32*D32)/4)*E32</f>
        <v>-3.2935242161652237E-2</v>
      </c>
      <c r="H32" s="32"/>
      <c r="I32" s="33"/>
      <c r="J32" s="33"/>
      <c r="K32" s="31"/>
    </row>
    <row r="33" spans="1:11" x14ac:dyDescent="0.25">
      <c r="A33" s="43"/>
      <c r="B33" s="48"/>
      <c r="C33" s="44">
        <v>-1</v>
      </c>
      <c r="D33" s="30">
        <f>(0.45+5/12/3.281)</f>
        <v>0.57699380270242817</v>
      </c>
      <c r="E33" s="4">
        <v>0.23</v>
      </c>
      <c r="F33" s="31">
        <f>PI()</f>
        <v>3.1415926535897931</v>
      </c>
      <c r="G33" s="40">
        <f>C33*(F33*(D33*D33)/4)*E33</f>
        <v>-6.0139527898530026E-2</v>
      </c>
      <c r="H33" s="32"/>
      <c r="I33" s="33"/>
      <c r="J33" s="33"/>
      <c r="K33" s="31"/>
    </row>
    <row r="34" spans="1:11" x14ac:dyDescent="0.25">
      <c r="A34" s="28"/>
      <c r="B34" s="34" t="s">
        <v>32</v>
      </c>
      <c r="C34" s="31"/>
      <c r="D34" s="30" t="s">
        <v>50</v>
      </c>
      <c r="E34" s="4"/>
      <c r="F34" s="31"/>
      <c r="G34" s="33">
        <f>SUM(G31:G33)</f>
        <v>0.34024522993981776</v>
      </c>
      <c r="H34" s="32" t="s">
        <v>29</v>
      </c>
      <c r="I34" s="33">
        <f>14362.76*1.15</f>
        <v>16517.173999999999</v>
      </c>
      <c r="J34" s="39">
        <f>G34*I34</f>
        <v>5619.8896655859789</v>
      </c>
      <c r="K34" s="31"/>
    </row>
    <row r="35" spans="1:11" x14ac:dyDescent="0.25">
      <c r="A35" s="28"/>
      <c r="B35" s="34"/>
      <c r="C35" s="31"/>
      <c r="D35" s="30"/>
      <c r="E35" s="31"/>
      <c r="F35" s="31"/>
      <c r="G35" s="33"/>
      <c r="H35" s="32"/>
      <c r="I35" s="33"/>
      <c r="J35" s="39"/>
      <c r="K35" s="31"/>
    </row>
    <row r="36" spans="1:11" s="1" customFormat="1" ht="77.25" customHeight="1" x14ac:dyDescent="0.25">
      <c r="A36" s="28">
        <v>7</v>
      </c>
      <c r="B36" s="45" t="s">
        <v>33</v>
      </c>
      <c r="C36" s="31"/>
      <c r="D36" s="30"/>
      <c r="E36" s="31"/>
      <c r="F36" s="31"/>
      <c r="G36" s="33"/>
      <c r="H36" s="32"/>
      <c r="I36" s="33"/>
      <c r="J36" s="39"/>
      <c r="K36" s="31"/>
    </row>
    <row r="37" spans="1:11" x14ac:dyDescent="0.25">
      <c r="A37" s="43"/>
      <c r="B37" s="48" t="s">
        <v>47</v>
      </c>
      <c r="C37" s="44">
        <v>1</v>
      </c>
      <c r="D37" s="30">
        <f>1.03</f>
        <v>1.03</v>
      </c>
      <c r="E37" s="31">
        <v>1</v>
      </c>
      <c r="F37" s="31">
        <f>1.5/12/3.281</f>
        <v>3.8098140810728431E-2</v>
      </c>
      <c r="G37" s="40">
        <f>PRODUCT(C37:F37)</f>
        <v>3.9241085035050284E-2</v>
      </c>
      <c r="H37" s="32"/>
      <c r="I37" s="33"/>
      <c r="J37" s="33"/>
      <c r="K37" s="31"/>
    </row>
    <row r="38" spans="1:11" x14ac:dyDescent="0.25">
      <c r="A38" s="43"/>
      <c r="B38" s="48" t="s">
        <v>52</v>
      </c>
      <c r="C38" s="44">
        <v>-1</v>
      </c>
      <c r="D38" s="30">
        <f>(23/12/3.281)</f>
        <v>0.58417149243116939</v>
      </c>
      <c r="E38" s="31">
        <f>PI()</f>
        <v>3.1415926535897931</v>
      </c>
      <c r="F38" s="31">
        <f>1.5/12/3.281</f>
        <v>3.8098140810728431E-2</v>
      </c>
      <c r="G38" s="40">
        <f>C38*(E38*(D38*D38)/4)*F38</f>
        <v>-1.021114358608829E-2</v>
      </c>
      <c r="H38" s="32"/>
      <c r="I38" s="33"/>
      <c r="J38" s="33"/>
      <c r="K38" s="31"/>
    </row>
    <row r="39" spans="1:11" x14ac:dyDescent="0.25">
      <c r="A39" s="43"/>
      <c r="B39" s="48"/>
      <c r="C39" s="44">
        <v>1</v>
      </c>
      <c r="D39" s="30">
        <f>1.03</f>
        <v>1.03</v>
      </c>
      <c r="E39" s="31">
        <v>1</v>
      </c>
      <c r="F39" s="31">
        <f>2/12/3.281</f>
        <v>5.0797521080971242E-2</v>
      </c>
      <c r="G39" s="40">
        <f>PRODUCT(C39:F39)</f>
        <v>5.2321446713400381E-2</v>
      </c>
      <c r="H39" s="32"/>
      <c r="I39" s="33"/>
      <c r="J39" s="33"/>
      <c r="K39" s="31"/>
    </row>
    <row r="40" spans="1:11" x14ac:dyDescent="0.25">
      <c r="A40" s="28"/>
      <c r="B40" s="34" t="s">
        <v>32</v>
      </c>
      <c r="C40" s="31"/>
      <c r="D40" s="30" t="s">
        <v>50</v>
      </c>
      <c r="E40" s="31"/>
      <c r="F40" s="31"/>
      <c r="G40" s="33">
        <f>SUM(G37:G39)</f>
        <v>8.135138816236237E-2</v>
      </c>
      <c r="H40" s="32" t="s">
        <v>29</v>
      </c>
      <c r="I40" s="33">
        <f>11219.5*1.15</f>
        <v>12902.424999999999</v>
      </c>
      <c r="J40" s="39">
        <f>G40*I40</f>
        <v>1049.6301844107682</v>
      </c>
      <c r="K40" s="31"/>
    </row>
    <row r="41" spans="1:11" x14ac:dyDescent="0.25">
      <c r="A41" s="28"/>
      <c r="B41" s="34"/>
      <c r="C41" s="31"/>
      <c r="D41" s="30"/>
      <c r="E41" s="31"/>
      <c r="F41" s="31"/>
      <c r="G41" s="33"/>
      <c r="H41" s="32"/>
      <c r="I41" s="33"/>
      <c r="J41" s="39"/>
      <c r="K41" s="31"/>
    </row>
    <row r="42" spans="1:11" s="1" customFormat="1" ht="90" customHeight="1" x14ac:dyDescent="0.25">
      <c r="A42" s="28">
        <v>8</v>
      </c>
      <c r="B42" s="45" t="s">
        <v>54</v>
      </c>
      <c r="C42" s="31"/>
      <c r="D42" s="30"/>
      <c r="E42" s="31"/>
      <c r="F42" s="31"/>
      <c r="G42" s="33"/>
      <c r="H42" s="32"/>
      <c r="I42" s="33"/>
      <c r="J42" s="39"/>
      <c r="K42" s="31"/>
    </row>
    <row r="43" spans="1:11" ht="15" customHeight="1" x14ac:dyDescent="0.25">
      <c r="A43" s="28"/>
      <c r="B43" s="47" t="s">
        <v>53</v>
      </c>
      <c r="C43" s="31">
        <v>1</v>
      </c>
      <c r="D43" s="30">
        <v>1.5</v>
      </c>
      <c r="E43" s="31">
        <v>0.35</v>
      </c>
      <c r="F43" s="31">
        <v>0.45</v>
      </c>
      <c r="G43" s="40">
        <f>PRODUCT(C43:F43)</f>
        <v>0.23624999999999996</v>
      </c>
      <c r="H43" s="32"/>
      <c r="I43" s="33"/>
      <c r="J43" s="39"/>
      <c r="K43" s="31"/>
    </row>
    <row r="44" spans="1:11" ht="15" customHeight="1" x14ac:dyDescent="0.25">
      <c r="A44" s="28"/>
      <c r="B44" s="34" t="s">
        <v>32</v>
      </c>
      <c r="C44" s="31"/>
      <c r="D44" s="30" t="s">
        <v>50</v>
      </c>
      <c r="E44" s="31"/>
      <c r="F44" s="31"/>
      <c r="G44" s="33">
        <f>SUM(G43)</f>
        <v>0.23624999999999996</v>
      </c>
      <c r="H44" s="32" t="s">
        <v>29</v>
      </c>
      <c r="I44" s="33">
        <f>9709.43*1.15</f>
        <v>11165.844499999999</v>
      </c>
      <c r="J44" s="39">
        <f>G44*I44</f>
        <v>2637.9307631249994</v>
      </c>
      <c r="K44" s="31"/>
    </row>
    <row r="45" spans="1:11" x14ac:dyDescent="0.25">
      <c r="A45" s="28"/>
      <c r="B45" s="34"/>
      <c r="C45" s="31"/>
      <c r="D45" s="30"/>
      <c r="E45" s="31"/>
      <c r="F45" s="31"/>
      <c r="G45" s="33"/>
      <c r="H45" s="32"/>
      <c r="I45" s="33"/>
      <c r="J45" s="39"/>
      <c r="K45" s="31"/>
    </row>
    <row r="46" spans="1:11" ht="30" x14ac:dyDescent="0.25">
      <c r="A46" s="28">
        <v>9</v>
      </c>
      <c r="B46" s="46" t="s">
        <v>51</v>
      </c>
      <c r="C46" s="31">
        <v>1</v>
      </c>
      <c r="D46" s="30"/>
      <c r="E46" s="31"/>
      <c r="F46" s="31"/>
      <c r="G46" s="40">
        <f>PRODUCT(C46:F46)</f>
        <v>1</v>
      </c>
      <c r="H46" s="32"/>
      <c r="I46" s="33"/>
      <c r="J46" s="39"/>
      <c r="K46" s="31"/>
    </row>
    <row r="47" spans="1:11" x14ac:dyDescent="0.25">
      <c r="A47" s="28"/>
      <c r="B47" s="34" t="s">
        <v>32</v>
      </c>
      <c r="C47" s="31"/>
      <c r="D47" s="30"/>
      <c r="E47" s="31"/>
      <c r="F47" s="31"/>
      <c r="G47" s="33">
        <f>SUM(G46:G46)</f>
        <v>1</v>
      </c>
      <c r="H47" s="32" t="s">
        <v>31</v>
      </c>
      <c r="I47" s="33">
        <f>4487*1.15</f>
        <v>5160.0499999999993</v>
      </c>
      <c r="J47" s="39">
        <f>G47*I47</f>
        <v>5160.0499999999993</v>
      </c>
      <c r="K47" s="31"/>
    </row>
    <row r="48" spans="1:11" x14ac:dyDescent="0.25">
      <c r="A48" s="28"/>
      <c r="B48" s="34"/>
      <c r="C48" s="31"/>
      <c r="D48" s="30"/>
      <c r="E48" s="31"/>
      <c r="F48" s="31"/>
      <c r="G48" s="33"/>
      <c r="H48" s="32"/>
      <c r="I48" s="33"/>
      <c r="J48" s="39"/>
      <c r="K48" s="31"/>
    </row>
    <row r="49" spans="1:11" ht="30" x14ac:dyDescent="0.25">
      <c r="A49" s="28">
        <v>10</v>
      </c>
      <c r="B49" s="46" t="s">
        <v>58</v>
      </c>
      <c r="C49" s="31">
        <v>1</v>
      </c>
      <c r="D49" s="30"/>
      <c r="E49" s="31"/>
      <c r="F49" s="31"/>
      <c r="G49" s="40">
        <f>PRODUCT(C49:F49)</f>
        <v>1</v>
      </c>
      <c r="H49" s="32"/>
      <c r="I49" s="33"/>
      <c r="J49" s="39"/>
      <c r="K49" s="31"/>
    </row>
    <row r="50" spans="1:11" x14ac:dyDescent="0.25">
      <c r="A50" s="28"/>
      <c r="B50" s="34" t="s">
        <v>32</v>
      </c>
      <c r="C50" s="31"/>
      <c r="D50" s="30"/>
      <c r="E50" s="31"/>
      <c r="F50" s="31"/>
      <c r="G50" s="33">
        <f>SUM(G49:G49)</f>
        <v>1</v>
      </c>
      <c r="H50" s="32" t="s">
        <v>55</v>
      </c>
      <c r="I50" s="33">
        <f>(28689.95+309+177*9)*1.13</f>
        <v>34568.9035</v>
      </c>
      <c r="J50" s="39">
        <f>G50*I50</f>
        <v>34568.9035</v>
      </c>
      <c r="K50" s="31"/>
    </row>
    <row r="51" spans="1:11" x14ac:dyDescent="0.25">
      <c r="A51" s="28"/>
      <c r="B51" s="34"/>
      <c r="C51" s="31"/>
      <c r="D51" s="30"/>
      <c r="E51" s="31"/>
      <c r="F51" s="31"/>
      <c r="G51" s="33"/>
      <c r="H51" s="32"/>
      <c r="I51" s="33"/>
      <c r="J51" s="39"/>
      <c r="K51" s="31"/>
    </row>
    <row r="52" spans="1:11" x14ac:dyDescent="0.25">
      <c r="A52" s="28">
        <v>11</v>
      </c>
      <c r="B52" s="41" t="s">
        <v>30</v>
      </c>
      <c r="C52" s="29">
        <v>0</v>
      </c>
      <c r="D52" s="30"/>
      <c r="E52" s="31"/>
      <c r="F52" s="31"/>
      <c r="G52" s="39">
        <f>PRODUCT(C52:F52)</f>
        <v>0</v>
      </c>
      <c r="H52" s="32" t="s">
        <v>31</v>
      </c>
      <c r="I52" s="33">
        <v>500</v>
      </c>
      <c r="J52" s="8">
        <f>G52*I52</f>
        <v>0</v>
      </c>
      <c r="K52" s="31"/>
    </row>
    <row r="53" spans="1:11" x14ac:dyDescent="0.25">
      <c r="A53" s="10"/>
      <c r="B53" s="27"/>
      <c r="C53" s="9"/>
      <c r="D53" s="7"/>
      <c r="E53" s="7"/>
      <c r="F53" s="7"/>
      <c r="G53" s="8"/>
      <c r="H53" s="8"/>
      <c r="I53" s="8"/>
      <c r="J53" s="8"/>
      <c r="K53" s="4"/>
    </row>
    <row r="54" spans="1:11" x14ac:dyDescent="0.25">
      <c r="A54" s="10"/>
      <c r="B54" s="27" t="s">
        <v>17</v>
      </c>
      <c r="C54" s="9"/>
      <c r="D54" s="7"/>
      <c r="E54" s="7"/>
      <c r="F54" s="7"/>
      <c r="G54" s="8"/>
      <c r="H54" s="8"/>
      <c r="I54" s="8"/>
      <c r="J54" s="8">
        <f>SUM(J9:J53)</f>
        <v>255189.44538953516</v>
      </c>
      <c r="K54" s="4"/>
    </row>
    <row r="56" spans="1:11" s="1" customFormat="1" x14ac:dyDescent="0.25">
      <c r="B56" s="17" t="s">
        <v>37</v>
      </c>
      <c r="C56" s="53">
        <f>J54</f>
        <v>255189.44538953516</v>
      </c>
      <c r="D56" s="53"/>
      <c r="E56" s="19"/>
      <c r="F56" s="20"/>
      <c r="G56" s="19"/>
      <c r="H56" s="21"/>
      <c r="I56" s="22"/>
      <c r="J56" s="23"/>
    </row>
    <row r="57" spans="1:11" x14ac:dyDescent="0.25">
      <c r="B57" s="4" t="s">
        <v>61</v>
      </c>
      <c r="C57" s="53">
        <f>13%*C56</f>
        <v>33174.627900639571</v>
      </c>
      <c r="D57" s="53"/>
    </row>
    <row r="58" spans="1:11" x14ac:dyDescent="0.25">
      <c r="B58" s="4" t="s">
        <v>17</v>
      </c>
      <c r="C58" s="54">
        <f>SUM(C56:D57)</f>
        <v>288364.07329017471</v>
      </c>
      <c r="D58" s="54"/>
    </row>
  </sheetData>
  <mergeCells count="12">
    <mergeCell ref="A7:F7"/>
    <mergeCell ref="H7:K7"/>
    <mergeCell ref="C56:D56"/>
    <mergeCell ref="C57:D57"/>
    <mergeCell ref="C58:D58"/>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topLeftCell="A22" zoomScaleNormal="100" zoomScaleSheetLayoutView="80" workbookViewId="0">
      <selection activeCell="P9" sqref="P9"/>
    </sheetView>
  </sheetViews>
  <sheetFormatPr defaultRowHeight="15" x14ac:dyDescent="0.25"/>
  <cols>
    <col min="1" max="1" width="5.140625" style="6" bestFit="1" customWidth="1"/>
    <col min="2" max="2" width="31.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hidden="1" customWidth="1"/>
    <col min="10" max="10" width="10.5703125" style="6" hidden="1" customWidth="1"/>
    <col min="11" max="11" width="9.85546875" bestFit="1" customWidth="1"/>
  </cols>
  <sheetData>
    <row r="1" spans="1:11" s="1" customFormat="1" x14ac:dyDescent="0.25">
      <c r="A1" s="56" t="s">
        <v>0</v>
      </c>
      <c r="B1" s="56"/>
      <c r="C1" s="56"/>
      <c r="D1" s="56"/>
      <c r="E1" s="56"/>
      <c r="F1" s="56"/>
      <c r="G1" s="56"/>
      <c r="H1" s="56"/>
      <c r="I1" s="56"/>
      <c r="J1" s="56"/>
      <c r="K1" s="56"/>
    </row>
    <row r="2" spans="1:11" s="1" customFormat="1" ht="22.5" x14ac:dyDescent="0.25">
      <c r="A2" s="57" t="s">
        <v>1</v>
      </c>
      <c r="B2" s="57"/>
      <c r="C2" s="57"/>
      <c r="D2" s="57"/>
      <c r="E2" s="57"/>
      <c r="F2" s="57"/>
      <c r="G2" s="57"/>
      <c r="H2" s="57"/>
      <c r="I2" s="57"/>
      <c r="J2" s="57"/>
      <c r="K2" s="57"/>
    </row>
    <row r="3" spans="1:11" s="1" customFormat="1" x14ac:dyDescent="0.25">
      <c r="A3" s="58" t="s">
        <v>2</v>
      </c>
      <c r="B3" s="58"/>
      <c r="C3" s="58"/>
      <c r="D3" s="58"/>
      <c r="E3" s="58"/>
      <c r="F3" s="58"/>
      <c r="G3" s="58"/>
      <c r="H3" s="58"/>
      <c r="I3" s="58"/>
      <c r="J3" s="58"/>
      <c r="K3" s="58"/>
    </row>
    <row r="4" spans="1:11" s="1" customFormat="1" x14ac:dyDescent="0.25">
      <c r="A4" s="58" t="s">
        <v>3</v>
      </c>
      <c r="B4" s="58"/>
      <c r="C4" s="58"/>
      <c r="D4" s="58"/>
      <c r="E4" s="58"/>
      <c r="F4" s="58"/>
      <c r="G4" s="58"/>
      <c r="H4" s="58"/>
      <c r="I4" s="58"/>
      <c r="J4" s="58"/>
      <c r="K4" s="58"/>
    </row>
    <row r="5" spans="1:11" ht="18.75" x14ac:dyDescent="0.3">
      <c r="A5" s="59" t="s">
        <v>36</v>
      </c>
      <c r="B5" s="59"/>
      <c r="C5" s="59"/>
      <c r="D5" s="59"/>
      <c r="E5" s="59"/>
      <c r="F5" s="59"/>
      <c r="G5" s="59"/>
      <c r="H5" s="59"/>
      <c r="I5" s="59"/>
      <c r="J5" s="59"/>
      <c r="K5" s="59"/>
    </row>
    <row r="6" spans="1:11" ht="18.75" x14ac:dyDescent="0.3">
      <c r="A6" s="55" t="str">
        <f>new!A6</f>
        <v>Project:- Pasikhel pahiro roktham kaarya</v>
      </c>
      <c r="B6" s="55"/>
      <c r="C6" s="55"/>
      <c r="D6" s="55"/>
      <c r="E6" s="55"/>
      <c r="F6" s="55"/>
      <c r="G6" s="55"/>
      <c r="H6" s="72" t="s">
        <v>41</v>
      </c>
      <c r="I6" s="72"/>
      <c r="J6" s="72"/>
      <c r="K6" s="72"/>
    </row>
    <row r="7" spans="1:11" ht="15.75" x14ac:dyDescent="0.25">
      <c r="A7" s="51" t="s">
        <v>28</v>
      </c>
      <c r="B7" s="51"/>
      <c r="C7" s="51"/>
      <c r="D7" s="51"/>
      <c r="E7" s="51"/>
      <c r="F7" s="51"/>
      <c r="G7" s="2"/>
      <c r="H7" s="72" t="s">
        <v>42</v>
      </c>
      <c r="I7" s="72"/>
      <c r="J7" s="72"/>
      <c r="K7" s="72"/>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45.5" customHeight="1" x14ac:dyDescent="0.25">
      <c r="A9" s="28">
        <v>1</v>
      </c>
      <c r="B9" s="46" t="s">
        <v>56</v>
      </c>
      <c r="C9" s="31"/>
      <c r="D9" s="30"/>
      <c r="E9" s="31"/>
      <c r="F9" s="31"/>
      <c r="G9" s="33"/>
      <c r="H9" s="32"/>
      <c r="I9" s="33"/>
      <c r="J9" s="39"/>
      <c r="K9" s="31"/>
    </row>
    <row r="10" spans="1:11" x14ac:dyDescent="0.25">
      <c r="A10" s="43"/>
      <c r="B10" s="48" t="s">
        <v>35</v>
      </c>
      <c r="C10" s="44">
        <v>1</v>
      </c>
      <c r="D10" s="30">
        <v>20</v>
      </c>
      <c r="E10" s="31">
        <v>0.4</v>
      </c>
      <c r="F10" s="31">
        <v>0.2</v>
      </c>
      <c r="G10" s="40">
        <f>PRODUCT(C10:F10)</f>
        <v>1.6</v>
      </c>
      <c r="H10" s="32"/>
      <c r="I10" s="33"/>
      <c r="J10" s="33"/>
      <c r="K10" s="31"/>
    </row>
    <row r="11" spans="1:11" x14ac:dyDescent="0.25">
      <c r="A11" s="28"/>
      <c r="B11" s="34" t="s">
        <v>32</v>
      </c>
      <c r="C11" s="31"/>
      <c r="D11" s="30"/>
      <c r="E11" s="31"/>
      <c r="F11" s="31"/>
      <c r="G11" s="33">
        <f>SUM(G10:G10)</f>
        <v>1.6</v>
      </c>
      <c r="H11" s="32" t="s">
        <v>29</v>
      </c>
      <c r="I11" s="33">
        <f>736.88*1.15</f>
        <v>847.41199999999992</v>
      </c>
      <c r="J11" s="39">
        <f>G11*I11</f>
        <v>1355.8591999999999</v>
      </c>
      <c r="K11" s="31"/>
    </row>
    <row r="12" spans="1:11" x14ac:dyDescent="0.25">
      <c r="A12" s="28"/>
      <c r="B12" s="46"/>
      <c r="C12" s="31"/>
      <c r="D12" s="30"/>
      <c r="E12" s="31"/>
      <c r="F12" s="31"/>
      <c r="G12" s="33"/>
      <c r="H12" s="32"/>
      <c r="I12" s="33"/>
      <c r="J12" s="39"/>
      <c r="K12" s="31"/>
    </row>
    <row r="13" spans="1:11" ht="150" x14ac:dyDescent="0.25">
      <c r="A13" s="28">
        <v>2</v>
      </c>
      <c r="B13" s="46" t="s">
        <v>34</v>
      </c>
      <c r="C13" s="17"/>
      <c r="D13" s="17"/>
      <c r="E13" s="17"/>
      <c r="F13" s="17"/>
      <c r="G13" s="43"/>
      <c r="H13" s="32"/>
      <c r="I13" s="33"/>
      <c r="J13" s="33"/>
      <c r="K13" s="31"/>
    </row>
    <row r="14" spans="1:11" x14ac:dyDescent="0.25">
      <c r="A14" s="43"/>
      <c r="B14" s="48" t="s">
        <v>45</v>
      </c>
      <c r="C14" s="44">
        <v>10</v>
      </c>
      <c r="D14" s="30">
        <v>2.5</v>
      </c>
      <c r="E14" s="31">
        <v>0.75</v>
      </c>
      <c r="F14" s="31">
        <f>23/12/3.281</f>
        <v>0.58417149243116939</v>
      </c>
      <c r="G14" s="40">
        <f>PRODUCT(C14:F14)</f>
        <v>10.953215483084426</v>
      </c>
      <c r="H14" s="32"/>
      <c r="I14" s="33"/>
      <c r="J14" s="33"/>
      <c r="K14" s="31"/>
    </row>
    <row r="15" spans="1:11" x14ac:dyDescent="0.25">
      <c r="A15" s="28"/>
      <c r="B15" s="34" t="s">
        <v>32</v>
      </c>
      <c r="C15" s="31"/>
      <c r="D15" s="30"/>
      <c r="E15" s="31"/>
      <c r="F15" s="31"/>
      <c r="G15" s="33">
        <f>SUM(G14:G14)</f>
        <v>10.953215483084426</v>
      </c>
      <c r="H15" s="32" t="s">
        <v>29</v>
      </c>
      <c r="I15" s="33">
        <f>64.63*1.15</f>
        <v>74.324499999999986</v>
      </c>
      <c r="J15" s="39">
        <f>G15*I15</f>
        <v>814.09226417250829</v>
      </c>
      <c r="K15" s="31"/>
    </row>
    <row r="16" spans="1:11" x14ac:dyDescent="0.25">
      <c r="A16" s="28"/>
      <c r="B16" s="34"/>
      <c r="C16" s="31"/>
      <c r="D16" s="30"/>
      <c r="E16" s="31"/>
      <c r="F16" s="31"/>
      <c r="G16" s="33"/>
      <c r="H16" s="32"/>
      <c r="I16" s="33"/>
      <c r="J16" s="39"/>
      <c r="K16" s="31"/>
    </row>
    <row r="17" spans="1:13" ht="96" customHeight="1" x14ac:dyDescent="0.25">
      <c r="A17" s="28">
        <v>3</v>
      </c>
      <c r="B17" s="45" t="s">
        <v>43</v>
      </c>
      <c r="C17" s="29"/>
      <c r="D17" s="30"/>
      <c r="E17" s="31"/>
      <c r="F17" s="31"/>
      <c r="G17" s="33"/>
      <c r="H17" s="32"/>
      <c r="I17" s="33"/>
      <c r="J17" s="49"/>
      <c r="K17" s="31"/>
    </row>
    <row r="18" spans="1:13" x14ac:dyDescent="0.25">
      <c r="A18" s="43"/>
      <c r="B18" s="48" t="s">
        <v>35</v>
      </c>
      <c r="C18" s="44">
        <v>10</v>
      </c>
      <c r="D18" s="30">
        <v>2.5</v>
      </c>
      <c r="E18" s="31"/>
      <c r="F18" s="31"/>
      <c r="G18" s="40">
        <f>PRODUCT(C18:F18)</f>
        <v>25</v>
      </c>
      <c r="H18" s="32"/>
      <c r="I18" s="33"/>
      <c r="J18" s="33"/>
      <c r="K18" s="31"/>
    </row>
    <row r="19" spans="1:13" x14ac:dyDescent="0.25">
      <c r="A19" s="28"/>
      <c r="B19" s="34" t="s">
        <v>32</v>
      </c>
      <c r="C19" s="31"/>
      <c r="D19" s="30"/>
      <c r="E19" s="31"/>
      <c r="F19" s="31"/>
      <c r="G19" s="33">
        <f>SUM(G18:G18)</f>
        <v>25</v>
      </c>
      <c r="H19" s="32" t="s">
        <v>44</v>
      </c>
      <c r="I19" s="33">
        <f>5144.96*1.15</f>
        <v>5916.7039999999997</v>
      </c>
      <c r="J19" s="39">
        <f>G19*I19</f>
        <v>147917.6</v>
      </c>
      <c r="K19" s="31"/>
      <c r="M19">
        <f>I19*2.5</f>
        <v>14791.759999999998</v>
      </c>
    </row>
    <row r="20" spans="1:13" x14ac:dyDescent="0.25">
      <c r="A20" s="28"/>
      <c r="B20" s="34"/>
      <c r="C20" s="31"/>
      <c r="D20" s="30"/>
      <c r="E20" s="31"/>
      <c r="F20" s="31"/>
      <c r="G20" s="33"/>
      <c r="H20" s="32"/>
      <c r="I20" s="33"/>
      <c r="J20" s="39"/>
      <c r="K20" s="31"/>
    </row>
    <row r="21" spans="1:13" ht="95.25" customHeight="1" x14ac:dyDescent="0.25">
      <c r="A21" s="28">
        <v>4</v>
      </c>
      <c r="B21" s="45" t="s">
        <v>57</v>
      </c>
      <c r="C21" s="29"/>
      <c r="D21" s="30"/>
      <c r="E21" s="31"/>
      <c r="F21" s="31"/>
      <c r="G21" s="33"/>
      <c r="H21" s="32"/>
      <c r="I21" s="33"/>
      <c r="J21" s="49"/>
      <c r="K21" s="31"/>
    </row>
    <row r="22" spans="1:13" x14ac:dyDescent="0.25">
      <c r="A22" s="43"/>
      <c r="B22" s="48" t="s">
        <v>35</v>
      </c>
      <c r="C22" s="44">
        <v>1</v>
      </c>
      <c r="D22" s="30">
        <v>2.5</v>
      </c>
      <c r="E22" s="31"/>
      <c r="F22" s="31"/>
      <c r="G22" s="40">
        <f>PRODUCT(C22:F22)</f>
        <v>2.5</v>
      </c>
      <c r="H22" s="32"/>
      <c r="I22" s="33"/>
      <c r="J22" s="33"/>
      <c r="K22" s="31"/>
    </row>
    <row r="23" spans="1:13" x14ac:dyDescent="0.25">
      <c r="A23" s="28"/>
      <c r="B23" s="34" t="s">
        <v>32</v>
      </c>
      <c r="C23" s="31"/>
      <c r="D23" s="30"/>
      <c r="E23" s="31"/>
      <c r="F23" s="31"/>
      <c r="G23" s="33">
        <f>SUM(G22:G22)</f>
        <v>2.5</v>
      </c>
      <c r="H23" s="32" t="s">
        <v>44</v>
      </c>
      <c r="I23" s="33">
        <f>3697.12*1.15</f>
        <v>4251.6879999999992</v>
      </c>
      <c r="J23" s="39">
        <f>G23*I23</f>
        <v>10629.219999999998</v>
      </c>
      <c r="K23" s="31"/>
      <c r="M23">
        <f>I23*2.5</f>
        <v>10629.219999999998</v>
      </c>
    </row>
    <row r="24" spans="1:13" x14ac:dyDescent="0.25">
      <c r="A24" s="28"/>
      <c r="B24" s="34"/>
      <c r="C24" s="31"/>
      <c r="D24" s="30"/>
      <c r="E24" s="31"/>
      <c r="F24" s="31"/>
      <c r="G24" s="33"/>
      <c r="H24" s="32"/>
      <c r="I24" s="33"/>
      <c r="J24" s="39"/>
      <c r="K24" s="31"/>
    </row>
    <row r="25" spans="1:13" ht="90" customHeight="1" x14ac:dyDescent="0.25">
      <c r="A25" s="28">
        <v>5</v>
      </c>
      <c r="B25" s="45" t="s">
        <v>49</v>
      </c>
      <c r="C25" s="31"/>
      <c r="D25" s="30"/>
      <c r="E25" s="31"/>
      <c r="F25" s="31"/>
      <c r="G25" s="33"/>
      <c r="H25" s="32"/>
      <c r="I25" s="33"/>
      <c r="J25" s="39"/>
      <c r="K25" s="31"/>
    </row>
    <row r="26" spans="1:13" ht="15" customHeight="1" x14ac:dyDescent="0.25">
      <c r="A26" s="43"/>
      <c r="B26" s="48" t="s">
        <v>48</v>
      </c>
      <c r="C26" s="44">
        <v>1</v>
      </c>
      <c r="D26" s="30">
        <f>10*2.5-7.5</f>
        <v>17.5</v>
      </c>
      <c r="E26" s="31">
        <v>2</v>
      </c>
      <c r="F26" s="31">
        <f>1/3.2808</f>
        <v>0.30480370641306997</v>
      </c>
      <c r="G26" s="40">
        <f>PRODUCT(C26:F26)</f>
        <v>10.668129724457449</v>
      </c>
      <c r="H26" s="32"/>
      <c r="I26" s="33"/>
      <c r="J26" s="33"/>
      <c r="K26" s="31"/>
    </row>
    <row r="27" spans="1:13" ht="15" customHeight="1" x14ac:dyDescent="0.25">
      <c r="A27" s="43"/>
      <c r="B27" s="48"/>
      <c r="C27" s="44">
        <v>1</v>
      </c>
      <c r="D27" s="30">
        <v>7.5</v>
      </c>
      <c r="E27" s="31">
        <v>1.46</v>
      </c>
      <c r="F27" s="31">
        <f>1/3.2808</f>
        <v>0.30480370641306997</v>
      </c>
      <c r="G27" s="40">
        <f>PRODUCT(C27:F27)</f>
        <v>3.3376005852231159</v>
      </c>
      <c r="H27" s="32"/>
      <c r="I27" s="33"/>
      <c r="J27" s="33"/>
      <c r="K27" s="31"/>
    </row>
    <row r="28" spans="1:13" x14ac:dyDescent="0.25">
      <c r="A28" s="28"/>
      <c r="B28" s="34" t="s">
        <v>32</v>
      </c>
      <c r="C28" s="31"/>
      <c r="D28" s="30"/>
      <c r="E28" s="31"/>
      <c r="F28" s="31"/>
      <c r="G28" s="33">
        <f>SUM(G26:G27)</f>
        <v>14.005730309680565</v>
      </c>
      <c r="H28" s="32" t="s">
        <v>29</v>
      </c>
      <c r="I28" s="33">
        <f>(3244.12/1.15)*1.15</f>
        <v>3244.12</v>
      </c>
      <c r="J28" s="39">
        <f>G28*I28</f>
        <v>45436.269812240913</v>
      </c>
      <c r="K28" s="31"/>
    </row>
    <row r="29" spans="1:13" x14ac:dyDescent="0.25">
      <c r="A29" s="28"/>
      <c r="B29" s="34"/>
      <c r="C29" s="31"/>
      <c r="D29" s="30"/>
      <c r="E29" s="31"/>
      <c r="F29" s="31"/>
      <c r="G29" s="33"/>
      <c r="H29" s="32"/>
      <c r="I29" s="33"/>
      <c r="J29" s="39"/>
      <c r="K29" s="31"/>
    </row>
    <row r="30" spans="1:13" ht="30.75" x14ac:dyDescent="0.25">
      <c r="A30" s="28">
        <v>6</v>
      </c>
      <c r="B30" s="50" t="s">
        <v>46</v>
      </c>
      <c r="C30" s="31"/>
      <c r="D30" s="30"/>
      <c r="E30" s="31"/>
      <c r="F30" s="31"/>
      <c r="G30" s="33"/>
      <c r="H30" s="32"/>
      <c r="I30" s="33" t="s">
        <v>50</v>
      </c>
      <c r="J30" s="39"/>
      <c r="K30" s="31"/>
    </row>
    <row r="31" spans="1:13" x14ac:dyDescent="0.25">
      <c r="A31" s="43"/>
      <c r="B31" s="48" t="s">
        <v>47</v>
      </c>
      <c r="C31" s="44">
        <v>1</v>
      </c>
      <c r="D31" s="30">
        <f>1.03+1.03+(1-0.23*2)*2</f>
        <v>3.14</v>
      </c>
      <c r="E31" s="31">
        <v>0.23</v>
      </c>
      <c r="F31" s="31">
        <v>0.6</v>
      </c>
      <c r="G31" s="40">
        <f>PRODUCT(C31:F31)</f>
        <v>0.43332000000000004</v>
      </c>
      <c r="H31" s="32"/>
      <c r="I31" s="33"/>
      <c r="J31" s="33"/>
      <c r="K31" s="31"/>
    </row>
    <row r="32" spans="1:13" x14ac:dyDescent="0.25">
      <c r="A32" s="43"/>
      <c r="B32" s="48" t="s">
        <v>52</v>
      </c>
      <c r="C32" s="44">
        <v>-1</v>
      </c>
      <c r="D32" s="30">
        <f>(0.3+5/12/3.281)</f>
        <v>0.42699380270242815</v>
      </c>
      <c r="E32" s="4">
        <v>0.23</v>
      </c>
      <c r="F32" s="31">
        <f>PI()</f>
        <v>3.1415926535897931</v>
      </c>
      <c r="G32" s="40">
        <f>C32*(F32*(D32*D32)/4)*E32</f>
        <v>-3.2935242161652237E-2</v>
      </c>
      <c r="H32" s="32"/>
      <c r="I32" s="33"/>
      <c r="J32" s="33"/>
      <c r="K32" s="31"/>
    </row>
    <row r="33" spans="1:11" x14ac:dyDescent="0.25">
      <c r="A33" s="43"/>
      <c r="B33" s="48"/>
      <c r="C33" s="44">
        <v>-1</v>
      </c>
      <c r="D33" s="30">
        <f>(0.45+5/12/3.281)</f>
        <v>0.57699380270242817</v>
      </c>
      <c r="E33" s="4">
        <v>0.23</v>
      </c>
      <c r="F33" s="31">
        <f>PI()</f>
        <v>3.1415926535897931</v>
      </c>
      <c r="G33" s="40">
        <f>C33*(F33*(D33*D33)/4)*E33</f>
        <v>-6.0139527898530026E-2</v>
      </c>
      <c r="H33" s="32"/>
      <c r="I33" s="33"/>
      <c r="J33" s="33"/>
      <c r="K33" s="31"/>
    </row>
    <row r="34" spans="1:11" x14ac:dyDescent="0.25">
      <c r="A34" s="28"/>
      <c r="B34" s="34" t="s">
        <v>32</v>
      </c>
      <c r="C34" s="31"/>
      <c r="D34" s="30" t="s">
        <v>50</v>
      </c>
      <c r="E34" s="4"/>
      <c r="F34" s="31"/>
      <c r="G34" s="33">
        <f>SUM(G31:G33)</f>
        <v>0.34024522993981776</v>
      </c>
      <c r="H34" s="32" t="s">
        <v>29</v>
      </c>
      <c r="I34" s="33">
        <f>14362.76*1.15</f>
        <v>16517.173999999999</v>
      </c>
      <c r="J34" s="39">
        <f>G34*I34</f>
        <v>5619.8896655859789</v>
      </c>
      <c r="K34" s="31"/>
    </row>
    <row r="35" spans="1:11" x14ac:dyDescent="0.25">
      <c r="A35" s="28"/>
      <c r="B35" s="34"/>
      <c r="C35" s="31"/>
      <c r="D35" s="30"/>
      <c r="E35" s="31"/>
      <c r="F35" s="31"/>
      <c r="G35" s="33"/>
      <c r="H35" s="32"/>
      <c r="I35" s="33"/>
      <c r="J35" s="39"/>
      <c r="K35" s="31"/>
    </row>
    <row r="36" spans="1:11" s="1" customFormat="1" ht="77.25" customHeight="1" x14ac:dyDescent="0.25">
      <c r="A36" s="28">
        <v>7</v>
      </c>
      <c r="B36" s="45" t="s">
        <v>33</v>
      </c>
      <c r="C36" s="31"/>
      <c r="D36" s="30"/>
      <c r="E36" s="31"/>
      <c r="F36" s="31"/>
      <c r="G36" s="33"/>
      <c r="H36" s="32"/>
      <c r="I36" s="33"/>
      <c r="J36" s="39"/>
      <c r="K36" s="31"/>
    </row>
    <row r="37" spans="1:11" x14ac:dyDescent="0.25">
      <c r="A37" s="43"/>
      <c r="B37" s="48" t="s">
        <v>47</v>
      </c>
      <c r="C37" s="44">
        <v>1</v>
      </c>
      <c r="D37" s="30">
        <f>1.03</f>
        <v>1.03</v>
      </c>
      <c r="E37" s="31">
        <v>1</v>
      </c>
      <c r="F37" s="31">
        <f>1.5/12/3.281</f>
        <v>3.8098140810728431E-2</v>
      </c>
      <c r="G37" s="40">
        <f>PRODUCT(C37:F37)</f>
        <v>3.9241085035050284E-2</v>
      </c>
      <c r="H37" s="32"/>
      <c r="I37" s="33"/>
      <c r="J37" s="33"/>
      <c r="K37" s="31"/>
    </row>
    <row r="38" spans="1:11" x14ac:dyDescent="0.25">
      <c r="A38" s="43"/>
      <c r="B38" s="48" t="s">
        <v>52</v>
      </c>
      <c r="C38" s="44">
        <v>-1</v>
      </c>
      <c r="D38" s="30">
        <f>(23/12/3.281)</f>
        <v>0.58417149243116939</v>
      </c>
      <c r="E38" s="31">
        <f>PI()</f>
        <v>3.1415926535897931</v>
      </c>
      <c r="F38" s="31">
        <f>1.5/12/3.281</f>
        <v>3.8098140810728431E-2</v>
      </c>
      <c r="G38" s="40">
        <f>C38*(E38*(D38*D38)/4)*F38</f>
        <v>-1.021114358608829E-2</v>
      </c>
      <c r="H38" s="32"/>
      <c r="I38" s="33"/>
      <c r="J38" s="33"/>
      <c r="K38" s="31"/>
    </row>
    <row r="39" spans="1:11" x14ac:dyDescent="0.25">
      <c r="A39" s="43"/>
      <c r="B39" s="48"/>
      <c r="C39" s="44">
        <v>1</v>
      </c>
      <c r="D39" s="30">
        <f>1.03</f>
        <v>1.03</v>
      </c>
      <c r="E39" s="31">
        <v>1</v>
      </c>
      <c r="F39" s="31">
        <f>2/12/3.281</f>
        <v>5.0797521080971242E-2</v>
      </c>
      <c r="G39" s="40">
        <f>PRODUCT(C39:F39)</f>
        <v>5.2321446713400381E-2</v>
      </c>
      <c r="H39" s="32"/>
      <c r="I39" s="33"/>
      <c r="J39" s="33"/>
      <c r="K39" s="31"/>
    </row>
    <row r="40" spans="1:11" x14ac:dyDescent="0.25">
      <c r="A40" s="28"/>
      <c r="B40" s="34" t="s">
        <v>32</v>
      </c>
      <c r="C40" s="31"/>
      <c r="D40" s="30" t="s">
        <v>50</v>
      </c>
      <c r="E40" s="31"/>
      <c r="F40" s="31"/>
      <c r="G40" s="33">
        <f>SUM(G37:G39)</f>
        <v>8.135138816236237E-2</v>
      </c>
      <c r="H40" s="32" t="s">
        <v>29</v>
      </c>
      <c r="I40" s="33">
        <f>11219.5*1.15</f>
        <v>12902.424999999999</v>
      </c>
      <c r="J40" s="39">
        <f>G40*I40</f>
        <v>1049.6301844107682</v>
      </c>
      <c r="K40" s="31"/>
    </row>
    <row r="41" spans="1:11" x14ac:dyDescent="0.25">
      <c r="A41" s="28"/>
      <c r="B41" s="34"/>
      <c r="C41" s="31"/>
      <c r="D41" s="30"/>
      <c r="E41" s="31"/>
      <c r="F41" s="31"/>
      <c r="G41" s="33"/>
      <c r="H41" s="32"/>
      <c r="I41" s="33"/>
      <c r="J41" s="39"/>
      <c r="K41" s="31"/>
    </row>
    <row r="42" spans="1:11" s="1" customFormat="1" ht="79.5" customHeight="1" x14ac:dyDescent="0.25">
      <c r="A42" s="28">
        <v>8</v>
      </c>
      <c r="B42" s="45" t="s">
        <v>54</v>
      </c>
      <c r="C42" s="31"/>
      <c r="D42" s="30"/>
      <c r="E42" s="31"/>
      <c r="F42" s="31"/>
      <c r="G42" s="33"/>
      <c r="H42" s="32"/>
      <c r="I42" s="33"/>
      <c r="J42" s="39"/>
      <c r="K42" s="31"/>
    </row>
    <row r="43" spans="1:11" ht="15" customHeight="1" x14ac:dyDescent="0.25">
      <c r="A43" s="28"/>
      <c r="B43" s="47" t="s">
        <v>53</v>
      </c>
      <c r="C43" s="31">
        <v>1</v>
      </c>
      <c r="D43" s="30">
        <v>1.5</v>
      </c>
      <c r="E43" s="31">
        <v>0.35</v>
      </c>
      <c r="F43" s="31">
        <v>0.45</v>
      </c>
      <c r="G43" s="40">
        <f>PRODUCT(C43:F43)</f>
        <v>0.23624999999999996</v>
      </c>
      <c r="H43" s="32"/>
      <c r="I43" s="33"/>
      <c r="J43" s="39"/>
      <c r="K43" s="31"/>
    </row>
    <row r="44" spans="1:11" ht="15" customHeight="1" x14ac:dyDescent="0.25">
      <c r="A44" s="28"/>
      <c r="B44" s="34" t="s">
        <v>32</v>
      </c>
      <c r="C44" s="31"/>
      <c r="D44" s="30" t="s">
        <v>50</v>
      </c>
      <c r="E44" s="31"/>
      <c r="F44" s="31"/>
      <c r="G44" s="33">
        <f>SUM(G43)</f>
        <v>0.23624999999999996</v>
      </c>
      <c r="H44" s="32" t="s">
        <v>29</v>
      </c>
      <c r="I44" s="33">
        <f>9709.43*1.15</f>
        <v>11165.844499999999</v>
      </c>
      <c r="J44" s="39">
        <f>G44*I44</f>
        <v>2637.9307631249994</v>
      </c>
      <c r="K44" s="31"/>
    </row>
    <row r="45" spans="1:11" x14ac:dyDescent="0.25">
      <c r="A45" s="28"/>
      <c r="B45" s="34"/>
      <c r="C45" s="31"/>
      <c r="D45" s="30"/>
      <c r="E45" s="31"/>
      <c r="F45" s="31"/>
      <c r="G45" s="33"/>
      <c r="H45" s="32"/>
      <c r="I45" s="33"/>
      <c r="J45" s="39"/>
      <c r="K45" s="31"/>
    </row>
    <row r="46" spans="1:11" ht="30" x14ac:dyDescent="0.25">
      <c r="A46" s="28">
        <v>9</v>
      </c>
      <c r="B46" s="46" t="s">
        <v>51</v>
      </c>
      <c r="C46" s="31">
        <v>1</v>
      </c>
      <c r="D46" s="30"/>
      <c r="E46" s="31"/>
      <c r="F46" s="31"/>
      <c r="G46" s="40">
        <f>PRODUCT(C46:F46)</f>
        <v>1</v>
      </c>
      <c r="H46" s="32"/>
      <c r="I46" s="33"/>
      <c r="J46" s="39"/>
      <c r="K46" s="31"/>
    </row>
    <row r="47" spans="1:11" x14ac:dyDescent="0.25">
      <c r="A47" s="28"/>
      <c r="B47" s="34" t="s">
        <v>32</v>
      </c>
      <c r="C47" s="31"/>
      <c r="D47" s="30"/>
      <c r="E47" s="31"/>
      <c r="F47" s="31"/>
      <c r="G47" s="33">
        <f>SUM(G46:G46)</f>
        <v>1</v>
      </c>
      <c r="H47" s="32" t="s">
        <v>31</v>
      </c>
      <c r="I47" s="33">
        <f>4487*1.15</f>
        <v>5160.0499999999993</v>
      </c>
      <c r="J47" s="39">
        <f>G47*I47</f>
        <v>5160.0499999999993</v>
      </c>
      <c r="K47" s="31"/>
    </row>
    <row r="48" spans="1:11" x14ac:dyDescent="0.25">
      <c r="A48" s="28"/>
      <c r="B48" s="34"/>
      <c r="C48" s="31"/>
      <c r="D48" s="30"/>
      <c r="E48" s="31"/>
      <c r="F48" s="31"/>
      <c r="G48" s="33"/>
      <c r="H48" s="32"/>
      <c r="I48" s="33"/>
      <c r="J48" s="39"/>
      <c r="K48" s="31"/>
    </row>
    <row r="49" spans="1:11" ht="30" x14ac:dyDescent="0.25">
      <c r="A49" s="28">
        <v>10</v>
      </c>
      <c r="B49" s="46" t="s">
        <v>58</v>
      </c>
      <c r="C49" s="31">
        <v>1</v>
      </c>
      <c r="D49" s="30"/>
      <c r="E49" s="31"/>
      <c r="F49" s="31"/>
      <c r="G49" s="40">
        <f>PRODUCT(C49:F49)</f>
        <v>1</v>
      </c>
      <c r="H49" s="32"/>
      <c r="I49" s="33"/>
      <c r="J49" s="39"/>
      <c r="K49" s="31"/>
    </row>
    <row r="50" spans="1:11" x14ac:dyDescent="0.25">
      <c r="A50" s="28"/>
      <c r="B50" s="34" t="s">
        <v>32</v>
      </c>
      <c r="C50" s="31"/>
      <c r="D50" s="30"/>
      <c r="E50" s="31"/>
      <c r="F50" s="31"/>
      <c r="G50" s="33">
        <f>SUM(G49:G49)</f>
        <v>1</v>
      </c>
      <c r="H50" s="32" t="s">
        <v>55</v>
      </c>
      <c r="I50" s="33">
        <f>(28689.95+309+177*9)*1.13</f>
        <v>34568.9035</v>
      </c>
      <c r="J50" s="39">
        <f>G50*I50</f>
        <v>34568.9035</v>
      </c>
      <c r="K50" s="31"/>
    </row>
    <row r="51" spans="1:11" x14ac:dyDescent="0.25">
      <c r="A51" s="28"/>
      <c r="B51" s="34"/>
      <c r="C51" s="31"/>
      <c r="D51" s="30"/>
      <c r="E51" s="31"/>
      <c r="F51" s="31"/>
      <c r="G51" s="33"/>
      <c r="H51" s="32"/>
      <c r="I51" s="33"/>
      <c r="J51" s="39"/>
      <c r="K51" s="31"/>
    </row>
    <row r="52" spans="1:11" x14ac:dyDescent="0.25">
      <c r="A52" s="28">
        <v>11</v>
      </c>
      <c r="B52" s="41" t="s">
        <v>30</v>
      </c>
      <c r="C52" s="29">
        <v>0</v>
      </c>
      <c r="D52" s="30"/>
      <c r="E52" s="31"/>
      <c r="F52" s="31"/>
      <c r="G52" s="39">
        <f>PRODUCT(C52:F52)</f>
        <v>0</v>
      </c>
      <c r="H52" s="32" t="s">
        <v>31</v>
      </c>
      <c r="I52" s="33">
        <v>500</v>
      </c>
      <c r="J52" s="8">
        <f>G52*I52</f>
        <v>0</v>
      </c>
      <c r="K52" s="31"/>
    </row>
    <row r="53" spans="1:11" x14ac:dyDescent="0.25">
      <c r="A53" s="10"/>
      <c r="B53" s="27"/>
      <c r="C53" s="9"/>
      <c r="D53" s="7"/>
      <c r="E53" s="7"/>
      <c r="F53" s="7"/>
      <c r="G53" s="8"/>
      <c r="H53" s="8"/>
      <c r="I53" s="8"/>
      <c r="J53" s="8"/>
      <c r="K53" s="4"/>
    </row>
    <row r="54" spans="1:11" x14ac:dyDescent="0.25">
      <c r="A54" s="10"/>
      <c r="B54" s="27" t="s">
        <v>17</v>
      </c>
      <c r="C54" s="9"/>
      <c r="D54" s="7"/>
      <c r="E54" s="7"/>
      <c r="F54" s="7"/>
      <c r="G54" s="8"/>
      <c r="H54" s="8"/>
      <c r="I54" s="8"/>
      <c r="J54" s="8">
        <f>SUM(J9:J53)</f>
        <v>255189.44538953516</v>
      </c>
      <c r="K54" s="4"/>
    </row>
    <row r="56" spans="1:11" s="1" customFormat="1" hidden="1" x14ac:dyDescent="0.25">
      <c r="B56" s="17" t="s">
        <v>37</v>
      </c>
      <c r="C56" s="53">
        <f>J54</f>
        <v>255189.44538953516</v>
      </c>
      <c r="D56" s="53"/>
      <c r="E56" s="19"/>
      <c r="F56" s="20"/>
      <c r="G56" s="19"/>
      <c r="H56" s="21"/>
      <c r="I56" s="22"/>
      <c r="J56" s="23"/>
    </row>
    <row r="57" spans="1:11" hidden="1" x14ac:dyDescent="0.25">
      <c r="B57" s="4" t="s">
        <v>61</v>
      </c>
      <c r="C57" s="53">
        <f>13%*C56</f>
        <v>33174.627900639571</v>
      </c>
      <c r="D57" s="53"/>
    </row>
    <row r="58" spans="1:11" hidden="1" x14ac:dyDescent="0.25">
      <c r="B58" s="4" t="s">
        <v>17</v>
      </c>
      <c r="C58" s="54">
        <f>SUM(C56:D57)</f>
        <v>288364.07329017471</v>
      </c>
      <c r="D58" s="54"/>
    </row>
  </sheetData>
  <mergeCells count="12">
    <mergeCell ref="A6:G6"/>
    <mergeCell ref="H6:K6"/>
    <mergeCell ref="A1:K1"/>
    <mergeCell ref="A2:K2"/>
    <mergeCell ref="A3:K3"/>
    <mergeCell ref="A4:K4"/>
    <mergeCell ref="A5:K5"/>
    <mergeCell ref="A7:F7"/>
    <mergeCell ref="H7:K7"/>
    <mergeCell ref="C56:D56"/>
    <mergeCell ref="C57:D57"/>
    <mergeCell ref="C58:D58"/>
  </mergeCells>
  <printOptions horizontalCentered="1"/>
  <pageMargins left="0.7" right="0.7" top="0.75" bottom="0.75" header="0.3" footer="0.3"/>
  <pageSetup paperSize="9" scale="90" orientation="portrait" horizontalDpi="300" verticalDpi="300" r:id="rId1"/>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new</vt:lpstr>
      <vt:lpstr>WCR</vt:lpstr>
      <vt:lpstr>V</vt:lpstr>
      <vt:lpstr>M</vt:lpstr>
      <vt:lpstr>M!Print_Area</vt:lpstr>
      <vt:lpstr>new!Print_Area</vt:lpstr>
      <vt:lpstr>V!Print_Area</vt:lpstr>
      <vt:lpstr>WCR!Print_Area</vt:lpstr>
      <vt:lpstr>M!Print_Titles</vt:lpstr>
      <vt:lpstr>new!Print_Titles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2024-08-18T07:23:38Z</cp:lastPrinted>
  <dcterms:created xsi:type="dcterms:W3CDTF">2015-06-05T18:17:20Z</dcterms:created>
  <dcterms:modified xsi:type="dcterms:W3CDTF">2024-08-21T08:59:20Z</dcterms:modified>
</cp:coreProperties>
</file>