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ew folder\081-082\ofc\ofc\estimates\कुर्थली च्यानेपाखा माझगाउँ जोड्ने सडक\"/>
    </mc:Choice>
  </mc:AlternateContent>
  <bookViews>
    <workbookView xWindow="-120" yWindow="-120" windowWidth="20730" windowHeight="11160" activeTab="1"/>
  </bookViews>
  <sheets>
    <sheet name="200k" sheetId="20" r:id="rId1"/>
    <sheet name="WCR" sheetId="6" r:id="rId2"/>
    <sheet name="V" sheetId="21" r:id="rId3"/>
  </sheets>
  <externalReferences>
    <externalReference r:id="rId4"/>
    <externalReference r:id="rId5"/>
    <externalReference r:id="rId6"/>
    <externalReference r:id="rId7"/>
    <externalReference r:id="rId8"/>
  </externalReferences>
  <definedNames>
    <definedName name="description_103">[1]Abstract!$B$16</definedName>
    <definedName name="description_124" localSheetId="0">#REF!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0">'200k'!$A$1:$K$42</definedName>
    <definedName name="_xlnm.Print_Area" localSheetId="2">V!$A$1:$K$54</definedName>
    <definedName name="_xlnm.Print_Titles" localSheetId="0">'200k'!$1:$8</definedName>
    <definedName name="_xlnm.Print_Titles" localSheetId="2">V!$1:$8</definedName>
    <definedName name="_xlnm.Print_Titles" localSheetId="1">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7" i="6" l="1"/>
  <c r="M25" i="6"/>
  <c r="M24" i="6"/>
  <c r="M22" i="6"/>
  <c r="M21" i="6"/>
  <c r="M19" i="6"/>
  <c r="M18" i="6"/>
  <c r="M16" i="6"/>
  <c r="M14" i="6"/>
  <c r="M13" i="6"/>
  <c r="G11" i="21"/>
  <c r="F10" i="21"/>
  <c r="E41" i="21"/>
  <c r="E40" i="21"/>
  <c r="E39" i="21"/>
  <c r="E38" i="21"/>
  <c r="E37" i="21"/>
  <c r="E36" i="21"/>
  <c r="F37" i="21"/>
  <c r="F38" i="21"/>
  <c r="F39" i="21"/>
  <c r="F40" i="21"/>
  <c r="F36" i="21"/>
  <c r="M36" i="21"/>
  <c r="F16" i="21" l="1"/>
  <c r="H27" i="6"/>
  <c r="E27" i="6"/>
  <c r="D27" i="6"/>
  <c r="C27" i="6"/>
  <c r="B27" i="6"/>
  <c r="A27" i="6"/>
  <c r="H24" i="6"/>
  <c r="F25" i="6"/>
  <c r="E24" i="6"/>
  <c r="D24" i="6"/>
  <c r="C24" i="6"/>
  <c r="B25" i="6"/>
  <c r="B24" i="6"/>
  <c r="A24" i="6"/>
  <c r="H21" i="6"/>
  <c r="F22" i="6"/>
  <c r="E21" i="6"/>
  <c r="D21" i="6"/>
  <c r="F21" i="6" s="1"/>
  <c r="C21" i="6"/>
  <c r="B22" i="6"/>
  <c r="B21" i="6"/>
  <c r="A21" i="6"/>
  <c r="H18" i="6"/>
  <c r="F19" i="6"/>
  <c r="E18" i="6"/>
  <c r="D18" i="6"/>
  <c r="C18" i="6"/>
  <c r="B19" i="6"/>
  <c r="B18" i="6"/>
  <c r="A18" i="6"/>
  <c r="H16" i="6"/>
  <c r="E16" i="6"/>
  <c r="D16" i="6"/>
  <c r="C16" i="6"/>
  <c r="B16" i="6"/>
  <c r="A16" i="6"/>
  <c r="H13" i="6"/>
  <c r="F14" i="6"/>
  <c r="E13" i="6"/>
  <c r="D13" i="6"/>
  <c r="C13" i="6"/>
  <c r="B14" i="6"/>
  <c r="B13" i="6"/>
  <c r="A13" i="6"/>
  <c r="D10" i="21"/>
  <c r="G22" i="21"/>
  <c r="D36" i="21"/>
  <c r="G41" i="21"/>
  <c r="G37" i="21"/>
  <c r="D21" i="21"/>
  <c r="D16" i="21" s="1"/>
  <c r="G23" i="21"/>
  <c r="G24" i="21"/>
  <c r="G25" i="21"/>
  <c r="G26" i="21"/>
  <c r="G36" i="21"/>
  <c r="C54" i="21"/>
  <c r="C53" i="21"/>
  <c r="G45" i="21"/>
  <c r="J45" i="21" s="1"/>
  <c r="B31" i="21"/>
  <c r="B21" i="21"/>
  <c r="G40" i="21" l="1"/>
  <c r="G27" i="6"/>
  <c r="F24" i="6"/>
  <c r="F16" i="6"/>
  <c r="F18" i="6"/>
  <c r="G38" i="21"/>
  <c r="G39" i="21"/>
  <c r="C51" i="21"/>
  <c r="F10" i="20"/>
  <c r="F15" i="20" s="1"/>
  <c r="E24" i="20"/>
  <c r="E19" i="20" s="1"/>
  <c r="D24" i="20"/>
  <c r="D19" i="20" s="1"/>
  <c r="D15" i="20" s="1"/>
  <c r="E29" i="20"/>
  <c r="G42" i="21" l="1"/>
  <c r="J43" i="21" s="1"/>
  <c r="I25" i="6" s="1"/>
  <c r="J25" i="6" s="1"/>
  <c r="G24" i="6"/>
  <c r="I24" i="6" s="1"/>
  <c r="J24" i="6" s="1"/>
  <c r="J42" i="21"/>
  <c r="G31" i="21"/>
  <c r="G32" i="21" s="1"/>
  <c r="G21" i="6" s="1"/>
  <c r="I21" i="6" s="1"/>
  <c r="J21" i="6" s="1"/>
  <c r="E10" i="20"/>
  <c r="E15" i="20"/>
  <c r="D10" i="20"/>
  <c r="J32" i="21" l="1"/>
  <c r="J33" i="21"/>
  <c r="I22" i="6" s="1"/>
  <c r="J22" i="6" s="1"/>
  <c r="E16" i="21"/>
  <c r="G16" i="21" s="1"/>
  <c r="G18" i="21" s="1"/>
  <c r="E10" i="21"/>
  <c r="G10" i="21" s="1"/>
  <c r="G21" i="21"/>
  <c r="G27" i="21" s="1"/>
  <c r="G18" i="6" s="1"/>
  <c r="I18" i="6" s="1"/>
  <c r="J18" i="6" s="1"/>
  <c r="C42" i="20"/>
  <c r="C41" i="20"/>
  <c r="G33" i="20"/>
  <c r="J33" i="20" s="1"/>
  <c r="B24" i="20"/>
  <c r="B19" i="20"/>
  <c r="G10" i="20"/>
  <c r="G11" i="20" s="1"/>
  <c r="G12" i="21" l="1"/>
  <c r="G13" i="6" s="1"/>
  <c r="J18" i="21"/>
  <c r="G16" i="6"/>
  <c r="I16" i="6" s="1"/>
  <c r="J16" i="6" s="1"/>
  <c r="J28" i="21"/>
  <c r="I19" i="6" s="1"/>
  <c r="J19" i="6" s="1"/>
  <c r="J27" i="21"/>
  <c r="G15" i="20"/>
  <c r="G16" i="20" s="1"/>
  <c r="J16" i="20" s="1"/>
  <c r="G19" i="20"/>
  <c r="G20" i="20" s="1"/>
  <c r="G24" i="20"/>
  <c r="G25" i="20" s="1"/>
  <c r="J25" i="20" s="1"/>
  <c r="G29" i="20"/>
  <c r="G30" i="20" s="1"/>
  <c r="J31" i="20" s="1"/>
  <c r="C39" i="20"/>
  <c r="J11" i="20"/>
  <c r="J12" i="20"/>
  <c r="J12" i="21" l="1"/>
  <c r="J47" i="21" s="1"/>
  <c r="C49" i="21" s="1"/>
  <c r="C52" i="21" s="1"/>
  <c r="J13" i="21"/>
  <c r="I14" i="6" s="1"/>
  <c r="J14" i="6" s="1"/>
  <c r="J26" i="20"/>
  <c r="J30" i="20"/>
  <c r="J21" i="20"/>
  <c r="J20" i="20"/>
  <c r="E51" i="21" l="1"/>
  <c r="E52" i="21" s="1"/>
  <c r="J35" i="20"/>
  <c r="C37" i="20" s="1"/>
  <c r="C40" i="20" s="1"/>
  <c r="E39" i="20" l="1"/>
  <c r="E40" i="20" s="1"/>
  <c r="I27" i="6" l="1"/>
  <c r="F27" i="6"/>
  <c r="J27" i="6" l="1"/>
  <c r="I13" i="6"/>
  <c r="I29" i="6" s="1"/>
  <c r="F13" i="6" l="1"/>
  <c r="J13" i="6" s="1"/>
  <c r="F29" i="6" l="1"/>
  <c r="A9" i="6"/>
  <c r="A8" i="6"/>
  <c r="J6" i="6" l="1"/>
  <c r="J29" i="6" l="1"/>
  <c r="C6" i="6" l="1"/>
</calcChain>
</file>

<file path=xl/sharedStrings.xml><?xml version="1.0" encoding="utf-8"?>
<sst xmlns="http://schemas.openxmlformats.org/spreadsheetml/2006/main" count="131" uniqueCount="60">
  <si>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</si>
  <si>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</si>
  <si>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</si>
  <si>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</si>
  <si>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</si>
  <si>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</si>
  <si>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</si>
  <si>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</si>
  <si>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</si>
  <si>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</si>
  <si>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</si>
  <si>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</si>
  <si>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</si>
  <si>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</si>
  <si>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</si>
  <si>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</si>
  <si>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</si>
  <si>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</si>
  <si>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</si>
  <si>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</si>
  <si>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</si>
  <si>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</si>
  <si>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</si>
  <si>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</si>
  <si>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</si>
  <si>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</si>
  <si>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</si>
  <si>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</si>
  <si>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</si>
  <si>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</si>
  <si>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</si>
  <si>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</si>
  <si>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</si>
  <si>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</si>
  <si>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</si>
  <si>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</si>
  <si>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</si>
  <si>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</si>
  <si>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</si>
  <si>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</si>
  <si>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</si>
  <si>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m3</t>
  </si>
  <si>
    <t>Sub-total</t>
  </si>
  <si>
    <t>Providing and laying of hand pack locally available Stone soling with 150 to 200 mm thick stones and packing with smaller stone on prepared surface as per Drawing and Technical Specifications.</t>
  </si>
  <si>
    <t>-Road</t>
  </si>
  <si>
    <t>Providing and laying of Plain/Reinforced Cement Concrete in Foundation complete as per Drawing and Technical Specifications, PCC Grade M 15</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</si>
  <si>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</si>
  <si>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F.Y.: 2081/2082</t>
  </si>
  <si>
    <t>45m</t>
  </si>
  <si>
    <t>13m</t>
  </si>
  <si>
    <t>ht=3'9"</t>
  </si>
  <si>
    <t>-For wall</t>
  </si>
  <si>
    <t>Providing suitable material and Back filling behind abutment, wing wall and return wall complete as per Drawing and Technical Specifications., locally available material including compaction by tamping rod</t>
  </si>
  <si>
    <t>Providing and laying Plum concrete ( Boulder mixed concrete) including form work and 110mm dia PN6 HDPE pipe for Weep hole as per Drawing and Specifications, 60% M 15  concrete and 40% boulders/stones, using Mechanical Aids</t>
  </si>
  <si>
    <t>Date:2081/10/09</t>
  </si>
  <si>
    <t>Project:-  कुर्थली च्यानेपाखा माझगाउँ जोड्ने सडक</t>
  </si>
  <si>
    <t>Total Valuated</t>
  </si>
  <si>
    <t>Detail Valuated Sheet</t>
  </si>
  <si>
    <t>Date:2082/03/02</t>
  </si>
  <si>
    <t>-for road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</si>
</sst>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88">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3" fillId="0" borderId="1" xfId="0" applyFont="1" applyBorder="1" applyAlignment="1">
      <alignment vertical="center"/>
    </xf>
    <xf numFmtId="1" fontId="15" fillId="0" borderId="1" xfId="0" applyNumberFormat="1" applyFont="1" applyBorder="1"/>
    <xf numFmtId="1" fontId="6" fillId="0" borderId="1" xfId="0" applyNumberFormat="1" applyFont="1" applyFill="1" applyBorder="1" applyAlignment="1">
      <alignment horizontal="right" vertical="center" wrapText="1"/>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9"/>
  <sheetViews>
    <sheetView topLeftCell="A28" zoomScaleNormal="100" workbookViewId="0">
      <selection activeCell="G9" sqref="G9"/>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8.5703125" customWidth="1"/>
    <col min="8" max="8" width="5" bestFit="1" customWidth="1"/>
    <col min="9" max="9" width="10.85546875" customWidth="1"/>
    <col min="10" max="10" width="10.7109375" bestFit="1" customWidth="1"/>
  </cols>
  <sheetData>
    <row r="1" spans="1:19" s="1" customFormat="1" x14ac:dyDescent="0.25">
      <c r="A1" s="72" t="s">
        <v>0</v>
      </c>
      <c r="B1" s="72"/>
      <c r="C1" s="72"/>
      <c r="D1" s="72"/>
      <c r="E1" s="72"/>
      <c r="F1" s="72"/>
      <c r="G1" s="72"/>
      <c r="H1" s="72"/>
      <c r="I1" s="72"/>
      <c r="J1" s="72"/>
      <c r="K1" s="72"/>
    </row>
    <row r="2" spans="1:19" s="1" customFormat="1" ht="22.5" x14ac:dyDescent="0.25">
      <c r="A2" s="73" t="s">
        <v>1</v>
      </c>
      <c r="B2" s="73"/>
      <c r="C2" s="73"/>
      <c r="D2" s="73"/>
      <c r="E2" s="73"/>
      <c r="F2" s="73"/>
      <c r="G2" s="73"/>
      <c r="H2" s="73"/>
      <c r="I2" s="73"/>
      <c r="J2" s="73"/>
      <c r="K2" s="73"/>
    </row>
    <row r="3" spans="1:19" s="1" customFormat="1" x14ac:dyDescent="0.25">
      <c r="A3" s="74" t="s">
        <v>2</v>
      </c>
      <c r="B3" s="74"/>
      <c r="C3" s="74"/>
      <c r="D3" s="74"/>
      <c r="E3" s="74"/>
      <c r="F3" s="74"/>
      <c r="G3" s="74"/>
      <c r="H3" s="74"/>
      <c r="I3" s="74"/>
      <c r="J3" s="74"/>
      <c r="K3" s="74"/>
    </row>
    <row r="4" spans="1:19" s="1" customFormat="1" x14ac:dyDescent="0.25">
      <c r="A4" s="74" t="s">
        <v>3</v>
      </c>
      <c r="B4" s="74"/>
      <c r="C4" s="74"/>
      <c r="D4" s="74"/>
      <c r="E4" s="74"/>
      <c r="F4" s="74"/>
      <c r="G4" s="74"/>
      <c r="H4" s="74"/>
      <c r="I4" s="74"/>
      <c r="J4" s="74"/>
      <c r="K4" s="74"/>
    </row>
    <row r="5" spans="1:19" ht="18.75" x14ac:dyDescent="0.3">
      <c r="A5" s="75" t="s">
        <v>4</v>
      </c>
      <c r="B5" s="75"/>
      <c r="C5" s="75"/>
      <c r="D5" s="75"/>
      <c r="E5" s="75"/>
      <c r="F5" s="75"/>
      <c r="G5" s="75"/>
      <c r="H5" s="75"/>
      <c r="I5" s="75"/>
      <c r="J5" s="75"/>
      <c r="K5" s="75"/>
    </row>
    <row r="6" spans="1:19" ht="15.75" x14ac:dyDescent="0.25">
      <c r="A6" s="70" t="s">
        <v>55</v>
      </c>
      <c r="B6" s="70"/>
      <c r="C6" s="70"/>
      <c r="D6" s="70"/>
      <c r="E6" s="70"/>
      <c r="F6" s="70"/>
      <c r="G6" s="2"/>
      <c r="H6" s="71" t="s">
        <v>47</v>
      </c>
      <c r="I6" s="71"/>
      <c r="J6" s="71"/>
      <c r="K6" s="71"/>
    </row>
    <row r="7" spans="1:19" ht="15.75" x14ac:dyDescent="0.25">
      <c r="A7" s="67" t="s">
        <v>28</v>
      </c>
      <c r="B7" s="67"/>
      <c r="C7" s="67"/>
      <c r="D7" s="67"/>
      <c r="E7" s="67"/>
      <c r="F7" s="67"/>
      <c r="G7" s="3"/>
      <c r="H7" s="68" t="s">
        <v>54</v>
      </c>
      <c r="I7" s="68"/>
      <c r="J7" s="68"/>
      <c r="K7" s="68"/>
    </row>
    <row r="8" spans="1:19" ht="15" customHeight="1" x14ac:dyDescent="0.25">
      <c r="A8" s="4" t="s">
        <v>5</v>
      </c>
      <c r="B8" s="15" t="s">
        <v>6</v>
      </c>
      <c r="C8" s="4" t="s">
        <v>7</v>
      </c>
      <c r="D8" s="16" t="s">
        <v>8</v>
      </c>
      <c r="E8" s="16" t="s">
        <v>9</v>
      </c>
      <c r="F8" s="16" t="s">
        <v>10</v>
      </c>
      <c r="G8" s="16" t="s">
        <v>11</v>
      </c>
      <c r="H8" s="4" t="s">
        <v>12</v>
      </c>
      <c r="I8" s="16" t="s">
        <v>13</v>
      </c>
      <c r="J8" s="16" t="s">
        <v>14</v>
      </c>
      <c r="K8" s="17" t="s">
        <v>15</v>
      </c>
      <c r="N8" t="s">
        <v>48</v>
      </c>
    </row>
    <row r="9" spans="1:19" ht="150" x14ac:dyDescent="0.25">
      <c r="A9" s="63">
        <v>1</v>
      </c>
      <c r="B9" s="30" t="s">
        <v>46</v>
      </c>
      <c r="C9" s="36"/>
      <c r="D9" s="36"/>
      <c r="E9" s="36"/>
      <c r="F9" s="36"/>
      <c r="G9" s="36"/>
      <c r="H9" s="36"/>
      <c r="I9" s="36"/>
      <c r="J9" s="36"/>
      <c r="K9" s="36"/>
      <c r="N9" t="s">
        <v>49</v>
      </c>
      <c r="O9" t="s">
        <v>50</v>
      </c>
    </row>
    <row r="10" spans="1:19" ht="15" customHeight="1" x14ac:dyDescent="0.25">
      <c r="A10" s="18"/>
      <c r="B10" s="37" t="s">
        <v>51</v>
      </c>
      <c r="C10" s="64">
        <v>0.5</v>
      </c>
      <c r="D10" s="38">
        <f>D19</f>
        <v>5.5</v>
      </c>
      <c r="E10" s="38">
        <f>E19</f>
        <v>2</v>
      </c>
      <c r="F10" s="38">
        <f>3.5</f>
        <v>3.5</v>
      </c>
      <c r="G10" s="39">
        <f>PRODUCT(C10:F10)</f>
        <v>19.25</v>
      </c>
      <c r="H10" s="40"/>
      <c r="I10" s="40"/>
      <c r="J10" s="40"/>
      <c r="K10" s="21"/>
      <c r="M10" s="25"/>
      <c r="N10" s="1"/>
      <c r="O10" s="1"/>
      <c r="P10" s="1"/>
      <c r="Q10" s="1"/>
      <c r="R10" s="25"/>
      <c r="S10" s="25"/>
    </row>
    <row r="11" spans="1:19" ht="15" customHeight="1" x14ac:dyDescent="0.25">
      <c r="A11" s="18"/>
      <c r="B11" s="37" t="s">
        <v>42</v>
      </c>
      <c r="C11" s="19"/>
      <c r="D11" s="20"/>
      <c r="E11" s="21"/>
      <c r="F11" s="21"/>
      <c r="G11" s="23">
        <f>SUM(G10:G10)</f>
        <v>19.25</v>
      </c>
      <c r="H11" s="22" t="s">
        <v>41</v>
      </c>
      <c r="I11" s="23">
        <v>64.63</v>
      </c>
      <c r="J11" s="41">
        <f>G11*I11</f>
        <v>1244.1274999999998</v>
      </c>
      <c r="K11" s="21"/>
      <c r="M11" s="25"/>
      <c r="N11" s="1"/>
      <c r="O11" s="1"/>
      <c r="P11" s="1"/>
      <c r="Q11" s="1"/>
      <c r="R11" s="25"/>
      <c r="S11" s="25"/>
    </row>
    <row r="12" spans="1:19" ht="15" customHeight="1" x14ac:dyDescent="0.25">
      <c r="A12" s="18"/>
      <c r="B12" s="37" t="s">
        <v>40</v>
      </c>
      <c r="C12" s="19"/>
      <c r="D12" s="20"/>
      <c r="E12" s="21"/>
      <c r="F12" s="21"/>
      <c r="G12" s="23"/>
      <c r="H12" s="22"/>
      <c r="I12" s="23"/>
      <c r="J12" s="41">
        <f>0.13*G11*19284/360</f>
        <v>134.05058333333332</v>
      </c>
      <c r="K12" s="21"/>
      <c r="M12" s="25"/>
      <c r="N12" s="1"/>
      <c r="O12" s="1"/>
      <c r="P12" s="1"/>
      <c r="Q12" s="1"/>
      <c r="R12" s="25"/>
      <c r="S12" s="25"/>
    </row>
    <row r="13" spans="1:19" ht="15" customHeight="1" x14ac:dyDescent="0.25">
      <c r="A13" s="18"/>
      <c r="B13" s="37"/>
      <c r="C13" s="19"/>
      <c r="D13" s="20"/>
      <c r="E13" s="21"/>
      <c r="F13" s="21"/>
      <c r="G13" s="23"/>
      <c r="H13" s="22"/>
      <c r="I13" s="23"/>
      <c r="J13" s="41"/>
      <c r="K13" s="21"/>
      <c r="M13" s="25"/>
      <c r="N13" s="1"/>
      <c r="O13" s="1"/>
      <c r="P13" s="1"/>
      <c r="Q13" s="1"/>
      <c r="R13" s="25"/>
      <c r="S13" s="25"/>
    </row>
    <row r="14" spans="1:19" ht="105" x14ac:dyDescent="0.25">
      <c r="A14" s="18">
        <v>2</v>
      </c>
      <c r="B14" s="30" t="s">
        <v>52</v>
      </c>
      <c r="C14" s="19"/>
      <c r="D14" s="20"/>
      <c r="E14" s="21"/>
      <c r="F14" s="21"/>
      <c r="G14" s="23"/>
      <c r="H14" s="22"/>
      <c r="I14" s="23"/>
      <c r="J14" s="41"/>
      <c r="K14" s="21"/>
      <c r="M14" s="25"/>
      <c r="N14" s="1"/>
      <c r="O14" s="1"/>
      <c r="P14" s="1"/>
      <c r="Q14" s="1"/>
      <c r="R14" s="25"/>
      <c r="S14" s="25"/>
    </row>
    <row r="15" spans="1:19" ht="15" customHeight="1" x14ac:dyDescent="0.25">
      <c r="A15" s="18"/>
      <c r="B15" s="37" t="s">
        <v>44</v>
      </c>
      <c r="C15" s="64">
        <v>0.5</v>
      </c>
      <c r="D15" s="38">
        <f>D19</f>
        <v>5.5</v>
      </c>
      <c r="E15" s="38">
        <f>0.75*E19</f>
        <v>1.5</v>
      </c>
      <c r="F15" s="38">
        <f>F10/2</f>
        <v>1.75</v>
      </c>
      <c r="G15" s="39">
        <f>PRODUCT(C15:F15)</f>
        <v>7.21875</v>
      </c>
      <c r="H15" s="40"/>
      <c r="I15" s="40"/>
      <c r="J15" s="40"/>
      <c r="K15" s="21"/>
      <c r="M15" s="25"/>
      <c r="N15" s="1"/>
      <c r="O15" s="1"/>
      <c r="P15" s="1"/>
      <c r="Q15" s="1"/>
      <c r="R15" s="25"/>
      <c r="S15" s="25"/>
    </row>
    <row r="16" spans="1:19" ht="15" customHeight="1" x14ac:dyDescent="0.25">
      <c r="A16" s="18"/>
      <c r="B16" s="37" t="s">
        <v>42</v>
      </c>
      <c r="C16" s="19"/>
      <c r="D16" s="20"/>
      <c r="E16" s="21"/>
      <c r="F16" s="21"/>
      <c r="G16" s="23">
        <f>SUM(G15:G15)</f>
        <v>7.21875</v>
      </c>
      <c r="H16" s="22" t="s">
        <v>41</v>
      </c>
      <c r="I16" s="23">
        <v>404.28</v>
      </c>
      <c r="J16" s="41">
        <f>G16*I16</f>
        <v>2918.3962499999998</v>
      </c>
      <c r="K16" s="21"/>
      <c r="M16" s="25"/>
      <c r="N16" s="1"/>
      <c r="O16" s="1"/>
      <c r="P16" s="1"/>
      <c r="Q16" s="1"/>
      <c r="R16" s="25"/>
      <c r="S16" s="25"/>
    </row>
    <row r="17" spans="1:19" ht="15" customHeight="1" x14ac:dyDescent="0.25">
      <c r="A17" s="18"/>
      <c r="B17" s="37"/>
      <c r="C17" s="19"/>
      <c r="D17" s="20"/>
      <c r="E17" s="21"/>
      <c r="F17" s="21"/>
      <c r="G17" s="23"/>
      <c r="H17" s="22"/>
      <c r="I17" s="23"/>
      <c r="J17" s="41"/>
      <c r="K17" s="21"/>
      <c r="M17" s="25"/>
      <c r="N17" s="1"/>
      <c r="O17" s="1"/>
      <c r="P17" s="1"/>
      <c r="Q17" s="1"/>
      <c r="R17" s="25"/>
      <c r="S17" s="25"/>
    </row>
    <row r="18" spans="1:19" ht="90" x14ac:dyDescent="0.25">
      <c r="A18" s="18">
        <v>3</v>
      </c>
      <c r="B18" s="30" t="s">
        <v>43</v>
      </c>
      <c r="C18" s="19"/>
      <c r="D18" s="20"/>
      <c r="E18" s="21"/>
      <c r="F18" s="21"/>
      <c r="G18" s="23"/>
      <c r="H18" s="22"/>
      <c r="I18" s="23"/>
      <c r="J18" s="41"/>
      <c r="K18" s="21"/>
      <c r="M18" s="25"/>
      <c r="N18" s="1"/>
      <c r="O18" s="1"/>
      <c r="P18" s="1"/>
      <c r="Q18" s="1"/>
      <c r="R18" s="25"/>
      <c r="S18" s="25"/>
    </row>
    <row r="19" spans="1:19" ht="15" customHeight="1" x14ac:dyDescent="0.25">
      <c r="A19" s="18"/>
      <c r="B19" s="37" t="str">
        <f>B15</f>
        <v>-Road</v>
      </c>
      <c r="C19" s="36">
        <v>1</v>
      </c>
      <c r="D19" s="38">
        <f>D24</f>
        <v>5.5</v>
      </c>
      <c r="E19" s="38">
        <f>E24</f>
        <v>2</v>
      </c>
      <c r="F19" s="38">
        <v>0.15</v>
      </c>
      <c r="G19" s="39">
        <f>PRODUCT(C19:F19)</f>
        <v>1.65</v>
      </c>
      <c r="H19" s="40"/>
      <c r="I19" s="40"/>
      <c r="J19" s="40"/>
      <c r="K19" s="21"/>
      <c r="M19" s="25"/>
      <c r="N19" s="1"/>
      <c r="O19" s="1"/>
      <c r="P19" s="1"/>
      <c r="Q19" s="1"/>
      <c r="R19" s="25"/>
      <c r="S19" s="25"/>
    </row>
    <row r="20" spans="1:19" ht="15" customHeight="1" x14ac:dyDescent="0.25">
      <c r="A20" s="40"/>
      <c r="B20" s="37" t="s">
        <v>42</v>
      </c>
      <c r="C20" s="42"/>
      <c r="D20" s="43"/>
      <c r="E20" s="43"/>
      <c r="F20" s="43"/>
      <c r="G20" s="33">
        <f>SUM(G19:G19)</f>
        <v>1.65</v>
      </c>
      <c r="H20" s="33" t="s">
        <v>41</v>
      </c>
      <c r="I20" s="33">
        <v>4434.5200000000004</v>
      </c>
      <c r="J20" s="44">
        <f>G20*I20</f>
        <v>7316.9580000000005</v>
      </c>
      <c r="K20" s="36"/>
    </row>
    <row r="21" spans="1:19" x14ac:dyDescent="0.25">
      <c r="A21" s="40"/>
      <c r="B21" s="37" t="s">
        <v>40</v>
      </c>
      <c r="C21" s="42"/>
      <c r="D21" s="43"/>
      <c r="E21" s="43"/>
      <c r="F21" s="43"/>
      <c r="G21" s="43"/>
      <c r="H21" s="43"/>
      <c r="I21" s="43"/>
      <c r="J21" s="45">
        <f>0.13*G20*(14817.6/5)</f>
        <v>635.67503999999997</v>
      </c>
      <c r="K21" s="36"/>
    </row>
    <row r="22" spans="1:19" x14ac:dyDescent="0.25">
      <c r="A22" s="40"/>
      <c r="B22" s="37"/>
      <c r="C22" s="42"/>
      <c r="D22" s="43"/>
      <c r="E22" s="43"/>
      <c r="F22" s="43"/>
      <c r="G22" s="43"/>
      <c r="H22" s="43"/>
      <c r="I22" s="43"/>
      <c r="J22" s="45"/>
      <c r="K22" s="36"/>
    </row>
    <row r="23" spans="1:19" ht="75" x14ac:dyDescent="0.25">
      <c r="A23" s="18">
        <v>4</v>
      </c>
      <c r="B23" s="30" t="s">
        <v>45</v>
      </c>
      <c r="C23" s="19"/>
      <c r="D23" s="20"/>
      <c r="E23" s="21"/>
      <c r="F23" s="21"/>
      <c r="G23" s="23"/>
      <c r="H23" s="22"/>
      <c r="I23" s="23"/>
      <c r="J23" s="41"/>
      <c r="K23" s="21"/>
      <c r="M23" s="25"/>
      <c r="N23" s="1"/>
      <c r="O23" s="1"/>
      <c r="P23" s="1"/>
      <c r="Q23" s="1"/>
      <c r="R23" s="25"/>
      <c r="S23" s="25"/>
    </row>
    <row r="24" spans="1:19" ht="15" customHeight="1" x14ac:dyDescent="0.25">
      <c r="A24" s="18"/>
      <c r="B24" s="37" t="str">
        <f>B10</f>
        <v>-For wall</v>
      </c>
      <c r="C24" s="36">
        <v>1</v>
      </c>
      <c r="D24" s="38">
        <f>D29</f>
        <v>5.5</v>
      </c>
      <c r="E24" s="38">
        <f>F29/2</f>
        <v>2</v>
      </c>
      <c r="F24" s="38">
        <v>7.4999999999999997E-2</v>
      </c>
      <c r="G24" s="39">
        <f>PRODUCT(C24:F24)</f>
        <v>0.82499999999999996</v>
      </c>
      <c r="H24" s="40"/>
      <c r="I24" s="40"/>
      <c r="J24" s="40"/>
      <c r="K24" s="21"/>
      <c r="M24" s="25"/>
      <c r="N24" s="1"/>
      <c r="O24" s="1"/>
      <c r="P24" s="1"/>
      <c r="Q24" s="1"/>
      <c r="R24" s="25"/>
      <c r="S24" s="25"/>
    </row>
    <row r="25" spans="1:19" ht="15" customHeight="1" x14ac:dyDescent="0.25">
      <c r="A25" s="40"/>
      <c r="B25" s="37" t="s">
        <v>42</v>
      </c>
      <c r="C25" s="42"/>
      <c r="D25" s="43"/>
      <c r="E25" s="43"/>
      <c r="F25" s="43"/>
      <c r="G25" s="33">
        <f>SUM(G24:G24)</f>
        <v>0.82499999999999996</v>
      </c>
      <c r="H25" s="33" t="s">
        <v>41</v>
      </c>
      <c r="I25" s="33">
        <v>10634.5</v>
      </c>
      <c r="J25" s="44">
        <f>G25*I25</f>
        <v>8773.4624999999996</v>
      </c>
      <c r="K25" s="36"/>
    </row>
    <row r="26" spans="1:19" ht="15" customHeight="1" x14ac:dyDescent="0.25">
      <c r="A26" s="40"/>
      <c r="B26" s="37" t="s">
        <v>40</v>
      </c>
      <c r="C26" s="42"/>
      <c r="D26" s="43"/>
      <c r="E26" s="43"/>
      <c r="F26" s="43"/>
      <c r="G26" s="43"/>
      <c r="H26" s="43"/>
      <c r="I26" s="43"/>
      <c r="J26" s="45">
        <f>0.13*G25*((114907.3+6135.3)/15)</f>
        <v>865.45459000000005</v>
      </c>
      <c r="K26" s="36"/>
    </row>
    <row r="27" spans="1:19" ht="15" customHeight="1" x14ac:dyDescent="0.25">
      <c r="A27" s="40"/>
      <c r="B27" s="37"/>
      <c r="C27" s="42"/>
      <c r="D27" s="43"/>
      <c r="E27" s="43"/>
      <c r="F27" s="43"/>
      <c r="G27" s="43"/>
      <c r="H27" s="43"/>
      <c r="I27" s="43"/>
      <c r="J27" s="45"/>
      <c r="K27" s="36"/>
    </row>
    <row r="28" spans="1:19" ht="135" x14ac:dyDescent="0.25">
      <c r="A28" s="18">
        <v>5</v>
      </c>
      <c r="B28" s="30" t="s">
        <v>53</v>
      </c>
      <c r="C28" s="19"/>
      <c r="D28" s="20"/>
      <c r="E28" s="21"/>
      <c r="F28" s="21"/>
      <c r="G28" s="23"/>
      <c r="H28" s="22"/>
      <c r="I28" s="23"/>
      <c r="J28" s="41"/>
      <c r="K28" s="21"/>
      <c r="M28" s="25"/>
      <c r="N28" s="1"/>
      <c r="O28" s="1"/>
      <c r="P28" s="1"/>
      <c r="Q28" s="1"/>
      <c r="R28" s="25"/>
      <c r="S28" s="25"/>
    </row>
    <row r="29" spans="1:19" ht="15" customHeight="1" x14ac:dyDescent="0.25">
      <c r="A29" s="18"/>
      <c r="B29" s="37" t="s">
        <v>51</v>
      </c>
      <c r="C29" s="36">
        <v>1</v>
      </c>
      <c r="D29" s="38">
        <v>5.5</v>
      </c>
      <c r="E29" s="38">
        <f>((F29/2+0.5)/2)</f>
        <v>1.25</v>
      </c>
      <c r="F29" s="38">
        <v>4</v>
      </c>
      <c r="G29" s="39">
        <f>PRODUCT(C29:F29)</f>
        <v>27.5</v>
      </c>
      <c r="H29" s="40"/>
      <c r="I29" s="40"/>
      <c r="J29" s="40"/>
      <c r="K29" s="21"/>
      <c r="M29" s="25"/>
      <c r="N29" s="1"/>
      <c r="O29" s="1"/>
      <c r="P29" s="1"/>
      <c r="Q29" s="1"/>
      <c r="R29" s="25"/>
      <c r="S29" s="25"/>
    </row>
    <row r="30" spans="1:19" ht="15" customHeight="1" x14ac:dyDescent="0.25">
      <c r="A30" s="40"/>
      <c r="B30" s="37" t="s">
        <v>42</v>
      </c>
      <c r="C30" s="42"/>
      <c r="D30" s="43"/>
      <c r="E30" s="43"/>
      <c r="F30" s="43"/>
      <c r="G30" s="33">
        <f>SUM(G29:G29)</f>
        <v>27.5</v>
      </c>
      <c r="H30" s="33" t="s">
        <v>41</v>
      </c>
      <c r="I30" s="33">
        <v>9623.4699999999993</v>
      </c>
      <c r="J30" s="44">
        <f>G30*I30</f>
        <v>264645.42499999999</v>
      </c>
      <c r="K30" s="36"/>
    </row>
    <row r="31" spans="1:19" ht="15" customHeight="1" x14ac:dyDescent="0.25">
      <c r="A31" s="40"/>
      <c r="B31" s="37" t="s">
        <v>40</v>
      </c>
      <c r="C31" s="42"/>
      <c r="D31" s="43"/>
      <c r="E31" s="43"/>
      <c r="F31" s="43"/>
      <c r="G31" s="43"/>
      <c r="H31" s="43"/>
      <c r="I31" s="43"/>
      <c r="J31" s="45">
        <f>0.13*G30*((59609.3+3478.36)/10)</f>
        <v>22553.838450000003</v>
      </c>
      <c r="K31" s="36"/>
    </row>
    <row r="32" spans="1:19" ht="15" customHeight="1" x14ac:dyDescent="0.25">
      <c r="A32" s="40"/>
      <c r="B32" s="37"/>
      <c r="C32" s="42"/>
      <c r="D32" s="43"/>
      <c r="E32" s="43"/>
      <c r="F32" s="43"/>
      <c r="G32" s="43"/>
      <c r="H32" s="43"/>
      <c r="I32" s="43"/>
      <c r="J32" s="45"/>
      <c r="K32" s="36"/>
    </row>
    <row r="33" spans="1:19" ht="15" customHeight="1" x14ac:dyDescent="0.25">
      <c r="A33" s="18">
        <v>6</v>
      </c>
      <c r="B33" s="30" t="s">
        <v>30</v>
      </c>
      <c r="C33" s="19">
        <v>1</v>
      </c>
      <c r="D33" s="20"/>
      <c r="E33" s="21"/>
      <c r="F33" s="21"/>
      <c r="G33" s="34">
        <f t="shared" ref="G33" si="0">PRODUCT(C33:F33)</f>
        <v>1</v>
      </c>
      <c r="H33" s="22" t="s">
        <v>31</v>
      </c>
      <c r="I33" s="23">
        <v>500</v>
      </c>
      <c r="J33" s="34">
        <f>G33*I33</f>
        <v>500</v>
      </c>
      <c r="K33" s="21"/>
      <c r="M33" s="25"/>
    </row>
    <row r="34" spans="1:19" ht="15" customHeight="1" x14ac:dyDescent="0.25">
      <c r="A34" s="18"/>
      <c r="B34" s="24"/>
      <c r="C34" s="19"/>
      <c r="D34" s="20"/>
      <c r="E34" s="21"/>
      <c r="F34" s="21"/>
      <c r="G34" s="23"/>
      <c r="H34" s="22"/>
      <c r="I34" s="23"/>
      <c r="J34" s="41"/>
      <c r="K34" s="21"/>
      <c r="M34" s="25"/>
      <c r="N34" s="1"/>
      <c r="O34" s="1"/>
      <c r="P34" s="1"/>
      <c r="Q34" s="1"/>
      <c r="R34" s="25"/>
      <c r="S34" s="25"/>
    </row>
    <row r="35" spans="1:19" x14ac:dyDescent="0.25">
      <c r="A35" s="40"/>
      <c r="B35" s="46" t="s">
        <v>17</v>
      </c>
      <c r="C35" s="47"/>
      <c r="D35" s="38"/>
      <c r="E35" s="38"/>
      <c r="F35" s="38"/>
      <c r="G35" s="41"/>
      <c r="H35" s="41"/>
      <c r="I35" s="41"/>
      <c r="J35" s="41">
        <f>SUM(J10:J33)</f>
        <v>309587.38791333331</v>
      </c>
      <c r="K35" s="36"/>
    </row>
    <row r="36" spans="1:19" x14ac:dyDescent="0.25">
      <c r="A36" s="58"/>
      <c r="B36" s="61"/>
      <c r="C36" s="62"/>
      <c r="D36" s="59"/>
      <c r="E36" s="59"/>
      <c r="F36" s="59"/>
      <c r="G36" s="60"/>
      <c r="H36" s="60"/>
      <c r="I36" s="60"/>
      <c r="J36" s="60"/>
      <c r="K36" s="57"/>
    </row>
    <row r="37" spans="1:19" s="1" customFormat="1" x14ac:dyDescent="0.25">
      <c r="A37" s="50"/>
      <c r="B37" s="29" t="s">
        <v>27</v>
      </c>
      <c r="C37" s="66">
        <f>J35</f>
        <v>309587.38791333331</v>
      </c>
      <c r="D37" s="66"/>
      <c r="E37" s="39">
        <v>100</v>
      </c>
      <c r="F37" s="51"/>
      <c r="G37" s="52"/>
      <c r="H37" s="51"/>
      <c r="I37" s="53"/>
      <c r="J37" s="54"/>
      <c r="K37" s="55"/>
    </row>
    <row r="38" spans="1:19" x14ac:dyDescent="0.25">
      <c r="A38" s="56"/>
      <c r="B38" s="29" t="s">
        <v>32</v>
      </c>
      <c r="C38" s="69">
        <v>250000</v>
      </c>
      <c r="D38" s="69"/>
      <c r="E38" s="39"/>
      <c r="F38" s="49"/>
      <c r="G38" s="48"/>
      <c r="H38" s="48"/>
      <c r="I38" s="48"/>
      <c r="J38" s="48"/>
      <c r="K38" s="49"/>
    </row>
    <row r="39" spans="1:19" x14ac:dyDescent="0.25">
      <c r="A39" s="56"/>
      <c r="B39" s="29" t="s">
        <v>33</v>
      </c>
      <c r="C39" s="69">
        <f>C38-C41-C42</f>
        <v>237500</v>
      </c>
      <c r="D39" s="69"/>
      <c r="E39" s="39">
        <f>C39/C37*100</f>
        <v>76.715011422392436</v>
      </c>
      <c r="F39" s="49"/>
      <c r="G39" s="48"/>
      <c r="H39" s="48"/>
      <c r="I39" s="48"/>
      <c r="J39" s="48"/>
      <c r="K39" s="49"/>
    </row>
    <row r="40" spans="1:19" x14ac:dyDescent="0.25">
      <c r="A40" s="56"/>
      <c r="B40" s="29" t="s">
        <v>34</v>
      </c>
      <c r="C40" s="66">
        <f>C37-C39</f>
        <v>72087.38791333331</v>
      </c>
      <c r="D40" s="66"/>
      <c r="E40" s="39">
        <f>100-E39</f>
        <v>23.284988577607564</v>
      </c>
      <c r="F40" s="49"/>
      <c r="G40" s="48"/>
      <c r="H40" s="48"/>
      <c r="I40" s="48"/>
      <c r="J40" s="48"/>
      <c r="K40" s="49"/>
    </row>
    <row r="41" spans="1:19" x14ac:dyDescent="0.25">
      <c r="A41" s="56"/>
      <c r="B41" s="29" t="s">
        <v>35</v>
      </c>
      <c r="C41" s="66">
        <f>C38*0.03</f>
        <v>7500</v>
      </c>
      <c r="D41" s="66"/>
      <c r="E41" s="39">
        <v>3</v>
      </c>
      <c r="F41" s="49"/>
      <c r="G41" s="48"/>
      <c r="H41" s="48"/>
      <c r="I41" s="48"/>
      <c r="J41" s="48"/>
      <c r="K41" s="49"/>
    </row>
    <row r="42" spans="1:19" x14ac:dyDescent="0.25">
      <c r="A42" s="56"/>
      <c r="B42" s="29" t="s">
        <v>36</v>
      </c>
      <c r="C42" s="66">
        <f>C38*0.02</f>
        <v>5000</v>
      </c>
      <c r="D42" s="66"/>
      <c r="E42" s="39">
        <v>2</v>
      </c>
      <c r="F42" s="49"/>
      <c r="G42" s="48"/>
      <c r="H42" s="48"/>
      <c r="I42" s="48"/>
      <c r="J42" s="48"/>
      <c r="K42" s="49"/>
    </row>
    <row r="43" spans="1:19" s="35" customFormat="1" x14ac:dyDescent="0.25">
      <c r="A43" s="57"/>
      <c r="B43" s="57"/>
      <c r="C43" s="57"/>
      <c r="D43" s="57"/>
      <c r="E43" s="57"/>
      <c r="F43" s="57"/>
      <c r="G43" s="57"/>
      <c r="H43" s="57"/>
      <c r="I43" s="57"/>
      <c r="J43" s="57"/>
      <c r="K43" s="57"/>
    </row>
    <row r="44" spans="1:19" s="35" customFormat="1" x14ac:dyDescent="0.25"/>
    <row r="45" spans="1:19" s="35" customFormat="1" x14ac:dyDescent="0.25"/>
    <row r="46" spans="1:19" s="35" customFormat="1" x14ac:dyDescent="0.25"/>
    <row r="47" spans="1:19" s="35" customFormat="1" x14ac:dyDescent="0.25"/>
    <row r="48" spans="1:19" s="35" customFormat="1" x14ac:dyDescent="0.25"/>
    <row r="49" s="35" customFormat="1" x14ac:dyDescent="0.25"/>
    <row r="50" s="35" customFormat="1" x14ac:dyDescent="0.25"/>
    <row r="51" s="35" customFormat="1" x14ac:dyDescent="0.25"/>
    <row r="52" s="35" customFormat="1" x14ac:dyDescent="0.25"/>
    <row r="53" s="35" customFormat="1" x14ac:dyDescent="0.25"/>
    <row r="54" s="35" customFormat="1" x14ac:dyDescent="0.25"/>
    <row r="55" s="35" customFormat="1" x14ac:dyDescent="0.25"/>
    <row r="56" s="35" customFormat="1" x14ac:dyDescent="0.25"/>
    <row r="57" s="35" customFormat="1" x14ac:dyDescent="0.25"/>
    <row r="58" s="35" customFormat="1" x14ac:dyDescent="0.25"/>
    <row r="59" s="35" customFormat="1" x14ac:dyDescent="0.25"/>
    <row r="60" s="35" customFormat="1" x14ac:dyDescent="0.25"/>
    <row r="61" s="35" customFormat="1" x14ac:dyDescent="0.25"/>
    <row r="62" s="35" customFormat="1" x14ac:dyDescent="0.25"/>
    <row r="63" s="35" customFormat="1" x14ac:dyDescent="0.25"/>
    <row r="64" s="35" customFormat="1" x14ac:dyDescent="0.25"/>
    <row r="65" s="35" customFormat="1" x14ac:dyDescent="0.25"/>
    <row r="66" s="35" customFormat="1" x14ac:dyDescent="0.25"/>
    <row r="67" s="35" customFormat="1" x14ac:dyDescent="0.25"/>
    <row r="68" s="35" customFormat="1" x14ac:dyDescent="0.25"/>
    <row r="69" s="35" customFormat="1" x14ac:dyDescent="0.25"/>
    <row r="70" s="35" customFormat="1" x14ac:dyDescent="0.25"/>
    <row r="71" s="35" customFormat="1" x14ac:dyDescent="0.25"/>
    <row r="72" s="35" customFormat="1" x14ac:dyDescent="0.25"/>
    <row r="73" s="35" customFormat="1" x14ac:dyDescent="0.25"/>
    <row r="74" s="35" customFormat="1" x14ac:dyDescent="0.25"/>
    <row r="75" s="35" customFormat="1" x14ac:dyDescent="0.25"/>
    <row r="76" s="35" customFormat="1" x14ac:dyDescent="0.25"/>
    <row r="77" s="35" customFormat="1" x14ac:dyDescent="0.25"/>
    <row r="78" s="35" customFormat="1" x14ac:dyDescent="0.25"/>
    <row r="79" s="35" customFormat="1" x14ac:dyDescent="0.25"/>
    <row r="80" s="35" customFormat="1" x14ac:dyDescent="0.25"/>
    <row r="81" s="35" customFormat="1" x14ac:dyDescent="0.25"/>
    <row r="82" s="35" customFormat="1" x14ac:dyDescent="0.25"/>
    <row r="83" s="35" customFormat="1" x14ac:dyDescent="0.25"/>
    <row r="84" s="35" customFormat="1" x14ac:dyDescent="0.25"/>
    <row r="85" s="35" customFormat="1" x14ac:dyDescent="0.25"/>
    <row r="86" s="35" customFormat="1" x14ac:dyDescent="0.25"/>
    <row r="87" s="35" customFormat="1" x14ac:dyDescent="0.25"/>
    <row r="88" s="35" customFormat="1" x14ac:dyDescent="0.25"/>
    <row r="89" s="35" customFormat="1" x14ac:dyDescent="0.25"/>
    <row r="90" s="35" customFormat="1" x14ac:dyDescent="0.25"/>
    <row r="91" s="35" customFormat="1" x14ac:dyDescent="0.25"/>
    <row r="92" s="35" customFormat="1" x14ac:dyDescent="0.25"/>
    <row r="93" s="35" customFormat="1" x14ac:dyDescent="0.25"/>
    <row r="94" s="35" customFormat="1" x14ac:dyDescent="0.25"/>
    <row r="95" s="35" customFormat="1" x14ac:dyDescent="0.25"/>
    <row r="96" s="35" customFormat="1" x14ac:dyDescent="0.25"/>
    <row r="97" s="35" customFormat="1" x14ac:dyDescent="0.25"/>
    <row r="98" s="35" customFormat="1" x14ac:dyDescent="0.25"/>
    <row r="99" s="35" customFormat="1" x14ac:dyDescent="0.25"/>
  </sheetData>
  <mergeCells count="15">
    <mergeCell ref="A6:F6"/>
    <mergeCell ref="H6:K6"/>
    <mergeCell ref="A1:K1"/>
    <mergeCell ref="A2:K2"/>
    <mergeCell ref="A3:K3"/>
    <mergeCell ref="A4:K4"/>
    <mergeCell ref="A5:K5"/>
    <mergeCell ref="C41:D41"/>
    <mergeCell ref="C42:D42"/>
    <mergeCell ref="A7:F7"/>
    <mergeCell ref="H7:K7"/>
    <mergeCell ref="C37:D37"/>
    <mergeCell ref="C38:D38"/>
    <mergeCell ref="C39:D39"/>
    <mergeCell ref="C40:D40"/>
  </mergeCells>
  <pageMargins left="0.70866141732283472" right="0.70866141732283472" top="0.74803149606299213" bottom="0.74803149606299213" header="0.31496062992125984" footer="0.31496062992125984"/>
  <pageSetup paperSize="9" scale="80" orientation="portrait"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tabSelected="1" topLeftCell="A19" zoomScaleNormal="100" workbookViewId="0">
      <selection activeCell="P24" sqref="P24"/>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3" x14ac:dyDescent="0.25">
      <c r="A1" s="85" t="s">
        <v>0</v>
      </c>
      <c r="B1" s="85"/>
      <c r="C1" s="85"/>
      <c r="D1" s="85"/>
      <c r="E1" s="85"/>
      <c r="F1" s="85"/>
      <c r="G1" s="85"/>
      <c r="H1" s="85"/>
      <c r="I1" s="85"/>
      <c r="J1" s="85"/>
      <c r="K1" s="85"/>
    </row>
    <row r="2" spans="1:13" ht="25.5" x14ac:dyDescent="0.35">
      <c r="A2" s="86" t="s">
        <v>1</v>
      </c>
      <c r="B2" s="86"/>
      <c r="C2" s="86"/>
      <c r="D2" s="86"/>
      <c r="E2" s="86"/>
      <c r="F2" s="86"/>
      <c r="G2" s="86"/>
      <c r="H2" s="86"/>
      <c r="I2" s="86"/>
      <c r="J2" s="86"/>
      <c r="K2" s="86"/>
    </row>
    <row r="3" spans="1:13" s="1" customFormat="1" x14ac:dyDescent="0.25">
      <c r="A3" s="74" t="s">
        <v>2</v>
      </c>
      <c r="B3" s="74"/>
      <c r="C3" s="74"/>
      <c r="D3" s="74"/>
      <c r="E3" s="74"/>
      <c r="F3" s="74"/>
      <c r="G3" s="74"/>
      <c r="H3" s="74"/>
      <c r="I3" s="74"/>
      <c r="J3" s="74"/>
      <c r="K3" s="74"/>
    </row>
    <row r="4" spans="1:13" s="1" customFormat="1" x14ac:dyDescent="0.25">
      <c r="A4" s="74" t="s">
        <v>3</v>
      </c>
      <c r="B4" s="74"/>
      <c r="C4" s="74"/>
      <c r="D4" s="74"/>
      <c r="E4" s="74"/>
      <c r="F4" s="74"/>
      <c r="G4" s="74"/>
      <c r="H4" s="74"/>
      <c r="I4" s="74"/>
      <c r="J4" s="74"/>
      <c r="K4" s="74"/>
    </row>
    <row r="5" spans="1:13" ht="18.75" x14ac:dyDescent="0.3">
      <c r="A5" s="87" t="s">
        <v>18</v>
      </c>
      <c r="B5" s="87"/>
      <c r="C5" s="87"/>
      <c r="D5" s="87"/>
      <c r="E5" s="87"/>
      <c r="F5" s="87"/>
      <c r="G5" s="87"/>
      <c r="H5" s="87"/>
      <c r="I5" s="87"/>
      <c r="J5" s="87"/>
      <c r="K5" s="87"/>
    </row>
    <row r="6" spans="1:13" ht="18.75" x14ac:dyDescent="0.3">
      <c r="A6" s="8" t="s">
        <v>19</v>
      </c>
      <c r="B6" s="8"/>
      <c r="C6" s="83">
        <f>F29</f>
        <v>309587.38791333331</v>
      </c>
      <c r="D6" s="84"/>
      <c r="E6" s="9"/>
      <c r="F6" s="8"/>
      <c r="G6" s="8"/>
      <c r="H6" s="8" t="s">
        <v>20</v>
      </c>
      <c r="I6" s="8"/>
      <c r="J6" s="83">
        <f>I29</f>
        <v>245590.98382323494</v>
      </c>
      <c r="K6" s="84"/>
    </row>
    <row r="7" spans="1:13" x14ac:dyDescent="0.25">
      <c r="A7" s="26" t="s">
        <v>29</v>
      </c>
      <c r="B7" s="10"/>
      <c r="C7" s="10"/>
      <c r="D7" s="10"/>
      <c r="F7" s="78"/>
      <c r="G7" s="78"/>
      <c r="I7" s="79" t="s">
        <v>37</v>
      </c>
      <c r="J7" s="79"/>
      <c r="K7" s="79"/>
    </row>
    <row r="8" spans="1:13" ht="15.75" x14ac:dyDescent="0.25">
      <c r="A8" s="70" t="e">
        <f>#REF!</f>
        <v>#REF!</v>
      </c>
      <c r="B8" s="70"/>
      <c r="C8" s="70"/>
      <c r="D8" s="70"/>
      <c r="E8" s="70"/>
      <c r="F8" s="70"/>
      <c r="I8" s="80" t="s">
        <v>38</v>
      </c>
      <c r="J8" s="80"/>
      <c r="K8" s="80"/>
    </row>
    <row r="9" spans="1:13" x14ac:dyDescent="0.25">
      <c r="A9" s="81" t="e">
        <f>#REF!</f>
        <v>#REF!</v>
      </c>
      <c r="B9" s="81"/>
      <c r="C9" s="81"/>
      <c r="D9" s="81"/>
      <c r="E9" s="81"/>
      <c r="F9" s="81"/>
      <c r="I9" s="80" t="s">
        <v>39</v>
      </c>
      <c r="J9" s="80"/>
      <c r="K9" s="80"/>
    </row>
    <row r="11" spans="1:13" x14ac:dyDescent="0.25">
      <c r="A11" s="76" t="s">
        <v>21</v>
      </c>
      <c r="B11" s="76" t="s">
        <v>22</v>
      </c>
      <c r="C11" s="76" t="s">
        <v>12</v>
      </c>
      <c r="D11" s="82" t="s">
        <v>23</v>
      </c>
      <c r="E11" s="82"/>
      <c r="F11" s="82"/>
      <c r="G11" s="82" t="s">
        <v>24</v>
      </c>
      <c r="H11" s="82"/>
      <c r="I11" s="82"/>
      <c r="J11" s="76" t="s">
        <v>25</v>
      </c>
      <c r="K11" s="77" t="s">
        <v>15</v>
      </c>
    </row>
    <row r="12" spans="1:13" x14ac:dyDescent="0.25">
      <c r="A12" s="76"/>
      <c r="B12" s="76"/>
      <c r="C12" s="76"/>
      <c r="D12" s="11" t="s">
        <v>26</v>
      </c>
      <c r="E12" s="11" t="s">
        <v>13</v>
      </c>
      <c r="F12" s="11" t="s">
        <v>14</v>
      </c>
      <c r="G12" s="11" t="s">
        <v>26</v>
      </c>
      <c r="H12" s="11" t="s">
        <v>13</v>
      </c>
      <c r="I12" s="11" t="s">
        <v>14</v>
      </c>
      <c r="J12" s="76"/>
      <c r="K12" s="77"/>
    </row>
    <row r="13" spans="1:13" s="1" customFormat="1" ht="141.75" x14ac:dyDescent="0.25">
      <c r="A13" s="27">
        <f>'200k'!A9</f>
        <v>1</v>
      </c>
      <c r="B13" s="32" t="str">
        <f>'200k'!B9</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13" s="12" t="str">
        <f>'200k'!H11</f>
        <v>m3</v>
      </c>
      <c r="D13" s="12">
        <f>'200k'!G11</f>
        <v>19.25</v>
      </c>
      <c r="E13" s="12">
        <f>'200k'!I11</f>
        <v>64.63</v>
      </c>
      <c r="F13" s="12">
        <f>D13*E13</f>
        <v>1244.1274999999998</v>
      </c>
      <c r="G13" s="12">
        <f>V!G12</f>
        <v>24.563025</v>
      </c>
      <c r="H13" s="12">
        <f>V!I12</f>
        <v>64.63</v>
      </c>
      <c r="I13" s="12">
        <f>G13*H13</f>
        <v>1587.5083057499999</v>
      </c>
      <c r="J13" s="28">
        <f>I13-F13</f>
        <v>343.38080575000004</v>
      </c>
      <c r="K13" s="14"/>
      <c r="M13" s="1">
        <f>1.25*F13</f>
        <v>1555.1593749999997</v>
      </c>
    </row>
    <row r="14" spans="1:13" s="1" customFormat="1" ht="15.75" x14ac:dyDescent="0.25">
      <c r="A14" s="27"/>
      <c r="B14" s="65" t="str">
        <f>'200k'!B12</f>
        <v>VAT calculation</v>
      </c>
      <c r="C14" s="12"/>
      <c r="D14" s="12"/>
      <c r="E14" s="12"/>
      <c r="F14" s="12">
        <f>'200k'!J12</f>
        <v>134.05058333333332</v>
      </c>
      <c r="G14" s="12"/>
      <c r="H14" s="12"/>
      <c r="I14" s="12">
        <f>V!J13</f>
        <v>171.048718425</v>
      </c>
      <c r="J14" s="28">
        <f>I14-F14</f>
        <v>36.998135091666683</v>
      </c>
      <c r="K14" s="14"/>
      <c r="M14" s="1">
        <f>1.25*F14</f>
        <v>167.56322916666664</v>
      </c>
    </row>
    <row r="15" spans="1:13" s="1" customFormat="1" x14ac:dyDescent="0.25">
      <c r="A15" s="29"/>
      <c r="B15" s="29"/>
      <c r="C15" s="12"/>
      <c r="D15" s="12"/>
      <c r="E15" s="12"/>
      <c r="F15" s="12"/>
      <c r="G15" s="12"/>
      <c r="H15" s="12"/>
      <c r="I15" s="12"/>
      <c r="J15" s="28"/>
      <c r="K15" s="14"/>
    </row>
    <row r="16" spans="1:13" s="1" customFormat="1" ht="94.5" x14ac:dyDescent="0.25">
      <c r="A16" s="27">
        <f>'200k'!A14</f>
        <v>2</v>
      </c>
      <c r="B16" s="32" t="str">
        <f>'200k'!B14</f>
        <v>Providing suitable material and Back filling behind abutment, wing wall and return wall complete as per Drawing and Technical Specifications., locally available material including compaction by tamping rod</v>
      </c>
      <c r="C16" s="12" t="str">
        <f>'200k'!H20</f>
        <v>m3</v>
      </c>
      <c r="D16" s="12">
        <f>'200k'!G16</f>
        <v>7.21875</v>
      </c>
      <c r="E16" s="12">
        <f>'200k'!I16</f>
        <v>404.28</v>
      </c>
      <c r="F16" s="12">
        <f>D16*E16</f>
        <v>2918.3962499999998</v>
      </c>
      <c r="G16" s="12">
        <f>V!G18</f>
        <v>0</v>
      </c>
      <c r="H16" s="12">
        <f>V!I18</f>
        <v>404.28</v>
      </c>
      <c r="I16" s="12">
        <f>G16*H16</f>
        <v>0</v>
      </c>
      <c r="J16" s="28">
        <f>I16-F16</f>
        <v>-2918.3962499999998</v>
      </c>
      <c r="K16" s="14"/>
      <c r="M16" s="1">
        <f>1.25*F16</f>
        <v>3647.9953124999997</v>
      </c>
    </row>
    <row r="17" spans="1:13" s="1" customFormat="1" ht="15.75" x14ac:dyDescent="0.25">
      <c r="A17" s="27"/>
      <c r="B17" s="32"/>
      <c r="C17" s="12"/>
      <c r="D17" s="12"/>
      <c r="E17" s="12"/>
      <c r="F17" s="12"/>
      <c r="G17" s="12"/>
      <c r="H17" s="12"/>
      <c r="I17" s="12"/>
      <c r="J17" s="28"/>
      <c r="K17" s="14"/>
    </row>
    <row r="18" spans="1:13" s="1" customFormat="1" ht="94.5" x14ac:dyDescent="0.25">
      <c r="A18" s="27">
        <f>'200k'!A18</f>
        <v>3</v>
      </c>
      <c r="B18" s="32" t="str">
        <f>'200k'!B18</f>
        <v>Providing and laying of hand pack locally available Stone soling with 150 to 200 mm thick stones and packing with smaller stone on prepared surface as per Drawing and Technical Specifications.</v>
      </c>
      <c r="C18" s="12" t="str">
        <f>'200k'!H20</f>
        <v>m3</v>
      </c>
      <c r="D18" s="12">
        <f>'200k'!G20</f>
        <v>1.65</v>
      </c>
      <c r="E18" s="12">
        <f>'200k'!I20</f>
        <v>4434.5200000000004</v>
      </c>
      <c r="F18" s="12">
        <f>D18*E18</f>
        <v>7316.9580000000005</v>
      </c>
      <c r="G18" s="12">
        <f>V!G27</f>
        <v>2.42055</v>
      </c>
      <c r="H18" s="12">
        <f>V!I27</f>
        <v>4434.5200000000004</v>
      </c>
      <c r="I18" s="12">
        <f>G18*H18</f>
        <v>10733.977386</v>
      </c>
      <c r="J18" s="28">
        <f>I18-F18</f>
        <v>3417.0193859999999</v>
      </c>
      <c r="K18" s="14"/>
      <c r="M18" s="1">
        <f>1.25*F18</f>
        <v>9146.1975000000002</v>
      </c>
    </row>
    <row r="19" spans="1:13" s="1" customFormat="1" ht="15.75" x14ac:dyDescent="0.25">
      <c r="A19" s="27"/>
      <c r="B19" s="65" t="str">
        <f>'200k'!B21</f>
        <v>VAT calculation</v>
      </c>
      <c r="C19" s="12"/>
      <c r="D19" s="12"/>
      <c r="E19" s="12"/>
      <c r="F19" s="12">
        <f>'200k'!J21</f>
        <v>635.67503999999997</v>
      </c>
      <c r="G19" s="12"/>
      <c r="H19" s="12"/>
      <c r="I19" s="12">
        <f>V!J28</f>
        <v>932.53528368000002</v>
      </c>
      <c r="J19" s="28">
        <f>I19-F19</f>
        <v>296.86024368000005</v>
      </c>
      <c r="K19" s="14"/>
      <c r="M19" s="1">
        <f>1.25*F19</f>
        <v>794.59379999999999</v>
      </c>
    </row>
    <row r="20" spans="1:13" s="1" customFormat="1" ht="15.75" x14ac:dyDescent="0.25">
      <c r="A20" s="27"/>
      <c r="B20" s="32"/>
      <c r="C20" s="12"/>
      <c r="D20" s="12"/>
      <c r="E20" s="12"/>
      <c r="F20" s="12"/>
      <c r="G20" s="12"/>
      <c r="H20" s="12"/>
      <c r="I20" s="12"/>
      <c r="J20" s="28"/>
      <c r="K20" s="14"/>
    </row>
    <row r="21" spans="1:13" s="1" customFormat="1" ht="63" x14ac:dyDescent="0.25">
      <c r="A21" s="27">
        <f>'200k'!A23</f>
        <v>4</v>
      </c>
      <c r="B21" s="32" t="str">
        <f>'200k'!B23</f>
        <v>Providing and laying of Plain/Reinforced Cement Concrete in Foundation complete as per Drawing and Technical Specifications, PCC Grade M 15</v>
      </c>
      <c r="C21" s="12" t="str">
        <f>'200k'!H25</f>
        <v>m3</v>
      </c>
      <c r="D21" s="12">
        <f>'200k'!G25</f>
        <v>0.82499999999999996</v>
      </c>
      <c r="E21" s="12">
        <f>'200k'!I25</f>
        <v>10634.5</v>
      </c>
      <c r="F21" s="12">
        <f>D21*E21</f>
        <v>8773.4624999999996</v>
      </c>
      <c r="G21" s="12">
        <f>V!G32</f>
        <v>0</v>
      </c>
      <c r="H21" s="12">
        <f>V!I32</f>
        <v>10634.5</v>
      </c>
      <c r="I21" s="12">
        <f>G21*H21</f>
        <v>0</v>
      </c>
      <c r="J21" s="28">
        <f>I21-F21</f>
        <v>-8773.4624999999996</v>
      </c>
      <c r="K21" s="14"/>
      <c r="M21" s="1">
        <f>1.25*F21</f>
        <v>10966.828125</v>
      </c>
    </row>
    <row r="22" spans="1:13" s="1" customFormat="1" ht="15.75" x14ac:dyDescent="0.25">
      <c r="A22" s="27"/>
      <c r="B22" s="65" t="str">
        <f>'200k'!B26</f>
        <v>VAT calculation</v>
      </c>
      <c r="C22" s="12"/>
      <c r="D22" s="12"/>
      <c r="E22" s="12"/>
      <c r="F22" s="12">
        <f>'200k'!J26</f>
        <v>865.45459000000005</v>
      </c>
      <c r="G22" s="12"/>
      <c r="H22" s="12"/>
      <c r="I22" s="12">
        <f>V!J33</f>
        <v>0</v>
      </c>
      <c r="J22" s="28">
        <f>I22-F22</f>
        <v>-865.45459000000005</v>
      </c>
      <c r="K22" s="14"/>
      <c r="M22" s="1">
        <f>1.25*F22</f>
        <v>1081.8182375000001</v>
      </c>
    </row>
    <row r="23" spans="1:13" s="1" customFormat="1" ht="15.75" x14ac:dyDescent="0.25">
      <c r="A23" s="27"/>
      <c r="B23" s="32"/>
      <c r="C23" s="12"/>
      <c r="D23" s="12"/>
      <c r="E23" s="12"/>
      <c r="F23" s="12"/>
      <c r="G23" s="12"/>
      <c r="H23" s="12"/>
      <c r="I23" s="12"/>
      <c r="J23" s="28"/>
      <c r="K23" s="14"/>
    </row>
    <row r="24" spans="1:13" s="1" customFormat="1" ht="110.25" x14ac:dyDescent="0.25">
      <c r="A24" s="27">
        <f>'200k'!A28</f>
        <v>5</v>
      </c>
      <c r="B24" s="32" t="str">
        <f>'200k'!B28</f>
        <v>Providing and laying Plum concrete ( Boulder mixed concrete) including form work and 110mm dia PN6 HDPE pipe for Weep hole as per Drawing and Specifications, 60% M 15  concrete and 40% boulders/stones, using Mechanical Aids</v>
      </c>
      <c r="C24" s="12" t="str">
        <f>'200k'!H30</f>
        <v>m3</v>
      </c>
      <c r="D24" s="12">
        <f>'200k'!G30</f>
        <v>27.5</v>
      </c>
      <c r="E24" s="12">
        <f>'200k'!I30</f>
        <v>9623.4699999999993</v>
      </c>
      <c r="F24" s="12">
        <f>D24*E24</f>
        <v>264645.42499999999</v>
      </c>
      <c r="G24" s="12">
        <f>V!G42</f>
        <v>22.182552148735144</v>
      </c>
      <c r="H24" s="12">
        <f>V!I42</f>
        <v>9623.4699999999993</v>
      </c>
      <c r="I24" s="12">
        <f>G24*H24</f>
        <v>213473.12512678819</v>
      </c>
      <c r="J24" s="28">
        <f>I24-F24</f>
        <v>-51172.299873211799</v>
      </c>
      <c r="K24" s="14"/>
      <c r="M24" s="1">
        <f>1.25*F24</f>
        <v>330806.78125</v>
      </c>
    </row>
    <row r="25" spans="1:13" s="1" customFormat="1" ht="15.75" x14ac:dyDescent="0.25">
      <c r="A25" s="27"/>
      <c r="B25" s="65" t="str">
        <f>'200k'!B31</f>
        <v>VAT calculation</v>
      </c>
      <c r="C25" s="12"/>
      <c r="D25" s="12"/>
      <c r="E25" s="12"/>
      <c r="F25" s="12">
        <f>'200k'!J31</f>
        <v>22553.838450000003</v>
      </c>
      <c r="G25" s="12"/>
      <c r="H25" s="12"/>
      <c r="I25" s="12">
        <f>V!J43</f>
        <v>18192.78900259174</v>
      </c>
      <c r="J25" s="28">
        <f>I25-F25</f>
        <v>-4361.0494474082625</v>
      </c>
      <c r="K25" s="14"/>
      <c r="M25" s="1">
        <f>1.25*F25</f>
        <v>28192.298062500005</v>
      </c>
    </row>
    <row r="26" spans="1:13" s="1" customFormat="1" ht="15.75" x14ac:dyDescent="0.25">
      <c r="A26" s="27"/>
      <c r="B26" s="32"/>
      <c r="C26" s="12"/>
      <c r="D26" s="12"/>
      <c r="E26" s="12"/>
      <c r="F26" s="12"/>
      <c r="G26" s="12"/>
      <c r="H26" s="12"/>
      <c r="I26" s="12"/>
      <c r="J26" s="28"/>
      <c r="K26" s="14"/>
    </row>
    <row r="27" spans="1:13" s="1" customFormat="1" x14ac:dyDescent="0.25">
      <c r="A27" s="27">
        <f>'200k'!A33</f>
        <v>6</v>
      </c>
      <c r="B27" s="31" t="str">
        <f>'200k'!B33</f>
        <v>Information board (सुचना पाटि)</v>
      </c>
      <c r="C27" s="12" t="str">
        <f>'200k'!H33</f>
        <v>no.</v>
      </c>
      <c r="D27" s="12">
        <f>'200k'!G33</f>
        <v>1</v>
      </c>
      <c r="E27" s="12">
        <f>'200k'!I33</f>
        <v>500</v>
      </c>
      <c r="F27" s="12">
        <f>D27*E27</f>
        <v>500</v>
      </c>
      <c r="G27" s="12">
        <f>V!G45</f>
        <v>1</v>
      </c>
      <c r="H27" s="12">
        <f>V!I45</f>
        <v>500</v>
      </c>
      <c r="I27" s="12">
        <f>G27*H27</f>
        <v>500</v>
      </c>
      <c r="J27" s="28">
        <f>I27-F27</f>
        <v>0</v>
      </c>
      <c r="K27" s="14"/>
      <c r="M27" s="1">
        <f>1.25*F27</f>
        <v>625</v>
      </c>
    </row>
    <row r="28" spans="1:13" s="1" customFormat="1" x14ac:dyDescent="0.25">
      <c r="A28" s="29"/>
      <c r="B28" s="29"/>
      <c r="C28" s="12"/>
      <c r="D28" s="12"/>
      <c r="E28" s="12"/>
      <c r="F28" s="12"/>
      <c r="G28" s="12"/>
      <c r="H28" s="12"/>
      <c r="I28" s="12"/>
      <c r="J28" s="28"/>
      <c r="K28" s="14"/>
    </row>
    <row r="29" spans="1:13" x14ac:dyDescent="0.25">
      <c r="A29" s="5"/>
      <c r="B29" s="6" t="s">
        <v>16</v>
      </c>
      <c r="C29" s="6"/>
      <c r="D29" s="7"/>
      <c r="E29" s="7"/>
      <c r="F29" s="7">
        <f>SUM(F13:F27)</f>
        <v>309587.38791333331</v>
      </c>
      <c r="G29" s="7"/>
      <c r="H29" s="7"/>
      <c r="I29" s="7">
        <f>SUM(I13:I27)</f>
        <v>245590.98382323494</v>
      </c>
      <c r="J29" s="13">
        <f>I29-F29</f>
        <v>-63996.404090098367</v>
      </c>
      <c r="K29"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1"/>
  <sheetViews>
    <sheetView topLeftCell="A4" zoomScaleNormal="100" workbookViewId="0">
      <selection activeCell="F11" sqref="F11"/>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8.5703125" customWidth="1"/>
    <col min="8" max="8" width="5" bestFit="1" customWidth="1"/>
    <col min="9" max="9" width="10.85546875" customWidth="1"/>
    <col min="10" max="10" width="10.7109375" bestFit="1" customWidth="1"/>
  </cols>
  <sheetData>
    <row r="1" spans="1:11" s="1" customFormat="1" x14ac:dyDescent="0.25">
      <c r="A1" s="72" t="s">
        <v>0</v>
      </c>
      <c r="B1" s="72"/>
      <c r="C1" s="72"/>
      <c r="D1" s="72"/>
      <c r="E1" s="72"/>
      <c r="F1" s="72"/>
      <c r="G1" s="72"/>
      <c r="H1" s="72"/>
      <c r="I1" s="72"/>
      <c r="J1" s="72"/>
      <c r="K1" s="72"/>
    </row>
    <row r="2" spans="1:11" s="1" customFormat="1" ht="22.5" x14ac:dyDescent="0.25">
      <c r="A2" s="73" t="s">
        <v>1</v>
      </c>
      <c r="B2" s="73"/>
      <c r="C2" s="73"/>
      <c r="D2" s="73"/>
      <c r="E2" s="73"/>
      <c r="F2" s="73"/>
      <c r="G2" s="73"/>
      <c r="H2" s="73"/>
      <c r="I2" s="73"/>
      <c r="J2" s="73"/>
      <c r="K2" s="73"/>
    </row>
    <row r="3" spans="1:11" s="1" customFormat="1" x14ac:dyDescent="0.25">
      <c r="A3" s="74" t="s">
        <v>2</v>
      </c>
      <c r="B3" s="74"/>
      <c r="C3" s="74"/>
      <c r="D3" s="74"/>
      <c r="E3" s="74"/>
      <c r="F3" s="74"/>
      <c r="G3" s="74"/>
      <c r="H3" s="74"/>
      <c r="I3" s="74"/>
      <c r="J3" s="74"/>
      <c r="K3" s="74"/>
    </row>
    <row r="4" spans="1:11" s="1" customFormat="1" x14ac:dyDescent="0.25">
      <c r="A4" s="74" t="s">
        <v>3</v>
      </c>
      <c r="B4" s="74"/>
      <c r="C4" s="74"/>
      <c r="D4" s="74"/>
      <c r="E4" s="74"/>
      <c r="F4" s="74"/>
      <c r="G4" s="74"/>
      <c r="H4" s="74"/>
      <c r="I4" s="74"/>
      <c r="J4" s="74"/>
      <c r="K4" s="74"/>
    </row>
    <row r="5" spans="1:11" ht="18.75" x14ac:dyDescent="0.3">
      <c r="A5" s="75" t="s">
        <v>57</v>
      </c>
      <c r="B5" s="75"/>
      <c r="C5" s="75"/>
      <c r="D5" s="75"/>
      <c r="E5" s="75"/>
      <c r="F5" s="75"/>
      <c r="G5" s="75"/>
      <c r="H5" s="75"/>
      <c r="I5" s="75"/>
      <c r="J5" s="75"/>
      <c r="K5" s="75"/>
    </row>
    <row r="6" spans="1:11" ht="15.75" x14ac:dyDescent="0.25">
      <c r="A6" s="70" t="s">
        <v>55</v>
      </c>
      <c r="B6" s="70"/>
      <c r="C6" s="70"/>
      <c r="D6" s="70"/>
      <c r="E6" s="70"/>
      <c r="F6" s="70"/>
      <c r="G6" s="2"/>
      <c r="H6" s="71" t="s">
        <v>47</v>
      </c>
      <c r="I6" s="71"/>
      <c r="J6" s="71"/>
      <c r="K6" s="71"/>
    </row>
    <row r="7" spans="1:11" ht="15.75" x14ac:dyDescent="0.25">
      <c r="A7" s="67" t="s">
        <v>28</v>
      </c>
      <c r="B7" s="67"/>
      <c r="C7" s="67"/>
      <c r="D7" s="67"/>
      <c r="E7" s="67"/>
      <c r="F7" s="67"/>
      <c r="G7" s="3"/>
      <c r="H7" s="68" t="s">
        <v>58</v>
      </c>
      <c r="I7" s="68"/>
      <c r="J7" s="68"/>
      <c r="K7" s="68"/>
    </row>
    <row r="8" spans="1:11" ht="15" customHeight="1" x14ac:dyDescent="0.25">
      <c r="A8" s="4" t="s">
        <v>5</v>
      </c>
      <c r="B8" s="15" t="s">
        <v>6</v>
      </c>
      <c r="C8" s="4" t="s">
        <v>7</v>
      </c>
      <c r="D8" s="16" t="s">
        <v>8</v>
      </c>
      <c r="E8" s="16" t="s">
        <v>9</v>
      </c>
      <c r="F8" s="16" t="s">
        <v>10</v>
      </c>
      <c r="G8" s="16" t="s">
        <v>11</v>
      </c>
      <c r="H8" s="4" t="s">
        <v>12</v>
      </c>
      <c r="I8" s="16" t="s">
        <v>13</v>
      </c>
      <c r="J8" s="16" t="s">
        <v>14</v>
      </c>
      <c r="K8" s="17" t="s">
        <v>15</v>
      </c>
    </row>
    <row r="9" spans="1:11" ht="150" x14ac:dyDescent="0.25">
      <c r="A9" s="63">
        <v>1</v>
      </c>
      <c r="B9" s="30" t="s">
        <v>46</v>
      </c>
      <c r="C9" s="36"/>
      <c r="D9" s="36"/>
      <c r="E9" s="36"/>
      <c r="F9" s="36"/>
      <c r="G9" s="36"/>
      <c r="H9" s="36"/>
      <c r="I9" s="36"/>
      <c r="J9" s="36"/>
      <c r="K9" s="36"/>
    </row>
    <row r="10" spans="1:11" ht="15" customHeight="1" x14ac:dyDescent="0.25">
      <c r="A10" s="18"/>
      <c r="B10" s="37" t="s">
        <v>51</v>
      </c>
      <c r="C10" s="64">
        <v>0.5</v>
      </c>
      <c r="D10" s="38">
        <f>2.48+2.48+2.42+2.44+2.45+2.4</f>
        <v>14.67</v>
      </c>
      <c r="E10" s="38">
        <f>E21</f>
        <v>1.1000000000000001</v>
      </c>
      <c r="F10" s="38">
        <f>1.5+0.15</f>
        <v>1.65</v>
      </c>
      <c r="G10" s="39">
        <f>PRODUCT(C10:F10)</f>
        <v>13.313025</v>
      </c>
      <c r="H10" s="40"/>
      <c r="I10" s="40"/>
      <c r="J10" s="40"/>
      <c r="K10" s="21"/>
    </row>
    <row r="11" spans="1:11" ht="15" customHeight="1" x14ac:dyDescent="0.25">
      <c r="A11" s="18"/>
      <c r="B11" s="37" t="s">
        <v>59</v>
      </c>
      <c r="C11" s="64">
        <v>1</v>
      </c>
      <c r="D11" s="38">
        <v>15</v>
      </c>
      <c r="E11" s="38">
        <v>2.5</v>
      </c>
      <c r="F11" s="38">
        <v>0.3</v>
      </c>
      <c r="G11" s="39">
        <f>PRODUCT(C11:F11)</f>
        <v>11.25</v>
      </c>
      <c r="H11" s="40"/>
      <c r="I11" s="40"/>
      <c r="J11" s="40"/>
      <c r="K11" s="21"/>
    </row>
    <row r="12" spans="1:11" ht="15" customHeight="1" x14ac:dyDescent="0.25">
      <c r="A12" s="18"/>
      <c r="B12" s="37" t="s">
        <v>42</v>
      </c>
      <c r="C12" s="19"/>
      <c r="D12" s="20"/>
      <c r="E12" s="21"/>
      <c r="F12" s="21"/>
      <c r="G12" s="23">
        <f>SUM(G10:G11)</f>
        <v>24.563025</v>
      </c>
      <c r="H12" s="22" t="s">
        <v>41</v>
      </c>
      <c r="I12" s="23">
        <v>64.63</v>
      </c>
      <c r="J12" s="41">
        <f>G12*I12</f>
        <v>1587.5083057499999</v>
      </c>
      <c r="K12" s="21"/>
    </row>
    <row r="13" spans="1:11" ht="15" customHeight="1" x14ac:dyDescent="0.25">
      <c r="A13" s="18"/>
      <c r="B13" s="37" t="s">
        <v>40</v>
      </c>
      <c r="C13" s="19"/>
      <c r="D13" s="20"/>
      <c r="E13" s="21"/>
      <c r="F13" s="21"/>
      <c r="G13" s="23"/>
      <c r="H13" s="22"/>
      <c r="I13" s="23"/>
      <c r="J13" s="41">
        <f>0.13*G12*19284/360</f>
        <v>171.048718425</v>
      </c>
      <c r="K13" s="21"/>
    </row>
    <row r="14" spans="1:11" ht="15" customHeight="1" x14ac:dyDescent="0.25">
      <c r="A14" s="18"/>
      <c r="B14" s="37"/>
      <c r="C14" s="19"/>
      <c r="D14" s="20"/>
      <c r="E14" s="21"/>
      <c r="F14" s="21"/>
      <c r="G14" s="23"/>
      <c r="H14" s="22"/>
      <c r="I14" s="23"/>
      <c r="J14" s="41"/>
      <c r="K14" s="21"/>
    </row>
    <row r="15" spans="1:11" ht="105" x14ac:dyDescent="0.25">
      <c r="A15" s="18">
        <v>2</v>
      </c>
      <c r="B15" s="30" t="s">
        <v>52</v>
      </c>
      <c r="C15" s="19"/>
      <c r="D15" s="20"/>
      <c r="E15" s="21"/>
      <c r="F15" s="21"/>
      <c r="G15" s="23"/>
      <c r="H15" s="22"/>
      <c r="I15" s="23"/>
      <c r="J15" s="41"/>
      <c r="K15" s="21"/>
    </row>
    <row r="16" spans="1:11" ht="15" customHeight="1" x14ac:dyDescent="0.25">
      <c r="A16" s="18"/>
      <c r="B16" s="37" t="s">
        <v>44</v>
      </c>
      <c r="C16" s="64">
        <v>0</v>
      </c>
      <c r="D16" s="38">
        <f>D21</f>
        <v>2.48</v>
      </c>
      <c r="E16" s="38">
        <f>0.75*E21</f>
        <v>0.82500000000000007</v>
      </c>
      <c r="F16" s="38">
        <f>F10/2</f>
        <v>0.82499999999999996</v>
      </c>
      <c r="G16" s="39">
        <f>PRODUCT(C16:F16)</f>
        <v>0</v>
      </c>
      <c r="H16" s="40"/>
      <c r="I16" s="40"/>
      <c r="J16" s="40"/>
      <c r="K16" s="21"/>
    </row>
    <row r="17" spans="1:11" ht="15" customHeight="1" x14ac:dyDescent="0.25">
      <c r="A17" s="18"/>
      <c r="B17" s="37"/>
      <c r="C17" s="64"/>
      <c r="D17" s="38"/>
      <c r="E17" s="38"/>
      <c r="F17" s="38"/>
      <c r="G17" s="39"/>
      <c r="H17" s="40"/>
      <c r="I17" s="40"/>
      <c r="J17" s="40"/>
      <c r="K17" s="21"/>
    </row>
    <row r="18" spans="1:11" ht="15" customHeight="1" x14ac:dyDescent="0.25">
      <c r="A18" s="18"/>
      <c r="B18" s="37" t="s">
        <v>42</v>
      </c>
      <c r="C18" s="19"/>
      <c r="D18" s="20"/>
      <c r="E18" s="21"/>
      <c r="F18" s="21"/>
      <c r="G18" s="23">
        <f>SUM(G16:G16)</f>
        <v>0</v>
      </c>
      <c r="H18" s="22" t="s">
        <v>41</v>
      </c>
      <c r="I18" s="23">
        <v>404.28</v>
      </c>
      <c r="J18" s="41">
        <f>G18*I18</f>
        <v>0</v>
      </c>
      <c r="K18" s="21"/>
    </row>
    <row r="19" spans="1:11" ht="15" customHeight="1" x14ac:dyDescent="0.25">
      <c r="A19" s="18"/>
      <c r="B19" s="37"/>
      <c r="C19" s="19"/>
      <c r="D19" s="20"/>
      <c r="E19" s="21"/>
      <c r="F19" s="21"/>
      <c r="G19" s="23"/>
      <c r="H19" s="22"/>
      <c r="I19" s="23"/>
      <c r="J19" s="41"/>
      <c r="K19" s="21"/>
    </row>
    <row r="20" spans="1:11" ht="90" x14ac:dyDescent="0.25">
      <c r="A20" s="18">
        <v>3</v>
      </c>
      <c r="B20" s="30" t="s">
        <v>43</v>
      </c>
      <c r="C20" s="19"/>
      <c r="D20" s="20"/>
      <c r="E20" s="21"/>
      <c r="F20" s="21"/>
      <c r="G20" s="23"/>
      <c r="H20" s="22"/>
      <c r="I20" s="23"/>
      <c r="J20" s="41"/>
      <c r="K20" s="21"/>
    </row>
    <row r="21" spans="1:11" ht="15" customHeight="1" x14ac:dyDescent="0.25">
      <c r="A21" s="18"/>
      <c r="B21" s="37" t="str">
        <f>B16</f>
        <v>-Road</v>
      </c>
      <c r="C21" s="36">
        <v>1</v>
      </c>
      <c r="D21" s="38">
        <f>(2.48)</f>
        <v>2.48</v>
      </c>
      <c r="E21" s="38">
        <v>1.1000000000000001</v>
      </c>
      <c r="F21" s="38">
        <v>0.15</v>
      </c>
      <c r="G21" s="39">
        <f>PRODUCT(C21:F21)</f>
        <v>0.40920000000000001</v>
      </c>
      <c r="H21" s="40"/>
      <c r="I21" s="40"/>
      <c r="J21" s="40"/>
      <c r="K21" s="21"/>
    </row>
    <row r="22" spans="1:11" ht="15" customHeight="1" x14ac:dyDescent="0.25">
      <c r="A22" s="18"/>
      <c r="B22" s="37"/>
      <c r="C22" s="36"/>
      <c r="D22" s="38">
        <v>2.48</v>
      </c>
      <c r="E22" s="38">
        <v>1.1000000000000001</v>
      </c>
      <c r="F22" s="38">
        <v>0.15</v>
      </c>
      <c r="G22" s="39">
        <f t="shared" ref="G22:G26" si="0">PRODUCT(C22:F22)</f>
        <v>0.40920000000000001</v>
      </c>
      <c r="H22" s="40"/>
      <c r="I22" s="40"/>
      <c r="J22" s="40"/>
      <c r="K22" s="21"/>
    </row>
    <row r="23" spans="1:11" ht="15" customHeight="1" x14ac:dyDescent="0.25">
      <c r="A23" s="18"/>
      <c r="B23" s="37"/>
      <c r="C23" s="36"/>
      <c r="D23" s="38">
        <v>2.42</v>
      </c>
      <c r="E23" s="38">
        <v>1.1000000000000001</v>
      </c>
      <c r="F23" s="38">
        <v>0.15</v>
      </c>
      <c r="G23" s="39">
        <f t="shared" si="0"/>
        <v>0.39929999999999999</v>
      </c>
      <c r="H23" s="40"/>
      <c r="I23" s="40"/>
      <c r="J23" s="40"/>
      <c r="K23" s="21"/>
    </row>
    <row r="24" spans="1:11" ht="15" customHeight="1" x14ac:dyDescent="0.25">
      <c r="A24" s="18"/>
      <c r="B24" s="37"/>
      <c r="C24" s="36"/>
      <c r="D24" s="38">
        <v>2.44</v>
      </c>
      <c r="E24" s="38">
        <v>1.1000000000000001</v>
      </c>
      <c r="F24" s="38">
        <v>0.15</v>
      </c>
      <c r="G24" s="39">
        <f t="shared" si="0"/>
        <v>0.40260000000000001</v>
      </c>
      <c r="H24" s="40"/>
      <c r="I24" s="40"/>
      <c r="J24" s="40"/>
      <c r="K24" s="21"/>
    </row>
    <row r="25" spans="1:11" ht="15" customHeight="1" x14ac:dyDescent="0.25">
      <c r="A25" s="18"/>
      <c r="B25" s="37"/>
      <c r="C25" s="36"/>
      <c r="D25" s="38">
        <v>2.4500000000000002</v>
      </c>
      <c r="E25" s="38">
        <v>1.1000000000000001</v>
      </c>
      <c r="F25" s="38">
        <v>0.15</v>
      </c>
      <c r="G25" s="39">
        <f t="shared" si="0"/>
        <v>0.40425000000000005</v>
      </c>
      <c r="H25" s="40"/>
      <c r="I25" s="40"/>
      <c r="J25" s="40"/>
      <c r="K25" s="21"/>
    </row>
    <row r="26" spans="1:11" ht="15" customHeight="1" x14ac:dyDescent="0.25">
      <c r="A26" s="18"/>
      <c r="B26" s="37"/>
      <c r="C26" s="36"/>
      <c r="D26" s="38">
        <v>2.4</v>
      </c>
      <c r="E26" s="38">
        <v>1.1000000000000001</v>
      </c>
      <c r="F26" s="38">
        <v>0.15</v>
      </c>
      <c r="G26" s="39">
        <f t="shared" si="0"/>
        <v>0.39600000000000002</v>
      </c>
      <c r="H26" s="40"/>
      <c r="I26" s="40"/>
      <c r="J26" s="40"/>
      <c r="K26" s="21"/>
    </row>
    <row r="27" spans="1:11" ht="15" customHeight="1" x14ac:dyDescent="0.25">
      <c r="A27" s="40"/>
      <c r="B27" s="37" t="s">
        <v>42</v>
      </c>
      <c r="C27" s="42"/>
      <c r="D27" s="43"/>
      <c r="E27" s="43"/>
      <c r="F27" s="43"/>
      <c r="G27" s="33">
        <f>SUM(G21:G26)</f>
        <v>2.42055</v>
      </c>
      <c r="H27" s="33" t="s">
        <v>41</v>
      </c>
      <c r="I27" s="33">
        <v>4434.5200000000004</v>
      </c>
      <c r="J27" s="44">
        <f>G27*I27</f>
        <v>10733.977386</v>
      </c>
      <c r="K27" s="36"/>
    </row>
    <row r="28" spans="1:11" x14ac:dyDescent="0.25">
      <c r="A28" s="40"/>
      <c r="B28" s="37" t="s">
        <v>40</v>
      </c>
      <c r="C28" s="42"/>
      <c r="D28" s="43"/>
      <c r="E28" s="43"/>
      <c r="F28" s="43"/>
      <c r="G28" s="43"/>
      <c r="H28" s="43"/>
      <c r="I28" s="43"/>
      <c r="J28" s="45">
        <f>0.13*G27*(14817.6/5)</f>
        <v>932.53528368000002</v>
      </c>
      <c r="K28" s="36"/>
    </row>
    <row r="29" spans="1:11" x14ac:dyDescent="0.25">
      <c r="A29" s="40"/>
      <c r="B29" s="37"/>
      <c r="C29" s="42"/>
      <c r="D29" s="43"/>
      <c r="E29" s="43"/>
      <c r="F29" s="43"/>
      <c r="G29" s="43"/>
      <c r="H29" s="43"/>
      <c r="I29" s="43"/>
      <c r="J29" s="45"/>
      <c r="K29" s="36"/>
    </row>
    <row r="30" spans="1:11" ht="75" x14ac:dyDescent="0.25">
      <c r="A30" s="18">
        <v>4</v>
      </c>
      <c r="B30" s="30" t="s">
        <v>45</v>
      </c>
      <c r="C30" s="19"/>
      <c r="D30" s="20"/>
      <c r="E30" s="21"/>
      <c r="F30" s="21"/>
      <c r="G30" s="23"/>
      <c r="H30" s="22"/>
      <c r="I30" s="23"/>
      <c r="J30" s="41"/>
      <c r="K30" s="21"/>
    </row>
    <row r="31" spans="1:11" ht="15" customHeight="1" x14ac:dyDescent="0.25">
      <c r="A31" s="18"/>
      <c r="B31" s="37" t="str">
        <f>B10</f>
        <v>-For wall</v>
      </c>
      <c r="C31" s="36">
        <v>0</v>
      </c>
      <c r="D31" s="38">
        <v>0</v>
      </c>
      <c r="E31" s="38">
        <v>0</v>
      </c>
      <c r="F31" s="38">
        <v>0</v>
      </c>
      <c r="G31" s="39">
        <f>PRODUCT(C31:F31)</f>
        <v>0</v>
      </c>
      <c r="H31" s="40"/>
      <c r="I31" s="40"/>
      <c r="J31" s="40"/>
      <c r="K31" s="21"/>
    </row>
    <row r="32" spans="1:11" ht="15" customHeight="1" x14ac:dyDescent="0.25">
      <c r="A32" s="40"/>
      <c r="B32" s="37" t="s">
        <v>42</v>
      </c>
      <c r="C32" s="42"/>
      <c r="D32" s="43"/>
      <c r="E32" s="43"/>
      <c r="F32" s="43"/>
      <c r="G32" s="33">
        <f>SUM(G31:G31)</f>
        <v>0</v>
      </c>
      <c r="H32" s="33" t="s">
        <v>41</v>
      </c>
      <c r="I32" s="33">
        <v>10634.5</v>
      </c>
      <c r="J32" s="44">
        <f>G32*I32</f>
        <v>0</v>
      </c>
      <c r="K32" s="36"/>
    </row>
    <row r="33" spans="1:13" ht="15" customHeight="1" x14ac:dyDescent="0.25">
      <c r="A33" s="40"/>
      <c r="B33" s="37" t="s">
        <v>40</v>
      </c>
      <c r="C33" s="42"/>
      <c r="D33" s="43"/>
      <c r="E33" s="43"/>
      <c r="F33" s="43"/>
      <c r="G33" s="43"/>
      <c r="H33" s="43"/>
      <c r="I33" s="43"/>
      <c r="J33" s="45">
        <f>0.13*G32*((114907.3+6135.3)/15)</f>
        <v>0</v>
      </c>
      <c r="K33" s="36"/>
    </row>
    <row r="34" spans="1:13" ht="15" customHeight="1" x14ac:dyDescent="0.25">
      <c r="A34" s="40"/>
      <c r="B34" s="37"/>
      <c r="C34" s="42"/>
      <c r="D34" s="43"/>
      <c r="E34" s="43"/>
      <c r="F34" s="43"/>
      <c r="G34" s="43"/>
      <c r="H34" s="43"/>
      <c r="I34" s="43"/>
      <c r="J34" s="45"/>
      <c r="K34" s="36"/>
    </row>
    <row r="35" spans="1:13" ht="135" x14ac:dyDescent="0.25">
      <c r="A35" s="18">
        <v>5</v>
      </c>
      <c r="B35" s="30" t="s">
        <v>53</v>
      </c>
      <c r="C35" s="19"/>
      <c r="D35" s="20"/>
      <c r="E35" s="21"/>
      <c r="F35" s="21"/>
      <c r="G35" s="23"/>
      <c r="H35" s="22"/>
      <c r="I35" s="23"/>
      <c r="J35" s="41"/>
      <c r="K35" s="21"/>
    </row>
    <row r="36" spans="1:13" ht="15" customHeight="1" x14ac:dyDescent="0.25">
      <c r="A36" s="18"/>
      <c r="B36" s="37" t="s">
        <v>51</v>
      </c>
      <c r="C36" s="36">
        <v>1</v>
      </c>
      <c r="D36" s="38">
        <f>(2.48)</f>
        <v>2.48</v>
      </c>
      <c r="E36" s="38">
        <f>((0.95+1.13)/2+(1.1))/2</f>
        <v>1.07</v>
      </c>
      <c r="F36" s="38">
        <f>5/3.281</f>
        <v>1.5239256324291375</v>
      </c>
      <c r="G36" s="39">
        <f>PRODUCT(C36:F36)</f>
        <v>4.0438890582139591</v>
      </c>
      <c r="H36" s="40"/>
      <c r="I36" s="40"/>
      <c r="J36" s="40"/>
      <c r="K36" s="21"/>
      <c r="M36">
        <f>1.04+0.52</f>
        <v>1.56</v>
      </c>
    </row>
    <row r="37" spans="1:13" ht="15" customHeight="1" x14ac:dyDescent="0.25">
      <c r="A37" s="18"/>
      <c r="B37" s="37"/>
      <c r="C37" s="36"/>
      <c r="D37" s="38">
        <v>2.48</v>
      </c>
      <c r="E37" s="38">
        <f>((1.06+1.13)/2+(1.1))/2</f>
        <v>1.0975000000000001</v>
      </c>
      <c r="F37" s="38">
        <f t="shared" ref="F37:F40" si="1">5/3.281</f>
        <v>1.5239256324291375</v>
      </c>
      <c r="G37" s="39">
        <f t="shared" ref="G37:G41" si="2">PRODUCT(C37:F37)</f>
        <v>4.1478207863456271</v>
      </c>
      <c r="H37" s="40"/>
      <c r="I37" s="40"/>
      <c r="J37" s="40"/>
      <c r="K37" s="21"/>
    </row>
    <row r="38" spans="1:13" ht="15" customHeight="1" x14ac:dyDescent="0.25">
      <c r="A38" s="18"/>
      <c r="B38" s="37"/>
      <c r="C38" s="36"/>
      <c r="D38" s="38">
        <v>2.42</v>
      </c>
      <c r="E38" s="38">
        <f>((1.06+0.95)/2+(1.1))/2</f>
        <v>1.0525</v>
      </c>
      <c r="F38" s="38">
        <f t="shared" si="1"/>
        <v>1.5239256324291375</v>
      </c>
      <c r="G38" s="39">
        <f t="shared" si="2"/>
        <v>3.8815147820786349</v>
      </c>
      <c r="H38" s="40"/>
      <c r="I38" s="40"/>
      <c r="J38" s="40"/>
      <c r="K38" s="21"/>
    </row>
    <row r="39" spans="1:13" ht="15" customHeight="1" x14ac:dyDescent="0.25">
      <c r="A39" s="18"/>
      <c r="B39" s="37"/>
      <c r="C39" s="36"/>
      <c r="D39" s="38">
        <v>2.44</v>
      </c>
      <c r="E39" s="38">
        <f>((0.95+0.92)/2+(1.1))/2</f>
        <v>1.0175000000000001</v>
      </c>
      <c r="F39" s="38">
        <f t="shared" si="1"/>
        <v>1.5239256324291375</v>
      </c>
      <c r="G39" s="39">
        <f t="shared" si="2"/>
        <v>3.7834501676318193</v>
      </c>
      <c r="H39" s="40"/>
      <c r="I39" s="40"/>
      <c r="J39" s="40"/>
      <c r="K39" s="21"/>
    </row>
    <row r="40" spans="1:13" ht="15" customHeight="1" x14ac:dyDescent="0.25">
      <c r="A40" s="18"/>
      <c r="B40" s="37"/>
      <c r="C40" s="36"/>
      <c r="D40" s="38">
        <v>2.4500000000000002</v>
      </c>
      <c r="E40" s="38">
        <f>((0.92+0.78)/2+(1.1))/2</f>
        <v>0.97500000000000009</v>
      </c>
      <c r="F40" s="38">
        <f t="shared" si="1"/>
        <v>1.5239256324291375</v>
      </c>
      <c r="G40" s="39">
        <f t="shared" si="2"/>
        <v>3.6402773544651028</v>
      </c>
      <c r="H40" s="40"/>
      <c r="I40" s="40"/>
      <c r="J40" s="40"/>
      <c r="K40" s="21"/>
    </row>
    <row r="41" spans="1:13" ht="15" customHeight="1" x14ac:dyDescent="0.25">
      <c r="A41" s="18"/>
      <c r="B41" s="37"/>
      <c r="C41" s="36"/>
      <c r="D41" s="38">
        <v>2.4</v>
      </c>
      <c r="E41" s="38">
        <f>((0.78+0.75)/2+(1.1))/2</f>
        <v>0.93250000000000011</v>
      </c>
      <c r="F41" s="38">
        <v>1.2</v>
      </c>
      <c r="G41" s="39">
        <f t="shared" si="2"/>
        <v>2.6856</v>
      </c>
      <c r="H41" s="40"/>
      <c r="I41" s="40"/>
      <c r="J41" s="40"/>
      <c r="K41" s="21"/>
    </row>
    <row r="42" spans="1:13" ht="15" customHeight="1" x14ac:dyDescent="0.25">
      <c r="A42" s="40"/>
      <c r="B42" s="37" t="s">
        <v>42</v>
      </c>
      <c r="C42" s="42"/>
      <c r="D42" s="43"/>
      <c r="E42" s="43"/>
      <c r="F42" s="43"/>
      <c r="G42" s="33">
        <f>SUM(G36:G41)</f>
        <v>22.182552148735144</v>
      </c>
      <c r="H42" s="33" t="s">
        <v>41</v>
      </c>
      <c r="I42" s="33">
        <v>9623.4699999999993</v>
      </c>
      <c r="J42" s="44">
        <f>G42*I42</f>
        <v>213473.12512678819</v>
      </c>
      <c r="K42" s="36"/>
    </row>
    <row r="43" spans="1:13" ht="15" customHeight="1" x14ac:dyDescent="0.25">
      <c r="A43" s="40"/>
      <c r="B43" s="37" t="s">
        <v>40</v>
      </c>
      <c r="C43" s="42"/>
      <c r="D43" s="43"/>
      <c r="E43" s="43"/>
      <c r="F43" s="43"/>
      <c r="G43" s="43"/>
      <c r="H43" s="43"/>
      <c r="I43" s="43"/>
      <c r="J43" s="45">
        <f>0.13*G42*((59609.3+3478.36)/10)</f>
        <v>18192.78900259174</v>
      </c>
      <c r="K43" s="36"/>
    </row>
    <row r="44" spans="1:13" ht="15" customHeight="1" x14ac:dyDescent="0.25">
      <c r="A44" s="40"/>
      <c r="B44" s="37"/>
      <c r="C44" s="42"/>
      <c r="D44" s="43"/>
      <c r="E44" s="43"/>
      <c r="F44" s="43"/>
      <c r="G44" s="43"/>
      <c r="H44" s="43"/>
      <c r="I44" s="43"/>
      <c r="J44" s="45"/>
      <c r="K44" s="36"/>
    </row>
    <row r="45" spans="1:13" ht="15" customHeight="1" x14ac:dyDescent="0.25">
      <c r="A45" s="18">
        <v>6</v>
      </c>
      <c r="B45" s="30" t="s">
        <v>30</v>
      </c>
      <c r="C45" s="19">
        <v>1</v>
      </c>
      <c r="D45" s="20"/>
      <c r="E45" s="21"/>
      <c r="F45" s="21"/>
      <c r="G45" s="34">
        <f t="shared" ref="G45" si="3">PRODUCT(C45:F45)</f>
        <v>1</v>
      </c>
      <c r="H45" s="22" t="s">
        <v>31</v>
      </c>
      <c r="I45" s="23">
        <v>500</v>
      </c>
      <c r="J45" s="34">
        <f>G45*I45</f>
        <v>500</v>
      </c>
      <c r="K45" s="21"/>
    </row>
    <row r="46" spans="1:13" ht="15" customHeight="1" x14ac:dyDescent="0.25">
      <c r="A46" s="18"/>
      <c r="B46" s="24"/>
      <c r="C46" s="19"/>
      <c r="D46" s="20"/>
      <c r="E46" s="21"/>
      <c r="F46" s="21"/>
      <c r="G46" s="23"/>
      <c r="H46" s="22"/>
      <c r="I46" s="23"/>
      <c r="J46" s="41"/>
      <c r="K46" s="21"/>
    </row>
    <row r="47" spans="1:13" x14ac:dyDescent="0.25">
      <c r="A47" s="40"/>
      <c r="B47" s="46" t="s">
        <v>17</v>
      </c>
      <c r="C47" s="47"/>
      <c r="D47" s="38"/>
      <c r="E47" s="38"/>
      <c r="F47" s="38"/>
      <c r="G47" s="41"/>
      <c r="H47" s="41"/>
      <c r="I47" s="41"/>
      <c r="J47" s="41">
        <f>SUM(J10:J45)</f>
        <v>245590.98382323494</v>
      </c>
      <c r="K47" s="36"/>
    </row>
    <row r="48" spans="1:13" x14ac:dyDescent="0.25">
      <c r="A48" s="58"/>
      <c r="B48" s="61"/>
      <c r="C48" s="62"/>
      <c r="D48" s="59"/>
      <c r="E48" s="59"/>
      <c r="F48" s="59"/>
      <c r="G48" s="60"/>
      <c r="H48" s="60"/>
      <c r="I48" s="60"/>
      <c r="J48" s="60"/>
      <c r="K48" s="57"/>
    </row>
    <row r="49" spans="1:11" s="1" customFormat="1" x14ac:dyDescent="0.25">
      <c r="A49" s="50"/>
      <c r="B49" s="29" t="s">
        <v>56</v>
      </c>
      <c r="C49" s="66">
        <f>J47</f>
        <v>245590.98382323494</v>
      </c>
      <c r="D49" s="66"/>
      <c r="E49" s="39">
        <v>100</v>
      </c>
      <c r="F49" s="51"/>
      <c r="G49" s="52"/>
      <c r="H49" s="51"/>
      <c r="I49" s="53"/>
      <c r="J49" s="54"/>
      <c r="K49" s="55"/>
    </row>
    <row r="50" spans="1:11" x14ac:dyDescent="0.25">
      <c r="A50" s="56"/>
      <c r="B50" s="29" t="s">
        <v>32</v>
      </c>
      <c r="C50" s="69">
        <v>250000</v>
      </c>
      <c r="D50" s="69"/>
      <c r="E50" s="39"/>
      <c r="F50" s="49"/>
      <c r="G50" s="48"/>
      <c r="H50" s="48"/>
      <c r="I50" s="48"/>
      <c r="J50" s="48"/>
      <c r="K50" s="49"/>
    </row>
    <row r="51" spans="1:11" x14ac:dyDescent="0.25">
      <c r="A51" s="56"/>
      <c r="B51" s="29" t="s">
        <v>33</v>
      </c>
      <c r="C51" s="69">
        <f>C50-C53-C54</f>
        <v>237500</v>
      </c>
      <c r="D51" s="69"/>
      <c r="E51" s="39">
        <f>C51/C49*100</f>
        <v>96.705504535517278</v>
      </c>
      <c r="F51" s="49"/>
      <c r="G51" s="48"/>
      <c r="H51" s="48"/>
      <c r="I51" s="48"/>
      <c r="J51" s="48"/>
      <c r="K51" s="49"/>
    </row>
    <row r="52" spans="1:11" x14ac:dyDescent="0.25">
      <c r="A52" s="56"/>
      <c r="B52" s="29" t="s">
        <v>34</v>
      </c>
      <c r="C52" s="66">
        <f>C49-C51</f>
        <v>8090.983823234943</v>
      </c>
      <c r="D52" s="66"/>
      <c r="E52" s="39">
        <f>100-E51</f>
        <v>3.294495464482722</v>
      </c>
      <c r="F52" s="49"/>
      <c r="G52" s="48"/>
      <c r="H52" s="48"/>
      <c r="I52" s="48"/>
      <c r="J52" s="48"/>
      <c r="K52" s="49"/>
    </row>
    <row r="53" spans="1:11" x14ac:dyDescent="0.25">
      <c r="A53" s="56"/>
      <c r="B53" s="29" t="s">
        <v>35</v>
      </c>
      <c r="C53" s="66">
        <f>C50*0.03</f>
        <v>7500</v>
      </c>
      <c r="D53" s="66"/>
      <c r="E53" s="39">
        <v>3</v>
      </c>
      <c r="F53" s="49"/>
      <c r="G53" s="48"/>
      <c r="H53" s="48"/>
      <c r="I53" s="48"/>
      <c r="J53" s="48"/>
      <c r="K53" s="49"/>
    </row>
    <row r="54" spans="1:11" x14ac:dyDescent="0.25">
      <c r="A54" s="56"/>
      <c r="B54" s="29" t="s">
        <v>36</v>
      </c>
      <c r="C54" s="66">
        <f>C50*0.02</f>
        <v>5000</v>
      </c>
      <c r="D54" s="66"/>
      <c r="E54" s="39">
        <v>2</v>
      </c>
      <c r="F54" s="49"/>
      <c r="G54" s="48"/>
      <c r="H54" s="48"/>
      <c r="I54" s="48"/>
      <c r="J54" s="48"/>
      <c r="K54" s="49"/>
    </row>
    <row r="55" spans="1:11" s="35" customFormat="1" x14ac:dyDescent="0.25">
      <c r="A55" s="57"/>
      <c r="B55" s="57"/>
      <c r="C55" s="57"/>
      <c r="D55" s="57"/>
      <c r="E55" s="57"/>
      <c r="F55" s="57"/>
      <c r="G55" s="57"/>
      <c r="H55" s="57"/>
      <c r="I55" s="57"/>
      <c r="J55" s="57"/>
      <c r="K55" s="57"/>
    </row>
    <row r="56" spans="1:11" s="35" customFormat="1" x14ac:dyDescent="0.25"/>
    <row r="57" spans="1:11" s="35" customFormat="1" x14ac:dyDescent="0.25"/>
    <row r="58" spans="1:11" s="35" customFormat="1" x14ac:dyDescent="0.25"/>
    <row r="59" spans="1:11" s="35" customFormat="1" x14ac:dyDescent="0.25"/>
    <row r="60" spans="1:11" s="35" customFormat="1" x14ac:dyDescent="0.25"/>
    <row r="61" spans="1:11" s="35" customFormat="1" x14ac:dyDescent="0.25"/>
    <row r="62" spans="1:11" s="35" customFormat="1" x14ac:dyDescent="0.25"/>
    <row r="63" spans="1:11" s="35" customFormat="1" x14ac:dyDescent="0.25"/>
    <row r="64" spans="1:11" s="35" customFormat="1" x14ac:dyDescent="0.25"/>
    <row r="65" s="35" customFormat="1" x14ac:dyDescent="0.25"/>
    <row r="66" s="35" customFormat="1" x14ac:dyDescent="0.25"/>
    <row r="67" s="35" customFormat="1" x14ac:dyDescent="0.25"/>
    <row r="68" s="35" customFormat="1" x14ac:dyDescent="0.25"/>
    <row r="69" s="35" customFormat="1" x14ac:dyDescent="0.25"/>
    <row r="70" s="35" customFormat="1" x14ac:dyDescent="0.25"/>
    <row r="71" s="35" customFormat="1" x14ac:dyDescent="0.25"/>
    <row r="72" s="35" customFormat="1" x14ac:dyDescent="0.25"/>
    <row r="73" s="35" customFormat="1" x14ac:dyDescent="0.25"/>
    <row r="74" s="35" customFormat="1" x14ac:dyDescent="0.25"/>
    <row r="75" s="35" customFormat="1" x14ac:dyDescent="0.25"/>
    <row r="76" s="35" customFormat="1" x14ac:dyDescent="0.25"/>
    <row r="77" s="35" customFormat="1" x14ac:dyDescent="0.25"/>
    <row r="78" s="35" customFormat="1" x14ac:dyDescent="0.25"/>
    <row r="79" s="35" customFormat="1" x14ac:dyDescent="0.25"/>
    <row r="80" s="35" customFormat="1" x14ac:dyDescent="0.25"/>
    <row r="81" s="35" customFormat="1" x14ac:dyDescent="0.25"/>
    <row r="82" s="35" customFormat="1" x14ac:dyDescent="0.25"/>
    <row r="83" s="35" customFormat="1" x14ac:dyDescent="0.25"/>
    <row r="84" s="35" customFormat="1" x14ac:dyDescent="0.25"/>
    <row r="85" s="35" customFormat="1" x14ac:dyDescent="0.25"/>
    <row r="86" s="35" customFormat="1" x14ac:dyDescent="0.25"/>
    <row r="87" s="35" customFormat="1" x14ac:dyDescent="0.25"/>
    <row r="88" s="35" customFormat="1" x14ac:dyDescent="0.25"/>
    <row r="89" s="35" customFormat="1" x14ac:dyDescent="0.25"/>
    <row r="90" s="35" customFormat="1" x14ac:dyDescent="0.25"/>
    <row r="91" s="35" customFormat="1" x14ac:dyDescent="0.25"/>
    <row r="92" s="35" customFormat="1" x14ac:dyDescent="0.25"/>
    <row r="93" s="35" customFormat="1" x14ac:dyDescent="0.25"/>
    <row r="94" s="35" customFormat="1" x14ac:dyDescent="0.25"/>
    <row r="95" s="35" customFormat="1" x14ac:dyDescent="0.25"/>
    <row r="96" s="35" customFormat="1" x14ac:dyDescent="0.25"/>
    <row r="97" s="35" customFormat="1" x14ac:dyDescent="0.25"/>
    <row r="98" s="35" customFormat="1" x14ac:dyDescent="0.25"/>
    <row r="99" s="35" customFormat="1" x14ac:dyDescent="0.25"/>
    <row r="100" s="35" customFormat="1" x14ac:dyDescent="0.25"/>
    <row r="101" s="35" customFormat="1" x14ac:dyDescent="0.25"/>
    <row r="102" s="35" customFormat="1" x14ac:dyDescent="0.25"/>
    <row r="103" s="35" customFormat="1" x14ac:dyDescent="0.25"/>
    <row r="104" s="35" customFormat="1" x14ac:dyDescent="0.25"/>
    <row r="105" s="35" customFormat="1" x14ac:dyDescent="0.25"/>
    <row r="106" s="35" customFormat="1" x14ac:dyDescent="0.25"/>
    <row r="107" s="35" customFormat="1" x14ac:dyDescent="0.25"/>
    <row r="108" s="35" customFormat="1" x14ac:dyDescent="0.25"/>
    <row r="109" s="35" customFormat="1" x14ac:dyDescent="0.25"/>
    <row r="110" s="35" customFormat="1" x14ac:dyDescent="0.25"/>
    <row r="111" s="35" customFormat="1" x14ac:dyDescent="0.25"/>
  </sheetData>
  <mergeCells count="15">
    <mergeCell ref="A6:F6"/>
    <mergeCell ref="H6:K6"/>
    <mergeCell ref="A1:K1"/>
    <mergeCell ref="A2:K2"/>
    <mergeCell ref="A3:K3"/>
    <mergeCell ref="A4:K4"/>
    <mergeCell ref="A5:K5"/>
    <mergeCell ref="C53:D53"/>
    <mergeCell ref="C54:D54"/>
    <mergeCell ref="A7:F7"/>
    <mergeCell ref="H7:K7"/>
    <mergeCell ref="C49:D49"/>
    <mergeCell ref="C50:D50"/>
    <mergeCell ref="C51:D51"/>
    <mergeCell ref="C52:D52"/>
  </mergeCells>
  <pageMargins left="0.70866141732283472" right="0.70866141732283472" top="0.74803149606299213" bottom="0.74803149606299213" header="0.31496062992125984" footer="0.31496062992125984"/>
  <pageSetup paperSize="9" scale="80" orientation="portrait"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200k</vt:lpstr>
      <vt:lpstr>WCR</vt:lpstr>
      <vt:lpstr>V</vt:lpstr>
      <vt:lpstr>'200k'!Print_Area</vt:lpstr>
      <vt:lpstr>V!Print_Area</vt:lpstr>
      <vt:lpstr>'200k'!Print_Titles</vt:lpstr>
      <vt:lpstr>V!Print_Titles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2025-01-22T08:17:43Z</cp:lastPrinted>
  <dcterms:created xsi:type="dcterms:W3CDTF">2015-06-05T18:17:20Z</dcterms:created>
  <dcterms:modified xsi:type="dcterms:W3CDTF">2025-06-26T06:03:05Z</dcterms:modified>
</cp:coreProperties>
</file>