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चनौटे, घट्टेखोला सडक\"/>
    </mc:Choice>
  </mc:AlternateContent>
  <bookViews>
    <workbookView xWindow="-120" yWindow="-120" windowWidth="20730" windowHeight="11160" activeTab="2"/>
  </bookViews>
  <sheets>
    <sheet name="local" sheetId="19" r:id="rId1"/>
    <sheet name="WCR" sheetId="6" r:id="rId2"/>
    <sheet name="V" sheetId="20"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local!$A$1:$K$23</definedName>
    <definedName name="_xlnm.Print_Area" localSheetId="2">V!$A$1:$K$36</definedName>
    <definedName name="_xlnm.Print_Titles" localSheetId="0">local!$1:$8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2" i="20" l="1"/>
  <c r="O21" i="20"/>
  <c r="O20" i="20"/>
  <c r="O19" i="20"/>
  <c r="O23" i="20"/>
  <c r="E12" i="20"/>
  <c r="E13" i="20"/>
  <c r="G13" i="20" s="1"/>
  <c r="E14" i="20"/>
  <c r="E15" i="20"/>
  <c r="G15" i="20" s="1"/>
  <c r="E16" i="20"/>
  <c r="E17" i="20"/>
  <c r="G17" i="20" s="1"/>
  <c r="E18" i="20"/>
  <c r="E19" i="20"/>
  <c r="E20" i="20"/>
  <c r="G20" i="20" s="1"/>
  <c r="E21" i="20"/>
  <c r="E22" i="20"/>
  <c r="E23" i="20"/>
  <c r="E11" i="20"/>
  <c r="F12" i="20"/>
  <c r="F13" i="20"/>
  <c r="F14" i="20"/>
  <c r="F18" i="20"/>
  <c r="F19" i="20"/>
  <c r="F20" i="20"/>
  <c r="F21" i="20"/>
  <c r="F22" i="20"/>
  <c r="F23" i="20"/>
  <c r="F11" i="20"/>
  <c r="D23" i="20"/>
  <c r="G12" i="20"/>
  <c r="G14" i="20"/>
  <c r="G16" i="20"/>
  <c r="G18" i="20"/>
  <c r="G22" i="20"/>
  <c r="G11" i="20"/>
  <c r="D12" i="20"/>
  <c r="D13" i="20"/>
  <c r="D14" i="20"/>
  <c r="D15" i="20"/>
  <c r="D16" i="20"/>
  <c r="D17" i="20"/>
  <c r="D18" i="20"/>
  <c r="D19" i="20"/>
  <c r="D20" i="20"/>
  <c r="D21" i="20"/>
  <c r="D22" i="20"/>
  <c r="D11" i="20"/>
  <c r="P22" i="20"/>
  <c r="P21" i="20"/>
  <c r="P20" i="20"/>
  <c r="P19" i="20"/>
  <c r="P18" i="20"/>
  <c r="P17" i="20"/>
  <c r="P16" i="20"/>
  <c r="P15" i="20"/>
  <c r="P14" i="20"/>
  <c r="P13" i="20"/>
  <c r="P12" i="20"/>
  <c r="P11" i="20"/>
  <c r="O18" i="20"/>
  <c r="O17" i="20"/>
  <c r="O16" i="20"/>
  <c r="O15" i="20"/>
  <c r="O14" i="20"/>
  <c r="O13" i="20"/>
  <c r="O12" i="20"/>
  <c r="O11" i="20"/>
  <c r="P10" i="20"/>
  <c r="O10" i="20"/>
  <c r="C36" i="20"/>
  <c r="C35" i="20"/>
  <c r="C33" i="20"/>
  <c r="G27" i="20"/>
  <c r="J27" i="20" s="1"/>
  <c r="G21" i="20" l="1"/>
  <c r="G23" i="20"/>
  <c r="G19" i="20"/>
  <c r="E10" i="19"/>
  <c r="N9" i="19"/>
  <c r="M9" i="19"/>
  <c r="C23" i="19"/>
  <c r="C22" i="19"/>
  <c r="C20" i="19" s="1"/>
  <c r="G14" i="19"/>
  <c r="J14" i="19" s="1"/>
  <c r="Q11" i="19"/>
  <c r="M11" i="19"/>
  <c r="N11" i="19" s="1"/>
  <c r="G10" i="19"/>
  <c r="G11" i="19" s="1"/>
  <c r="J12" i="19" s="1"/>
  <c r="G24" i="20" l="1"/>
  <c r="J24" i="20" s="1"/>
  <c r="J11" i="19"/>
  <c r="J25" i="20" l="1"/>
  <c r="J29" i="20" s="1"/>
  <c r="C31" i="20" s="1"/>
  <c r="C34" i="20" s="1"/>
  <c r="J16" i="19"/>
  <c r="C18" i="19" s="1"/>
  <c r="C21" i="19" s="1"/>
  <c r="E20" i="19"/>
  <c r="E21" i="19" s="1"/>
  <c r="E33" i="20" l="1"/>
  <c r="E34" i="20" s="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<sst xmlns="http://schemas.openxmlformats.org/spreadsheetml/2006/main" count="111" uniqueCount="66">
  <si>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</si>
  <si>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</si>
  <si>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</si>
  <si>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</si>
  <si>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</si>
  <si>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</si>
  <si>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</si>
  <si>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</si>
  <si>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</si>
  <si>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</si>
  <si>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</si>
  <si>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</si>
  <si>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</si>
  <si>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</si>
  <si>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</si>
  <si>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</si>
  <si>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</si>
  <si>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</si>
  <si>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</si>
  <si>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</si>
  <si>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</si>
  <si>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</si>
  <si>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</si>
  <si>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</si>
  <si>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</si>
  <si>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</si>
  <si>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</si>
  <si>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</si>
  <si>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</si>
  <si>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</si>
  <si>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</si>
  <si>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</si>
  <si>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</si>
  <si>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</si>
  <si>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</si>
  <si>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</si>
  <si>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</si>
  <si>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</si>
  <si>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</si>
  <si>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</si>
  <si>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</si>
  <si>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</si>
  <si>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</si>
  <si>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-VAT 13% calculation</t>
  </si>
  <si>
    <t>-for gabion wall base</t>
  </si>
  <si>
    <t>unit</t>
  </si>
  <si>
    <t>Providing and laying  local/ washing sub-base   on prepared surface, mixing  at OMC, and compacting  to achieve the desired density, complete as per Drawing and Technical Specifications., By Mechanical means</t>
  </si>
  <si>
    <t>Date:2081/02/12</t>
  </si>
  <si>
    <t xml:space="preserve">Project:-चनौटे, घट्टेखोला सडक ग्राबेल </t>
  </si>
  <si>
    <t>-Chainage at 0+000</t>
  </si>
  <si>
    <t>Chainage at 0+000 to 0+005</t>
  </si>
  <si>
    <t>Chainage at 0+005 to 0+010</t>
  </si>
  <si>
    <t>Chainage at 0+010 to 0+015</t>
  </si>
  <si>
    <t>Chainage at 0+015 to 0+020</t>
  </si>
  <si>
    <t>Chainage at 0+020 to 0+025</t>
  </si>
  <si>
    <t>Chainage at 0+025 to 0+030</t>
  </si>
  <si>
    <t>Chainage at 0+030 to 0+035</t>
  </si>
  <si>
    <t>Chainage at 0+035 to 0+040</t>
  </si>
  <si>
    <t>Chainage at 0+040 to 0+045</t>
  </si>
  <si>
    <t>Chainage at 0+045 to 0+050</t>
  </si>
  <si>
    <t>Chainage at 0+050 to 0+060</t>
  </si>
  <si>
    <t>Chainage at 0+060 to 0+066</t>
  </si>
  <si>
    <t>-Gravel</t>
  </si>
  <si>
    <t>W</t>
  </si>
  <si>
    <t>L</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</si>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</sst>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0" fillId="0" borderId="0" xfId="0"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3" fillId="0" borderId="1" xfId="1" applyNumberFormat="1" applyFont="1" applyBorder="1" applyAlignment="1">
      <alignment horizontal="center" vertical="center"/>
    </xf>
    <xf numFmtId="2"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topLeftCell="A4" zoomScaleNormal="100" workbookViewId="0">
      <selection activeCell="J9" sqref="J9"/>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65" t="s">
        <v>0</v>
      </c>
      <c r="B1" s="65"/>
      <c r="C1" s="65"/>
      <c r="D1" s="65"/>
      <c r="E1" s="65"/>
      <c r="F1" s="65"/>
      <c r="G1" s="65"/>
      <c r="H1" s="65"/>
      <c r="I1" s="65"/>
      <c r="J1" s="65"/>
      <c r="K1" s="65"/>
    </row>
    <row r="2" spans="1:17" s="1" customFormat="1" ht="22.5" x14ac:dyDescent="0.25">
      <c r="A2" s="66" t="s">
        <v>1</v>
      </c>
      <c r="B2" s="66"/>
      <c r="C2" s="66"/>
      <c r="D2" s="66"/>
      <c r="E2" s="66"/>
      <c r="F2" s="66"/>
      <c r="G2" s="66"/>
      <c r="H2" s="66"/>
      <c r="I2" s="66"/>
      <c r="J2" s="66"/>
      <c r="K2" s="66"/>
    </row>
    <row r="3" spans="1:17" s="1" customFormat="1" x14ac:dyDescent="0.25">
      <c r="A3" s="67" t="s">
        <v>2</v>
      </c>
      <c r="B3" s="67"/>
      <c r="C3" s="67"/>
      <c r="D3" s="67"/>
      <c r="E3" s="67"/>
      <c r="F3" s="67"/>
      <c r="G3" s="67"/>
      <c r="H3" s="67"/>
      <c r="I3" s="67"/>
      <c r="J3" s="67"/>
      <c r="K3" s="67"/>
    </row>
    <row r="4" spans="1:17" s="1" customFormat="1" x14ac:dyDescent="0.25">
      <c r="A4" s="67" t="s">
        <v>3</v>
      </c>
      <c r="B4" s="67"/>
      <c r="C4" s="67"/>
      <c r="D4" s="67"/>
      <c r="E4" s="67"/>
      <c r="F4" s="67"/>
      <c r="G4" s="67"/>
      <c r="H4" s="67"/>
      <c r="I4" s="67"/>
      <c r="J4" s="67"/>
      <c r="K4" s="67"/>
    </row>
    <row r="5" spans="1:17" ht="18.75" x14ac:dyDescent="0.3">
      <c r="A5" s="68" t="s">
        <v>4</v>
      </c>
      <c r="B5" s="68"/>
      <c r="C5" s="68"/>
      <c r="D5" s="68"/>
      <c r="E5" s="68"/>
      <c r="F5" s="68"/>
      <c r="G5" s="68"/>
      <c r="H5" s="68"/>
      <c r="I5" s="68"/>
      <c r="J5" s="68"/>
      <c r="K5" s="68"/>
    </row>
    <row r="6" spans="1:17" ht="15.75" x14ac:dyDescent="0.25">
      <c r="A6" s="63" t="s">
        <v>48</v>
      </c>
      <c r="B6" s="63"/>
      <c r="C6" s="63"/>
      <c r="D6" s="63"/>
      <c r="E6" s="63"/>
      <c r="F6" s="63"/>
      <c r="G6" s="2"/>
      <c r="H6" s="64" t="s">
        <v>42</v>
      </c>
      <c r="I6" s="64"/>
      <c r="J6" s="64"/>
      <c r="K6" s="64"/>
    </row>
    <row r="7" spans="1:17" ht="15.75" x14ac:dyDescent="0.25">
      <c r="A7" s="61" t="s">
        <v>28</v>
      </c>
      <c r="B7" s="61"/>
      <c r="C7" s="61"/>
      <c r="D7" s="61"/>
      <c r="E7" s="61"/>
      <c r="F7" s="61"/>
      <c r="G7" s="3"/>
      <c r="H7" s="62" t="s">
        <v>47</v>
      </c>
      <c r="I7" s="62"/>
      <c r="J7" s="62"/>
      <c r="K7" s="62"/>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05" x14ac:dyDescent="0.25">
      <c r="A9" s="18">
        <v>1</v>
      </c>
      <c r="B9" s="29" t="s">
        <v>46</v>
      </c>
      <c r="C9" s="19"/>
      <c r="D9" s="20"/>
      <c r="E9" s="21"/>
      <c r="F9" s="21"/>
      <c r="G9" s="23"/>
      <c r="H9" s="22"/>
      <c r="I9" s="23"/>
      <c r="J9" s="40"/>
      <c r="K9" s="58"/>
      <c r="M9">
        <f>13500*10</f>
        <v>135000</v>
      </c>
      <c r="N9">
        <f>3000*10</f>
        <v>30000</v>
      </c>
    </row>
    <row r="10" spans="1:17" ht="15" customHeight="1" x14ac:dyDescent="0.25">
      <c r="A10" s="18"/>
      <c r="B10" s="36" t="s">
        <v>44</v>
      </c>
      <c r="C10" s="35">
        <v>1</v>
      </c>
      <c r="D10" s="37">
        <v>90</v>
      </c>
      <c r="E10" s="37">
        <f>10/3.281</f>
        <v>3.047851264858275</v>
      </c>
      <c r="F10" s="37">
        <v>0.125</v>
      </c>
      <c r="G10" s="38">
        <f>PRODUCT(C10:F10)</f>
        <v>34.288326729655594</v>
      </c>
      <c r="H10" s="39"/>
      <c r="I10" s="39"/>
      <c r="J10" s="39"/>
      <c r="K10" s="58"/>
      <c r="M10" t="s">
        <v>45</v>
      </c>
      <c r="P10">
        <v>300</v>
      </c>
      <c r="Q10" t="s">
        <v>45</v>
      </c>
    </row>
    <row r="11" spans="1:17" ht="15" customHeight="1" x14ac:dyDescent="0.25">
      <c r="A11" s="18"/>
      <c r="B11" s="36" t="s">
        <v>41</v>
      </c>
      <c r="C11" s="19"/>
      <c r="D11" s="20"/>
      <c r="E11" s="21"/>
      <c r="F11" s="21"/>
      <c r="G11" s="23">
        <f>SUM(G10:G10)</f>
        <v>34.288326729655594</v>
      </c>
      <c r="H11" s="22" t="s">
        <v>40</v>
      </c>
      <c r="I11" s="23">
        <v>1693.85</v>
      </c>
      <c r="J11" s="40">
        <f>G11*I11</f>
        <v>58079.282231027122</v>
      </c>
      <c r="K11" s="58"/>
      <c r="M11">
        <f>3244.12</f>
        <v>3244.12</v>
      </c>
      <c r="N11">
        <f>M11/1.15</f>
        <v>2820.9739130434782</v>
      </c>
      <c r="P11">
        <v>826398.7</v>
      </c>
      <c r="Q11">
        <f>P11/P10</f>
        <v>2754.6623333333332</v>
      </c>
    </row>
    <row r="12" spans="1:17" ht="15" customHeight="1" x14ac:dyDescent="0.25">
      <c r="A12" s="18"/>
      <c r="B12" s="36" t="s">
        <v>43</v>
      </c>
      <c r="C12" s="19"/>
      <c r="D12" s="20"/>
      <c r="E12" s="21"/>
      <c r="F12" s="21"/>
      <c r="G12" s="23"/>
      <c r="H12" s="22"/>
      <c r="I12" s="23"/>
      <c r="J12" s="40">
        <f>0.13*G11*446551.8/300</f>
        <v>6634.989408716855</v>
      </c>
      <c r="K12" s="21"/>
    </row>
    <row r="13" spans="1:17" ht="15" customHeight="1" x14ac:dyDescent="0.25">
      <c r="A13" s="18"/>
      <c r="B13" s="29"/>
      <c r="C13" s="19"/>
      <c r="D13" s="20"/>
      <c r="E13" s="21"/>
      <c r="F13" s="21"/>
      <c r="G13" s="23"/>
      <c r="H13" s="22"/>
      <c r="I13" s="23"/>
      <c r="J13" s="40"/>
      <c r="K13" s="21"/>
    </row>
    <row r="14" spans="1:17" ht="15" customHeight="1" x14ac:dyDescent="0.25">
      <c r="A14" s="18">
        <v>2</v>
      </c>
      <c r="B14" s="29" t="s">
        <v>30</v>
      </c>
      <c r="C14" s="19">
        <v>1</v>
      </c>
      <c r="D14" s="20"/>
      <c r="E14" s="21"/>
      <c r="F14" s="21"/>
      <c r="G14" s="33">
        <f t="shared" ref="G14" si="0">PRODUCT(C14:F14)</f>
        <v>1</v>
      </c>
      <c r="H14" s="22" t="s">
        <v>31</v>
      </c>
      <c r="I14" s="23">
        <v>500</v>
      </c>
      <c r="J14" s="33">
        <f>G14*I14</f>
        <v>500</v>
      </c>
      <c r="K14" s="21"/>
    </row>
    <row r="15" spans="1:17" ht="15" customHeight="1" x14ac:dyDescent="0.25">
      <c r="A15" s="18"/>
      <c r="B15" s="24"/>
      <c r="C15" s="19"/>
      <c r="D15" s="20"/>
      <c r="E15" s="21"/>
      <c r="F15" s="21"/>
      <c r="G15" s="23"/>
      <c r="H15" s="22"/>
      <c r="I15" s="23"/>
      <c r="J15" s="40"/>
      <c r="K15" s="21"/>
    </row>
    <row r="16" spans="1:17" x14ac:dyDescent="0.25">
      <c r="A16" s="39"/>
      <c r="B16" s="41" t="s">
        <v>17</v>
      </c>
      <c r="C16" s="42"/>
      <c r="D16" s="37"/>
      <c r="E16" s="37"/>
      <c r="F16" s="37"/>
      <c r="G16" s="40"/>
      <c r="H16" s="40"/>
      <c r="I16" s="40"/>
      <c r="J16" s="40">
        <f>SUM(J9:J14)</f>
        <v>65214.27163974398</v>
      </c>
      <c r="K16" s="35"/>
    </row>
    <row r="17" spans="1:11" x14ac:dyDescent="0.25">
      <c r="A17" s="53"/>
      <c r="B17" s="56"/>
      <c r="C17" s="57"/>
      <c r="D17" s="54"/>
      <c r="E17" s="54"/>
      <c r="F17" s="54"/>
      <c r="G17" s="55"/>
      <c r="H17" s="55"/>
      <c r="I17" s="55"/>
      <c r="J17" s="55"/>
      <c r="K17" s="52"/>
    </row>
    <row r="18" spans="1:11" s="1" customFormat="1" x14ac:dyDescent="0.25">
      <c r="A18" s="45"/>
      <c r="B18" s="28" t="s">
        <v>27</v>
      </c>
      <c r="C18" s="60">
        <f>J16</f>
        <v>65214.27163974398</v>
      </c>
      <c r="D18" s="60"/>
      <c r="E18" s="38">
        <v>100</v>
      </c>
      <c r="F18" s="46"/>
      <c r="G18" s="47"/>
      <c r="H18" s="46"/>
      <c r="I18" s="48"/>
      <c r="J18" s="49"/>
      <c r="K18" s="50"/>
    </row>
    <row r="19" spans="1:11" x14ac:dyDescent="0.25">
      <c r="A19" s="51"/>
      <c r="B19" s="28" t="s">
        <v>32</v>
      </c>
      <c r="C19" s="81">
        <v>50000</v>
      </c>
      <c r="D19" s="81"/>
      <c r="E19" s="38"/>
      <c r="F19" s="44"/>
      <c r="G19" s="43"/>
      <c r="H19" s="43"/>
      <c r="I19" s="43"/>
      <c r="J19" s="43"/>
      <c r="K19" s="44"/>
    </row>
    <row r="20" spans="1:11" x14ac:dyDescent="0.25">
      <c r="A20" s="51"/>
      <c r="B20" s="28" t="s">
        <v>33</v>
      </c>
      <c r="C20" s="81">
        <f>C19-C22-C23</f>
        <v>47500</v>
      </c>
      <c r="D20" s="81"/>
      <c r="E20" s="38">
        <f>C20/C18*100</f>
        <v>72.836817472100307</v>
      </c>
      <c r="F20" s="44"/>
      <c r="G20" s="43"/>
      <c r="H20" s="43"/>
      <c r="I20" s="43"/>
      <c r="J20" s="43"/>
      <c r="K20" s="44"/>
    </row>
    <row r="21" spans="1:11" x14ac:dyDescent="0.25">
      <c r="A21" s="51"/>
      <c r="B21" s="28" t="s">
        <v>34</v>
      </c>
      <c r="C21" s="60">
        <f>C18-C20</f>
        <v>17714.27163974398</v>
      </c>
      <c r="D21" s="60"/>
      <c r="E21" s="38">
        <f>100-E20</f>
        <v>27.163182527899693</v>
      </c>
      <c r="F21" s="44"/>
      <c r="G21" s="43"/>
      <c r="H21" s="43"/>
      <c r="I21" s="43"/>
      <c r="J21" s="43"/>
      <c r="K21" s="44"/>
    </row>
    <row r="22" spans="1:11" x14ac:dyDescent="0.25">
      <c r="A22" s="51"/>
      <c r="B22" s="28" t="s">
        <v>35</v>
      </c>
      <c r="C22" s="60">
        <f>C19*0.03</f>
        <v>1500</v>
      </c>
      <c r="D22" s="60"/>
      <c r="E22" s="38">
        <v>3</v>
      </c>
      <c r="F22" s="44"/>
      <c r="G22" s="43"/>
      <c r="H22" s="43"/>
      <c r="I22" s="43"/>
      <c r="J22" s="43"/>
      <c r="K22" s="44"/>
    </row>
    <row r="23" spans="1:11" x14ac:dyDescent="0.25">
      <c r="A23" s="51"/>
      <c r="B23" s="28" t="s">
        <v>36</v>
      </c>
      <c r="C23" s="60">
        <f>C19*0.02</f>
        <v>1000</v>
      </c>
      <c r="D23" s="60"/>
      <c r="E23" s="38">
        <v>2</v>
      </c>
      <c r="F23" s="44"/>
      <c r="G23" s="43"/>
      <c r="H23" s="43"/>
      <c r="I23" s="43"/>
      <c r="J23" s="43"/>
      <c r="K23" s="44"/>
    </row>
    <row r="24" spans="1:11" s="34" customFormat="1" x14ac:dyDescent="0.25">
      <c r="A24" s="52"/>
      <c r="B24" s="52"/>
      <c r="C24" s="52"/>
      <c r="D24" s="52"/>
      <c r="E24" s="52"/>
      <c r="F24" s="52"/>
      <c r="G24" s="52"/>
      <c r="H24" s="52"/>
      <c r="I24" s="52"/>
      <c r="J24" s="52"/>
      <c r="K24" s="52"/>
    </row>
    <row r="25" spans="1:11" s="34" customFormat="1" x14ac:dyDescent="0.25"/>
    <row r="26" spans="1:11" s="34" customFormat="1" x14ac:dyDescent="0.25"/>
    <row r="27" spans="1:11" s="34" customFormat="1" x14ac:dyDescent="0.25"/>
    <row r="28" spans="1:11" s="34" customFormat="1" x14ac:dyDescent="0.25"/>
    <row r="29" spans="1:11" s="34" customFormat="1" x14ac:dyDescent="0.25"/>
    <row r="30" spans="1:11" s="34" customFormat="1" x14ac:dyDescent="0.25"/>
    <row r="31" spans="1:11" s="34" customFormat="1" x14ac:dyDescent="0.25"/>
    <row r="32" spans="1:11"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sheetData>
  <mergeCells count="15">
    <mergeCell ref="H7:K7"/>
    <mergeCell ref="C18:D18"/>
    <mergeCell ref="C19:D19"/>
    <mergeCell ref="A1:K1"/>
    <mergeCell ref="A2:K2"/>
    <mergeCell ref="A3:K3"/>
    <mergeCell ref="A4:K4"/>
    <mergeCell ref="A5:K5"/>
    <mergeCell ref="A6:F6"/>
    <mergeCell ref="H6:K6"/>
    <mergeCell ref="C20:D20"/>
    <mergeCell ref="C21:D21"/>
    <mergeCell ref="C22:D22"/>
    <mergeCell ref="C23:D23"/>
    <mergeCell ref="A7:F7"/>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67" t="s">
        <v>2</v>
      </c>
      <c r="B3" s="67"/>
      <c r="C3" s="67"/>
      <c r="D3" s="67"/>
      <c r="E3" s="67"/>
      <c r="F3" s="67"/>
      <c r="G3" s="67"/>
      <c r="H3" s="67"/>
      <c r="I3" s="67"/>
      <c r="J3" s="67"/>
      <c r="K3" s="67"/>
    </row>
    <row r="4" spans="1:11" s="1" customFormat="1" x14ac:dyDescent="0.25">
      <c r="A4" s="67" t="s">
        <v>3</v>
      </c>
      <c r="B4" s="67"/>
      <c r="C4" s="67"/>
      <c r="D4" s="67"/>
      <c r="E4" s="67"/>
      <c r="F4" s="67"/>
      <c r="G4" s="67"/>
      <c r="H4" s="67"/>
      <c r="I4" s="67"/>
      <c r="J4" s="67"/>
      <c r="K4" s="67"/>
    </row>
    <row r="5" spans="1:11" ht="18.75" x14ac:dyDescent="0.3">
      <c r="A5" s="73" t="s">
        <v>18</v>
      </c>
      <c r="B5" s="73"/>
      <c r="C5" s="73"/>
      <c r="D5" s="73"/>
      <c r="E5" s="73"/>
      <c r="F5" s="73"/>
      <c r="G5" s="73"/>
      <c r="H5" s="73"/>
      <c r="I5" s="73"/>
      <c r="J5" s="73"/>
      <c r="K5" s="73"/>
    </row>
    <row r="6" spans="1:11" ht="18.75" x14ac:dyDescent="0.3">
      <c r="A6" s="8" t="s">
        <v>19</v>
      </c>
      <c r="B6" s="8"/>
      <c r="C6" s="69" t="e">
        <f>F18</f>
        <v>#REF!</v>
      </c>
      <c r="D6" s="70"/>
      <c r="E6" s="9"/>
      <c r="F6" s="8"/>
      <c r="G6" s="8"/>
      <c r="H6" s="8" t="s">
        <v>20</v>
      </c>
      <c r="I6" s="8"/>
      <c r="J6" s="69" t="e">
        <f>I18</f>
        <v>#REF!</v>
      </c>
      <c r="K6" s="70"/>
    </row>
    <row r="7" spans="1:11" x14ac:dyDescent="0.25">
      <c r="A7" s="25" t="s">
        <v>29</v>
      </c>
      <c r="B7" s="10"/>
      <c r="C7" s="10"/>
      <c r="D7" s="10"/>
      <c r="F7" s="76"/>
      <c r="G7" s="76"/>
      <c r="I7" s="77" t="s">
        <v>37</v>
      </c>
      <c r="J7" s="77"/>
      <c r="K7" s="77"/>
    </row>
    <row r="8" spans="1:11" ht="15.75" x14ac:dyDescent="0.25">
      <c r="A8" s="63" t="e">
        <f>#REF!</f>
        <v>#REF!</v>
      </c>
      <c r="B8" s="63"/>
      <c r="C8" s="63"/>
      <c r="D8" s="63"/>
      <c r="E8" s="63"/>
      <c r="F8" s="63"/>
      <c r="I8" s="78" t="s">
        <v>38</v>
      </c>
      <c r="J8" s="78"/>
      <c r="K8" s="78"/>
    </row>
    <row r="9" spans="1:11" x14ac:dyDescent="0.25">
      <c r="A9" s="79" t="e">
        <f>#REF!</f>
        <v>#REF!</v>
      </c>
      <c r="B9" s="79"/>
      <c r="C9" s="79"/>
      <c r="D9" s="79"/>
      <c r="E9" s="79"/>
      <c r="F9" s="79"/>
      <c r="I9" s="78" t="s">
        <v>39</v>
      </c>
      <c r="J9" s="78"/>
      <c r="K9" s="78"/>
    </row>
    <row r="11" spans="1:11" x14ac:dyDescent="0.25">
      <c r="A11" s="74" t="s">
        <v>21</v>
      </c>
      <c r="B11" s="74" t="s">
        <v>22</v>
      </c>
      <c r="C11" s="74" t="s">
        <v>12</v>
      </c>
      <c r="D11" s="80" t="s">
        <v>23</v>
      </c>
      <c r="E11" s="80"/>
      <c r="F11" s="80"/>
      <c r="G11" s="80" t="s">
        <v>24</v>
      </c>
      <c r="H11" s="80"/>
      <c r="I11" s="80"/>
      <c r="J11" s="74" t="s">
        <v>25</v>
      </c>
      <c r="K11" s="75" t="s">
        <v>15</v>
      </c>
    </row>
    <row r="12" spans="1:11" x14ac:dyDescent="0.25">
      <c r="A12" s="74"/>
      <c r="B12" s="74"/>
      <c r="C12" s="74"/>
      <c r="D12" s="11" t="s">
        <v>26</v>
      </c>
      <c r="E12" s="11" t="s">
        <v>13</v>
      </c>
      <c r="F12" s="11" t="s">
        <v>14</v>
      </c>
      <c r="G12" s="11" t="s">
        <v>26</v>
      </c>
      <c r="H12" s="11" t="s">
        <v>13</v>
      </c>
      <c r="I12" s="11" t="s">
        <v>14</v>
      </c>
      <c r="J12" s="74"/>
      <c r="K12" s="75"/>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abSelected="1" topLeftCell="A16" zoomScaleNormal="100" workbookViewId="0">
      <selection activeCell="O23" sqref="O23"/>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 min="14" max="14" width="5.42578125" customWidth="1"/>
  </cols>
  <sheetData>
    <row r="1" spans="1:16" s="1" customFormat="1" x14ac:dyDescent="0.25">
      <c r="A1" s="65" t="s">
        <v>0</v>
      </c>
      <c r="B1" s="65"/>
      <c r="C1" s="65"/>
      <c r="D1" s="65"/>
      <c r="E1" s="65"/>
      <c r="F1" s="65"/>
      <c r="G1" s="65"/>
      <c r="H1" s="65"/>
      <c r="I1" s="65"/>
      <c r="J1" s="65"/>
      <c r="K1" s="65"/>
    </row>
    <row r="2" spans="1:16" s="1" customFormat="1" ht="22.5" x14ac:dyDescent="0.25">
      <c r="A2" s="66" t="s">
        <v>1</v>
      </c>
      <c r="B2" s="66"/>
      <c r="C2" s="66"/>
      <c r="D2" s="66"/>
      <c r="E2" s="66"/>
      <c r="F2" s="66"/>
      <c r="G2" s="66"/>
      <c r="H2" s="66"/>
      <c r="I2" s="66"/>
      <c r="J2" s="66"/>
      <c r="K2" s="66"/>
    </row>
    <row r="3" spans="1:16" s="1" customFormat="1" x14ac:dyDescent="0.25">
      <c r="A3" s="67" t="s">
        <v>2</v>
      </c>
      <c r="B3" s="67"/>
      <c r="C3" s="67"/>
      <c r="D3" s="67"/>
      <c r="E3" s="67"/>
      <c r="F3" s="67"/>
      <c r="G3" s="67"/>
      <c r="H3" s="67"/>
      <c r="I3" s="67"/>
      <c r="J3" s="67"/>
      <c r="K3" s="67"/>
    </row>
    <row r="4" spans="1:16" s="1" customFormat="1" x14ac:dyDescent="0.25">
      <c r="A4" s="67" t="s">
        <v>3</v>
      </c>
      <c r="B4" s="67"/>
      <c r="C4" s="67"/>
      <c r="D4" s="67"/>
      <c r="E4" s="67"/>
      <c r="F4" s="67"/>
      <c r="G4" s="67"/>
      <c r="H4" s="67"/>
      <c r="I4" s="67"/>
      <c r="J4" s="67"/>
      <c r="K4" s="67"/>
    </row>
    <row r="5" spans="1:16" ht="18.75" x14ac:dyDescent="0.3">
      <c r="A5" s="68" t="s">
        <v>4</v>
      </c>
      <c r="B5" s="68"/>
      <c r="C5" s="68"/>
      <c r="D5" s="68"/>
      <c r="E5" s="68"/>
      <c r="F5" s="68"/>
      <c r="G5" s="68"/>
      <c r="H5" s="68"/>
      <c r="I5" s="68"/>
      <c r="J5" s="68"/>
      <c r="K5" s="68"/>
    </row>
    <row r="6" spans="1:16" ht="15.75" x14ac:dyDescent="0.25">
      <c r="A6" s="63" t="s">
        <v>48</v>
      </c>
      <c r="B6" s="63"/>
      <c r="C6" s="63"/>
      <c r="D6" s="63"/>
      <c r="E6" s="63"/>
      <c r="F6" s="63"/>
      <c r="G6" s="2"/>
      <c r="H6" s="64" t="s">
        <v>42</v>
      </c>
      <c r="I6" s="64"/>
      <c r="J6" s="64"/>
      <c r="K6" s="64"/>
    </row>
    <row r="7" spans="1:16" ht="15.75" x14ac:dyDescent="0.25">
      <c r="A7" s="61" t="s">
        <v>28</v>
      </c>
      <c r="B7" s="61"/>
      <c r="C7" s="61"/>
      <c r="D7" s="61"/>
      <c r="E7" s="61"/>
      <c r="F7" s="61"/>
      <c r="G7" s="3"/>
      <c r="H7" s="62" t="s">
        <v>47</v>
      </c>
      <c r="I7" s="62"/>
      <c r="J7" s="62"/>
      <c r="K7" s="62"/>
    </row>
    <row r="8" spans="1:16" ht="15" customHeight="1" x14ac:dyDescent="0.25">
      <c r="A8" s="4" t="s">
        <v>5</v>
      </c>
      <c r="B8" s="15" t="s">
        <v>6</v>
      </c>
      <c r="C8" s="4" t="s">
        <v>7</v>
      </c>
      <c r="D8" s="16" t="s">
        <v>8</v>
      </c>
      <c r="E8" s="16" t="s">
        <v>9</v>
      </c>
      <c r="F8" s="16" t="s">
        <v>10</v>
      </c>
      <c r="G8" s="16" t="s">
        <v>11</v>
      </c>
      <c r="H8" s="4" t="s">
        <v>12</v>
      </c>
      <c r="I8" s="16" t="s">
        <v>13</v>
      </c>
      <c r="J8" s="16" t="s">
        <v>14</v>
      </c>
      <c r="K8" s="17" t="s">
        <v>15</v>
      </c>
    </row>
    <row r="9" spans="1:16" ht="105" x14ac:dyDescent="0.25">
      <c r="A9" s="18">
        <v>1</v>
      </c>
      <c r="B9" s="29" t="s">
        <v>46</v>
      </c>
      <c r="C9" s="19"/>
      <c r="D9" s="20"/>
      <c r="E9" s="21"/>
      <c r="F9" s="21"/>
      <c r="G9" s="23"/>
      <c r="H9" s="22"/>
      <c r="I9" s="23"/>
      <c r="J9" s="40"/>
      <c r="K9" s="58"/>
      <c r="N9" s="59" t="s">
        <v>64</v>
      </c>
      <c r="O9" s="59" t="s">
        <v>63</v>
      </c>
      <c r="P9" s="59" t="s">
        <v>65</v>
      </c>
    </row>
    <row r="10" spans="1:16" ht="15" customHeight="1" x14ac:dyDescent="0.25">
      <c r="A10" s="18"/>
      <c r="B10" s="36" t="s">
        <v>49</v>
      </c>
      <c r="C10" s="35"/>
      <c r="D10" s="37"/>
      <c r="E10" s="37"/>
      <c r="F10" s="37"/>
      <c r="G10" s="38"/>
      <c r="H10" s="39"/>
      <c r="I10" s="39"/>
      <c r="J10" s="39"/>
      <c r="K10" s="58"/>
      <c r="O10" s="82">
        <f>8.75/3.281</f>
        <v>2.6668698567509903</v>
      </c>
      <c r="P10" s="82">
        <f>0.42/3.281</f>
        <v>0.12800975312404753</v>
      </c>
    </row>
    <row r="11" spans="1:16" ht="15" customHeight="1" x14ac:dyDescent="0.25">
      <c r="A11" s="18"/>
      <c r="B11" s="36" t="s">
        <v>50</v>
      </c>
      <c r="C11" s="35">
        <v>1</v>
      </c>
      <c r="D11" s="37">
        <f>N11</f>
        <v>5</v>
      </c>
      <c r="E11" s="37">
        <f>(O10+O11)/2</f>
        <v>2.7049679975617189</v>
      </c>
      <c r="F11" s="37">
        <f>(P10+P11)/2</f>
        <v>0.12800975312404753</v>
      </c>
      <c r="G11" s="38">
        <f>PRODUCT(C11:F11)</f>
        <v>1.7313114278816242</v>
      </c>
      <c r="H11" s="39"/>
      <c r="I11" s="39"/>
      <c r="J11" s="39"/>
      <c r="K11" s="58"/>
      <c r="N11">
        <v>5</v>
      </c>
      <c r="O11" s="82">
        <f>9/3.281</f>
        <v>2.7430661383724475</v>
      </c>
      <c r="P11" s="82">
        <f>0.42/3.281</f>
        <v>0.12800975312404753</v>
      </c>
    </row>
    <row r="12" spans="1:16" ht="15" customHeight="1" x14ac:dyDescent="0.25">
      <c r="A12" s="18"/>
      <c r="B12" s="36" t="s">
        <v>51</v>
      </c>
      <c r="C12" s="35">
        <v>1</v>
      </c>
      <c r="D12" s="37">
        <f t="shared" ref="D12:D22" si="0">N12</f>
        <v>5</v>
      </c>
      <c r="E12" s="37">
        <f t="shared" ref="E12:E23" si="1">(O11+O12)/2</f>
        <v>3.047851264858275</v>
      </c>
      <c r="F12" s="37">
        <f t="shared" ref="F12:F23" si="2">(P11+P12)/2</f>
        <v>0.14020115818348061</v>
      </c>
      <c r="G12" s="38">
        <f t="shared" ref="G12:G22" si="3">PRODUCT(C12:F12)</f>
        <v>2.1365613865205826</v>
      </c>
      <c r="H12" s="39"/>
      <c r="I12" s="39"/>
      <c r="J12" s="39"/>
      <c r="K12" s="58"/>
      <c r="N12">
        <v>5</v>
      </c>
      <c r="O12" s="82">
        <f>11/3.281</f>
        <v>3.3526363913441024</v>
      </c>
      <c r="P12" s="82">
        <f>0.5/3.281</f>
        <v>0.15239256324291373</v>
      </c>
    </row>
    <row r="13" spans="1:16" ht="15" customHeight="1" x14ac:dyDescent="0.25">
      <c r="A13" s="18"/>
      <c r="B13" s="36" t="s">
        <v>52</v>
      </c>
      <c r="C13" s="35">
        <v>1</v>
      </c>
      <c r="D13" s="37">
        <f t="shared" si="0"/>
        <v>5</v>
      </c>
      <c r="E13" s="37">
        <f t="shared" si="1"/>
        <v>3.1341306956720514</v>
      </c>
      <c r="F13" s="37">
        <f t="shared" si="2"/>
        <v>0.12648582749161841</v>
      </c>
      <c r="G13" s="38">
        <f t="shared" si="3"/>
        <v>1.9821155725448054</v>
      </c>
      <c r="H13" s="39"/>
      <c r="I13" s="39"/>
      <c r="J13" s="39"/>
      <c r="K13" s="58"/>
      <c r="N13">
        <v>5</v>
      </c>
      <c r="O13" s="82">
        <f>9.33/3.2/1</f>
        <v>2.9156249999999999</v>
      </c>
      <c r="P13" s="82">
        <f>0.33/3.281</f>
        <v>0.10057909174032308</v>
      </c>
    </row>
    <row r="14" spans="1:16" ht="15" customHeight="1" x14ac:dyDescent="0.25">
      <c r="A14" s="18"/>
      <c r="B14" s="36" t="s">
        <v>53</v>
      </c>
      <c r="C14" s="35">
        <v>1</v>
      </c>
      <c r="D14" s="37">
        <f t="shared" si="0"/>
        <v>5</v>
      </c>
      <c r="E14" s="37">
        <f t="shared" si="1"/>
        <v>2.9055418508076807</v>
      </c>
      <c r="F14" s="37">
        <f t="shared" si="2"/>
        <v>0.12648582749161841</v>
      </c>
      <c r="G14" s="38">
        <f t="shared" si="3"/>
        <v>1.8375493265546898</v>
      </c>
      <c r="H14" s="39"/>
      <c r="I14" s="39"/>
      <c r="J14" s="39"/>
      <c r="K14" s="58"/>
      <c r="N14">
        <v>5</v>
      </c>
      <c r="O14" s="82">
        <f>9.5/3.281</f>
        <v>2.895458701615361</v>
      </c>
      <c r="P14" s="82">
        <f>0.5/3.281</f>
        <v>0.15239256324291373</v>
      </c>
    </row>
    <row r="15" spans="1:16" ht="15" customHeight="1" x14ac:dyDescent="0.25">
      <c r="A15" s="18"/>
      <c r="B15" s="36" t="s">
        <v>54</v>
      </c>
      <c r="C15" s="35">
        <v>1</v>
      </c>
      <c r="D15" s="37">
        <f t="shared" si="0"/>
        <v>5</v>
      </c>
      <c r="E15" s="37">
        <f t="shared" si="1"/>
        <v>2.8192624199939043</v>
      </c>
      <c r="F15" s="37">
        <v>0.15</v>
      </c>
      <c r="G15" s="38">
        <f t="shared" si="3"/>
        <v>2.1144468149954281</v>
      </c>
      <c r="H15" s="39"/>
      <c r="I15" s="39"/>
      <c r="J15" s="39"/>
      <c r="K15" s="58"/>
      <c r="N15">
        <v>5</v>
      </c>
      <c r="O15" s="82">
        <f>9/3.281</f>
        <v>2.7430661383724475</v>
      </c>
      <c r="P15" s="82">
        <f>0.583/3.281</f>
        <v>0.1776897287412374</v>
      </c>
    </row>
    <row r="16" spans="1:16" ht="15" customHeight="1" x14ac:dyDescent="0.25">
      <c r="A16" s="18"/>
      <c r="B16" s="36" t="s">
        <v>55</v>
      </c>
      <c r="C16" s="35">
        <v>1</v>
      </c>
      <c r="D16" s="37">
        <f t="shared" si="0"/>
        <v>5</v>
      </c>
      <c r="E16" s="37">
        <f t="shared" si="1"/>
        <v>2.6668698567509903</v>
      </c>
      <c r="F16" s="37">
        <v>0.15</v>
      </c>
      <c r="G16" s="38">
        <f t="shared" si="3"/>
        <v>2.0001523925632427</v>
      </c>
      <c r="H16" s="39"/>
      <c r="I16" s="39"/>
      <c r="J16" s="39"/>
      <c r="K16" s="58"/>
      <c r="N16">
        <v>5</v>
      </c>
      <c r="O16" s="82">
        <f>8.5/3.281</f>
        <v>2.5906735751295336</v>
      </c>
      <c r="P16" s="82">
        <f>0.75/3.281</f>
        <v>0.22858884486437062</v>
      </c>
    </row>
    <row r="17" spans="1:16" ht="15" customHeight="1" x14ac:dyDescent="0.25">
      <c r="A17" s="18"/>
      <c r="B17" s="36" t="s">
        <v>56</v>
      </c>
      <c r="C17" s="35">
        <v>1</v>
      </c>
      <c r="D17" s="37">
        <f t="shared" si="0"/>
        <v>5</v>
      </c>
      <c r="E17" s="37">
        <f t="shared" si="1"/>
        <v>2.5906735751295336</v>
      </c>
      <c r="F17" s="37">
        <v>0.15</v>
      </c>
      <c r="G17" s="38">
        <f t="shared" si="3"/>
        <v>1.9430051813471501</v>
      </c>
      <c r="H17" s="39"/>
      <c r="I17" s="39"/>
      <c r="J17" s="39"/>
      <c r="K17" s="58"/>
      <c r="N17">
        <v>5</v>
      </c>
      <c r="O17" s="82">
        <f>8.5/3.281</f>
        <v>2.5906735751295336</v>
      </c>
      <c r="P17" s="82">
        <f>0.5/3.281</f>
        <v>0.15239256324291373</v>
      </c>
    </row>
    <row r="18" spans="1:16" ht="15" customHeight="1" x14ac:dyDescent="0.25">
      <c r="A18" s="18"/>
      <c r="B18" s="36" t="s">
        <v>57</v>
      </c>
      <c r="C18" s="35">
        <v>1</v>
      </c>
      <c r="D18" s="37">
        <f t="shared" si="0"/>
        <v>5</v>
      </c>
      <c r="E18" s="37">
        <f t="shared" si="1"/>
        <v>2.6668698567509903</v>
      </c>
      <c r="F18" s="37">
        <f t="shared" si="2"/>
        <v>0.12648582749161841</v>
      </c>
      <c r="G18" s="38">
        <f t="shared" si="3"/>
        <v>1.6866062032180142</v>
      </c>
      <c r="H18" s="39"/>
      <c r="I18" s="39"/>
      <c r="J18" s="39"/>
      <c r="K18" s="58"/>
      <c r="N18">
        <v>5</v>
      </c>
      <c r="O18" s="82">
        <f>9/3.281</f>
        <v>2.7430661383724475</v>
      </c>
      <c r="P18" s="82">
        <f>0.33/3.281</f>
        <v>0.10057909174032308</v>
      </c>
    </row>
    <row r="19" spans="1:16" ht="15" customHeight="1" x14ac:dyDescent="0.25">
      <c r="A19" s="18"/>
      <c r="B19" s="36" t="s">
        <v>58</v>
      </c>
      <c r="C19" s="35">
        <v>1</v>
      </c>
      <c r="D19" s="37">
        <f t="shared" si="0"/>
        <v>5</v>
      </c>
      <c r="E19" s="37">
        <f t="shared" si="1"/>
        <v>2.8447119780554706</v>
      </c>
      <c r="F19" s="37">
        <f t="shared" si="2"/>
        <v>0.10057909174032308</v>
      </c>
      <c r="G19" s="38">
        <f t="shared" si="3"/>
        <v>1.4305927350781855</v>
      </c>
      <c r="H19" s="39"/>
      <c r="I19" s="39"/>
      <c r="J19" s="39"/>
      <c r="K19" s="58"/>
      <c r="N19">
        <v>5</v>
      </c>
      <c r="O19" s="82">
        <f>9.667/3.281</f>
        <v>2.9463578177384941</v>
      </c>
      <c r="P19" s="82">
        <f>0.33/3.281</f>
        <v>0.10057909174032308</v>
      </c>
    </row>
    <row r="20" spans="1:16" ht="15" customHeight="1" x14ac:dyDescent="0.25">
      <c r="A20" s="18"/>
      <c r="B20" s="36" t="s">
        <v>59</v>
      </c>
      <c r="C20" s="35">
        <v>1</v>
      </c>
      <c r="D20" s="37">
        <f t="shared" si="0"/>
        <v>5</v>
      </c>
      <c r="E20" s="37">
        <f t="shared" si="1"/>
        <v>2.9463578177384941</v>
      </c>
      <c r="F20" s="37">
        <f t="shared" si="2"/>
        <v>0.11429442243218529</v>
      </c>
      <c r="G20" s="38">
        <f t="shared" si="3"/>
        <v>1.6837613252848753</v>
      </c>
      <c r="H20" s="39"/>
      <c r="I20" s="39"/>
      <c r="J20" s="39"/>
      <c r="K20" s="58"/>
      <c r="N20">
        <v>5</v>
      </c>
      <c r="O20" s="82">
        <f>9.667/3.281</f>
        <v>2.9463578177384941</v>
      </c>
      <c r="P20" s="82">
        <f>0.42/3.281</f>
        <v>0.12800975312404753</v>
      </c>
    </row>
    <row r="21" spans="1:16" ht="15" customHeight="1" x14ac:dyDescent="0.25">
      <c r="A21" s="18"/>
      <c r="B21" s="36" t="s">
        <v>60</v>
      </c>
      <c r="C21" s="35">
        <v>1</v>
      </c>
      <c r="D21" s="37">
        <f t="shared" si="0"/>
        <v>5</v>
      </c>
      <c r="E21" s="37">
        <f t="shared" si="1"/>
        <v>3.2135019811033221</v>
      </c>
      <c r="F21" s="37">
        <f t="shared" si="2"/>
        <v>0.12800975312404753</v>
      </c>
      <c r="G21" s="38">
        <f t="shared" si="3"/>
        <v>2.0567979763233692</v>
      </c>
      <c r="H21" s="39"/>
      <c r="I21" s="39"/>
      <c r="J21" s="39"/>
      <c r="K21" s="58"/>
      <c r="N21">
        <v>5</v>
      </c>
      <c r="O21" s="82">
        <f>11.42/3.281</f>
        <v>3.4806461444681496</v>
      </c>
      <c r="P21" s="82">
        <f>0.42/3.281</f>
        <v>0.12800975312404753</v>
      </c>
    </row>
    <row r="22" spans="1:16" ht="15" customHeight="1" x14ac:dyDescent="0.25">
      <c r="A22" s="18"/>
      <c r="B22" s="36" t="s">
        <v>61</v>
      </c>
      <c r="C22" s="35">
        <v>1</v>
      </c>
      <c r="D22" s="37">
        <f t="shared" si="0"/>
        <v>6</v>
      </c>
      <c r="E22" s="37">
        <f t="shared" si="1"/>
        <v>3.4806461444681496</v>
      </c>
      <c r="F22" s="37">
        <f t="shared" si="2"/>
        <v>0.14020115818348061</v>
      </c>
      <c r="G22" s="38">
        <f t="shared" si="3"/>
        <v>2.9279437240878057</v>
      </c>
      <c r="H22" s="39"/>
      <c r="I22" s="39"/>
      <c r="J22" s="39"/>
      <c r="K22" s="58"/>
      <c r="N22">
        <v>6</v>
      </c>
      <c r="O22" s="82">
        <f>11.42/3.281</f>
        <v>3.4806461444681496</v>
      </c>
      <c r="P22" s="82">
        <f>0.5/3.281</f>
        <v>0.15239256324291373</v>
      </c>
    </row>
    <row r="23" spans="1:16" ht="15" customHeight="1" x14ac:dyDescent="0.25">
      <c r="A23" s="18"/>
      <c r="B23" s="36" t="s">
        <v>62</v>
      </c>
      <c r="C23" s="35">
        <v>1</v>
      </c>
      <c r="D23" s="37">
        <f t="shared" ref="D23" si="4">N23</f>
        <v>8</v>
      </c>
      <c r="E23" s="37">
        <f t="shared" si="1"/>
        <v>3.1880524230417553</v>
      </c>
      <c r="F23" s="37">
        <f t="shared" si="2"/>
        <v>0.15119628162145687</v>
      </c>
      <c r="G23" s="38">
        <f t="shared" ref="G23" si="5">PRODUCT(C23:F23)</f>
        <v>3.8561733758255134</v>
      </c>
      <c r="H23" s="39"/>
      <c r="I23" s="39"/>
      <c r="J23" s="39"/>
      <c r="K23" s="58"/>
      <c r="N23">
        <v>8</v>
      </c>
      <c r="O23" s="82">
        <f>9.5/3.281</f>
        <v>2.895458701615361</v>
      </c>
      <c r="P23" s="82">
        <v>0.15</v>
      </c>
    </row>
    <row r="24" spans="1:16" ht="15" customHeight="1" x14ac:dyDescent="0.25">
      <c r="A24" s="18"/>
      <c r="B24" s="36" t="s">
        <v>41</v>
      </c>
      <c r="C24" s="19"/>
      <c r="D24" s="20"/>
      <c r="E24" s="21"/>
      <c r="F24" s="21"/>
      <c r="G24" s="23">
        <f>SUM(G11:G23)</f>
        <v>27.387017442225286</v>
      </c>
      <c r="H24" s="22" t="s">
        <v>40</v>
      </c>
      <c r="I24" s="23">
        <v>1693.85</v>
      </c>
      <c r="J24" s="40">
        <f>G24*I24</f>
        <v>46389.4994945133</v>
      </c>
      <c r="K24" s="58"/>
    </row>
    <row r="25" spans="1:16" ht="15" customHeight="1" x14ac:dyDescent="0.25">
      <c r="A25" s="18"/>
      <c r="B25" s="36" t="s">
        <v>43</v>
      </c>
      <c r="C25" s="19"/>
      <c r="D25" s="20"/>
      <c r="E25" s="21"/>
      <c r="F25" s="21"/>
      <c r="G25" s="23"/>
      <c r="H25" s="22"/>
      <c r="I25" s="23"/>
      <c r="J25" s="40">
        <f>0.13*G24*446551.8/300</f>
        <v>5299.5461720314088</v>
      </c>
      <c r="K25" s="21"/>
    </row>
    <row r="26" spans="1:16" ht="15" customHeight="1" x14ac:dyDescent="0.25">
      <c r="A26" s="18"/>
      <c r="B26" s="29"/>
      <c r="C26" s="19"/>
      <c r="D26" s="20"/>
      <c r="E26" s="21"/>
      <c r="F26" s="21"/>
      <c r="G26" s="23"/>
      <c r="H26" s="22"/>
      <c r="I26" s="23"/>
      <c r="J26" s="40"/>
      <c r="K26" s="21"/>
    </row>
    <row r="27" spans="1:16" ht="15" customHeight="1" x14ac:dyDescent="0.25">
      <c r="A27" s="18">
        <v>2</v>
      </c>
      <c r="B27" s="29" t="s">
        <v>30</v>
      </c>
      <c r="C27" s="19">
        <v>1</v>
      </c>
      <c r="D27" s="20"/>
      <c r="E27" s="21"/>
      <c r="F27" s="21"/>
      <c r="G27" s="33">
        <f t="shared" ref="G27" si="6">PRODUCT(C27:F27)</f>
        <v>1</v>
      </c>
      <c r="H27" s="22" t="s">
        <v>31</v>
      </c>
      <c r="I27" s="23">
        <v>500</v>
      </c>
      <c r="J27" s="33">
        <f>G27*I27</f>
        <v>500</v>
      </c>
      <c r="K27" s="21"/>
    </row>
    <row r="28" spans="1:16" ht="15" customHeight="1" x14ac:dyDescent="0.25">
      <c r="A28" s="18"/>
      <c r="B28" s="24"/>
      <c r="C28" s="19"/>
      <c r="D28" s="20"/>
      <c r="E28" s="21"/>
      <c r="F28" s="21"/>
      <c r="G28" s="23"/>
      <c r="H28" s="22"/>
      <c r="I28" s="23"/>
      <c r="J28" s="40"/>
      <c r="K28" s="21"/>
    </row>
    <row r="29" spans="1:16" x14ac:dyDescent="0.25">
      <c r="A29" s="39"/>
      <c r="B29" s="41" t="s">
        <v>17</v>
      </c>
      <c r="C29" s="42"/>
      <c r="D29" s="37"/>
      <c r="E29" s="37"/>
      <c r="F29" s="37"/>
      <c r="G29" s="40"/>
      <c r="H29" s="40"/>
      <c r="I29" s="40"/>
      <c r="J29" s="40">
        <f>SUM(J9:J27)</f>
        <v>52189.045666544713</v>
      </c>
      <c r="K29" s="35"/>
    </row>
    <row r="30" spans="1:16" x14ac:dyDescent="0.25">
      <c r="A30" s="53"/>
      <c r="B30" s="56"/>
      <c r="C30" s="57"/>
      <c r="D30" s="54"/>
      <c r="E30" s="54"/>
      <c r="F30" s="54"/>
      <c r="G30" s="55"/>
      <c r="H30" s="55"/>
      <c r="I30" s="55"/>
      <c r="J30" s="55"/>
      <c r="K30" s="52"/>
    </row>
    <row r="31" spans="1:16" s="1" customFormat="1" x14ac:dyDescent="0.25">
      <c r="A31" s="45"/>
      <c r="B31" s="28" t="s">
        <v>27</v>
      </c>
      <c r="C31" s="60">
        <f>J29</f>
        <v>52189.045666544713</v>
      </c>
      <c r="D31" s="60"/>
      <c r="E31" s="38">
        <v>100</v>
      </c>
      <c r="F31" s="46"/>
      <c r="G31" s="47"/>
      <c r="H31" s="46"/>
      <c r="I31" s="48"/>
      <c r="J31" s="49"/>
      <c r="K31" s="50"/>
    </row>
    <row r="32" spans="1:16" x14ac:dyDescent="0.25">
      <c r="A32" s="51"/>
      <c r="B32" s="28" t="s">
        <v>32</v>
      </c>
      <c r="C32" s="81">
        <v>50000</v>
      </c>
      <c r="D32" s="81"/>
      <c r="E32" s="38"/>
      <c r="F32" s="44"/>
      <c r="G32" s="43"/>
      <c r="H32" s="43"/>
      <c r="I32" s="43"/>
      <c r="J32" s="43"/>
      <c r="K32" s="44"/>
    </row>
    <row r="33" spans="1:11" x14ac:dyDescent="0.25">
      <c r="A33" s="51"/>
      <c r="B33" s="28" t="s">
        <v>33</v>
      </c>
      <c r="C33" s="81">
        <f>C32-C35-C36</f>
        <v>47500</v>
      </c>
      <c r="D33" s="81"/>
      <c r="E33" s="38">
        <f>C33/C31*100</f>
        <v>91.015268421452319</v>
      </c>
      <c r="F33" s="44"/>
      <c r="G33" s="43"/>
      <c r="H33" s="43"/>
      <c r="I33" s="43"/>
      <c r="J33" s="43"/>
      <c r="K33" s="44"/>
    </row>
    <row r="34" spans="1:11" x14ac:dyDescent="0.25">
      <c r="A34" s="51"/>
      <c r="B34" s="28" t="s">
        <v>34</v>
      </c>
      <c r="C34" s="60">
        <f>C31-C33</f>
        <v>4689.0456665447127</v>
      </c>
      <c r="D34" s="60"/>
      <c r="E34" s="38">
        <f>100-E33</f>
        <v>8.9847315785476809</v>
      </c>
      <c r="F34" s="44"/>
      <c r="G34" s="43"/>
      <c r="H34" s="43"/>
      <c r="I34" s="43"/>
      <c r="J34" s="43"/>
      <c r="K34" s="44"/>
    </row>
    <row r="35" spans="1:11" x14ac:dyDescent="0.25">
      <c r="A35" s="51"/>
      <c r="B35" s="28" t="s">
        <v>35</v>
      </c>
      <c r="C35" s="60">
        <f>C32*0.03</f>
        <v>1500</v>
      </c>
      <c r="D35" s="60"/>
      <c r="E35" s="38">
        <v>3</v>
      </c>
      <c r="F35" s="44"/>
      <c r="G35" s="43"/>
      <c r="H35" s="43"/>
      <c r="I35" s="43"/>
      <c r="J35" s="43"/>
      <c r="K35" s="44"/>
    </row>
    <row r="36" spans="1:11" x14ac:dyDescent="0.25">
      <c r="A36" s="51"/>
      <c r="B36" s="28" t="s">
        <v>36</v>
      </c>
      <c r="C36" s="60">
        <f>C32*0.02</f>
        <v>1000</v>
      </c>
      <c r="D36" s="60"/>
      <c r="E36" s="38">
        <v>2</v>
      </c>
      <c r="F36" s="44"/>
      <c r="G36" s="43"/>
      <c r="H36" s="43"/>
      <c r="I36" s="43"/>
      <c r="J36" s="43"/>
      <c r="K36" s="44"/>
    </row>
    <row r="37" spans="1:11" s="34" customFormat="1" x14ac:dyDescent="0.25">
      <c r="A37" s="52"/>
      <c r="B37" s="52"/>
      <c r="C37" s="52"/>
      <c r="D37" s="52"/>
      <c r="E37" s="52"/>
      <c r="F37" s="52"/>
      <c r="G37" s="52"/>
      <c r="H37" s="52"/>
      <c r="I37" s="52"/>
      <c r="J37" s="52"/>
      <c r="K37" s="52"/>
    </row>
    <row r="38" spans="1:11" s="34" customFormat="1" x14ac:dyDescent="0.25"/>
    <row r="39" spans="1:11" s="34" customFormat="1" x14ac:dyDescent="0.25"/>
    <row r="40" spans="1:11" s="34" customFormat="1" x14ac:dyDescent="0.25"/>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sheetData>
  <mergeCells count="15">
    <mergeCell ref="C35:D35"/>
    <mergeCell ref="C36:D36"/>
    <mergeCell ref="A7:F7"/>
    <mergeCell ref="H7:K7"/>
    <mergeCell ref="C31:D31"/>
    <mergeCell ref="C32:D32"/>
    <mergeCell ref="C33:D33"/>
    <mergeCell ref="C34:D34"/>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local</vt:lpstr>
      <vt:lpstr>WCR</vt:lpstr>
      <vt:lpstr>V</vt:lpstr>
      <vt:lpstr>local!Print_Area</vt:lpstr>
      <vt:lpstr>V!Print_Area</vt:lpstr>
      <vt:lpstr>local!Print_Titles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2025-05-26T06:49:23Z</cp:lastPrinted>
  <dcterms:created xsi:type="dcterms:W3CDTF">2015-06-05T18:17:20Z</dcterms:created>
  <dcterms:modified xsi:type="dcterms:W3CDTF">2025-06-26T05:39:02Z</dcterms:modified>
</cp:coreProperties>
</file>