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school lilaami\"/>
    </mc:Choice>
  </mc:AlternateContent>
  <bookViews>
    <workbookView xWindow="-120" yWindow="-120" windowWidth="20736" windowHeight="11160"/>
  </bookViews>
  <sheets>
    <sheet name="new" sheetId="18" r:id="rId1"/>
    <sheet name="WCR" sheetId="6" r:id="rId2"/>
    <sheet name="Sheet1" sheetId="20" state="hidden" r:id="rId3"/>
  </sheets>
  <externalReferences>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new!$A$1:$K$87</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18" l="1"/>
  <c r="G59" i="18"/>
  <c r="G60" i="18"/>
  <c r="G57" i="18"/>
  <c r="F60" i="18"/>
  <c r="D60" i="18"/>
  <c r="F59" i="18"/>
  <c r="F58" i="18"/>
  <c r="D58" i="18"/>
  <c r="O72" i="18"/>
  <c r="N72" i="18"/>
  <c r="G77" i="18"/>
  <c r="G76" i="18"/>
  <c r="E76" i="18"/>
  <c r="F57" i="18"/>
  <c r="G63" i="18"/>
  <c r="G52" i="18"/>
  <c r="G53" i="18"/>
  <c r="G54" i="18"/>
  <c r="G55" i="18"/>
  <c r="D55" i="18"/>
  <c r="F55" i="18"/>
  <c r="F54" i="18"/>
  <c r="D54" i="18"/>
  <c r="F53" i="18"/>
  <c r="D52" i="18"/>
  <c r="G50" i="18"/>
  <c r="G51" i="18"/>
  <c r="G49" i="18"/>
  <c r="F51" i="18"/>
  <c r="D51" i="18"/>
  <c r="F50" i="18"/>
  <c r="D50" i="18"/>
  <c r="F49" i="18"/>
  <c r="G73" i="18" l="1"/>
  <c r="G72" i="18"/>
  <c r="G70" i="18"/>
  <c r="G69" i="18"/>
  <c r="G67" i="18"/>
  <c r="G66" i="18"/>
  <c r="D68" i="18"/>
  <c r="G68" i="18" s="1"/>
  <c r="D74" i="18"/>
  <c r="G74" i="18" s="1"/>
  <c r="D71" i="18"/>
  <c r="G71" i="18" s="1"/>
  <c r="B72" i="18"/>
  <c r="B69" i="18"/>
  <c r="B66" i="18"/>
  <c r="G45" i="18"/>
  <c r="F39" i="18"/>
  <c r="O39" i="18"/>
  <c r="N39" i="18"/>
  <c r="O40" i="18"/>
  <c r="J77" i="18" l="1"/>
  <c r="C41" i="18"/>
  <c r="G41" i="18" s="1"/>
  <c r="C40" i="18"/>
  <c r="G40" i="18" s="1"/>
  <c r="N46" i="18"/>
  <c r="F46" i="18"/>
  <c r="F38" i="18"/>
  <c r="F36" i="18"/>
  <c r="F37" i="18" s="1"/>
  <c r="F35" i="18"/>
  <c r="D24" i="18"/>
  <c r="D25" i="18"/>
  <c r="D12" i="18"/>
  <c r="D13" i="18"/>
  <c r="F47" i="18"/>
  <c r="D47" i="18"/>
  <c r="D46" i="18"/>
  <c r="G44" i="18"/>
  <c r="E43" i="18"/>
  <c r="D43" i="18"/>
  <c r="E42" i="18"/>
  <c r="D42" i="18"/>
  <c r="G39" i="18"/>
  <c r="G38" i="18"/>
  <c r="G36" i="18"/>
  <c r="G35" i="18"/>
  <c r="F42" i="18" l="1"/>
  <c r="G42" i="18" s="1"/>
  <c r="F43" i="18"/>
  <c r="G43" i="18" s="1"/>
  <c r="G47" i="18"/>
  <c r="G37" i="18"/>
  <c r="G46" i="18"/>
  <c r="F28" i="18" l="1"/>
  <c r="F27" i="18"/>
  <c r="F24" i="18"/>
  <c r="F25" i="18"/>
  <c r="F26" i="18" s="1"/>
  <c r="F29" i="18" s="1"/>
  <c r="D30" i="18"/>
  <c r="D28" i="18" l="1"/>
  <c r="G28" i="18" s="1"/>
  <c r="D27" i="18"/>
  <c r="G27" i="18" s="1"/>
  <c r="D26" i="18"/>
  <c r="G25" i="18"/>
  <c r="G24" i="18"/>
  <c r="D33" i="18"/>
  <c r="D32" i="18"/>
  <c r="F31" i="18"/>
  <c r="D31" i="18"/>
  <c r="E30" i="18"/>
  <c r="E29" i="18"/>
  <c r="D29" i="18"/>
  <c r="D22" i="18"/>
  <c r="D21" i="18"/>
  <c r="F19" i="18"/>
  <c r="D19" i="18"/>
  <c r="G19" i="18" s="1"/>
  <c r="E18" i="18"/>
  <c r="D18" i="18"/>
  <c r="E17" i="18"/>
  <c r="D17" i="18"/>
  <c r="D14" i="18"/>
  <c r="F16" i="18"/>
  <c r="F13" i="18"/>
  <c r="F22" i="18" s="1"/>
  <c r="D16" i="18"/>
  <c r="G16" i="18" s="1"/>
  <c r="F15" i="18"/>
  <c r="F12" i="18"/>
  <c r="D15" i="18"/>
  <c r="G15" i="18" s="1"/>
  <c r="F14" i="18" l="1"/>
  <c r="F18" i="18" s="1"/>
  <c r="G12" i="18"/>
  <c r="G13" i="18"/>
  <c r="G14" i="18"/>
  <c r="G18" i="18"/>
  <c r="G31" i="18"/>
  <c r="F33" i="18"/>
  <c r="F32" i="18" s="1"/>
  <c r="G32" i="18" s="1"/>
  <c r="G22" i="18"/>
  <c r="F21" i="18"/>
  <c r="G21" i="18" s="1"/>
  <c r="G29" i="18"/>
  <c r="G26" i="18"/>
  <c r="F30" i="18"/>
  <c r="G30" i="18" s="1"/>
  <c r="A9" i="6"/>
  <c r="A8" i="6"/>
  <c r="F17" i="18" l="1"/>
  <c r="G17" i="18" s="1"/>
  <c r="G33" i="18"/>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J63" i="18" l="1"/>
  <c r="J80" i="18" s="1"/>
  <c r="F35" i="20"/>
  <c r="F19" i="20"/>
  <c r="F20" i="20"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C87" i="18"/>
  <c r="C86" i="18"/>
  <c r="D28" i="6" l="1"/>
  <c r="G28" i="6"/>
  <c r="I20" i="6"/>
  <c r="F14" i="6"/>
  <c r="D13" i="6"/>
  <c r="C84" i="18"/>
  <c r="G22" i="6" l="1"/>
  <c r="I22" i="6" s="1"/>
  <c r="D16" i="6"/>
  <c r="D19" i="6"/>
  <c r="F19" i="6" s="1"/>
  <c r="J19" i="6" s="1"/>
  <c r="G25" i="6"/>
  <c r="I25" i="6" s="1"/>
  <c r="F17" i="6"/>
  <c r="F20" i="6"/>
  <c r="J20" i="6" s="1"/>
  <c r="I26" i="6" l="1"/>
  <c r="I23" i="6"/>
  <c r="D22" i="6" l="1"/>
  <c r="F22" i="6" s="1"/>
  <c r="J22" i="6" s="1"/>
  <c r="F23" i="6"/>
  <c r="J23" i="6" s="1"/>
  <c r="F26" i="6" l="1"/>
  <c r="J26" i="6" s="1"/>
  <c r="D25" i="6"/>
  <c r="F25" i="6" s="1"/>
  <c r="J25" i="6" s="1"/>
  <c r="C82" i="18" l="1"/>
  <c r="C85" i="18" l="1"/>
  <c r="E84" i="18"/>
  <c r="E85" i="18" s="1"/>
  <c r="F16" i="6" l="1"/>
  <c r="J17" i="6"/>
  <c r="I16" i="6"/>
  <c r="J16" i="6" l="1"/>
  <c r="M18" i="6" l="1"/>
  <c r="I28" i="6" l="1"/>
  <c r="I13" i="6"/>
  <c r="F28" i="6" l="1"/>
  <c r="J28" i="6" s="1"/>
  <c r="F13" i="6" l="1"/>
  <c r="M14" i="6" l="1"/>
  <c r="J14" i="6"/>
  <c r="M13" i="6"/>
  <c r="J13" i="6"/>
  <c r="I30" i="6" l="1"/>
  <c r="J6" i="6" l="1"/>
  <c r="F30" i="6" l="1"/>
  <c r="J30" i="6" l="1"/>
  <c r="C6" i="6" l="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<sst xmlns="http://schemas.openxmlformats.org/spreadsheetml/2006/main" count="345" uniqueCount="117">
  <si>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</si>
  <si>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</si>
  <si>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</si>
  <si>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</si>
  <si>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</si>
  <si>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</si>
  <si>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</si>
  <si>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</si>
  <si>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</si>
  <si>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</si>
  <si>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</si>
  <si>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</si>
  <si>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</si>
  <si>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</si>
  <si>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</si>
  <si>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</si>
  <si>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</si>
  <si>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</si>
  <si>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</si>
  <si>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</si>
  <si>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</si>
  <si>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</si>
  <si>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</si>
  <si>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</si>
  <si>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</si>
  <si>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</si>
  <si>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</si>
  <si>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</si>
  <si>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</si>
  <si>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</si>
  <si>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</si>
  <si>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</si>
  <si>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</si>
  <si>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</si>
  <si>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</si>
  <si>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F.Y:2080/2081</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</si>
  <si>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</si>
  <si>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</si>
  <si>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</si>
  <si>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</si>
  <si>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</si>
  <si>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</si>
  <si>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</si>
  <si>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</si>
  <si>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</si>
  <si>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</si>
  <si>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</si>
  <si>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</si>
  <si>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</si>
  <si>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</si>
  <si>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</si>
  <si>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</si>
  <si>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</si>
  <si>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</si>
  <si>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</si>
  <si>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</si>
  <si>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</si>
  <si>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</si>
  <si>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</si>
  <si>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</si>
  <si>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</si>
  <si>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</si>
  <si>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</si>
  <si>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</si>
  <si>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</si>
  <si>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</si>
  <si>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</si>
  <si>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</si>
  <si>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</si>
  <si>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</si>
  <si>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</si>
  <si>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</si>
  <si>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</si>
  <si>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</si>
  <si>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</si>
  <si>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</si>
  <si>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</si>
  <si>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</si>
  <si>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</si>
  <si>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</si>
  <si>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</si>
  <si>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</si>
  <si>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</si>
  <si>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</si>
  <si>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</si>
  <si>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</si>
  <si>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</si>
  <si>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</si>
  <si>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</si>
  <si>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</si>
  <si>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</si>
  <si>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</si>
  <si>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Date:2081/03/16</t>
  </si>
  <si>
    <t xml:space="preserve">Work Started : </t>
  </si>
  <si>
    <t xml:space="preserve">Work Finished:       </t>
  </si>
  <si>
    <t xml:space="preserve">F.Y.: 2081/082     </t>
  </si>
  <si>
    <t xml:space="preserve">Date:                     </t>
  </si>
  <si>
    <t xml:space="preserve">Project:-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</si>
  <si>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</si>
  <si>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</si>
  <si>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</si>
  <si>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</si>
  <si>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</si>
  <si>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</si>
  <si>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</si>
  <si>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</si>
  <si>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</si>
  <si>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</si>
  <si>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</si>
  <si>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</si>
  <si>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</si>
  <si>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</si>
  <si>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</si>
  <si>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</si>
  <si>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 inside toilet</t>
  </si>
  <si>
    <t>-at toilet</t>
  </si>
  <si>
    <t>-roof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</si>
</sst>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s>
  <fills count="13">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164" fontId="1" fillId="0" borderId="0" applyFont="0" applyFill="0" applyBorder="0" applyAlignment="0" applyProtection="0"/>
    <xf numFmtId="0" fontId="15" fillId="0" borderId="0"/>
    <xf numFmtId="164"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59">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1" fontId="14" fillId="0" borderId="1" xfId="0" applyNumberFormat="1" applyFont="1" applyBorder="1" applyAlignment="1">
      <alignment vertical="center" wrapText="1"/>
    </xf>
    <xf numFmtId="0" fontId="0" fillId="0" borderId="0" xfId="0" applyBorder="1"/>
    <xf numFmtId="0" fontId="0" fillId="0" borderId="0" xfId="0" applyBorder="1" applyAlignment="1"/>
    <xf numFmtId="1" fontId="14" fillId="0" borderId="1" xfId="0" applyNumberFormat="1" applyFont="1" applyBorder="1" applyAlignment="1">
      <alignment horizontal="right"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5" fontId="6" fillId="0" borderId="1" xfId="0" applyNumberFormat="1" applyFont="1" applyBorder="1" applyAlignment="1">
      <alignment vertical="center" wrapText="1"/>
    </xf>
    <xf numFmtId="165"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5"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5"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5"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5"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2" fillId="0" borderId="0" xfId="0" applyFont="1" applyFill="1" applyBorder="1"/>
    <xf numFmtId="2" fontId="0" fillId="0" borderId="0" xfId="0" applyNumberFormat="1" applyBorder="1"/>
    <xf numFmtId="0" fontId="2" fillId="0" borderId="1" xfId="0" applyFont="1" applyFill="1" applyBorder="1" applyAlignment="1">
      <alignment vertical="center"/>
    </xf>
    <xf numFmtId="0" fontId="3" fillId="0" borderId="1" xfId="0" quotePrefix="1" applyFont="1" applyBorder="1" applyAlignment="1">
      <alignment horizontal="right" wrapText="1"/>
    </xf>
    <xf numFmtId="0" fontId="20" fillId="0" borderId="1" xfId="0" applyFont="1" applyBorder="1" applyAlignment="1">
      <alignment vertical="center" wrapText="1"/>
    </xf>
    <xf numFmtId="2" fontId="0" fillId="0" borderId="1" xfId="0" applyNumberFormat="1" applyFont="1" applyBorder="1"/>
    <xf numFmtId="0" fontId="14" fillId="0" borderId="1" xfId="0" quotePrefix="1" applyFont="1" applyBorder="1" applyAlignment="1">
      <alignment horizontal="center" wrapText="1"/>
    </xf>
    <xf numFmtId="0" fontId="14" fillId="0" borderId="1" xfId="0" quotePrefix="1" applyFont="1" applyBorder="1" applyAlignment="1">
      <alignment horizontal="right" wrapText="1"/>
    </xf>
    <xf numFmtId="165"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1" fillId="0" borderId="1" xfId="0" applyNumberFormat="1" applyFont="1" applyBorder="1" applyAlignment="1">
      <alignment vertical="center"/>
    </xf>
    <xf numFmtId="166" fontId="0" fillId="0" borderId="0" xfId="0" applyNumberFormat="1" applyBorder="1"/>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7" fillId="0" borderId="1" xfId="0" applyFont="1" applyBorder="1" applyAlignment="1">
      <alignment horizontal="right" vertical="center" wrapText="1"/>
    </xf>
    <xf numFmtId="0" fontId="6" fillId="0" borderId="0" xfId="0" applyFont="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tabSelected="1" topLeftCell="A50" zoomScaleNormal="100" zoomScaleSheetLayoutView="80" workbookViewId="0">
      <selection activeCell="I57" sqref="I57"/>
    </sheetView>
  </sheetViews>
  <sheetFormatPr defaultRowHeight="14.4" x14ac:dyDescent="0.3"/>
  <cols>
    <col min="1" max="1" width="5.109375" style="6" bestFit="1" customWidth="1"/>
    <col min="2" max="2" width="30.1093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95" t="s">
        <v>0</v>
      </c>
      <c r="B1" s="95"/>
      <c r="C1" s="95"/>
      <c r="D1" s="95"/>
      <c r="E1" s="95"/>
      <c r="F1" s="95"/>
      <c r="G1" s="95"/>
      <c r="H1" s="95"/>
      <c r="I1" s="95"/>
      <c r="J1" s="95"/>
      <c r="K1" s="95"/>
    </row>
    <row r="2" spans="1:17" s="1" customFormat="1" ht="22.8" x14ac:dyDescent="0.3">
      <c r="A2" s="96" t="s">
        <v>1</v>
      </c>
      <c r="B2" s="96"/>
      <c r="C2" s="96"/>
      <c r="D2" s="96"/>
      <c r="E2" s="96"/>
      <c r="F2" s="96"/>
      <c r="G2" s="96"/>
      <c r="H2" s="96"/>
      <c r="I2" s="96"/>
      <c r="J2" s="96"/>
      <c r="K2" s="96"/>
    </row>
    <row r="3" spans="1:17" s="1" customFormat="1" x14ac:dyDescent="0.3">
      <c r="A3" s="97" t="s">
        <v>2</v>
      </c>
      <c r="B3" s="97"/>
      <c r="C3" s="97"/>
      <c r="D3" s="97"/>
      <c r="E3" s="97"/>
      <c r="F3" s="97"/>
      <c r="G3" s="97"/>
      <c r="H3" s="97"/>
      <c r="I3" s="97"/>
      <c r="J3" s="97"/>
      <c r="K3" s="97"/>
    </row>
    <row r="4" spans="1:17" s="1" customFormat="1" x14ac:dyDescent="0.3">
      <c r="A4" s="97" t="s">
        <v>3</v>
      </c>
      <c r="B4" s="97"/>
      <c r="C4" s="97"/>
      <c r="D4" s="97"/>
      <c r="E4" s="97"/>
      <c r="F4" s="97"/>
      <c r="G4" s="97"/>
      <c r="H4" s="97"/>
      <c r="I4" s="97"/>
      <c r="J4" s="97"/>
      <c r="K4" s="97"/>
    </row>
    <row r="5" spans="1:17" ht="17.399999999999999" x14ac:dyDescent="0.3">
      <c r="A5" s="98" t="s">
        <v>4</v>
      </c>
      <c r="B5" s="98"/>
      <c r="C5" s="98"/>
      <c r="D5" s="98"/>
      <c r="E5" s="98"/>
      <c r="F5" s="98"/>
      <c r="G5" s="98"/>
      <c r="H5" s="98"/>
      <c r="I5" s="98"/>
      <c r="J5" s="98"/>
      <c r="K5" s="98"/>
    </row>
    <row r="6" spans="1:17" ht="18" x14ac:dyDescent="0.35">
      <c r="A6" s="93" t="s">
        <v>97</v>
      </c>
      <c r="B6" s="93"/>
      <c r="C6" s="93"/>
      <c r="D6" s="93"/>
      <c r="E6" s="93"/>
      <c r="F6" s="93"/>
      <c r="G6" s="93"/>
      <c r="H6" s="94" t="s">
        <v>95</v>
      </c>
      <c r="I6" s="94"/>
      <c r="J6" s="94"/>
      <c r="K6" s="94"/>
    </row>
    <row r="7" spans="1:17" ht="15.6" x14ac:dyDescent="0.3">
      <c r="A7" s="101" t="s">
        <v>33</v>
      </c>
      <c r="B7" s="101"/>
      <c r="C7" s="101"/>
      <c r="D7" s="101"/>
      <c r="E7" s="101"/>
      <c r="F7" s="101"/>
      <c r="G7" s="2"/>
      <c r="H7" s="94" t="s">
        <v>96</v>
      </c>
      <c r="I7" s="94"/>
      <c r="J7" s="94"/>
      <c r="K7" s="94"/>
    </row>
    <row r="8" spans="1:17" ht="15" customHeight="1" x14ac:dyDescent="0.3">
      <c r="A8" s="3" t="s">
        <v>5</v>
      </c>
      <c r="B8" s="24" t="s">
        <v>6</v>
      </c>
      <c r="C8" s="3" t="s">
        <v>7</v>
      </c>
      <c r="D8" s="25" t="s">
        <v>8</v>
      </c>
      <c r="E8" s="25" t="s">
        <v>9</v>
      </c>
      <c r="F8" s="25" t="s">
        <v>10</v>
      </c>
      <c r="G8" s="25" t="s">
        <v>11</v>
      </c>
      <c r="H8" s="3" t="s">
        <v>12</v>
      </c>
      <c r="I8" s="25" t="s">
        <v>13</v>
      </c>
      <c r="J8" s="25" t="s">
        <v>14</v>
      </c>
      <c r="K8" s="26" t="s">
        <v>15</v>
      </c>
    </row>
    <row r="9" spans="1:17" ht="15" customHeight="1" x14ac:dyDescent="0.3">
      <c r="A9" s="3"/>
      <c r="B9" s="24" t="s">
        <v>98</v>
      </c>
      <c r="C9" s="3"/>
      <c r="D9" s="25"/>
      <c r="E9" s="25"/>
      <c r="F9" s="25"/>
      <c r="G9" s="25"/>
      <c r="H9" s="3"/>
      <c r="I9" s="25"/>
      <c r="J9" s="25"/>
      <c r="K9" s="26"/>
    </row>
    <row r="10" spans="1:17" s="1" customFormat="1" ht="30" x14ac:dyDescent="0.3">
      <c r="A10" s="28">
        <v>1</v>
      </c>
      <c r="B10" s="84" t="s">
        <v>99</v>
      </c>
      <c r="C10" s="29"/>
      <c r="D10" s="30"/>
      <c r="E10" s="31"/>
      <c r="F10" s="31"/>
      <c r="G10" s="38"/>
      <c r="H10" s="32"/>
      <c r="I10" s="33"/>
      <c r="J10" s="38"/>
      <c r="K10" s="31"/>
      <c r="N10" s="82"/>
      <c r="O10" s="17"/>
      <c r="P10" s="15"/>
      <c r="Q10" s="15"/>
    </row>
    <row r="11" spans="1:17" x14ac:dyDescent="0.3">
      <c r="A11" s="28"/>
      <c r="B11" s="86" t="s">
        <v>100</v>
      </c>
      <c r="C11" s="29"/>
      <c r="D11" s="30"/>
      <c r="E11" s="31"/>
      <c r="F11" s="31"/>
      <c r="G11" s="39"/>
      <c r="H11" s="32"/>
      <c r="I11" s="33"/>
      <c r="J11" s="8"/>
      <c r="K11" s="31"/>
      <c r="N11" s="80"/>
      <c r="O11" s="41"/>
      <c r="P11" s="81"/>
      <c r="Q11" s="81"/>
    </row>
    <row r="12" spans="1:17" x14ac:dyDescent="0.3">
      <c r="A12" s="28"/>
      <c r="B12" s="87" t="s">
        <v>101</v>
      </c>
      <c r="C12" s="29">
        <v>2</v>
      </c>
      <c r="D12" s="30">
        <f t="shared" ref="D12:D13" si="0">14.083/3.281</f>
        <v>4.2922889362999088</v>
      </c>
      <c r="E12" s="31">
        <v>0.23</v>
      </c>
      <c r="F12" s="31">
        <f>2.5/3.281</f>
        <v>0.76196281621456874</v>
      </c>
      <c r="G12" s="39">
        <f>PRODUCT(C12:F12)</f>
        <v>1.5044597003184688</v>
      </c>
      <c r="H12" s="32"/>
      <c r="I12" s="33"/>
      <c r="J12" s="8"/>
      <c r="K12" s="31"/>
      <c r="N12" s="80"/>
      <c r="O12" s="41"/>
      <c r="P12" s="81"/>
      <c r="Q12" s="81"/>
    </row>
    <row r="13" spans="1:17" x14ac:dyDescent="0.3">
      <c r="A13" s="28"/>
      <c r="B13" s="87"/>
      <c r="C13" s="29">
        <v>2</v>
      </c>
      <c r="D13" s="30">
        <f t="shared" si="0"/>
        <v>4.2922889362999088</v>
      </c>
      <c r="E13" s="31">
        <v>0.1</v>
      </c>
      <c r="F13" s="31">
        <f>3.917/3.281</f>
        <v>1.1938433404449862</v>
      </c>
      <c r="G13" s="39">
        <f t="shared" ref="G13:G19" si="1">PRODUCT(C13:F13)</f>
        <v>1.0248641123734679</v>
      </c>
      <c r="H13" s="32"/>
      <c r="I13" s="33"/>
      <c r="J13" s="8"/>
      <c r="K13" s="31"/>
      <c r="N13" s="80"/>
      <c r="O13" s="41"/>
      <c r="P13" s="81"/>
      <c r="Q13" s="81"/>
    </row>
    <row r="14" spans="1:17" x14ac:dyDescent="0.3">
      <c r="A14" s="28"/>
      <c r="B14" s="87"/>
      <c r="C14" s="29">
        <v>1</v>
      </c>
      <c r="D14" s="30">
        <f>14.083/3.281</f>
        <v>4.2922889362999088</v>
      </c>
      <c r="E14" s="31">
        <v>0.1</v>
      </c>
      <c r="F14" s="31">
        <f>F13+F12</f>
        <v>1.955806156659555</v>
      </c>
      <c r="G14" s="39">
        <f t="shared" si="1"/>
        <v>0.83948851277770542</v>
      </c>
      <c r="H14" s="32"/>
      <c r="I14" s="33"/>
      <c r="J14" s="8"/>
      <c r="K14" s="31"/>
      <c r="N14" s="80"/>
      <c r="O14" s="41"/>
      <c r="P14" s="81"/>
      <c r="Q14" s="81"/>
    </row>
    <row r="15" spans="1:17" x14ac:dyDescent="0.3">
      <c r="A15" s="28"/>
      <c r="B15" s="87" t="s">
        <v>102</v>
      </c>
      <c r="C15" s="29">
        <v>2</v>
      </c>
      <c r="D15" s="30">
        <f>45.42/3.281</f>
        <v>13.843340444986284</v>
      </c>
      <c r="E15" s="31">
        <v>0.23</v>
      </c>
      <c r="F15" s="31">
        <f>2.5/3.281</f>
        <v>0.76196281621456874</v>
      </c>
      <c r="G15" s="39">
        <f t="shared" si="1"/>
        <v>4.8521309087882436</v>
      </c>
      <c r="H15" s="32"/>
      <c r="I15" s="33"/>
      <c r="J15" s="8"/>
      <c r="K15" s="31"/>
      <c r="N15" s="80"/>
      <c r="O15" s="41"/>
      <c r="P15" s="81"/>
      <c r="Q15" s="81"/>
    </row>
    <row r="16" spans="1:17" x14ac:dyDescent="0.3">
      <c r="A16" s="28"/>
      <c r="B16" s="87"/>
      <c r="C16" s="29">
        <v>2</v>
      </c>
      <c r="D16" s="30">
        <f>45.42/3.281</f>
        <v>13.843340444986284</v>
      </c>
      <c r="E16" s="31">
        <v>0.1</v>
      </c>
      <c r="F16" s="31">
        <f>3.917/3.281</f>
        <v>1.1938433404449862</v>
      </c>
      <c r="G16" s="39">
        <f t="shared" si="1"/>
        <v>3.3053559599519216</v>
      </c>
      <c r="H16" s="32"/>
      <c r="I16" s="33"/>
      <c r="J16" s="8"/>
      <c r="K16" s="31"/>
      <c r="N16" s="80"/>
      <c r="O16" s="41"/>
      <c r="P16" s="81"/>
      <c r="Q16" s="81"/>
    </row>
    <row r="17" spans="1:17" x14ac:dyDescent="0.3">
      <c r="A17" s="28"/>
      <c r="B17" s="87" t="s">
        <v>103</v>
      </c>
      <c r="C17" s="29">
        <v>6</v>
      </c>
      <c r="D17" s="30">
        <f>1.17/3.281</f>
        <v>0.35659859798841814</v>
      </c>
      <c r="E17" s="31">
        <f>0.42/3.281</f>
        <v>0.12800975312404753</v>
      </c>
      <c r="F17" s="31">
        <f>F14</f>
        <v>1.955806156659555</v>
      </c>
      <c r="G17" s="39">
        <f t="shared" si="1"/>
        <v>0.53567299243304567</v>
      </c>
      <c r="H17" s="32"/>
      <c r="I17" s="33"/>
      <c r="J17" s="8"/>
      <c r="K17" s="31"/>
      <c r="N17" s="80"/>
      <c r="O17" s="41"/>
      <c r="P17" s="81"/>
      <c r="Q17" s="81"/>
    </row>
    <row r="18" spans="1:17" x14ac:dyDescent="0.3">
      <c r="A18" s="28"/>
      <c r="B18" s="87"/>
      <c r="C18" s="29">
        <v>4</v>
      </c>
      <c r="D18" s="30">
        <f>1.917/3.281</f>
        <v>0.58427308747333129</v>
      </c>
      <c r="E18" s="31">
        <f>0.42/3.281</f>
        <v>0.12800975312404753</v>
      </c>
      <c r="F18" s="31">
        <f>F14</f>
        <v>1.955806156659555</v>
      </c>
      <c r="G18" s="39">
        <f t="shared" si="1"/>
        <v>0.58511973019609598</v>
      </c>
      <c r="H18" s="32"/>
      <c r="I18" s="33"/>
      <c r="J18" s="8"/>
      <c r="K18" s="31"/>
      <c r="N18" s="80"/>
      <c r="O18" s="41"/>
      <c r="P18" s="81"/>
      <c r="Q18" s="81"/>
    </row>
    <row r="19" spans="1:17" x14ac:dyDescent="0.3">
      <c r="A19" s="28"/>
      <c r="B19" s="87" t="s">
        <v>104</v>
      </c>
      <c r="C19" s="29">
        <v>-14</v>
      </c>
      <c r="D19" s="30">
        <f>2.75/3.281</f>
        <v>0.8381590978360256</v>
      </c>
      <c r="E19" s="31">
        <v>0.1</v>
      </c>
      <c r="F19" s="31">
        <f>3.917/3.281</f>
        <v>1.1938433404449862</v>
      </c>
      <c r="G19" s="39">
        <f t="shared" si="1"/>
        <v>-1.4008829200588837</v>
      </c>
      <c r="H19" s="32"/>
      <c r="I19" s="33"/>
      <c r="J19" s="8"/>
      <c r="K19" s="31"/>
      <c r="N19" s="41"/>
      <c r="O19" s="81"/>
      <c r="P19" s="81"/>
    </row>
    <row r="20" spans="1:17" x14ac:dyDescent="0.3">
      <c r="A20" s="28"/>
      <c r="B20" s="87"/>
      <c r="C20" s="29"/>
      <c r="D20" s="30"/>
      <c r="E20" s="31"/>
      <c r="F20" s="31"/>
      <c r="G20" s="39"/>
      <c r="H20" s="32"/>
      <c r="I20" s="33"/>
      <c r="J20" s="8"/>
      <c r="K20" s="31"/>
      <c r="N20" s="41"/>
      <c r="O20" s="81"/>
      <c r="P20" s="81"/>
    </row>
    <row r="21" spans="1:17" x14ac:dyDescent="0.3">
      <c r="A21" s="28"/>
      <c r="B21" s="87" t="s">
        <v>105</v>
      </c>
      <c r="C21" s="29">
        <v>-2</v>
      </c>
      <c r="D21" s="30">
        <f>2.75/3.281</f>
        <v>0.8381590978360256</v>
      </c>
      <c r="E21" s="31">
        <v>0.23</v>
      </c>
      <c r="F21" s="31">
        <f>(6.5/3.281)-F22</f>
        <v>0.78725998171289246</v>
      </c>
      <c r="G21" s="39">
        <f t="shared" ref="G21" si="2">PRODUCT(C21:F21)</f>
        <v>-0.30353059337604665</v>
      </c>
      <c r="H21" s="32"/>
      <c r="I21" s="33"/>
      <c r="J21" s="8"/>
      <c r="K21" s="31"/>
      <c r="N21" s="80"/>
      <c r="O21" s="41"/>
      <c r="P21" s="81"/>
      <c r="Q21" s="81"/>
    </row>
    <row r="22" spans="1:17" x14ac:dyDescent="0.3">
      <c r="A22" s="28"/>
      <c r="B22" s="87"/>
      <c r="C22" s="29">
        <v>-2</v>
      </c>
      <c r="D22" s="30">
        <f>2.75/3.281</f>
        <v>0.8381590978360256</v>
      </c>
      <c r="E22" s="31">
        <v>0.1</v>
      </c>
      <c r="F22" s="31">
        <f>F13</f>
        <v>1.1938433404449862</v>
      </c>
      <c r="G22" s="39">
        <f t="shared" ref="G22" si="3">PRODUCT(C22:F22)</f>
        <v>-0.20012613143698338</v>
      </c>
      <c r="H22" s="32"/>
      <c r="I22" s="33"/>
      <c r="J22" s="8"/>
      <c r="K22" s="31"/>
      <c r="N22" s="80"/>
      <c r="O22" s="41"/>
      <c r="P22" s="81"/>
      <c r="Q22" s="81"/>
    </row>
    <row r="23" spans="1:17" x14ac:dyDescent="0.3">
      <c r="A23" s="28"/>
      <c r="B23" s="86" t="s">
        <v>106</v>
      </c>
      <c r="C23" s="29"/>
      <c r="D23" s="30"/>
      <c r="E23" s="31"/>
      <c r="F23" s="31"/>
      <c r="G23" s="39"/>
      <c r="H23" s="32"/>
      <c r="I23" s="33"/>
      <c r="J23" s="8"/>
      <c r="K23" s="31"/>
      <c r="N23" s="80"/>
      <c r="O23" s="41"/>
      <c r="P23" s="81"/>
      <c r="Q23" s="81"/>
    </row>
    <row r="24" spans="1:17" x14ac:dyDescent="0.3">
      <c r="A24" s="28"/>
      <c r="B24" s="87" t="s">
        <v>101</v>
      </c>
      <c r="C24" s="29">
        <v>2</v>
      </c>
      <c r="D24" s="30">
        <f t="shared" ref="D24:D25" si="4">13.667/3.281</f>
        <v>4.1654983236818044</v>
      </c>
      <c r="E24" s="31">
        <v>0.23</v>
      </c>
      <c r="F24" s="31">
        <f>3.75/3.281</f>
        <v>1.1429442243218531</v>
      </c>
      <c r="G24" s="39">
        <f>PRODUCT(C24:F24)</f>
        <v>2.1900288352182602</v>
      </c>
      <c r="H24" s="32"/>
      <c r="I24" s="33"/>
      <c r="J24" s="8"/>
      <c r="K24" s="31"/>
      <c r="N24" s="80"/>
      <c r="O24" s="41"/>
      <c r="P24" s="81"/>
      <c r="Q24" s="81"/>
    </row>
    <row r="25" spans="1:17" x14ac:dyDescent="0.3">
      <c r="A25" s="28"/>
      <c r="B25" s="87"/>
      <c r="C25" s="29">
        <v>2</v>
      </c>
      <c r="D25" s="30">
        <f t="shared" si="4"/>
        <v>4.1654983236818044</v>
      </c>
      <c r="E25" s="31">
        <v>0.1</v>
      </c>
      <c r="F25" s="31">
        <f>2.75/3.281</f>
        <v>0.8381590978360256</v>
      </c>
      <c r="G25" s="39">
        <f t="shared" ref="G25:G33" si="5">PRODUCT(C25:F25)</f>
        <v>0.69827006340292364</v>
      </c>
      <c r="H25" s="32"/>
      <c r="I25" s="33"/>
      <c r="J25" s="8"/>
      <c r="K25" s="31"/>
      <c r="N25" s="80"/>
      <c r="O25" s="41"/>
      <c r="P25" s="81"/>
      <c r="Q25" s="81"/>
    </row>
    <row r="26" spans="1:17" x14ac:dyDescent="0.3">
      <c r="A26" s="28"/>
      <c r="B26" s="87"/>
      <c r="C26" s="29">
        <v>1</v>
      </c>
      <c r="D26" s="30">
        <f>13.667/3.281</f>
        <v>4.1654983236818044</v>
      </c>
      <c r="E26" s="31">
        <v>0.1</v>
      </c>
      <c r="F26" s="31">
        <f>F25+F24</f>
        <v>1.9811033221578787</v>
      </c>
      <c r="G26" s="39">
        <f t="shared" si="5"/>
        <v>0.82522825674890976</v>
      </c>
      <c r="H26" s="32"/>
      <c r="I26" s="33"/>
      <c r="J26" s="8"/>
      <c r="K26" s="31"/>
      <c r="N26" s="41"/>
      <c r="O26" s="81"/>
      <c r="P26" s="81"/>
    </row>
    <row r="27" spans="1:17" x14ac:dyDescent="0.3">
      <c r="A27" s="28"/>
      <c r="B27" s="87" t="s">
        <v>102</v>
      </c>
      <c r="C27" s="29">
        <v>2</v>
      </c>
      <c r="D27" s="30">
        <f>44.917/3.281</f>
        <v>13.690033526363914</v>
      </c>
      <c r="E27" s="31">
        <v>0.23</v>
      </c>
      <c r="F27" s="31">
        <f>4/3.281</f>
        <v>1.2191405059433098</v>
      </c>
      <c r="G27" s="39">
        <f t="shared" si="5"/>
        <v>7.6774342238676008</v>
      </c>
      <c r="H27" s="32"/>
      <c r="I27" s="33"/>
      <c r="J27" s="8"/>
      <c r="K27" s="31"/>
      <c r="N27" s="41"/>
      <c r="O27" s="81"/>
      <c r="P27" s="81"/>
    </row>
    <row r="28" spans="1:17" x14ac:dyDescent="0.3">
      <c r="A28" s="28"/>
      <c r="B28" s="87"/>
      <c r="C28" s="29">
        <v>2</v>
      </c>
      <c r="D28" s="30">
        <f>44.917/3.281</f>
        <v>13.690033526363914</v>
      </c>
      <c r="E28" s="31">
        <v>0.1</v>
      </c>
      <c r="F28" s="31">
        <f>2.75/3.281</f>
        <v>0.8381590978360256</v>
      </c>
      <c r="G28" s="39">
        <f t="shared" si="5"/>
        <v>2.2948852299604243</v>
      </c>
      <c r="H28" s="32"/>
      <c r="I28" s="33"/>
      <c r="J28" s="8"/>
      <c r="K28" s="31"/>
      <c r="N28" s="41"/>
      <c r="O28" s="81"/>
      <c r="P28" s="81"/>
    </row>
    <row r="29" spans="1:17" x14ac:dyDescent="0.3">
      <c r="A29" s="28"/>
      <c r="B29" s="87" t="s">
        <v>103</v>
      </c>
      <c r="C29" s="29">
        <v>6</v>
      </c>
      <c r="D29" s="30">
        <f>1.17/3.281</f>
        <v>0.35659859798841814</v>
      </c>
      <c r="E29" s="31">
        <f>0.42/3.281</f>
        <v>0.12800975312404753</v>
      </c>
      <c r="F29" s="31">
        <f>F26</f>
        <v>1.9811033221578787</v>
      </c>
      <c r="G29" s="39">
        <f t="shared" si="5"/>
        <v>0.54260159744659442</v>
      </c>
      <c r="H29" s="32"/>
      <c r="I29" s="33"/>
      <c r="J29" s="8"/>
      <c r="K29" s="31"/>
      <c r="N29" s="41"/>
      <c r="O29" s="81"/>
      <c r="P29" s="81"/>
    </row>
    <row r="30" spans="1:17" x14ac:dyDescent="0.3">
      <c r="A30" s="28"/>
      <c r="B30" s="87"/>
      <c r="C30" s="29">
        <v>4</v>
      </c>
      <c r="D30" s="30">
        <f>1.917/3.281</f>
        <v>0.58427308747333129</v>
      </c>
      <c r="E30" s="31">
        <f>0.42/3.281</f>
        <v>0.12800975312404753</v>
      </c>
      <c r="F30" s="31">
        <f>F26</f>
        <v>1.9811033221578787</v>
      </c>
      <c r="G30" s="39">
        <f t="shared" si="5"/>
        <v>0.59268789874935701</v>
      </c>
      <c r="H30" s="32"/>
      <c r="I30" s="33"/>
      <c r="J30" s="8"/>
      <c r="K30" s="31"/>
      <c r="N30" s="41"/>
      <c r="O30" s="81"/>
      <c r="P30" s="81"/>
    </row>
    <row r="31" spans="1:17" x14ac:dyDescent="0.3">
      <c r="A31" s="28"/>
      <c r="B31" s="87" t="s">
        <v>104</v>
      </c>
      <c r="C31" s="29">
        <v>-14</v>
      </c>
      <c r="D31" s="30">
        <f>2.75/3.281</f>
        <v>0.8381590978360256</v>
      </c>
      <c r="E31" s="31">
        <v>0.1</v>
      </c>
      <c r="F31" s="31">
        <f>3.917/3.281</f>
        <v>1.1938433404449862</v>
      </c>
      <c r="G31" s="39">
        <f t="shared" si="5"/>
        <v>-1.4008829200588837</v>
      </c>
      <c r="H31" s="32"/>
      <c r="I31" s="33"/>
      <c r="J31" s="8"/>
      <c r="K31" s="31"/>
      <c r="N31" s="41"/>
      <c r="O31" s="81"/>
      <c r="P31" s="81"/>
    </row>
    <row r="32" spans="1:17" x14ac:dyDescent="0.3">
      <c r="A32" s="28"/>
      <c r="B32" s="87" t="s">
        <v>105</v>
      </c>
      <c r="C32" s="29">
        <v>-2</v>
      </c>
      <c r="D32" s="30">
        <f>2.75/3.281</f>
        <v>0.8381590978360256</v>
      </c>
      <c r="E32" s="31">
        <v>0.23</v>
      </c>
      <c r="F32" s="31">
        <f>(6.25/3.281)-F33</f>
        <v>0.71106370009143549</v>
      </c>
      <c r="G32" s="39">
        <f t="shared" si="5"/>
        <v>-0.27415287431138857</v>
      </c>
      <c r="H32" s="32"/>
      <c r="I32" s="33"/>
      <c r="J32" s="8"/>
      <c r="K32" s="31"/>
      <c r="N32" s="41"/>
      <c r="O32" s="81"/>
      <c r="P32" s="81"/>
    </row>
    <row r="33" spans="1:17" x14ac:dyDescent="0.3">
      <c r="A33" s="28"/>
      <c r="B33" s="83"/>
      <c r="C33" s="29">
        <v>-2</v>
      </c>
      <c r="D33" s="30">
        <f>2.75/3.281</f>
        <v>0.8381590978360256</v>
      </c>
      <c r="E33" s="31">
        <v>0.1</v>
      </c>
      <c r="F33" s="31">
        <f>F31</f>
        <v>1.1938433404449862</v>
      </c>
      <c r="G33" s="39">
        <f t="shared" si="5"/>
        <v>-0.20012613143698338</v>
      </c>
      <c r="H33" s="32"/>
      <c r="I33" s="33"/>
      <c r="J33" s="8"/>
      <c r="K33" s="31"/>
    </row>
    <row r="34" spans="1:17" x14ac:dyDescent="0.3">
      <c r="A34" s="28"/>
      <c r="B34" s="86" t="s">
        <v>109</v>
      </c>
      <c r="C34" s="29"/>
      <c r="D34" s="30"/>
      <c r="E34" s="31"/>
      <c r="F34" s="31"/>
      <c r="G34" s="39"/>
      <c r="H34" s="32"/>
      <c r="I34" s="33"/>
      <c r="J34" s="8"/>
      <c r="K34" s="31"/>
      <c r="N34" s="80"/>
      <c r="O34" s="41"/>
      <c r="P34" s="81"/>
      <c r="Q34" s="81"/>
    </row>
    <row r="35" spans="1:17" x14ac:dyDescent="0.3">
      <c r="A35" s="28"/>
      <c r="B35" s="87" t="s">
        <v>101</v>
      </c>
      <c r="C35" s="88">
        <v>2</v>
      </c>
      <c r="D35" s="89">
        <v>4.0339999999999998</v>
      </c>
      <c r="E35" s="90">
        <v>0.23</v>
      </c>
      <c r="F35" s="90">
        <f>3.5/3.281</f>
        <v>1.0667479427003961</v>
      </c>
      <c r="G35" s="91">
        <f>PRODUCT(C35:F35)</f>
        <v>1.9795001523925628</v>
      </c>
      <c r="H35" s="32"/>
      <c r="I35" s="33"/>
      <c r="J35" s="8"/>
      <c r="K35" s="31"/>
      <c r="N35" s="80"/>
      <c r="O35" s="41"/>
      <c r="P35" s="81"/>
      <c r="Q35" s="81"/>
    </row>
    <row r="36" spans="1:17" x14ac:dyDescent="0.3">
      <c r="A36" s="28"/>
      <c r="B36" s="87"/>
      <c r="C36" s="88">
        <v>2</v>
      </c>
      <c r="D36" s="89">
        <v>4.0339999999999998</v>
      </c>
      <c r="E36" s="90">
        <v>0.1</v>
      </c>
      <c r="F36" s="90">
        <f>4.75/3.281</f>
        <v>1.4477293508076805</v>
      </c>
      <c r="G36" s="91">
        <f t="shared" ref="G36:G60" si="6">PRODUCT(C36:F36)</f>
        <v>1.1680280402316365</v>
      </c>
      <c r="H36" s="32"/>
      <c r="I36" s="33"/>
      <c r="J36" s="8"/>
      <c r="K36" s="31"/>
      <c r="N36" s="80"/>
      <c r="O36" s="41"/>
      <c r="P36" s="81"/>
      <c r="Q36" s="81"/>
    </row>
    <row r="37" spans="1:17" x14ac:dyDescent="0.3">
      <c r="A37" s="28"/>
      <c r="B37" s="87"/>
      <c r="C37" s="88">
        <v>1</v>
      </c>
      <c r="D37" s="89">
        <v>4.0129999999999999</v>
      </c>
      <c r="E37" s="90">
        <v>0.1</v>
      </c>
      <c r="F37" s="90">
        <f>F36+F35</f>
        <v>2.5144772935080768</v>
      </c>
      <c r="G37" s="91">
        <f t="shared" si="6"/>
        <v>1.0090597378847912</v>
      </c>
      <c r="H37" s="32"/>
      <c r="I37" s="33"/>
      <c r="J37" s="8"/>
      <c r="K37" s="31"/>
      <c r="N37" s="41"/>
      <c r="O37" s="81"/>
      <c r="P37" s="81"/>
    </row>
    <row r="38" spans="1:17" x14ac:dyDescent="0.3">
      <c r="A38" s="28"/>
      <c r="B38" s="87" t="s">
        <v>102</v>
      </c>
      <c r="C38" s="88">
        <v>2</v>
      </c>
      <c r="D38" s="89">
        <v>14.147</v>
      </c>
      <c r="E38" s="90">
        <v>0.23</v>
      </c>
      <c r="F38" s="90">
        <f>3.5/3.281</f>
        <v>1.0667479427003961</v>
      </c>
      <c r="G38" s="91">
        <f t="shared" si="6"/>
        <v>6.9419902468759513</v>
      </c>
      <c r="H38" s="32"/>
      <c r="I38" s="33"/>
      <c r="J38" s="8"/>
      <c r="K38" s="31"/>
      <c r="N38" s="41"/>
      <c r="O38" s="81"/>
      <c r="P38" s="81"/>
    </row>
    <row r="39" spans="1:17" x14ac:dyDescent="0.3">
      <c r="A39" s="28"/>
      <c r="B39" s="87"/>
      <c r="C39" s="88">
        <v>2</v>
      </c>
      <c r="D39" s="89">
        <v>14.147</v>
      </c>
      <c r="E39" s="90">
        <v>0.1</v>
      </c>
      <c r="F39" s="90">
        <f>5.75/3.281</f>
        <v>1.752514477293508</v>
      </c>
      <c r="G39" s="91">
        <f t="shared" si="6"/>
        <v>4.9585644620542517</v>
      </c>
      <c r="H39" s="32"/>
      <c r="I39" s="33"/>
      <c r="J39" s="8"/>
      <c r="K39" s="31"/>
      <c r="N39" s="92">
        <f>1.76+3.5/3.281</f>
        <v>2.8267479427003961</v>
      </c>
      <c r="O39" s="81">
        <f>(5.75+3.5)/3.281</f>
        <v>2.8192624199939043</v>
      </c>
      <c r="P39" s="81"/>
    </row>
    <row r="40" spans="1:17" x14ac:dyDescent="0.3">
      <c r="A40" s="28"/>
      <c r="B40" s="87" t="s">
        <v>110</v>
      </c>
      <c r="C40" s="88">
        <f>-3*2</f>
        <v>-6</v>
      </c>
      <c r="D40" s="89">
        <v>2.3410000000000002</v>
      </c>
      <c r="E40" s="90">
        <v>0.1</v>
      </c>
      <c r="F40" s="90">
        <v>0.5</v>
      </c>
      <c r="G40" s="91">
        <f t="shared" si="6"/>
        <v>-0.70230000000000015</v>
      </c>
      <c r="H40" s="32"/>
      <c r="I40" s="33"/>
      <c r="J40" s="8"/>
      <c r="K40" s="31"/>
      <c r="N40" s="41"/>
      <c r="O40" s="81">
        <f>3000*4*6000</f>
        <v>72000000</v>
      </c>
      <c r="P40" s="81"/>
    </row>
    <row r="41" spans="1:17" x14ac:dyDescent="0.3">
      <c r="A41" s="28"/>
      <c r="B41" s="87"/>
      <c r="C41" s="88">
        <f>-1*2</f>
        <v>-2</v>
      </c>
      <c r="D41" s="89">
        <v>2.375</v>
      </c>
      <c r="E41" s="90">
        <v>0.1</v>
      </c>
      <c r="F41" s="90">
        <v>0.5</v>
      </c>
      <c r="G41" s="91">
        <f t="shared" si="6"/>
        <v>-0.23750000000000002</v>
      </c>
      <c r="H41" s="32"/>
      <c r="I41" s="33"/>
      <c r="J41" s="8"/>
      <c r="K41" s="31"/>
      <c r="N41" s="41"/>
      <c r="O41" s="81"/>
      <c r="P41" s="81"/>
    </row>
    <row r="42" spans="1:17" x14ac:dyDescent="0.3">
      <c r="A42" s="28"/>
      <c r="B42" s="87" t="s">
        <v>103</v>
      </c>
      <c r="C42" s="88">
        <v>6</v>
      </c>
      <c r="D42" s="89">
        <f>1.17/3.281</f>
        <v>0.35659859798841814</v>
      </c>
      <c r="E42" s="90">
        <f>0.42/3.281</f>
        <v>0.12800975312404753</v>
      </c>
      <c r="F42" s="90">
        <f>F39+F38</f>
        <v>2.8192624199939038</v>
      </c>
      <c r="G42" s="91">
        <f t="shared" si="6"/>
        <v>0.77216381175092275</v>
      </c>
      <c r="H42" s="32"/>
      <c r="I42" s="33"/>
      <c r="J42" s="8"/>
      <c r="K42" s="31"/>
      <c r="N42" s="41"/>
      <c r="O42" s="81"/>
      <c r="P42" s="81"/>
    </row>
    <row r="43" spans="1:17" x14ac:dyDescent="0.3">
      <c r="A43" s="28"/>
      <c r="B43" s="87"/>
      <c r="C43" s="88">
        <v>4</v>
      </c>
      <c r="D43" s="89">
        <f>1.917/3.281</f>
        <v>0.58427308747333129</v>
      </c>
      <c r="E43" s="90">
        <f>0.42/3.281</f>
        <v>0.12800975312404753</v>
      </c>
      <c r="F43" s="90">
        <f>F38+F39</f>
        <v>2.8192624199939038</v>
      </c>
      <c r="G43" s="91">
        <f t="shared" si="6"/>
        <v>0.84344047129716171</v>
      </c>
      <c r="H43" s="32"/>
      <c r="I43" s="33"/>
      <c r="J43" s="8"/>
      <c r="K43" s="31"/>
      <c r="N43" s="41"/>
      <c r="O43" s="81"/>
      <c r="P43" s="81"/>
    </row>
    <row r="44" spans="1:17" x14ac:dyDescent="0.3">
      <c r="A44" s="28"/>
      <c r="B44" s="87" t="s">
        <v>104</v>
      </c>
      <c r="C44" s="88">
        <v>-10</v>
      </c>
      <c r="D44" s="89">
        <v>0.83799999999999997</v>
      </c>
      <c r="E44" s="90">
        <v>0.1</v>
      </c>
      <c r="F44" s="90">
        <v>1.2</v>
      </c>
      <c r="G44" s="91">
        <f t="shared" si="6"/>
        <v>-1.0055999999999998</v>
      </c>
      <c r="H44" s="32"/>
      <c r="I44" s="33"/>
      <c r="J44" s="8"/>
      <c r="K44" s="31"/>
      <c r="N44" s="41"/>
      <c r="O44" s="81"/>
      <c r="P44" s="81"/>
    </row>
    <row r="45" spans="1:17" x14ac:dyDescent="0.3">
      <c r="A45" s="28"/>
      <c r="B45" s="87"/>
      <c r="C45" s="88">
        <v>-2</v>
      </c>
      <c r="D45" s="89">
        <v>2.375</v>
      </c>
      <c r="E45" s="90">
        <v>0.1</v>
      </c>
      <c r="F45" s="90">
        <v>1.2</v>
      </c>
      <c r="G45" s="91">
        <f t="shared" ref="G45" si="7">PRODUCT(C45:F45)</f>
        <v>-0.57000000000000006</v>
      </c>
      <c r="H45" s="32"/>
      <c r="I45" s="33"/>
      <c r="J45" s="8"/>
      <c r="K45" s="31"/>
      <c r="N45" s="41"/>
      <c r="O45" s="81"/>
      <c r="P45" s="81"/>
    </row>
    <row r="46" spans="1:17" x14ac:dyDescent="0.3">
      <c r="A46" s="28"/>
      <c r="B46" s="87" t="s">
        <v>105</v>
      </c>
      <c r="C46" s="88">
        <v>-2</v>
      </c>
      <c r="D46" s="89">
        <f>2.75/3.281</f>
        <v>0.8381590978360256</v>
      </c>
      <c r="E46" s="90">
        <v>0.23</v>
      </c>
      <c r="F46" s="90">
        <f>3.5/3.281</f>
        <v>1.0667479427003961</v>
      </c>
      <c r="G46" s="91">
        <f t="shared" si="6"/>
        <v>-0.41128806690521219</v>
      </c>
      <c r="H46" s="32"/>
      <c r="I46" s="33"/>
      <c r="J46" s="8"/>
      <c r="K46" s="31"/>
      <c r="N46" s="41">
        <f>6.5/3.281</f>
        <v>1.9811033221578787</v>
      </c>
      <c r="O46" s="81"/>
      <c r="P46" s="81"/>
    </row>
    <row r="47" spans="1:17" x14ac:dyDescent="0.3">
      <c r="A47" s="28"/>
      <c r="B47" s="83"/>
      <c r="C47" s="88">
        <v>-2</v>
      </c>
      <c r="D47" s="89">
        <f>2.75/3.281</f>
        <v>0.8381590978360256</v>
      </c>
      <c r="E47" s="90">
        <v>0.1</v>
      </c>
      <c r="F47" s="90">
        <f>F44</f>
        <v>1.2</v>
      </c>
      <c r="G47" s="91">
        <f t="shared" si="6"/>
        <v>-0.20115818348064615</v>
      </c>
      <c r="H47" s="32"/>
      <c r="I47" s="33"/>
      <c r="J47" s="8"/>
      <c r="K47" s="31"/>
    </row>
    <row r="48" spans="1:17" x14ac:dyDescent="0.3">
      <c r="A48" s="28"/>
      <c r="B48" s="86" t="s">
        <v>112</v>
      </c>
      <c r="C48" s="88"/>
      <c r="D48" s="89"/>
      <c r="E48" s="90"/>
      <c r="F48" s="90"/>
      <c r="G48" s="91"/>
      <c r="H48" s="32"/>
      <c r="I48" s="33"/>
      <c r="J48" s="8"/>
      <c r="K48" s="31"/>
    </row>
    <row r="49" spans="1:11" x14ac:dyDescent="0.3">
      <c r="A49" s="28"/>
      <c r="B49" s="87" t="s">
        <v>101</v>
      </c>
      <c r="C49" s="88">
        <v>2</v>
      </c>
      <c r="D49" s="89">
        <v>2.64</v>
      </c>
      <c r="E49" s="90">
        <v>0.1</v>
      </c>
      <c r="F49" s="90">
        <f>((6.75+8)/2)/3.281</f>
        <v>2.2477903078329775</v>
      </c>
      <c r="G49" s="91">
        <f t="shared" si="6"/>
        <v>1.1868332825358121</v>
      </c>
      <c r="H49" s="32"/>
      <c r="I49" s="33"/>
      <c r="J49" s="8"/>
      <c r="K49" s="31"/>
    </row>
    <row r="50" spans="1:11" x14ac:dyDescent="0.3">
      <c r="A50" s="28"/>
      <c r="B50" s="87" t="s">
        <v>102</v>
      </c>
      <c r="C50" s="88">
        <v>1</v>
      </c>
      <c r="D50" s="89">
        <f>6.4-0.23</f>
        <v>6.17</v>
      </c>
      <c r="E50" s="90">
        <v>0.23</v>
      </c>
      <c r="F50" s="90">
        <f>6.75/3.281</f>
        <v>2.0572996037793354</v>
      </c>
      <c r="G50" s="91">
        <f t="shared" si="6"/>
        <v>2.9195138677232548</v>
      </c>
      <c r="H50" s="32"/>
      <c r="I50" s="33"/>
      <c r="J50" s="8"/>
      <c r="K50" s="31"/>
    </row>
    <row r="51" spans="1:11" x14ac:dyDescent="0.3">
      <c r="A51" s="28"/>
      <c r="B51" s="87"/>
      <c r="C51" s="88">
        <v>1</v>
      </c>
      <c r="D51" s="89">
        <f>8/3.281</f>
        <v>2.4382810118866196</v>
      </c>
      <c r="E51" s="90">
        <v>0.23</v>
      </c>
      <c r="F51" s="90">
        <f>6.75/3.281</f>
        <v>2.0572996037793354</v>
      </c>
      <c r="G51" s="91">
        <f t="shared" si="6"/>
        <v>1.1537431487211145</v>
      </c>
      <c r="H51" s="32"/>
      <c r="I51" s="33"/>
      <c r="J51" s="8"/>
      <c r="K51" s="31"/>
    </row>
    <row r="52" spans="1:11" x14ac:dyDescent="0.3">
      <c r="A52" s="28"/>
      <c r="B52" s="87" t="s">
        <v>113</v>
      </c>
      <c r="C52" s="88">
        <v>1</v>
      </c>
      <c r="D52" s="89">
        <f>(6.4-1.75/3.281)</f>
        <v>5.8666260286498026</v>
      </c>
      <c r="E52" s="90">
        <v>0.23</v>
      </c>
      <c r="F52" s="90">
        <v>0.23</v>
      </c>
      <c r="G52" s="91">
        <f t="shared" si="6"/>
        <v>0.31034451691557458</v>
      </c>
      <c r="H52" s="32"/>
      <c r="I52" s="33"/>
      <c r="J52" s="8"/>
      <c r="K52" s="31"/>
    </row>
    <row r="53" spans="1:11" x14ac:dyDescent="0.3">
      <c r="A53" s="28"/>
      <c r="B53" s="87" t="s">
        <v>105</v>
      </c>
      <c r="C53" s="88">
        <v>-1</v>
      </c>
      <c r="D53" s="89">
        <v>0.8</v>
      </c>
      <c r="E53" s="90">
        <v>0.23</v>
      </c>
      <c r="F53" s="90">
        <f>5.75/3.281</f>
        <v>1.752514477293508</v>
      </c>
      <c r="G53" s="91">
        <f t="shared" si="6"/>
        <v>-0.3224626638220055</v>
      </c>
      <c r="H53" s="32"/>
      <c r="I53" s="33"/>
      <c r="J53" s="8"/>
      <c r="K53" s="31"/>
    </row>
    <row r="54" spans="1:11" x14ac:dyDescent="0.3">
      <c r="A54" s="28"/>
      <c r="B54" s="87" t="s">
        <v>104</v>
      </c>
      <c r="C54" s="88">
        <v>-2</v>
      </c>
      <c r="D54" s="89">
        <f>1.5/3.281</f>
        <v>0.45717768972874123</v>
      </c>
      <c r="E54" s="90">
        <v>0.23</v>
      </c>
      <c r="F54" s="90">
        <f>1.17/3.281</f>
        <v>0.35659859798841814</v>
      </c>
      <c r="G54" s="91">
        <f t="shared" si="6"/>
        <v>-7.4993304666872457E-2</v>
      </c>
      <c r="H54" s="32"/>
      <c r="I54" s="33"/>
      <c r="J54" s="8"/>
      <c r="K54" s="31"/>
    </row>
    <row r="55" spans="1:11" x14ac:dyDescent="0.3">
      <c r="A55" s="28"/>
      <c r="B55" s="87"/>
      <c r="C55" s="88">
        <v>-4</v>
      </c>
      <c r="D55" s="89">
        <f>1.5/3.281</f>
        <v>0.45717768972874123</v>
      </c>
      <c r="E55" s="90">
        <v>0.23</v>
      </c>
      <c r="F55" s="90">
        <f>1.17/3.281</f>
        <v>0.35659859798841814</v>
      </c>
      <c r="G55" s="91">
        <f t="shared" si="6"/>
        <v>-0.14998660933374491</v>
      </c>
      <c r="H55" s="32"/>
      <c r="I55" s="33"/>
      <c r="J55" s="8"/>
      <c r="K55" s="31"/>
    </row>
    <row r="56" spans="1:11" x14ac:dyDescent="0.3">
      <c r="A56" s="28"/>
      <c r="B56" s="87" t="s">
        <v>114</v>
      </c>
      <c r="C56" s="88"/>
      <c r="D56" s="89"/>
      <c r="E56" s="90"/>
      <c r="F56" s="90"/>
      <c r="G56" s="91"/>
      <c r="H56" s="32"/>
      <c r="I56" s="33"/>
      <c r="J56" s="8"/>
      <c r="K56" s="31"/>
    </row>
    <row r="57" spans="1:11" x14ac:dyDescent="0.3">
      <c r="A57" s="28"/>
      <c r="B57" s="87" t="s">
        <v>102</v>
      </c>
      <c r="C57" s="88">
        <v>1</v>
      </c>
      <c r="D57" s="89">
        <v>2.63</v>
      </c>
      <c r="E57" s="90">
        <v>0.1</v>
      </c>
      <c r="F57" s="90">
        <f>7.25/3.281</f>
        <v>2.2096921670222494</v>
      </c>
      <c r="G57" s="91">
        <f t="shared" si="6"/>
        <v>0.58114903992685163</v>
      </c>
      <c r="H57" s="32"/>
      <c r="I57" s="33"/>
      <c r="J57" s="8"/>
      <c r="K57" s="31"/>
    </row>
    <row r="58" spans="1:11" x14ac:dyDescent="0.3">
      <c r="A58" s="28"/>
      <c r="B58" s="87"/>
      <c r="C58" s="88">
        <v>1</v>
      </c>
      <c r="D58" s="89">
        <f>6.4-0.23-2.63</f>
        <v>3.54</v>
      </c>
      <c r="E58" s="90">
        <v>0.23</v>
      </c>
      <c r="F58" s="90">
        <f>0.42/3.281</f>
        <v>0.12800975312404753</v>
      </c>
      <c r="G58" s="91">
        <f t="shared" si="6"/>
        <v>0.1042255409935995</v>
      </c>
      <c r="H58" s="32"/>
      <c r="I58" s="33"/>
      <c r="J58" s="8"/>
      <c r="K58" s="31"/>
    </row>
    <row r="59" spans="1:11" x14ac:dyDescent="0.3">
      <c r="A59" s="28"/>
      <c r="B59" s="87" t="s">
        <v>101</v>
      </c>
      <c r="C59" s="88">
        <v>3</v>
      </c>
      <c r="D59" s="89">
        <v>1</v>
      </c>
      <c r="E59" s="90">
        <v>0.1</v>
      </c>
      <c r="F59" s="90">
        <f>7.25/3.281</f>
        <v>2.2096921670222494</v>
      </c>
      <c r="G59" s="91">
        <f t="shared" si="6"/>
        <v>0.66290765010667485</v>
      </c>
      <c r="H59" s="32"/>
      <c r="I59" s="33"/>
      <c r="J59" s="8"/>
      <c r="K59" s="31"/>
    </row>
    <row r="60" spans="1:11" x14ac:dyDescent="0.3">
      <c r="A60" s="28"/>
      <c r="B60" s="87" t="s">
        <v>105</v>
      </c>
      <c r="C60" s="88">
        <v>-2</v>
      </c>
      <c r="D60" s="89">
        <f>2.5/3.281</f>
        <v>0.76196281621456874</v>
      </c>
      <c r="E60" s="90">
        <v>0.1</v>
      </c>
      <c r="F60" s="90">
        <f>5.5/3.281</f>
        <v>1.6763181956720512</v>
      </c>
      <c r="G60" s="91">
        <f t="shared" si="6"/>
        <v>-0.25545842664920015</v>
      </c>
      <c r="H60" s="32"/>
      <c r="I60" s="33"/>
      <c r="J60" s="8"/>
      <c r="K60" s="31"/>
    </row>
    <row r="61" spans="1:11" x14ac:dyDescent="0.3">
      <c r="A61" s="28"/>
      <c r="B61" s="87"/>
      <c r="C61" s="88"/>
      <c r="D61" s="89"/>
      <c r="E61" s="90"/>
      <c r="F61" s="90"/>
      <c r="G61" s="91"/>
      <c r="H61" s="32"/>
      <c r="I61" s="33"/>
      <c r="J61" s="8"/>
      <c r="K61" s="31"/>
    </row>
    <row r="62" spans="1:11" x14ac:dyDescent="0.3">
      <c r="A62" s="28"/>
      <c r="B62" s="87"/>
      <c r="C62" s="88"/>
      <c r="D62" s="89"/>
      <c r="E62" s="90"/>
      <c r="F62" s="90"/>
      <c r="G62" s="91"/>
      <c r="H62" s="32"/>
      <c r="I62" s="33"/>
      <c r="J62" s="8"/>
      <c r="K62" s="31"/>
    </row>
    <row r="63" spans="1:11" x14ac:dyDescent="0.3">
      <c r="A63" s="28"/>
      <c r="B63" s="87" t="s">
        <v>107</v>
      </c>
      <c r="C63" s="29"/>
      <c r="D63" s="30"/>
      <c r="E63" s="31"/>
      <c r="F63" s="31"/>
      <c r="G63" s="39">
        <f>SUM(G12:G55)</f>
        <v>43.256419361728405</v>
      </c>
      <c r="H63" s="32" t="s">
        <v>34</v>
      </c>
      <c r="I63" s="33">
        <v>1950.4</v>
      </c>
      <c r="J63" s="8">
        <f>G63*I63</f>
        <v>84367.320323115084</v>
      </c>
      <c r="K63" s="31"/>
    </row>
    <row r="64" spans="1:11" x14ac:dyDescent="0.3">
      <c r="A64" s="28"/>
      <c r="B64" s="87"/>
      <c r="C64" s="29"/>
      <c r="D64" s="30"/>
      <c r="E64" s="31"/>
      <c r="F64" s="31"/>
      <c r="G64" s="39"/>
      <c r="H64" s="32"/>
      <c r="I64" s="33"/>
      <c r="J64" s="8"/>
      <c r="K64" s="31"/>
    </row>
    <row r="65" spans="1:17" ht="60" x14ac:dyDescent="0.3">
      <c r="A65" s="28">
        <v>2</v>
      </c>
      <c r="B65" s="84" t="s">
        <v>108</v>
      </c>
      <c r="C65" s="29"/>
      <c r="D65" s="30"/>
      <c r="E65" s="31"/>
      <c r="F65" s="31"/>
      <c r="G65" s="39"/>
      <c r="H65" s="32"/>
      <c r="I65" s="33"/>
      <c r="J65" s="8"/>
      <c r="K65" s="31"/>
    </row>
    <row r="66" spans="1:17" x14ac:dyDescent="0.3">
      <c r="A66" s="28"/>
      <c r="B66" s="86" t="str">
        <f>B11</f>
        <v>-Block 1</v>
      </c>
      <c r="C66" s="29">
        <v>2</v>
      </c>
      <c r="D66" s="30">
        <v>14.097</v>
      </c>
      <c r="E66" s="31">
        <v>3.2</v>
      </c>
      <c r="F66" s="31"/>
      <c r="G66" s="91">
        <f t="shared" ref="G66:G73" si="8">PRODUCT(C66:F66)</f>
        <v>90.220799999999997</v>
      </c>
      <c r="H66" s="32"/>
      <c r="I66" s="33"/>
      <c r="J66" s="8"/>
      <c r="K66" s="31"/>
      <c r="N66" s="80"/>
      <c r="O66" s="41"/>
      <c r="P66" s="81"/>
      <c r="Q66" s="81"/>
    </row>
    <row r="67" spans="1:17" x14ac:dyDescent="0.3">
      <c r="A67" s="28"/>
      <c r="B67" s="86"/>
      <c r="C67" s="29">
        <v>2</v>
      </c>
      <c r="D67" s="30">
        <v>5</v>
      </c>
      <c r="E67" s="31"/>
      <c r="F67" s="31">
        <v>0.40600000000000003</v>
      </c>
      <c r="G67" s="91">
        <f t="shared" si="8"/>
        <v>4.0600000000000005</v>
      </c>
      <c r="H67" s="32"/>
      <c r="I67" s="33"/>
      <c r="J67" s="8"/>
      <c r="K67" s="31"/>
      <c r="N67" s="80"/>
      <c r="O67" s="41"/>
      <c r="P67" s="81"/>
      <c r="Q67" s="81"/>
    </row>
    <row r="68" spans="1:17" x14ac:dyDescent="0.3">
      <c r="A68" s="28"/>
      <c r="B68" s="87"/>
      <c r="C68" s="29">
        <v>2</v>
      </c>
      <c r="D68" s="30">
        <f>D67/2</f>
        <v>2.5</v>
      </c>
      <c r="E68" s="31"/>
      <c r="F68" s="31">
        <v>0.96499999999999997</v>
      </c>
      <c r="G68" s="39">
        <f>C68*0.5*D68*F68</f>
        <v>2.4125000000000001</v>
      </c>
      <c r="H68" s="32"/>
      <c r="I68" s="33"/>
      <c r="J68" s="8"/>
      <c r="K68" s="31"/>
      <c r="N68" s="80"/>
      <c r="O68" s="41"/>
      <c r="P68" s="81"/>
      <c r="Q68" s="81"/>
    </row>
    <row r="69" spans="1:17" x14ac:dyDescent="0.3">
      <c r="A69" s="28"/>
      <c r="B69" s="86" t="str">
        <f>B23</f>
        <v>-Block 2</v>
      </c>
      <c r="C69" s="29">
        <v>2</v>
      </c>
      <c r="D69" s="30">
        <v>13.945</v>
      </c>
      <c r="E69" s="31">
        <v>3.15</v>
      </c>
      <c r="F69" s="31"/>
      <c r="G69" s="91">
        <f t="shared" si="8"/>
        <v>87.853499999999997</v>
      </c>
      <c r="H69" s="32"/>
      <c r="I69" s="33"/>
      <c r="J69" s="8"/>
      <c r="K69" s="31"/>
      <c r="N69" s="80"/>
      <c r="O69" s="41"/>
      <c r="P69" s="81"/>
      <c r="Q69" s="81"/>
    </row>
    <row r="70" spans="1:17" x14ac:dyDescent="0.3">
      <c r="A70" s="28"/>
      <c r="B70" s="86"/>
      <c r="C70" s="29">
        <v>2</v>
      </c>
      <c r="D70" s="30">
        <v>4.5209999999999999</v>
      </c>
      <c r="E70" s="31"/>
      <c r="F70" s="31">
        <v>0.40600000000000003</v>
      </c>
      <c r="G70" s="91">
        <f t="shared" si="8"/>
        <v>3.671052</v>
      </c>
      <c r="H70" s="32"/>
      <c r="I70" s="33"/>
      <c r="J70" s="8"/>
      <c r="K70" s="31"/>
      <c r="N70" s="80"/>
      <c r="O70" s="41"/>
      <c r="P70" s="81"/>
      <c r="Q70" s="81"/>
    </row>
    <row r="71" spans="1:17" x14ac:dyDescent="0.3">
      <c r="A71" s="28"/>
      <c r="B71" s="87"/>
      <c r="C71" s="29">
        <v>2</v>
      </c>
      <c r="D71" s="30">
        <f>D70/2</f>
        <v>2.2605</v>
      </c>
      <c r="E71" s="31"/>
      <c r="F71" s="31">
        <v>0.99099999999999999</v>
      </c>
      <c r="G71" s="39">
        <f>C71*0.5*D71*F71</f>
        <v>2.2401554999999997</v>
      </c>
      <c r="H71" s="32"/>
      <c r="I71" s="33"/>
      <c r="J71" s="8"/>
      <c r="K71" s="31"/>
      <c r="N71" s="80"/>
      <c r="O71" s="41"/>
      <c r="P71" s="81"/>
      <c r="Q71" s="81"/>
    </row>
    <row r="72" spans="1:17" x14ac:dyDescent="0.3">
      <c r="A72" s="28"/>
      <c r="B72" s="86" t="str">
        <f>B34</f>
        <v>-Block 3</v>
      </c>
      <c r="C72" s="29">
        <v>2</v>
      </c>
      <c r="D72" s="30">
        <v>14.401</v>
      </c>
      <c r="E72" s="31">
        <v>3.35</v>
      </c>
      <c r="F72" s="31"/>
      <c r="G72" s="91">
        <f t="shared" si="8"/>
        <v>96.486699999999999</v>
      </c>
      <c r="H72" s="32"/>
      <c r="I72" s="33"/>
      <c r="J72" s="8"/>
      <c r="K72" s="31"/>
      <c r="N72" s="80">
        <f>2.6*3.281</f>
        <v>8.5306000000000015</v>
      </c>
      <c r="O72" s="41">
        <f>N72-1.5</f>
        <v>7.0306000000000015</v>
      </c>
      <c r="P72" s="81"/>
      <c r="Q72" s="81"/>
    </row>
    <row r="73" spans="1:17" x14ac:dyDescent="0.3">
      <c r="A73" s="28"/>
      <c r="B73" s="86"/>
      <c r="C73" s="29">
        <v>2</v>
      </c>
      <c r="D73" s="30">
        <v>4.0389999999999997</v>
      </c>
      <c r="E73" s="31"/>
      <c r="F73" s="31">
        <v>0.35599999999999998</v>
      </c>
      <c r="G73" s="91">
        <f t="shared" si="8"/>
        <v>2.8757679999999994</v>
      </c>
      <c r="H73" s="32"/>
      <c r="I73" s="33"/>
      <c r="J73" s="8"/>
      <c r="K73" s="31"/>
      <c r="N73" s="80"/>
      <c r="O73" s="41"/>
      <c r="P73" s="81"/>
      <c r="Q73" s="81"/>
    </row>
    <row r="74" spans="1:17" x14ac:dyDescent="0.3">
      <c r="A74" s="28"/>
      <c r="B74" s="86"/>
      <c r="C74" s="29">
        <v>2</v>
      </c>
      <c r="D74" s="30">
        <f>D73/2</f>
        <v>2.0194999999999999</v>
      </c>
      <c r="E74" s="31"/>
      <c r="F74" s="31">
        <v>0.86399999999999999</v>
      </c>
      <c r="G74" s="39">
        <f>C74*0.5*D74*F74</f>
        <v>1.744848</v>
      </c>
      <c r="H74" s="32"/>
      <c r="I74" s="33"/>
      <c r="J74" s="8"/>
      <c r="K74" s="31"/>
      <c r="N74" s="80"/>
      <c r="O74" s="41"/>
      <c r="P74" s="81"/>
      <c r="Q74" s="81"/>
    </row>
    <row r="75" spans="1:17" x14ac:dyDescent="0.3">
      <c r="A75" s="28"/>
      <c r="B75" s="86" t="s">
        <v>115</v>
      </c>
      <c r="C75" s="29"/>
      <c r="D75" s="30"/>
      <c r="E75" s="31"/>
      <c r="F75" s="31"/>
      <c r="G75" s="39"/>
      <c r="H75" s="32"/>
      <c r="I75" s="33"/>
      <c r="J75" s="8"/>
      <c r="K75" s="31"/>
      <c r="N75" s="80"/>
      <c r="O75" s="41"/>
      <c r="P75" s="81"/>
      <c r="Q75" s="81"/>
    </row>
    <row r="76" spans="1:17" x14ac:dyDescent="0.3">
      <c r="A76" s="28"/>
      <c r="B76" s="87" t="s">
        <v>116</v>
      </c>
      <c r="C76" s="29">
        <v>1</v>
      </c>
      <c r="D76" s="30">
        <v>6.4</v>
      </c>
      <c r="E76" s="31">
        <f>11.25/3.281</f>
        <v>3.4288326729655592</v>
      </c>
      <c r="F76" s="31"/>
      <c r="G76" s="91">
        <f t="shared" ref="G76" si="9">PRODUCT(C76:F76)</f>
        <v>21.94452910697958</v>
      </c>
      <c r="H76" s="32"/>
      <c r="I76" s="33"/>
      <c r="J76" s="8"/>
      <c r="K76" s="31"/>
      <c r="N76" s="80"/>
      <c r="O76" s="41"/>
      <c r="P76" s="81"/>
      <c r="Q76" s="81"/>
    </row>
    <row r="77" spans="1:17" x14ac:dyDescent="0.3">
      <c r="A77" s="28"/>
      <c r="B77" s="87" t="s">
        <v>107</v>
      </c>
      <c r="C77" s="29"/>
      <c r="D77" s="30"/>
      <c r="E77" s="31"/>
      <c r="F77" s="31"/>
      <c r="G77" s="39">
        <f>SUM(G66:G76)</f>
        <v>313.50985260697956</v>
      </c>
      <c r="H77" s="32" t="s">
        <v>111</v>
      </c>
      <c r="I77" s="33">
        <v>69.87</v>
      </c>
      <c r="J77" s="8">
        <f>G77*I77</f>
        <v>21904.933401649665</v>
      </c>
      <c r="K77" s="31"/>
    </row>
    <row r="78" spans="1:17" x14ac:dyDescent="0.3">
      <c r="A78" s="28"/>
      <c r="B78" s="87"/>
      <c r="C78" s="29"/>
      <c r="D78" s="30"/>
      <c r="E78" s="31"/>
      <c r="F78" s="31"/>
      <c r="G78" s="39"/>
      <c r="H78" s="32"/>
      <c r="I78" s="33"/>
      <c r="J78" s="8"/>
      <c r="K78" s="31"/>
    </row>
    <row r="79" spans="1:17" x14ac:dyDescent="0.3">
      <c r="A79" s="10"/>
      <c r="B79" s="87"/>
      <c r="C79" s="9"/>
      <c r="D79" s="7"/>
      <c r="E79" s="7"/>
      <c r="F79" s="7"/>
      <c r="G79" s="85"/>
      <c r="H79" s="8"/>
      <c r="I79" s="8"/>
      <c r="J79" s="8"/>
      <c r="K79" s="4"/>
      <c r="M79" s="41"/>
    </row>
    <row r="80" spans="1:17" x14ac:dyDescent="0.3">
      <c r="A80" s="10"/>
      <c r="B80" s="27" t="s">
        <v>17</v>
      </c>
      <c r="C80" s="9"/>
      <c r="D80" s="7"/>
      <c r="E80" s="7"/>
      <c r="F80" s="7"/>
      <c r="G80" s="85"/>
      <c r="H80" s="8"/>
      <c r="I80" s="8"/>
      <c r="J80" s="8">
        <f>SUM(J10:J79)</f>
        <v>106272.25372476474</v>
      </c>
      <c r="K80" s="4"/>
      <c r="M80" s="41"/>
      <c r="P80" s="48"/>
      <c r="Q80" s="48"/>
    </row>
    <row r="81" spans="2:31" x14ac:dyDescent="0.3">
      <c r="M81" s="41"/>
      <c r="N81" s="42"/>
      <c r="O81" s="42"/>
      <c r="P81" s="47"/>
      <c r="R81" s="42"/>
      <c r="S81" s="42"/>
      <c r="T81" s="42"/>
      <c r="U81" s="41"/>
      <c r="V81" s="41"/>
      <c r="W81" s="41"/>
      <c r="X81" s="41"/>
      <c r="Y81" s="41"/>
      <c r="Z81" s="41"/>
      <c r="AA81" s="41"/>
      <c r="AB81" s="41"/>
      <c r="AC81" s="41"/>
      <c r="AD81" s="41"/>
      <c r="AE81" s="41"/>
    </row>
    <row r="82" spans="2:31" s="1" customFormat="1" x14ac:dyDescent="0.3">
      <c r="B82" s="17" t="s">
        <v>32</v>
      </c>
      <c r="C82" s="99">
        <f>J80</f>
        <v>106272.25372476474</v>
      </c>
      <c r="D82" s="100"/>
      <c r="E82" s="15">
        <v>100</v>
      </c>
      <c r="F82" s="19"/>
      <c r="G82" s="20"/>
      <c r="H82" s="19"/>
      <c r="I82" s="21"/>
      <c r="J82" s="22"/>
      <c r="K82" s="23"/>
      <c r="M82" s="19"/>
      <c r="N82" s="42"/>
      <c r="O82" s="42"/>
      <c r="P82" s="42"/>
      <c r="Q82" s="42"/>
      <c r="R82" s="42"/>
      <c r="S82" s="42"/>
      <c r="T82" s="42"/>
      <c r="U82" s="19"/>
      <c r="V82" s="19"/>
      <c r="W82" s="19"/>
      <c r="X82" s="19"/>
      <c r="Y82" s="19"/>
      <c r="Z82" s="19"/>
      <c r="AA82" s="19"/>
      <c r="AB82" s="19"/>
      <c r="AC82" s="19"/>
      <c r="AD82" s="19"/>
      <c r="AE82" s="19"/>
    </row>
    <row r="83" spans="2:31" x14ac:dyDescent="0.3">
      <c r="B83" s="17" t="s">
        <v>27</v>
      </c>
      <c r="C83" s="102">
        <v>150000</v>
      </c>
      <c r="D83" s="103"/>
      <c r="E83" s="15"/>
      <c r="M83" s="41"/>
      <c r="N83" s="42"/>
      <c r="O83" s="42"/>
      <c r="P83" s="42"/>
      <c r="Q83" s="42"/>
      <c r="R83" s="42"/>
      <c r="S83" s="42"/>
      <c r="T83" s="42"/>
      <c r="U83" s="41"/>
      <c r="V83" s="41"/>
      <c r="W83" s="41"/>
      <c r="X83" s="41"/>
      <c r="Y83" s="41"/>
      <c r="Z83" s="41"/>
      <c r="AA83" s="41"/>
      <c r="AB83" s="41"/>
      <c r="AC83" s="41"/>
      <c r="AD83" s="41"/>
      <c r="AE83" s="41"/>
    </row>
    <row r="84" spans="2:31" x14ac:dyDescent="0.3">
      <c r="B84" s="17" t="s">
        <v>28</v>
      </c>
      <c r="C84" s="102">
        <f>C83-C86-C87</f>
        <v>142500</v>
      </c>
      <c r="D84" s="103"/>
      <c r="E84" s="15">
        <f>C84/C82*100</f>
        <v>134.08956242620181</v>
      </c>
      <c r="M84" s="41"/>
      <c r="N84" s="41"/>
      <c r="O84" s="41"/>
      <c r="P84" s="41"/>
      <c r="Q84" s="41"/>
      <c r="R84" s="41"/>
      <c r="S84" s="41"/>
      <c r="T84" s="41"/>
      <c r="U84" s="41"/>
      <c r="V84" s="41"/>
      <c r="W84" s="41"/>
      <c r="X84" s="41"/>
      <c r="Y84" s="41"/>
      <c r="Z84" s="41"/>
      <c r="AA84" s="41"/>
      <c r="AB84" s="41"/>
      <c r="AC84" s="41"/>
      <c r="AD84" s="41"/>
      <c r="AE84" s="41"/>
    </row>
    <row r="85" spans="2:31" x14ac:dyDescent="0.3">
      <c r="B85" s="17" t="s">
        <v>29</v>
      </c>
      <c r="C85" s="104">
        <f>C82-C84</f>
        <v>-36227.746275235259</v>
      </c>
      <c r="D85" s="104"/>
      <c r="E85" s="15">
        <f>100-E84</f>
        <v>-34.089562426201809</v>
      </c>
      <c r="M85" s="41"/>
      <c r="N85" s="41"/>
      <c r="O85" s="41"/>
      <c r="P85" s="41"/>
      <c r="Q85" s="41"/>
      <c r="R85" s="41"/>
      <c r="S85" s="41"/>
      <c r="T85" s="41"/>
      <c r="U85" s="41"/>
      <c r="V85" s="41"/>
      <c r="W85" s="41"/>
      <c r="X85" s="41"/>
      <c r="Y85" s="41"/>
      <c r="Z85" s="41"/>
      <c r="AA85" s="41"/>
      <c r="AB85" s="41"/>
      <c r="AC85" s="41"/>
      <c r="AD85" s="41"/>
      <c r="AE85" s="41"/>
    </row>
    <row r="86" spans="2:31" x14ac:dyDescent="0.3">
      <c r="B86" s="17" t="s">
        <v>30</v>
      </c>
      <c r="C86" s="99">
        <f>C83*0.03</f>
        <v>4500</v>
      </c>
      <c r="D86" s="100"/>
      <c r="E86" s="15">
        <v>3</v>
      </c>
      <c r="M86" s="41"/>
      <c r="N86" s="41"/>
      <c r="O86" s="41"/>
      <c r="P86" s="41"/>
      <c r="Q86" s="41"/>
      <c r="R86" s="41"/>
      <c r="S86" s="41"/>
      <c r="T86" s="41"/>
      <c r="U86" s="41"/>
      <c r="V86" s="41"/>
      <c r="W86" s="41"/>
      <c r="X86" s="41"/>
      <c r="Y86" s="41"/>
      <c r="Z86" s="41"/>
      <c r="AA86" s="41"/>
      <c r="AB86" s="41"/>
      <c r="AC86" s="41"/>
      <c r="AD86" s="41"/>
      <c r="AE86" s="41"/>
    </row>
    <row r="87" spans="2:31" x14ac:dyDescent="0.3">
      <c r="B87" s="17" t="s">
        <v>31</v>
      </c>
      <c r="C87" s="99">
        <f>C83*0.02</f>
        <v>3000</v>
      </c>
      <c r="D87" s="100"/>
      <c r="E87" s="15">
        <v>2</v>
      </c>
      <c r="M87" s="41"/>
      <c r="N87" s="41"/>
      <c r="O87" s="41"/>
      <c r="P87" s="41"/>
      <c r="Q87" s="41"/>
      <c r="R87" s="41"/>
      <c r="S87" s="41"/>
      <c r="T87" s="41"/>
      <c r="U87" s="41"/>
      <c r="V87" s="41"/>
      <c r="W87" s="41"/>
      <c r="X87" s="41"/>
      <c r="Y87" s="41"/>
      <c r="Z87" s="41"/>
      <c r="AA87" s="41"/>
      <c r="AB87" s="41"/>
      <c r="AC87" s="41"/>
      <c r="AD87" s="41"/>
      <c r="AE87" s="41"/>
    </row>
  </sheetData>
  <mergeCells count="15">
    <mergeCell ref="C86:D86"/>
    <mergeCell ref="C87:D87"/>
    <mergeCell ref="A7:F7"/>
    <mergeCell ref="H7:K7"/>
    <mergeCell ref="C82:D82"/>
    <mergeCell ref="C83:D83"/>
    <mergeCell ref="C84:D84"/>
    <mergeCell ref="C85:D85"/>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107" t="s">
        <v>0</v>
      </c>
      <c r="B1" s="107"/>
      <c r="C1" s="107"/>
      <c r="D1" s="107"/>
      <c r="E1" s="107"/>
      <c r="F1" s="107"/>
      <c r="G1" s="107"/>
      <c r="H1" s="107"/>
      <c r="I1" s="107"/>
      <c r="J1" s="107"/>
      <c r="K1" s="107"/>
    </row>
    <row r="2" spans="1:13" ht="24.6" x14ac:dyDescent="0.4">
      <c r="A2" s="108" t="s">
        <v>1</v>
      </c>
      <c r="B2" s="108"/>
      <c r="C2" s="108"/>
      <c r="D2" s="108"/>
      <c r="E2" s="108"/>
      <c r="F2" s="108"/>
      <c r="G2" s="108"/>
      <c r="H2" s="108"/>
      <c r="I2" s="108"/>
      <c r="J2" s="108"/>
      <c r="K2" s="108"/>
    </row>
    <row r="3" spans="1:13" s="1" customFormat="1" x14ac:dyDescent="0.3">
      <c r="A3" s="97" t="s">
        <v>2</v>
      </c>
      <c r="B3" s="97"/>
      <c r="C3" s="97"/>
      <c r="D3" s="97"/>
      <c r="E3" s="97"/>
      <c r="F3" s="97"/>
      <c r="G3" s="97"/>
      <c r="H3" s="97"/>
      <c r="I3" s="97"/>
      <c r="J3" s="97"/>
      <c r="K3" s="97"/>
    </row>
    <row r="4" spans="1:13" s="1" customFormat="1" x14ac:dyDescent="0.3">
      <c r="A4" s="97" t="s">
        <v>3</v>
      </c>
      <c r="B4" s="97"/>
      <c r="C4" s="97"/>
      <c r="D4" s="97"/>
      <c r="E4" s="97"/>
      <c r="F4" s="97"/>
      <c r="G4" s="97"/>
      <c r="H4" s="97"/>
      <c r="I4" s="97"/>
      <c r="J4" s="97"/>
      <c r="K4" s="97"/>
    </row>
    <row r="5" spans="1:13" ht="18" x14ac:dyDescent="0.35">
      <c r="A5" s="109" t="s">
        <v>18</v>
      </c>
      <c r="B5" s="109"/>
      <c r="C5" s="109"/>
      <c r="D5" s="109"/>
      <c r="E5" s="109"/>
      <c r="F5" s="109"/>
      <c r="G5" s="109"/>
      <c r="H5" s="109"/>
      <c r="I5" s="109"/>
      <c r="J5" s="109"/>
      <c r="K5" s="109"/>
    </row>
    <row r="6" spans="1:13" ht="18" x14ac:dyDescent="0.35">
      <c r="A6" s="11" t="s">
        <v>19</v>
      </c>
      <c r="B6" s="11"/>
      <c r="C6" s="105" t="e">
        <f>F30</f>
        <v>#REF!</v>
      </c>
      <c r="D6" s="106"/>
      <c r="E6" s="12"/>
      <c r="F6" s="11"/>
      <c r="G6" s="11"/>
      <c r="H6" s="11" t="s">
        <v>20</v>
      </c>
      <c r="I6" s="11"/>
      <c r="J6" s="105" t="e">
        <f>I30</f>
        <v>#REF!</v>
      </c>
      <c r="K6" s="106"/>
    </row>
    <row r="7" spans="1:13" x14ac:dyDescent="0.3">
      <c r="A7" s="34" t="s">
        <v>93</v>
      </c>
      <c r="B7" s="13"/>
      <c r="C7" s="13"/>
      <c r="D7" s="13"/>
      <c r="F7" s="113"/>
      <c r="G7" s="113"/>
      <c r="I7" s="114" t="s">
        <v>94</v>
      </c>
      <c r="J7" s="114"/>
      <c r="K7" s="114"/>
    </row>
    <row r="8" spans="1:13" ht="15.6" x14ac:dyDescent="0.3">
      <c r="A8" s="112" t="e">
        <f>#REF!</f>
        <v>#REF!</v>
      </c>
      <c r="B8" s="112"/>
      <c r="C8" s="112"/>
      <c r="D8" s="112"/>
      <c r="E8" s="112"/>
      <c r="F8" s="112"/>
      <c r="I8" s="115" t="s">
        <v>35</v>
      </c>
      <c r="J8" s="115"/>
      <c r="K8" s="115"/>
    </row>
    <row r="9" spans="1:13" ht="15.6" x14ac:dyDescent="0.3">
      <c r="A9" s="112" t="e">
        <f>#REF!</f>
        <v>#REF!</v>
      </c>
      <c r="B9" s="112"/>
      <c r="C9" s="112"/>
      <c r="D9" s="112"/>
      <c r="E9" s="112"/>
      <c r="F9" s="112"/>
      <c r="I9" s="115" t="s">
        <v>92</v>
      </c>
      <c r="J9" s="115"/>
      <c r="K9" s="115"/>
    </row>
    <row r="11" spans="1:13" x14ac:dyDescent="0.3">
      <c r="A11" s="110" t="s">
        <v>21</v>
      </c>
      <c r="B11" s="110" t="s">
        <v>22</v>
      </c>
      <c r="C11" s="110" t="s">
        <v>12</v>
      </c>
      <c r="D11" s="116" t="s">
        <v>23</v>
      </c>
      <c r="E11" s="116"/>
      <c r="F11" s="116"/>
      <c r="G11" s="116" t="s">
        <v>24</v>
      </c>
      <c r="H11" s="116"/>
      <c r="I11" s="116"/>
      <c r="J11" s="110" t="s">
        <v>25</v>
      </c>
      <c r="K11" s="111" t="s">
        <v>15</v>
      </c>
    </row>
    <row r="12" spans="1:13" x14ac:dyDescent="0.3">
      <c r="A12" s="110"/>
      <c r="B12" s="110"/>
      <c r="C12" s="110"/>
      <c r="D12" s="14" t="s">
        <v>26</v>
      </c>
      <c r="E12" s="14" t="s">
        <v>13</v>
      </c>
      <c r="F12" s="14" t="s">
        <v>14</v>
      </c>
      <c r="G12" s="14" t="s">
        <v>26</v>
      </c>
      <c r="H12" s="14" t="s">
        <v>13</v>
      </c>
      <c r="I12" s="14" t="s">
        <v>14</v>
      </c>
      <c r="J12" s="110"/>
      <c r="K12" s="111"/>
    </row>
    <row r="13" spans="1:13" s="1" customFormat="1" x14ac:dyDescent="0.3">
      <c r="A13" s="35" t="e">
        <f>new!#REF!</f>
        <v>#REF!</v>
      </c>
      <c r="B13" s="40" t="e">
        <f>new!#REF!</f>
        <v>#REF!</v>
      </c>
      <c r="C13" s="15" t="e">
        <f>new!#REF!</f>
        <v>#REF!</v>
      </c>
      <c r="D13" s="15" t="e">
        <f>new!#REF!</f>
        <v>#REF!</v>
      </c>
      <c r="E13" s="15" t="e">
        <f>new!#REF!</f>
        <v>#REF!</v>
      </c>
      <c r="F13" s="15" t="e">
        <f>D13*E13</f>
        <v>#REF!</v>
      </c>
      <c r="G13" s="15" t="e">
        <f>#REF!</f>
        <v>#REF!</v>
      </c>
      <c r="H13" s="15" t="e">
        <f>#REF!</f>
        <v>#REF!</v>
      </c>
      <c r="I13" s="15" t="e">
        <f>G13*H13</f>
        <v>#REF!</v>
      </c>
      <c r="J13" s="36" t="e">
        <f>I13-F13</f>
        <v>#REF!</v>
      </c>
      <c r="K13" s="18"/>
      <c r="M13" s="1" t="e">
        <f t="shared" ref="M13:M18" si="0">1.25*F13</f>
        <v>#REF!</v>
      </c>
    </row>
    <row r="14" spans="1:13" s="1" customFormat="1" x14ac:dyDescent="0.3">
      <c r="A14" s="35"/>
      <c r="B14" s="43" t="e">
        <f>new!#REF!</f>
        <v>#REF!</v>
      </c>
      <c r="C14" s="15"/>
      <c r="D14" s="15"/>
      <c r="E14" s="15"/>
      <c r="F14" s="15" t="e">
        <f>new!#REF!</f>
        <v>#REF!</v>
      </c>
      <c r="G14" s="15"/>
      <c r="H14" s="15"/>
      <c r="I14" s="15" t="e">
        <f>#REF!</f>
        <v>#REF!</v>
      </c>
      <c r="J14" s="36" t="e">
        <f>I14-F14</f>
        <v>#REF!</v>
      </c>
      <c r="K14" s="18"/>
      <c r="M14" s="1" t="e">
        <f t="shared" si="0"/>
        <v>#REF!</v>
      </c>
    </row>
    <row r="15" spans="1:13" s="1" customFormat="1" x14ac:dyDescent="0.3">
      <c r="A15" s="35"/>
      <c r="B15" s="40"/>
      <c r="C15" s="15"/>
      <c r="D15" s="15"/>
      <c r="E15" s="15"/>
      <c r="F15" s="15"/>
      <c r="G15" s="15"/>
      <c r="H15" s="15"/>
      <c r="I15" s="15"/>
      <c r="J15" s="36"/>
      <c r="K15" s="18"/>
    </row>
    <row r="16" spans="1:13" s="1" customFormat="1" x14ac:dyDescent="0.3">
      <c r="A16" s="35" t="e">
        <f>new!#REF!</f>
        <v>#REF!</v>
      </c>
      <c r="B16" s="40" t="e">
        <f>new!#REF!</f>
        <v>#REF!</v>
      </c>
      <c r="C16" s="15" t="e">
        <f>new!#REF!</f>
        <v>#REF!</v>
      </c>
      <c r="D16" s="15" t="e">
        <f>new!#REF!</f>
        <v>#REF!</v>
      </c>
      <c r="E16" s="15" t="e">
        <f>new!#REF!</f>
        <v>#REF!</v>
      </c>
      <c r="F16" s="15" t="e">
        <f>D16*E16</f>
        <v>#REF!</v>
      </c>
      <c r="G16" s="15" t="e">
        <f>#REF!</f>
        <v>#REF!</v>
      </c>
      <c r="H16" s="15" t="e">
        <f>#REF!</f>
        <v>#REF!</v>
      </c>
      <c r="I16" s="15" t="e">
        <f>G16*H16</f>
        <v>#REF!</v>
      </c>
      <c r="J16" s="36" t="e">
        <f>I16-F16</f>
        <v>#REF!</v>
      </c>
      <c r="K16" s="18"/>
    </row>
    <row r="17" spans="1:13" s="1" customFormat="1" x14ac:dyDescent="0.3">
      <c r="A17" s="35"/>
      <c r="B17" s="43" t="e">
        <f>new!#REF!</f>
        <v>#REF!</v>
      </c>
      <c r="C17" s="15"/>
      <c r="D17" s="15"/>
      <c r="E17" s="15"/>
      <c r="F17" s="15" t="e">
        <f>new!#REF!</f>
        <v>#REF!</v>
      </c>
      <c r="G17" s="15"/>
      <c r="H17" s="15"/>
      <c r="I17" s="15" t="e">
        <f>#REF!</f>
        <v>#REF!</v>
      </c>
      <c r="J17" s="36" t="e">
        <f>I17-F17</f>
        <v>#REF!</v>
      </c>
      <c r="K17" s="18"/>
    </row>
    <row r="18" spans="1:13" s="1" customFormat="1" x14ac:dyDescent="0.3">
      <c r="A18" s="35"/>
      <c r="B18" s="40"/>
      <c r="C18" s="15"/>
      <c r="D18" s="15"/>
      <c r="E18" s="15"/>
      <c r="F18" s="15"/>
      <c r="G18" s="15"/>
      <c r="H18" s="15"/>
      <c r="I18" s="15"/>
      <c r="J18" s="36"/>
      <c r="K18" s="18"/>
      <c r="M18" s="1">
        <f t="shared" si="0"/>
        <v>0</v>
      </c>
    </row>
    <row r="19" spans="1:13" s="1" customFormat="1" x14ac:dyDescent="0.3">
      <c r="A19" s="35" t="e">
        <f>new!#REF!</f>
        <v>#REF!</v>
      </c>
      <c r="B19" s="40" t="e">
        <f>new!#REF!</f>
        <v>#REF!</v>
      </c>
      <c r="C19" s="15" t="e">
        <f>new!#REF!</f>
        <v>#REF!</v>
      </c>
      <c r="D19" s="15" t="e">
        <f>new!#REF!</f>
        <v>#REF!</v>
      </c>
      <c r="E19" s="15" t="e">
        <f>new!#REF!</f>
        <v>#REF!</v>
      </c>
      <c r="F19" s="15" t="e">
        <f>D19*E19</f>
        <v>#REF!</v>
      </c>
      <c r="G19" s="15" t="e">
        <f>#REF!</f>
        <v>#REF!</v>
      </c>
      <c r="H19" s="15" t="e">
        <f>#REF!</f>
        <v>#REF!</v>
      </c>
      <c r="I19" s="15" t="e">
        <f>G19*H19</f>
        <v>#REF!</v>
      </c>
      <c r="J19" s="36" t="e">
        <f>I19-F19</f>
        <v>#REF!</v>
      </c>
      <c r="K19" s="18"/>
    </row>
    <row r="20" spans="1:13" s="1" customFormat="1" x14ac:dyDescent="0.3">
      <c r="A20" s="35"/>
      <c r="B20" s="43" t="e">
        <f>new!#REF!</f>
        <v>#REF!</v>
      </c>
      <c r="C20" s="15"/>
      <c r="D20" s="15"/>
      <c r="E20" s="15"/>
      <c r="F20" s="15" t="e">
        <f>new!#REF!</f>
        <v>#REF!</v>
      </c>
      <c r="G20" s="15"/>
      <c r="H20" s="15"/>
      <c r="I20" s="15" t="e">
        <f>#REF!</f>
        <v>#REF!</v>
      </c>
      <c r="J20" s="36" t="e">
        <f>I20-F20</f>
        <v>#REF!</v>
      </c>
      <c r="K20" s="18"/>
    </row>
    <row r="21" spans="1:13" s="1" customFormat="1" x14ac:dyDescent="0.3">
      <c r="A21" s="35"/>
      <c r="B21" s="40"/>
      <c r="C21" s="15"/>
      <c r="D21" s="15"/>
      <c r="E21" s="15"/>
      <c r="F21" s="15"/>
      <c r="G21" s="15"/>
      <c r="H21" s="15"/>
      <c r="I21" s="15"/>
      <c r="J21" s="36"/>
      <c r="K21" s="18"/>
      <c r="M21" s="1">
        <f t="shared" ref="M21" si="1">1.25*F21</f>
        <v>0</v>
      </c>
    </row>
    <row r="22" spans="1:13" s="1" customFormat="1" x14ac:dyDescent="0.3">
      <c r="A22" s="35" t="e">
        <f>new!#REF!</f>
        <v>#REF!</v>
      </c>
      <c r="B22" s="40" t="e">
        <f>new!#REF!</f>
        <v>#REF!</v>
      </c>
      <c r="C22" s="15" t="e">
        <f>new!#REF!</f>
        <v>#REF!</v>
      </c>
      <c r="D22" s="15" t="e">
        <f>new!#REF!</f>
        <v>#REF!</v>
      </c>
      <c r="E22" s="15" t="e">
        <f>new!#REF!</f>
        <v>#REF!</v>
      </c>
      <c r="F22" s="15" t="e">
        <f>D22*E22</f>
        <v>#REF!</v>
      </c>
      <c r="G22" s="15" t="e">
        <f>#REF!</f>
        <v>#REF!</v>
      </c>
      <c r="H22" s="15" t="e">
        <f>#REF!</f>
        <v>#REF!</v>
      </c>
      <c r="I22" s="15" t="e">
        <f>G22*H22</f>
        <v>#REF!</v>
      </c>
      <c r="J22" s="36" t="e">
        <f>I22-F22</f>
        <v>#REF!</v>
      </c>
      <c r="K22" s="18"/>
    </row>
    <row r="23" spans="1:13" s="1" customFormat="1" x14ac:dyDescent="0.3">
      <c r="A23" s="35"/>
      <c r="B23" s="43" t="e">
        <f>new!#REF!</f>
        <v>#REF!</v>
      </c>
      <c r="C23" s="15"/>
      <c r="D23" s="15"/>
      <c r="E23" s="15"/>
      <c r="F23" s="15" t="e">
        <f>new!#REF!</f>
        <v>#REF!</v>
      </c>
      <c r="G23" s="15"/>
      <c r="H23" s="15"/>
      <c r="I23" s="15" t="e">
        <f>#REF!</f>
        <v>#REF!</v>
      </c>
      <c r="J23" s="36" t="e">
        <f>I23-F23</f>
        <v>#REF!</v>
      </c>
      <c r="K23" s="18"/>
    </row>
    <row r="24" spans="1:13" s="1" customFormat="1" x14ac:dyDescent="0.3">
      <c r="A24" s="35"/>
      <c r="B24" s="40"/>
      <c r="C24" s="15"/>
      <c r="D24" s="15"/>
      <c r="E24" s="15"/>
      <c r="F24" s="15"/>
      <c r="G24" s="15"/>
      <c r="H24" s="15"/>
      <c r="I24" s="15"/>
      <c r="J24" s="36"/>
      <c r="K24" s="18"/>
      <c r="M24" s="1">
        <f t="shared" ref="M24" si="2">1.25*F24</f>
        <v>0</v>
      </c>
    </row>
    <row r="25" spans="1:13" s="1" customFormat="1" x14ac:dyDescent="0.3">
      <c r="A25" s="35" t="e">
        <f>new!#REF!</f>
        <v>#REF!</v>
      </c>
      <c r="B25" s="40" t="e">
        <f>new!#REF!</f>
        <v>#REF!</v>
      </c>
      <c r="C25" s="15" t="e">
        <f>new!#REF!</f>
        <v>#REF!</v>
      </c>
      <c r="D25" s="15" t="e">
        <f>new!#REF!</f>
        <v>#REF!</v>
      </c>
      <c r="E25" s="15" t="e">
        <f>new!#REF!</f>
        <v>#REF!</v>
      </c>
      <c r="F25" s="15" t="e">
        <f>D25*E25</f>
        <v>#REF!</v>
      </c>
      <c r="G25" s="15" t="e">
        <f>#REF!</f>
        <v>#REF!</v>
      </c>
      <c r="H25" s="15" t="e">
        <f>#REF!</f>
        <v>#REF!</v>
      </c>
      <c r="I25" s="15" t="e">
        <f>G25*H25</f>
        <v>#REF!</v>
      </c>
      <c r="J25" s="36" t="e">
        <f>I25-F25</f>
        <v>#REF!</v>
      </c>
      <c r="K25" s="18"/>
    </row>
    <row r="26" spans="1:13" s="1" customFormat="1" x14ac:dyDescent="0.3">
      <c r="A26" s="35"/>
      <c r="B26" s="40" t="e">
        <f>new!#REF!</f>
        <v>#REF!</v>
      </c>
      <c r="C26" s="15"/>
      <c r="D26" s="15"/>
      <c r="E26" s="15"/>
      <c r="F26" s="15" t="e">
        <f>new!#REF!</f>
        <v>#REF!</v>
      </c>
      <c r="G26" s="15"/>
      <c r="H26" s="15"/>
      <c r="I26" s="15" t="e">
        <f>#REF!</f>
        <v>#REF!</v>
      </c>
      <c r="J26" s="36" t="e">
        <f>I26-F26</f>
        <v>#REF!</v>
      </c>
      <c r="K26" s="18"/>
    </row>
    <row r="27" spans="1:13" s="1" customFormat="1" x14ac:dyDescent="0.3">
      <c r="A27" s="35"/>
      <c r="B27" s="40"/>
      <c r="C27" s="15"/>
      <c r="D27" s="15"/>
      <c r="E27" s="15"/>
      <c r="F27" s="15"/>
      <c r="G27" s="15"/>
      <c r="H27" s="15"/>
      <c r="I27" s="15"/>
      <c r="J27" s="36"/>
      <c r="K27" s="18"/>
      <c r="M27" s="1">
        <f t="shared" ref="M27" si="3">1.25*F27</f>
        <v>0</v>
      </c>
    </row>
    <row r="28" spans="1:13" s="1" customFormat="1" ht="27.6" x14ac:dyDescent="0.3">
      <c r="A28" s="40">
        <f>new!A10</f>
        <v>1</v>
      </c>
      <c r="B28" s="40" t="str">
        <f>new!B10</f>
        <v>l;d]G6 jf jh|df hf]8]sf] uf/f] eTsfO{ To;af6 cfPsf] ;fdfu+|L !) dL</v>
      </c>
      <c r="C28" s="15">
        <f>new!H10</f>
        <v>0</v>
      </c>
      <c r="D28" s="15">
        <f>new!G10</f>
        <v>0</v>
      </c>
      <c r="E28" s="15" t="e">
        <f>#REF!</f>
        <v>#REF!</v>
      </c>
      <c r="F28" s="15" t="e">
        <f>D28*E28</f>
        <v>#REF!</v>
      </c>
      <c r="G28" s="15">
        <f>new!G10</f>
        <v>0</v>
      </c>
      <c r="H28" s="15" t="e">
        <f>#REF!</f>
        <v>#REF!</v>
      </c>
      <c r="I28" s="15" t="e">
        <f>G28*H28</f>
        <v>#REF!</v>
      </c>
      <c r="J28" s="36" t="e">
        <f>I28-F28</f>
        <v>#REF!</v>
      </c>
      <c r="K28" s="18"/>
    </row>
    <row r="29" spans="1:13" s="1" customFormat="1" x14ac:dyDescent="0.3">
      <c r="A29" s="37"/>
      <c r="B29" s="37"/>
      <c r="C29" s="15"/>
      <c r="D29" s="15"/>
      <c r="E29" s="15"/>
      <c r="F29" s="15"/>
      <c r="G29" s="15"/>
      <c r="H29" s="15"/>
      <c r="I29" s="15"/>
      <c r="J29" s="36"/>
      <c r="K29" s="18"/>
    </row>
    <row r="30" spans="1:13" x14ac:dyDescent="0.3">
      <c r="A30" s="4"/>
      <c r="B30" s="5" t="s">
        <v>16</v>
      </c>
      <c r="C30" s="5"/>
      <c r="D30" s="8"/>
      <c r="E30" s="8"/>
      <c r="F30" s="8" t="e">
        <f>SUM(F13:F29)</f>
        <v>#REF!</v>
      </c>
      <c r="G30" s="8"/>
      <c r="H30" s="8"/>
      <c r="I30" s="8" t="e">
        <f>SUM(I13:I29)</f>
        <v>#REF!</v>
      </c>
      <c r="J30" s="16" t="e">
        <f>I30-F30</f>
        <v>#REF!</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4.4" x14ac:dyDescent="0.3"/>
  <sheetData>
    <row r="1" spans="1:21" x14ac:dyDescent="0.3">
      <c r="A1" s="117" t="s">
        <v>43</v>
      </c>
      <c r="B1" s="117"/>
      <c r="C1" s="118" t="s">
        <v>41</v>
      </c>
      <c r="D1" s="118"/>
      <c r="E1" s="118"/>
      <c r="F1" s="118"/>
      <c r="G1" s="118"/>
      <c r="H1" s="118"/>
      <c r="I1" s="118"/>
      <c r="J1" s="118"/>
      <c r="K1" s="118"/>
      <c r="L1" s="118"/>
      <c r="M1" s="118"/>
      <c r="N1" s="118"/>
      <c r="O1" s="118"/>
      <c r="P1" s="118"/>
      <c r="Q1" s="118"/>
      <c r="R1" s="118"/>
      <c r="S1" s="118"/>
      <c r="T1" s="118"/>
      <c r="U1" s="119" t="s">
        <v>44</v>
      </c>
    </row>
    <row r="2" spans="1:21" x14ac:dyDescent="0.3">
      <c r="A2" s="117"/>
      <c r="B2" s="117"/>
      <c r="C2" s="118"/>
      <c r="D2" s="118"/>
      <c r="E2" s="118"/>
      <c r="F2" s="118"/>
      <c r="G2" s="118"/>
      <c r="H2" s="118"/>
      <c r="I2" s="118"/>
      <c r="J2" s="118"/>
      <c r="K2" s="118"/>
      <c r="L2" s="118"/>
      <c r="M2" s="118"/>
      <c r="N2" s="118"/>
      <c r="O2" s="118"/>
      <c r="P2" s="118"/>
      <c r="Q2" s="118"/>
      <c r="R2" s="118"/>
      <c r="S2" s="118"/>
      <c r="T2" s="118"/>
      <c r="U2" s="119"/>
    </row>
    <row r="3" spans="1:21" ht="15.6" x14ac:dyDescent="0.3">
      <c r="A3" s="120" t="s">
        <v>45</v>
      </c>
      <c r="B3" s="120"/>
      <c r="C3" s="118"/>
      <c r="D3" s="118"/>
      <c r="E3" s="118"/>
      <c r="F3" s="118"/>
      <c r="G3" s="118"/>
      <c r="H3" s="118"/>
      <c r="I3" s="118"/>
      <c r="J3" s="118"/>
      <c r="K3" s="118"/>
      <c r="L3" s="118"/>
      <c r="M3" s="118"/>
      <c r="N3" s="118"/>
      <c r="O3" s="118"/>
      <c r="P3" s="118"/>
      <c r="Q3" s="118"/>
      <c r="R3" s="118"/>
      <c r="S3" s="118"/>
      <c r="T3" s="118"/>
      <c r="U3" s="119"/>
    </row>
    <row r="4" spans="1:21" ht="15.6" x14ac:dyDescent="0.3">
      <c r="A4" s="121" t="s">
        <v>46</v>
      </c>
      <c r="B4" s="122" t="s">
        <v>47</v>
      </c>
      <c r="C4" s="122"/>
      <c r="D4" s="122"/>
      <c r="E4" s="122"/>
      <c r="F4" s="122"/>
      <c r="G4" s="122" t="s">
        <v>48</v>
      </c>
      <c r="H4" s="122"/>
      <c r="I4" s="122"/>
      <c r="J4" s="122"/>
      <c r="K4" s="122"/>
      <c r="L4" s="122" t="s">
        <v>49</v>
      </c>
      <c r="M4" s="122"/>
      <c r="N4" s="122"/>
      <c r="O4" s="122"/>
      <c r="P4" s="122"/>
      <c r="Q4" s="122" t="s">
        <v>50</v>
      </c>
      <c r="R4" s="122"/>
      <c r="S4" s="122"/>
      <c r="T4" s="122"/>
      <c r="U4" s="122"/>
    </row>
    <row r="5" spans="1:21" ht="15.6" x14ac:dyDescent="0.3">
      <c r="A5" s="121"/>
      <c r="B5" s="56" t="s">
        <v>51</v>
      </c>
      <c r="C5" s="56" t="s">
        <v>12</v>
      </c>
      <c r="D5" s="56" t="s">
        <v>11</v>
      </c>
      <c r="E5" s="56" t="s">
        <v>13</v>
      </c>
      <c r="F5" s="56" t="s">
        <v>14</v>
      </c>
      <c r="G5" s="56" t="s">
        <v>51</v>
      </c>
      <c r="H5" s="57" t="s">
        <v>12</v>
      </c>
      <c r="I5" s="56" t="s">
        <v>11</v>
      </c>
      <c r="J5" s="56" t="s">
        <v>13</v>
      </c>
      <c r="K5" s="56" t="s">
        <v>14</v>
      </c>
      <c r="L5" s="56" t="s">
        <v>51</v>
      </c>
      <c r="M5" s="56" t="s">
        <v>12</v>
      </c>
      <c r="N5" s="56" t="s">
        <v>11</v>
      </c>
      <c r="O5" s="56" t="s">
        <v>13</v>
      </c>
      <c r="P5" s="56" t="s">
        <v>14</v>
      </c>
      <c r="Q5" s="56" t="s">
        <v>51</v>
      </c>
      <c r="R5" s="56" t="s">
        <v>12</v>
      </c>
      <c r="S5" s="56" t="s">
        <v>11</v>
      </c>
      <c r="T5" s="56" t="s">
        <v>13</v>
      </c>
      <c r="U5" s="58" t="s">
        <v>14</v>
      </c>
    </row>
    <row r="6" spans="1:21" ht="62.4" x14ac:dyDescent="0.3">
      <c r="A6" s="59" t="s">
        <v>52</v>
      </c>
      <c r="B6" s="56" t="s">
        <v>53</v>
      </c>
      <c r="C6" s="56" t="s">
        <v>54</v>
      </c>
      <c r="D6" s="56">
        <v>1</v>
      </c>
      <c r="E6" s="56">
        <v>1200</v>
      </c>
      <c r="F6" s="60">
        <f>(D6*E6)</f>
        <v>1200</v>
      </c>
      <c r="G6" s="61"/>
      <c r="H6" s="62"/>
      <c r="I6" s="61"/>
      <c r="J6" s="61"/>
      <c r="K6" s="61"/>
      <c r="L6" s="56" t="s">
        <v>55</v>
      </c>
      <c r="M6" s="56" t="s">
        <v>56</v>
      </c>
      <c r="N6" s="56">
        <v>6</v>
      </c>
      <c r="O6" s="56">
        <v>3071</v>
      </c>
      <c r="P6" s="60">
        <f>(N6*O6)</f>
        <v>18426</v>
      </c>
      <c r="Q6" s="61"/>
      <c r="R6" s="61"/>
      <c r="S6" s="61"/>
      <c r="T6" s="61"/>
      <c r="U6" s="63"/>
    </row>
    <row r="7" spans="1:21" ht="31.2" x14ac:dyDescent="0.3">
      <c r="A7" s="61"/>
      <c r="B7" s="56" t="s">
        <v>57</v>
      </c>
      <c r="C7" s="56" t="s">
        <v>54</v>
      </c>
      <c r="D7" s="56">
        <v>3</v>
      </c>
      <c r="E7" s="56">
        <v>900</v>
      </c>
      <c r="F7" s="60">
        <f>(D7*E7)</f>
        <v>2700</v>
      </c>
      <c r="G7" s="61"/>
      <c r="H7" s="62"/>
      <c r="I7" s="61"/>
      <c r="J7" s="61"/>
      <c r="K7" s="61"/>
      <c r="L7" s="61"/>
      <c r="M7" s="61"/>
      <c r="N7" s="61"/>
      <c r="O7" s="61"/>
      <c r="P7" s="61"/>
      <c r="Q7" s="61"/>
      <c r="R7" s="61"/>
      <c r="S7" s="61"/>
      <c r="T7" s="61"/>
      <c r="U7" s="63"/>
    </row>
    <row r="8" spans="1:21" ht="15.6" x14ac:dyDescent="0.3">
      <c r="A8" s="123" t="s">
        <v>58</v>
      </c>
      <c r="B8" s="123"/>
      <c r="C8" s="123"/>
      <c r="D8" s="123"/>
      <c r="E8" s="123"/>
      <c r="F8" s="60">
        <f>SUM(F5:F7)</f>
        <v>3900</v>
      </c>
      <c r="G8" s="123" t="s">
        <v>59</v>
      </c>
      <c r="H8" s="123"/>
      <c r="I8" s="123"/>
      <c r="J8" s="123"/>
      <c r="K8" s="60">
        <f>SUM(K5:K7)</f>
        <v>0</v>
      </c>
      <c r="L8" s="123" t="s">
        <v>60</v>
      </c>
      <c r="M8" s="123"/>
      <c r="N8" s="123"/>
      <c r="O8" s="123"/>
      <c r="P8" s="60">
        <f>SUM(P5:P7)</f>
        <v>18426</v>
      </c>
      <c r="Q8" s="123" t="s">
        <v>61</v>
      </c>
      <c r="R8" s="123"/>
      <c r="S8" s="123"/>
      <c r="T8" s="123"/>
      <c r="U8" s="64">
        <f>SUM(U5:U7)</f>
        <v>0</v>
      </c>
    </row>
    <row r="9" spans="1:21" ht="15.6" x14ac:dyDescent="0.3">
      <c r="A9" s="123" t="s">
        <v>62</v>
      </c>
      <c r="B9" s="123"/>
      <c r="C9" s="123"/>
      <c r="D9" s="123"/>
      <c r="E9" s="123"/>
      <c r="F9" s="60">
        <f>SUM(F8+K8+P8)</f>
        <v>22326</v>
      </c>
      <c r="G9" s="123" t="s">
        <v>63</v>
      </c>
      <c r="H9" s="123"/>
      <c r="I9" s="123"/>
      <c r="J9" s="123"/>
      <c r="K9" s="60">
        <f>SUM(F8+K8+P8+U8)</f>
        <v>22326</v>
      </c>
      <c r="L9" s="123" t="s">
        <v>64</v>
      </c>
      <c r="M9" s="123"/>
      <c r="N9" s="123"/>
      <c r="O9" s="123"/>
      <c r="P9" s="60">
        <f>SUM(K9*0.15)</f>
        <v>3348.9</v>
      </c>
      <c r="Q9" s="123" t="s">
        <v>65</v>
      </c>
      <c r="R9" s="123"/>
      <c r="S9" s="123"/>
      <c r="T9" s="123"/>
      <c r="U9" s="64">
        <f>SUM(K9+P9)</f>
        <v>25674.9</v>
      </c>
    </row>
    <row r="10" spans="1:21" ht="15.6" x14ac:dyDescent="0.3">
      <c r="A10" s="61"/>
      <c r="B10" s="61"/>
      <c r="C10" s="61"/>
      <c r="D10" s="61"/>
      <c r="E10" s="61"/>
      <c r="F10" s="61"/>
      <c r="G10" s="61"/>
      <c r="H10" s="62"/>
      <c r="I10" s="61"/>
      <c r="J10" s="61"/>
      <c r="K10" s="61"/>
      <c r="L10" s="61"/>
      <c r="M10" s="61"/>
      <c r="N10" s="61"/>
      <c r="O10" s="61"/>
      <c r="P10" s="61"/>
      <c r="Q10" s="123" t="s">
        <v>66</v>
      </c>
      <c r="R10" s="123"/>
      <c r="S10" s="123"/>
      <c r="T10" s="123"/>
      <c r="U10" s="65">
        <f>ROUND((U9/360),2)</f>
        <v>71.319999999999993</v>
      </c>
    </row>
    <row r="11" spans="1:21" ht="15.6" x14ac:dyDescent="0.3">
      <c r="A11" s="127"/>
      <c r="B11" s="127"/>
      <c r="C11" s="127"/>
      <c r="D11" s="127"/>
      <c r="E11" s="127"/>
      <c r="F11" s="127"/>
      <c r="G11" s="127"/>
      <c r="H11" s="127"/>
      <c r="I11" s="127"/>
      <c r="J11" s="127"/>
      <c r="K11" s="127"/>
      <c r="L11" s="127"/>
      <c r="M11" s="127"/>
      <c r="N11" s="127"/>
      <c r="O11" s="127"/>
      <c r="P11" s="127"/>
      <c r="Q11" s="127"/>
      <c r="R11" s="127"/>
      <c r="S11" s="127"/>
      <c r="T11" s="127"/>
      <c r="U11" s="127"/>
    </row>
    <row r="12" spans="1:21" x14ac:dyDescent="0.3">
      <c r="A12" s="128" t="s">
        <v>43</v>
      </c>
      <c r="B12" s="129"/>
      <c r="C12" s="132" t="s">
        <v>36</v>
      </c>
      <c r="D12" s="133"/>
      <c r="E12" s="133"/>
      <c r="F12" s="133"/>
      <c r="G12" s="133"/>
      <c r="H12" s="133"/>
      <c r="I12" s="133"/>
      <c r="J12" s="133"/>
      <c r="K12" s="133"/>
      <c r="L12" s="133"/>
      <c r="M12" s="133"/>
      <c r="N12" s="133"/>
      <c r="O12" s="133"/>
      <c r="P12" s="133"/>
      <c r="Q12" s="133"/>
      <c r="R12" s="133"/>
      <c r="S12" s="133"/>
      <c r="T12" s="134"/>
      <c r="U12" s="141" t="s">
        <v>67</v>
      </c>
    </row>
    <row r="13" spans="1:21" x14ac:dyDescent="0.3">
      <c r="A13" s="130"/>
      <c r="B13" s="131"/>
      <c r="C13" s="135"/>
      <c r="D13" s="136"/>
      <c r="E13" s="136"/>
      <c r="F13" s="136"/>
      <c r="G13" s="136"/>
      <c r="H13" s="136"/>
      <c r="I13" s="136"/>
      <c r="J13" s="136"/>
      <c r="K13" s="136"/>
      <c r="L13" s="136"/>
      <c r="M13" s="136"/>
      <c r="N13" s="136"/>
      <c r="O13" s="136"/>
      <c r="P13" s="136"/>
      <c r="Q13" s="136"/>
      <c r="R13" s="136"/>
      <c r="S13" s="136"/>
      <c r="T13" s="137"/>
      <c r="U13" s="142"/>
    </row>
    <row r="14" spans="1:21" ht="15.6" x14ac:dyDescent="0.3">
      <c r="A14" s="144" t="s">
        <v>68</v>
      </c>
      <c r="B14" s="145"/>
      <c r="C14" s="138"/>
      <c r="D14" s="139"/>
      <c r="E14" s="139"/>
      <c r="F14" s="139"/>
      <c r="G14" s="139"/>
      <c r="H14" s="139"/>
      <c r="I14" s="139"/>
      <c r="J14" s="139"/>
      <c r="K14" s="139"/>
      <c r="L14" s="139"/>
      <c r="M14" s="139"/>
      <c r="N14" s="139"/>
      <c r="O14" s="139"/>
      <c r="P14" s="139"/>
      <c r="Q14" s="139"/>
      <c r="R14" s="139"/>
      <c r="S14" s="139"/>
      <c r="T14" s="140"/>
      <c r="U14" s="143"/>
    </row>
    <row r="15" spans="1:21" ht="15.6" x14ac:dyDescent="0.3">
      <c r="A15" s="146" t="s">
        <v>46</v>
      </c>
      <c r="B15" s="148" t="s">
        <v>47</v>
      </c>
      <c r="C15" s="149"/>
      <c r="D15" s="149"/>
      <c r="E15" s="149"/>
      <c r="F15" s="150"/>
      <c r="G15" s="148" t="s">
        <v>48</v>
      </c>
      <c r="H15" s="149"/>
      <c r="I15" s="149"/>
      <c r="J15" s="149"/>
      <c r="K15" s="150"/>
      <c r="L15" s="148" t="s">
        <v>49</v>
      </c>
      <c r="M15" s="149"/>
      <c r="N15" s="149"/>
      <c r="O15" s="149"/>
      <c r="P15" s="150"/>
      <c r="Q15" s="148" t="s">
        <v>50</v>
      </c>
      <c r="R15" s="149"/>
      <c r="S15" s="149"/>
      <c r="T15" s="149"/>
      <c r="U15" s="150"/>
    </row>
    <row r="16" spans="1:21" ht="15.6" x14ac:dyDescent="0.3">
      <c r="A16" s="147"/>
      <c r="B16" s="66" t="s">
        <v>51</v>
      </c>
      <c r="C16" s="66" t="s">
        <v>12</v>
      </c>
      <c r="D16" s="66" t="s">
        <v>11</v>
      </c>
      <c r="E16" s="66" t="s">
        <v>13</v>
      </c>
      <c r="F16" s="66" t="s">
        <v>14</v>
      </c>
      <c r="G16" s="66" t="s">
        <v>51</v>
      </c>
      <c r="H16" s="67" t="s">
        <v>12</v>
      </c>
      <c r="I16" s="66" t="s">
        <v>11</v>
      </c>
      <c r="J16" s="66" t="s">
        <v>13</v>
      </c>
      <c r="K16" s="66" t="s">
        <v>14</v>
      </c>
      <c r="L16" s="66" t="s">
        <v>51</v>
      </c>
      <c r="M16" s="66" t="s">
        <v>12</v>
      </c>
      <c r="N16" s="66" t="s">
        <v>11</v>
      </c>
      <c r="O16" s="66" t="s">
        <v>13</v>
      </c>
      <c r="P16" s="66" t="s">
        <v>14</v>
      </c>
      <c r="Q16" s="66" t="s">
        <v>51</v>
      </c>
      <c r="R16" s="66" t="s">
        <v>12</v>
      </c>
      <c r="S16" s="66" t="s">
        <v>11</v>
      </c>
      <c r="T16" s="66" t="s">
        <v>13</v>
      </c>
      <c r="U16" s="68" t="s">
        <v>14</v>
      </c>
    </row>
    <row r="17" spans="1:21" ht="15.6" x14ac:dyDescent="0.3">
      <c r="A17" s="69" t="s">
        <v>69</v>
      </c>
      <c r="B17" s="66" t="s">
        <v>53</v>
      </c>
      <c r="C17" s="66" t="s">
        <v>54</v>
      </c>
      <c r="D17" s="66">
        <v>3</v>
      </c>
      <c r="E17" s="66">
        <v>1200</v>
      </c>
      <c r="F17" s="70">
        <f>(D17*E17)</f>
        <v>3600</v>
      </c>
      <c r="G17" s="66" t="s">
        <v>70</v>
      </c>
      <c r="H17" s="67" t="s">
        <v>34</v>
      </c>
      <c r="I17" s="66">
        <v>6</v>
      </c>
      <c r="J17" s="71">
        <v>2469.6</v>
      </c>
      <c r="K17" s="66">
        <f>(I17*J17)</f>
        <v>14817.599999999999</v>
      </c>
      <c r="L17" s="72"/>
      <c r="M17" s="72"/>
      <c r="N17" s="72"/>
      <c r="O17" s="72"/>
      <c r="P17" s="72"/>
      <c r="Q17" s="72"/>
      <c r="R17" s="72"/>
      <c r="S17" s="72"/>
      <c r="T17" s="72"/>
      <c r="U17" s="73"/>
    </row>
    <row r="18" spans="1:21" ht="31.2" x14ac:dyDescent="0.3">
      <c r="A18" s="72"/>
      <c r="B18" s="66" t="s">
        <v>57</v>
      </c>
      <c r="C18" s="66" t="s">
        <v>54</v>
      </c>
      <c r="D18" s="66">
        <v>4</v>
      </c>
      <c r="E18" s="66">
        <v>900</v>
      </c>
      <c r="F18" s="70">
        <f>(D18*E18)</f>
        <v>3600</v>
      </c>
      <c r="G18" s="66"/>
      <c r="H18" s="67"/>
      <c r="I18" s="66">
        <v>0</v>
      </c>
      <c r="J18" s="72"/>
      <c r="K18" s="72"/>
      <c r="L18" s="72"/>
      <c r="M18" s="72"/>
      <c r="N18" s="72"/>
      <c r="O18" s="72"/>
      <c r="P18" s="72"/>
      <c r="Q18" s="72"/>
      <c r="R18" s="72"/>
      <c r="S18" s="72"/>
      <c r="T18" s="72"/>
      <c r="U18" s="73"/>
    </row>
    <row r="19" spans="1:21" ht="15.6" x14ac:dyDescent="0.3">
      <c r="A19" s="124" t="s">
        <v>58</v>
      </c>
      <c r="B19" s="125"/>
      <c r="C19" s="125"/>
      <c r="D19" s="125"/>
      <c r="E19" s="126"/>
      <c r="F19" s="70">
        <f>SUM(F16:F18)</f>
        <v>7200</v>
      </c>
      <c r="G19" s="124" t="s">
        <v>59</v>
      </c>
      <c r="H19" s="125"/>
      <c r="I19" s="125"/>
      <c r="J19" s="126"/>
      <c r="K19" s="70">
        <f>SUM(K16:K18)</f>
        <v>14817.599999999999</v>
      </c>
      <c r="L19" s="124" t="s">
        <v>60</v>
      </c>
      <c r="M19" s="125"/>
      <c r="N19" s="125"/>
      <c r="O19" s="126"/>
      <c r="P19" s="70">
        <f>SUM(P16:P18)</f>
        <v>0</v>
      </c>
      <c r="Q19" s="124" t="s">
        <v>61</v>
      </c>
      <c r="R19" s="125"/>
      <c r="S19" s="125"/>
      <c r="T19" s="126"/>
      <c r="U19" s="74">
        <f>SUM(U16:U18)</f>
        <v>0</v>
      </c>
    </row>
    <row r="20" spans="1:21" ht="15.6" x14ac:dyDescent="0.3">
      <c r="A20" s="124" t="s">
        <v>62</v>
      </c>
      <c r="B20" s="125"/>
      <c r="C20" s="125"/>
      <c r="D20" s="125"/>
      <c r="E20" s="126"/>
      <c r="F20" s="70">
        <f>SUM(F19+K19+P19)</f>
        <v>22017.599999999999</v>
      </c>
      <c r="G20" s="124" t="s">
        <v>63</v>
      </c>
      <c r="H20" s="125"/>
      <c r="I20" s="125"/>
      <c r="J20" s="126"/>
      <c r="K20" s="70">
        <f>SUM(F19+K19+P19+U19)</f>
        <v>22017.599999999999</v>
      </c>
      <c r="L20" s="124" t="s">
        <v>64</v>
      </c>
      <c r="M20" s="125"/>
      <c r="N20" s="125"/>
      <c r="O20" s="126"/>
      <c r="P20" s="70">
        <f>SUM(K20*0.15)</f>
        <v>3302.64</v>
      </c>
      <c r="Q20" s="124" t="s">
        <v>65</v>
      </c>
      <c r="R20" s="125"/>
      <c r="S20" s="125"/>
      <c r="T20" s="126"/>
      <c r="U20" s="74">
        <f>SUM(K20+P20)</f>
        <v>25320.239999999998</v>
      </c>
    </row>
    <row r="21" spans="1:21" ht="15.6" x14ac:dyDescent="0.3">
      <c r="A21" s="72"/>
      <c r="B21" s="72"/>
      <c r="C21" s="72"/>
      <c r="D21" s="72"/>
      <c r="E21" s="72"/>
      <c r="F21" s="72"/>
      <c r="G21" s="72"/>
      <c r="H21" s="75"/>
      <c r="I21" s="72"/>
      <c r="J21" s="72"/>
      <c r="K21" s="72"/>
      <c r="L21" s="72"/>
      <c r="M21" s="72"/>
      <c r="N21" s="72"/>
      <c r="O21" s="72"/>
      <c r="P21" s="72"/>
      <c r="Q21" s="124" t="s">
        <v>66</v>
      </c>
      <c r="R21" s="125"/>
      <c r="S21" s="125"/>
      <c r="T21" s="126"/>
      <c r="U21" s="76">
        <f>ROUND((U20/5),2)</f>
        <v>5064.05</v>
      </c>
    </row>
    <row r="22" spans="1:21" ht="15.6" x14ac:dyDescent="0.3">
      <c r="A22" s="72"/>
      <c r="B22" s="72"/>
      <c r="C22" s="72"/>
      <c r="D22" s="72"/>
      <c r="E22" s="72"/>
      <c r="F22" s="72"/>
      <c r="G22" s="72"/>
      <c r="H22" s="75"/>
      <c r="I22" s="72"/>
      <c r="J22" s="72"/>
      <c r="K22" s="72"/>
      <c r="L22" s="72"/>
      <c r="M22" s="72"/>
      <c r="N22" s="72"/>
      <c r="O22" s="72"/>
      <c r="P22" s="72"/>
      <c r="Q22" s="77"/>
      <c r="R22" s="78"/>
      <c r="S22" s="78"/>
      <c r="T22" s="79"/>
      <c r="U22" s="76"/>
    </row>
    <row r="24" spans="1:21" x14ac:dyDescent="0.3">
      <c r="A24" s="155" t="s">
        <v>43</v>
      </c>
      <c r="B24" s="155"/>
      <c r="C24" s="156" t="s">
        <v>37</v>
      </c>
      <c r="D24" s="156"/>
      <c r="E24" s="156"/>
      <c r="F24" s="156"/>
      <c r="G24" s="156"/>
      <c r="H24" s="156"/>
      <c r="I24" s="156"/>
      <c r="J24" s="156"/>
      <c r="K24" s="156"/>
      <c r="L24" s="156"/>
      <c r="M24" s="156"/>
      <c r="N24" s="156"/>
      <c r="O24" s="156"/>
      <c r="P24" s="156"/>
      <c r="Q24" s="156"/>
      <c r="R24" s="156"/>
      <c r="S24" s="156"/>
      <c r="T24" s="156"/>
      <c r="U24" s="151" t="s">
        <v>71</v>
      </c>
    </row>
    <row r="25" spans="1:21" x14ac:dyDescent="0.3">
      <c r="A25" s="155"/>
      <c r="B25" s="155"/>
      <c r="C25" s="156"/>
      <c r="D25" s="156"/>
      <c r="E25" s="156"/>
      <c r="F25" s="156"/>
      <c r="G25" s="156"/>
      <c r="H25" s="156"/>
      <c r="I25" s="156"/>
      <c r="J25" s="156"/>
      <c r="K25" s="156"/>
      <c r="L25" s="156"/>
      <c r="M25" s="156"/>
      <c r="N25" s="156"/>
      <c r="O25" s="156"/>
      <c r="P25" s="156"/>
      <c r="Q25" s="156"/>
      <c r="R25" s="156"/>
      <c r="S25" s="156"/>
      <c r="T25" s="156"/>
      <c r="U25" s="151"/>
    </row>
    <row r="26" spans="1:21" ht="15.6" x14ac:dyDescent="0.3">
      <c r="A26" s="152" t="s">
        <v>72</v>
      </c>
      <c r="B26" s="152"/>
      <c r="C26" s="156"/>
      <c r="D26" s="156"/>
      <c r="E26" s="156"/>
      <c r="F26" s="156"/>
      <c r="G26" s="156"/>
      <c r="H26" s="156"/>
      <c r="I26" s="156"/>
      <c r="J26" s="156"/>
      <c r="K26" s="156"/>
      <c r="L26" s="156"/>
      <c r="M26" s="156"/>
      <c r="N26" s="156"/>
      <c r="O26" s="156"/>
      <c r="P26" s="156"/>
      <c r="Q26" s="156"/>
      <c r="R26" s="156"/>
      <c r="S26" s="156"/>
      <c r="T26" s="156"/>
      <c r="U26" s="151"/>
    </row>
    <row r="27" spans="1:21" ht="15.6" x14ac:dyDescent="0.3">
      <c r="A27" s="153" t="s">
        <v>46</v>
      </c>
      <c r="B27" s="154" t="s">
        <v>47</v>
      </c>
      <c r="C27" s="154"/>
      <c r="D27" s="154"/>
      <c r="E27" s="154"/>
      <c r="F27" s="154"/>
      <c r="G27" s="154" t="s">
        <v>48</v>
      </c>
      <c r="H27" s="154"/>
      <c r="I27" s="154"/>
      <c r="J27" s="154"/>
      <c r="K27" s="154"/>
      <c r="L27" s="154" t="s">
        <v>49</v>
      </c>
      <c r="M27" s="154"/>
      <c r="N27" s="154"/>
      <c r="O27" s="154"/>
      <c r="P27" s="154"/>
      <c r="Q27" s="154" t="s">
        <v>50</v>
      </c>
      <c r="R27" s="154"/>
      <c r="S27" s="154"/>
      <c r="T27" s="154"/>
      <c r="U27" s="154"/>
    </row>
    <row r="28" spans="1:21" ht="15.6" x14ac:dyDescent="0.3">
      <c r="A28" s="153"/>
      <c r="B28" s="49" t="s">
        <v>51</v>
      </c>
      <c r="C28" s="49" t="s">
        <v>12</v>
      </c>
      <c r="D28" s="49" t="s">
        <v>11</v>
      </c>
      <c r="E28" s="49" t="s">
        <v>13</v>
      </c>
      <c r="F28" s="49" t="s">
        <v>14</v>
      </c>
      <c r="G28" s="49" t="s">
        <v>51</v>
      </c>
      <c r="H28" s="50" t="s">
        <v>12</v>
      </c>
      <c r="I28" s="49" t="s">
        <v>11</v>
      </c>
      <c r="J28" s="49" t="s">
        <v>13</v>
      </c>
      <c r="K28" s="49" t="s">
        <v>14</v>
      </c>
      <c r="L28" s="49" t="s">
        <v>51</v>
      </c>
      <c r="M28" s="49" t="s">
        <v>12</v>
      </c>
      <c r="N28" s="49" t="s">
        <v>11</v>
      </c>
      <c r="O28" s="49" t="s">
        <v>13</v>
      </c>
      <c r="P28" s="49" t="s">
        <v>14</v>
      </c>
      <c r="Q28" s="49" t="s">
        <v>51</v>
      </c>
      <c r="R28" s="49" t="s">
        <v>12</v>
      </c>
      <c r="S28" s="49" t="s">
        <v>11</v>
      </c>
      <c r="T28" s="49" t="s">
        <v>13</v>
      </c>
      <c r="U28" s="51" t="s">
        <v>14</v>
      </c>
    </row>
    <row r="29" spans="1:21" ht="171.6" x14ac:dyDescent="0.3">
      <c r="A29" s="52" t="s">
        <v>73</v>
      </c>
      <c r="B29" s="49" t="s">
        <v>53</v>
      </c>
      <c r="C29" s="49" t="s">
        <v>54</v>
      </c>
      <c r="D29" s="49">
        <v>3</v>
      </c>
      <c r="E29" s="49">
        <v>1200</v>
      </c>
      <c r="F29" s="53">
        <f>(D29*E29)</f>
        <v>3600</v>
      </c>
      <c r="G29" s="49" t="s">
        <v>42</v>
      </c>
      <c r="H29" s="50" t="s">
        <v>40</v>
      </c>
      <c r="I29" s="49">
        <v>4.13</v>
      </c>
      <c r="J29" s="49">
        <v>14231</v>
      </c>
      <c r="K29" s="49">
        <f t="shared" ref="K29:K34" si="0">(I29*J29)</f>
        <v>58774.03</v>
      </c>
      <c r="L29" s="49" t="s">
        <v>74</v>
      </c>
      <c r="M29" s="49" t="s">
        <v>56</v>
      </c>
      <c r="N29" s="49">
        <v>6</v>
      </c>
      <c r="O29" s="49">
        <v>293</v>
      </c>
      <c r="P29" s="53">
        <f>(N29*O29)</f>
        <v>1758</v>
      </c>
      <c r="Q29" s="49" t="s">
        <v>75</v>
      </c>
      <c r="R29" s="49"/>
      <c r="S29" s="45"/>
      <c r="T29" s="45"/>
      <c r="U29" s="54">
        <f>F36*4/100</f>
        <v>6419.06664</v>
      </c>
    </row>
    <row r="30" spans="1:21" ht="31.2" x14ac:dyDescent="0.3">
      <c r="A30" s="45"/>
      <c r="B30" s="49" t="s">
        <v>57</v>
      </c>
      <c r="C30" s="49" t="s">
        <v>54</v>
      </c>
      <c r="D30" s="49">
        <v>30</v>
      </c>
      <c r="E30" s="49">
        <v>900</v>
      </c>
      <c r="F30" s="53">
        <f>(D30*E30)</f>
        <v>27000</v>
      </c>
      <c r="G30" s="49" t="s">
        <v>76</v>
      </c>
      <c r="H30" s="50" t="s">
        <v>34</v>
      </c>
      <c r="I30" s="49">
        <v>6.75</v>
      </c>
      <c r="J30" s="49">
        <v>2504.88</v>
      </c>
      <c r="K30" s="49">
        <f t="shared" si="0"/>
        <v>16907.940000000002</v>
      </c>
      <c r="L30" s="49" t="s">
        <v>77</v>
      </c>
      <c r="M30" s="49" t="s">
        <v>56</v>
      </c>
      <c r="N30" s="49">
        <v>6</v>
      </c>
      <c r="O30" s="49">
        <v>841</v>
      </c>
      <c r="P30" s="53">
        <f>(N30*O30)</f>
        <v>5046</v>
      </c>
      <c r="Q30" s="45"/>
      <c r="R30" s="45"/>
      <c r="S30" s="45"/>
      <c r="T30" s="45"/>
      <c r="U30" s="44"/>
    </row>
    <row r="31" spans="1:21" ht="31.2" x14ac:dyDescent="0.3">
      <c r="A31" s="45"/>
      <c r="B31" s="45"/>
      <c r="C31" s="45"/>
      <c r="D31" s="45"/>
      <c r="E31" s="45"/>
      <c r="F31" s="45"/>
      <c r="G31" s="49" t="s">
        <v>78</v>
      </c>
      <c r="H31" s="50" t="s">
        <v>34</v>
      </c>
      <c r="I31" s="49">
        <v>8.1</v>
      </c>
      <c r="J31" s="49">
        <v>3457.44</v>
      </c>
      <c r="K31" s="49">
        <f t="shared" si="0"/>
        <v>28005.263999999999</v>
      </c>
      <c r="L31" s="45"/>
      <c r="M31" s="45"/>
      <c r="N31" s="45"/>
      <c r="O31" s="45"/>
      <c r="P31" s="45"/>
      <c r="Q31" s="45"/>
      <c r="R31" s="45"/>
      <c r="S31" s="45"/>
      <c r="T31" s="45"/>
      <c r="U31" s="44"/>
    </row>
    <row r="32" spans="1:21" ht="31.2" x14ac:dyDescent="0.3">
      <c r="A32" s="45"/>
      <c r="B32" s="45"/>
      <c r="C32" s="45"/>
      <c r="D32" s="45"/>
      <c r="E32" s="45"/>
      <c r="F32" s="45"/>
      <c r="G32" s="49" t="s">
        <v>79</v>
      </c>
      <c r="H32" s="50" t="s">
        <v>34</v>
      </c>
      <c r="I32" s="49">
        <v>4.05</v>
      </c>
      <c r="J32" s="49">
        <v>3598.56</v>
      </c>
      <c r="K32" s="49">
        <f t="shared" si="0"/>
        <v>14574.168</v>
      </c>
      <c r="L32" s="45"/>
      <c r="M32" s="45"/>
      <c r="N32" s="45"/>
      <c r="O32" s="45"/>
      <c r="P32" s="45"/>
      <c r="Q32" s="45"/>
      <c r="R32" s="45"/>
      <c r="S32" s="45"/>
      <c r="T32" s="45"/>
      <c r="U32" s="44"/>
    </row>
    <row r="33" spans="1:21" ht="31.2" x14ac:dyDescent="0.3">
      <c r="A33" s="45"/>
      <c r="B33" s="45"/>
      <c r="C33" s="45"/>
      <c r="D33" s="45"/>
      <c r="E33" s="45"/>
      <c r="F33" s="45"/>
      <c r="G33" s="49" t="s">
        <v>80</v>
      </c>
      <c r="H33" s="50" t="s">
        <v>34</v>
      </c>
      <c r="I33" s="49">
        <v>1.35</v>
      </c>
      <c r="J33" s="49">
        <v>3104.6400000000003</v>
      </c>
      <c r="K33" s="49">
        <f t="shared" si="0"/>
        <v>4191.264000000001</v>
      </c>
      <c r="L33" s="45"/>
      <c r="M33" s="45"/>
      <c r="N33" s="45"/>
      <c r="O33" s="45"/>
      <c r="P33" s="45"/>
      <c r="Q33" s="45"/>
      <c r="R33" s="45"/>
      <c r="S33" s="45"/>
      <c r="T33" s="45"/>
      <c r="U33" s="44"/>
    </row>
    <row r="34" spans="1:21" ht="15.6" x14ac:dyDescent="0.3">
      <c r="A34" s="45"/>
      <c r="B34" s="45"/>
      <c r="C34" s="45"/>
      <c r="D34" s="45"/>
      <c r="E34" s="45"/>
      <c r="F34" s="45"/>
      <c r="G34" s="49" t="s">
        <v>81</v>
      </c>
      <c r="H34" s="50" t="s">
        <v>82</v>
      </c>
      <c r="I34" s="49">
        <v>2</v>
      </c>
      <c r="J34" s="49">
        <v>310</v>
      </c>
      <c r="K34" s="49">
        <f t="shared" si="0"/>
        <v>620</v>
      </c>
      <c r="L34" s="45"/>
      <c r="M34" s="45"/>
      <c r="N34" s="45"/>
      <c r="O34" s="45"/>
      <c r="P34" s="45"/>
      <c r="Q34" s="45"/>
      <c r="R34" s="45"/>
      <c r="S34" s="45"/>
      <c r="T34" s="45"/>
      <c r="U34" s="44"/>
    </row>
    <row r="35" spans="1:21" ht="15.6" x14ac:dyDescent="0.3">
      <c r="A35" s="157" t="s">
        <v>58</v>
      </c>
      <c r="B35" s="157"/>
      <c r="C35" s="157"/>
      <c r="D35" s="157"/>
      <c r="E35" s="157"/>
      <c r="F35" s="53">
        <f>SUM(F28:F34)</f>
        <v>30600</v>
      </c>
      <c r="G35" s="157" t="s">
        <v>59</v>
      </c>
      <c r="H35" s="157"/>
      <c r="I35" s="157"/>
      <c r="J35" s="157"/>
      <c r="K35" s="53">
        <f>SUM(K28:K34)</f>
        <v>123072.666</v>
      </c>
      <c r="L35" s="157" t="s">
        <v>60</v>
      </c>
      <c r="M35" s="157"/>
      <c r="N35" s="157"/>
      <c r="O35" s="157"/>
      <c r="P35" s="53">
        <f>SUM(P28:P34)</f>
        <v>6804</v>
      </c>
      <c r="Q35" s="157" t="s">
        <v>61</v>
      </c>
      <c r="R35" s="157"/>
      <c r="S35" s="157"/>
      <c r="T35" s="157"/>
      <c r="U35" s="54">
        <f>SUM(U28:U34)</f>
        <v>6419.06664</v>
      </c>
    </row>
    <row r="36" spans="1:21" ht="15.6" x14ac:dyDescent="0.3">
      <c r="A36" s="157" t="s">
        <v>62</v>
      </c>
      <c r="B36" s="157"/>
      <c r="C36" s="157"/>
      <c r="D36" s="157"/>
      <c r="E36" s="157"/>
      <c r="F36" s="53">
        <f>SUM(F35+K35+P35)</f>
        <v>160476.666</v>
      </c>
      <c r="G36" s="157" t="s">
        <v>63</v>
      </c>
      <c r="H36" s="157"/>
      <c r="I36" s="157"/>
      <c r="J36" s="157"/>
      <c r="K36" s="53">
        <f>SUM(F35+K35+P35+U35)</f>
        <v>166895.73264</v>
      </c>
      <c r="L36" s="157" t="s">
        <v>64</v>
      </c>
      <c r="M36" s="157"/>
      <c r="N36" s="157"/>
      <c r="O36" s="157"/>
      <c r="P36" s="53">
        <f>SUM(K36*0.15)</f>
        <v>25034.359895999998</v>
      </c>
      <c r="Q36" s="157" t="s">
        <v>65</v>
      </c>
      <c r="R36" s="157"/>
      <c r="S36" s="157"/>
      <c r="T36" s="157"/>
      <c r="U36" s="54">
        <f>SUM(K36+P36)</f>
        <v>191930.09253600001</v>
      </c>
    </row>
    <row r="37" spans="1:21" ht="15.6" x14ac:dyDescent="0.3">
      <c r="A37" s="45"/>
      <c r="B37" s="45"/>
      <c r="C37" s="45"/>
      <c r="D37" s="45"/>
      <c r="E37" s="45"/>
      <c r="F37" s="45"/>
      <c r="G37" s="45"/>
      <c r="H37" s="46"/>
      <c r="I37" s="45"/>
      <c r="J37" s="45"/>
      <c r="K37" s="45"/>
      <c r="L37" s="45"/>
      <c r="M37" s="45"/>
      <c r="N37" s="45"/>
      <c r="O37" s="45"/>
      <c r="P37" s="45"/>
      <c r="Q37" s="157" t="s">
        <v>66</v>
      </c>
      <c r="R37" s="157"/>
      <c r="S37" s="157"/>
      <c r="T37" s="157"/>
      <c r="U37" s="55">
        <f>ROUND((U36/15),2)</f>
        <v>12795.34</v>
      </c>
    </row>
    <row r="38" spans="1:21" ht="15.6" x14ac:dyDescent="0.3">
      <c r="A38" s="158"/>
      <c r="B38" s="158"/>
      <c r="C38" s="158"/>
      <c r="D38" s="158"/>
      <c r="E38" s="158"/>
      <c r="F38" s="158"/>
      <c r="G38" s="158"/>
      <c r="H38" s="158"/>
      <c r="I38" s="158"/>
      <c r="J38" s="158"/>
      <c r="K38" s="158"/>
      <c r="L38" s="158"/>
      <c r="M38" s="158"/>
      <c r="N38" s="158"/>
      <c r="O38" s="158"/>
      <c r="P38" s="158"/>
      <c r="Q38" s="158"/>
      <c r="R38" s="158"/>
      <c r="S38" s="158"/>
      <c r="T38" s="158"/>
      <c r="U38" s="158"/>
    </row>
    <row r="40" spans="1:21" x14ac:dyDescent="0.3">
      <c r="A40" s="155" t="s">
        <v>43</v>
      </c>
      <c r="B40" s="155"/>
      <c r="C40" s="156" t="s">
        <v>38</v>
      </c>
      <c r="D40" s="156"/>
      <c r="E40" s="156"/>
      <c r="F40" s="156"/>
      <c r="G40" s="156"/>
      <c r="H40" s="156"/>
      <c r="I40" s="156"/>
      <c r="J40" s="156"/>
      <c r="K40" s="156"/>
      <c r="L40" s="156"/>
      <c r="M40" s="156"/>
      <c r="N40" s="156"/>
      <c r="O40" s="156"/>
      <c r="P40" s="156"/>
      <c r="Q40" s="156"/>
      <c r="R40" s="156"/>
      <c r="S40" s="156"/>
      <c r="T40" s="156"/>
      <c r="U40" s="151" t="s">
        <v>71</v>
      </c>
    </row>
    <row r="41" spans="1:21" x14ac:dyDescent="0.3">
      <c r="A41" s="155"/>
      <c r="B41" s="155"/>
      <c r="C41" s="156"/>
      <c r="D41" s="156"/>
      <c r="E41" s="156"/>
      <c r="F41" s="156"/>
      <c r="G41" s="156"/>
      <c r="H41" s="156"/>
      <c r="I41" s="156"/>
      <c r="J41" s="156"/>
      <c r="K41" s="156"/>
      <c r="L41" s="156"/>
      <c r="M41" s="156"/>
      <c r="N41" s="156"/>
      <c r="O41" s="156"/>
      <c r="P41" s="156"/>
      <c r="Q41" s="156"/>
      <c r="R41" s="156"/>
      <c r="S41" s="156"/>
      <c r="T41" s="156"/>
      <c r="U41" s="151"/>
    </row>
    <row r="42" spans="1:21" ht="15.6" x14ac:dyDescent="0.3">
      <c r="A42" s="152" t="s">
        <v>72</v>
      </c>
      <c r="B42" s="152"/>
      <c r="C42" s="156"/>
      <c r="D42" s="156"/>
      <c r="E42" s="156"/>
      <c r="F42" s="156"/>
      <c r="G42" s="156"/>
      <c r="H42" s="156"/>
      <c r="I42" s="156"/>
      <c r="J42" s="156"/>
      <c r="K42" s="156"/>
      <c r="L42" s="156"/>
      <c r="M42" s="156"/>
      <c r="N42" s="156"/>
      <c r="O42" s="156"/>
      <c r="P42" s="156"/>
      <c r="Q42" s="156"/>
      <c r="R42" s="156"/>
      <c r="S42" s="156"/>
      <c r="T42" s="156"/>
      <c r="U42" s="151"/>
    </row>
    <row r="43" spans="1:21" ht="15.6" x14ac:dyDescent="0.3">
      <c r="A43" s="153" t="s">
        <v>46</v>
      </c>
      <c r="B43" s="154" t="s">
        <v>47</v>
      </c>
      <c r="C43" s="154"/>
      <c r="D43" s="154"/>
      <c r="E43" s="154"/>
      <c r="F43" s="154"/>
      <c r="G43" s="154" t="s">
        <v>48</v>
      </c>
      <c r="H43" s="154"/>
      <c r="I43" s="154"/>
      <c r="J43" s="154"/>
      <c r="K43" s="154"/>
      <c r="L43" s="154" t="s">
        <v>49</v>
      </c>
      <c r="M43" s="154"/>
      <c r="N43" s="154"/>
      <c r="O43" s="154"/>
      <c r="P43" s="154"/>
      <c r="Q43" s="154" t="s">
        <v>50</v>
      </c>
      <c r="R43" s="154"/>
      <c r="S43" s="154"/>
      <c r="T43" s="154"/>
      <c r="U43" s="154"/>
    </row>
    <row r="44" spans="1:21" ht="15.6" x14ac:dyDescent="0.3">
      <c r="A44" s="153"/>
      <c r="B44" s="49" t="s">
        <v>51</v>
      </c>
      <c r="C44" s="49" t="s">
        <v>12</v>
      </c>
      <c r="D44" s="49" t="s">
        <v>11</v>
      </c>
      <c r="E44" s="49" t="s">
        <v>13</v>
      </c>
      <c r="F44" s="49" t="s">
        <v>14</v>
      </c>
      <c r="G44" s="49" t="s">
        <v>51</v>
      </c>
      <c r="H44" s="50" t="s">
        <v>12</v>
      </c>
      <c r="I44" s="49" t="s">
        <v>11</v>
      </c>
      <c r="J44" s="49" t="s">
        <v>13</v>
      </c>
      <c r="K44" s="49" t="s">
        <v>14</v>
      </c>
      <c r="L44" s="49" t="s">
        <v>51</v>
      </c>
      <c r="M44" s="49" t="s">
        <v>12</v>
      </c>
      <c r="N44" s="49" t="s">
        <v>11</v>
      </c>
      <c r="O44" s="49" t="s">
        <v>13</v>
      </c>
      <c r="P44" s="49" t="s">
        <v>14</v>
      </c>
      <c r="Q44" s="49" t="s">
        <v>51</v>
      </c>
      <c r="R44" s="49" t="s">
        <v>12</v>
      </c>
      <c r="S44" s="49" t="s">
        <v>11</v>
      </c>
      <c r="T44" s="49" t="s">
        <v>13</v>
      </c>
      <c r="U44" s="51" t="s">
        <v>14</v>
      </c>
    </row>
    <row r="45" spans="1:21" ht="46.8" x14ac:dyDescent="0.3">
      <c r="A45" s="52" t="s">
        <v>83</v>
      </c>
      <c r="B45" s="49" t="s">
        <v>53</v>
      </c>
      <c r="C45" s="49" t="s">
        <v>54</v>
      </c>
      <c r="D45" s="49">
        <v>3</v>
      </c>
      <c r="E45" s="49">
        <v>1200</v>
      </c>
      <c r="F45" s="53">
        <f>(D45*E45)</f>
        <v>3600</v>
      </c>
      <c r="G45" s="49" t="s">
        <v>42</v>
      </c>
      <c r="H45" s="50" t="s">
        <v>40</v>
      </c>
      <c r="I45" s="49">
        <v>5.21</v>
      </c>
      <c r="J45" s="49">
        <v>14231</v>
      </c>
      <c r="K45" s="49">
        <f>(I45*J45)</f>
        <v>74143.509999999995</v>
      </c>
      <c r="L45" s="49" t="s">
        <v>74</v>
      </c>
      <c r="M45" s="49" t="s">
        <v>56</v>
      </c>
      <c r="N45" s="49">
        <v>6</v>
      </c>
      <c r="O45" s="49">
        <v>293</v>
      </c>
      <c r="P45" s="53">
        <f>(N45*O45)</f>
        <v>1758</v>
      </c>
      <c r="Q45" s="49" t="s">
        <v>84</v>
      </c>
      <c r="R45" s="49"/>
      <c r="S45" s="45"/>
      <c r="T45" s="45"/>
      <c r="U45" s="54">
        <f>F51*4/100</f>
        <v>7005.7536799999998</v>
      </c>
    </row>
    <row r="46" spans="1:21" ht="31.2" x14ac:dyDescent="0.3">
      <c r="A46" s="45"/>
      <c r="B46" s="49" t="s">
        <v>57</v>
      </c>
      <c r="C46" s="49" t="s">
        <v>54</v>
      </c>
      <c r="D46" s="49">
        <v>30</v>
      </c>
      <c r="E46" s="49">
        <v>900</v>
      </c>
      <c r="F46" s="53">
        <f>(D46*E46)</f>
        <v>27000</v>
      </c>
      <c r="G46" s="49" t="s">
        <v>76</v>
      </c>
      <c r="H46" s="50" t="s">
        <v>34</v>
      </c>
      <c r="I46" s="49">
        <v>6.75</v>
      </c>
      <c r="J46" s="49">
        <v>2504.88</v>
      </c>
      <c r="K46" s="49">
        <f>(I46*J46)</f>
        <v>16907.940000000002</v>
      </c>
      <c r="L46" s="49" t="s">
        <v>77</v>
      </c>
      <c r="M46" s="49" t="s">
        <v>56</v>
      </c>
      <c r="N46" s="49">
        <v>6</v>
      </c>
      <c r="O46" s="49">
        <v>841</v>
      </c>
      <c r="P46" s="53">
        <f>(N46*O46)</f>
        <v>5046</v>
      </c>
      <c r="Q46" s="45"/>
      <c r="R46" s="45"/>
      <c r="S46" s="45"/>
      <c r="T46" s="45"/>
      <c r="U46" s="44"/>
    </row>
    <row r="47" spans="1:21" ht="31.2" x14ac:dyDescent="0.3">
      <c r="A47" s="45"/>
      <c r="B47" s="45"/>
      <c r="C47" s="45"/>
      <c r="D47" s="45"/>
      <c r="E47" s="45"/>
      <c r="F47" s="45"/>
      <c r="G47" s="49" t="s">
        <v>79</v>
      </c>
      <c r="H47" s="50" t="s">
        <v>34</v>
      </c>
      <c r="I47" s="49">
        <v>8.1</v>
      </c>
      <c r="J47" s="49">
        <v>3598.56</v>
      </c>
      <c r="K47" s="49">
        <f>(I47*J47)</f>
        <v>29148.335999999999</v>
      </c>
      <c r="L47" s="45"/>
      <c r="M47" s="45"/>
      <c r="N47" s="45"/>
      <c r="O47" s="45"/>
      <c r="P47" s="45"/>
      <c r="Q47" s="45"/>
      <c r="R47" s="45"/>
      <c r="S47" s="45"/>
      <c r="T47" s="45"/>
      <c r="U47" s="44"/>
    </row>
    <row r="48" spans="1:21" ht="31.2" x14ac:dyDescent="0.3">
      <c r="A48" s="45"/>
      <c r="B48" s="45"/>
      <c r="C48" s="45"/>
      <c r="D48" s="45"/>
      <c r="E48" s="45"/>
      <c r="F48" s="45"/>
      <c r="G48" s="49" t="s">
        <v>80</v>
      </c>
      <c r="H48" s="50" t="s">
        <v>34</v>
      </c>
      <c r="I48" s="49">
        <v>5.4</v>
      </c>
      <c r="J48" s="49">
        <v>3104.6400000000003</v>
      </c>
      <c r="K48" s="49">
        <f>(I48*J48)</f>
        <v>16765.056000000004</v>
      </c>
      <c r="L48" s="45"/>
      <c r="M48" s="45"/>
      <c r="N48" s="45"/>
      <c r="O48" s="45"/>
      <c r="P48" s="45"/>
      <c r="Q48" s="45"/>
      <c r="R48" s="45"/>
      <c r="S48" s="45"/>
      <c r="T48" s="45"/>
      <c r="U48" s="44"/>
    </row>
    <row r="49" spans="1:21" ht="15.6" x14ac:dyDescent="0.3">
      <c r="A49" s="45"/>
      <c r="B49" s="45"/>
      <c r="C49" s="45"/>
      <c r="D49" s="45"/>
      <c r="E49" s="45"/>
      <c r="F49" s="45"/>
      <c r="G49" s="49" t="s">
        <v>81</v>
      </c>
      <c r="H49" s="50" t="s">
        <v>82</v>
      </c>
      <c r="I49" s="49">
        <v>2.5</v>
      </c>
      <c r="J49" s="49">
        <v>310</v>
      </c>
      <c r="K49" s="49">
        <f>(I49*J49)</f>
        <v>775</v>
      </c>
      <c r="L49" s="45"/>
      <c r="M49" s="45"/>
      <c r="N49" s="45"/>
      <c r="O49" s="45"/>
      <c r="P49" s="45"/>
      <c r="Q49" s="45"/>
      <c r="R49" s="45"/>
      <c r="S49" s="45"/>
      <c r="T49" s="45"/>
      <c r="U49" s="44"/>
    </row>
    <row r="50" spans="1:21" ht="15.6" x14ac:dyDescent="0.3">
      <c r="A50" s="157" t="s">
        <v>58</v>
      </c>
      <c r="B50" s="157"/>
      <c r="C50" s="157"/>
      <c r="D50" s="157"/>
      <c r="E50" s="157"/>
      <c r="F50" s="53">
        <f>SUM(F44:F49)</f>
        <v>30600</v>
      </c>
      <c r="G50" s="157" t="s">
        <v>59</v>
      </c>
      <c r="H50" s="157"/>
      <c r="I50" s="157"/>
      <c r="J50" s="157"/>
      <c r="K50" s="53">
        <f>SUM(K44:K49)</f>
        <v>137739.842</v>
      </c>
      <c r="L50" s="157" t="s">
        <v>60</v>
      </c>
      <c r="M50" s="157"/>
      <c r="N50" s="157"/>
      <c r="O50" s="157"/>
      <c r="P50" s="53">
        <f>SUM(P44:P49)</f>
        <v>6804</v>
      </c>
      <c r="Q50" s="157" t="s">
        <v>61</v>
      </c>
      <c r="R50" s="157"/>
      <c r="S50" s="157"/>
      <c r="T50" s="157"/>
      <c r="U50" s="54">
        <f>SUM(U44:U49)</f>
        <v>7005.7536799999998</v>
      </c>
    </row>
    <row r="51" spans="1:21" ht="15.6" x14ac:dyDescent="0.3">
      <c r="A51" s="157" t="s">
        <v>62</v>
      </c>
      <c r="B51" s="157"/>
      <c r="C51" s="157"/>
      <c r="D51" s="157"/>
      <c r="E51" s="157"/>
      <c r="F51" s="53">
        <f>SUM(F50+K50+P50)</f>
        <v>175143.842</v>
      </c>
      <c r="G51" s="157" t="s">
        <v>63</v>
      </c>
      <c r="H51" s="157"/>
      <c r="I51" s="157"/>
      <c r="J51" s="157"/>
      <c r="K51" s="53">
        <f>SUM(F50+K50+P50+U50)</f>
        <v>182149.59568</v>
      </c>
      <c r="L51" s="157" t="s">
        <v>64</v>
      </c>
      <c r="M51" s="157"/>
      <c r="N51" s="157"/>
      <c r="O51" s="157"/>
      <c r="P51" s="53">
        <f>SUM(K51*0.15)</f>
        <v>27322.439351999998</v>
      </c>
      <c r="Q51" s="157" t="s">
        <v>65</v>
      </c>
      <c r="R51" s="157"/>
      <c r="S51" s="157"/>
      <c r="T51" s="157"/>
      <c r="U51" s="54">
        <f>SUM(K51+P51)</f>
        <v>209472.03503199999</v>
      </c>
    </row>
    <row r="52" spans="1:21" ht="15.6" x14ac:dyDescent="0.3">
      <c r="A52" s="45"/>
      <c r="B52" s="45"/>
      <c r="C52" s="45"/>
      <c r="D52" s="45"/>
      <c r="E52" s="45"/>
      <c r="F52" s="45"/>
      <c r="G52" s="45"/>
      <c r="H52" s="46"/>
      <c r="I52" s="45"/>
      <c r="J52" s="45"/>
      <c r="K52" s="45"/>
      <c r="L52" s="45"/>
      <c r="M52" s="45"/>
      <c r="N52" s="45"/>
      <c r="O52" s="45"/>
      <c r="P52" s="45"/>
      <c r="Q52" s="157" t="s">
        <v>66</v>
      </c>
      <c r="R52" s="157"/>
      <c r="S52" s="157"/>
      <c r="T52" s="157"/>
      <c r="U52" s="55">
        <f>ROUND((U51/15),2)</f>
        <v>13964.8</v>
      </c>
    </row>
    <row r="54" spans="1:21" x14ac:dyDescent="0.3">
      <c r="A54" s="155" t="s">
        <v>43</v>
      </c>
      <c r="B54" s="155"/>
      <c r="C54" s="156" t="s">
        <v>39</v>
      </c>
      <c r="D54" s="156"/>
      <c r="E54" s="156"/>
      <c r="F54" s="156"/>
      <c r="G54" s="156"/>
      <c r="H54" s="156"/>
      <c r="I54" s="156"/>
      <c r="J54" s="156"/>
      <c r="K54" s="156"/>
      <c r="L54" s="156"/>
      <c r="M54" s="156"/>
      <c r="N54" s="156"/>
      <c r="O54" s="156"/>
      <c r="P54" s="156"/>
      <c r="Q54" s="156"/>
      <c r="R54" s="156"/>
      <c r="S54" s="156"/>
      <c r="T54" s="156"/>
      <c r="U54" s="151" t="s">
        <v>85</v>
      </c>
    </row>
    <row r="55" spans="1:21" x14ac:dyDescent="0.3">
      <c r="A55" s="155"/>
      <c r="B55" s="155"/>
      <c r="C55" s="156"/>
      <c r="D55" s="156"/>
      <c r="E55" s="156"/>
      <c r="F55" s="156"/>
      <c r="G55" s="156"/>
      <c r="H55" s="156"/>
      <c r="I55" s="156"/>
      <c r="J55" s="156"/>
      <c r="K55" s="156"/>
      <c r="L55" s="156"/>
      <c r="M55" s="156"/>
      <c r="N55" s="156"/>
      <c r="O55" s="156"/>
      <c r="P55" s="156"/>
      <c r="Q55" s="156"/>
      <c r="R55" s="156"/>
      <c r="S55" s="156"/>
      <c r="T55" s="156"/>
      <c r="U55" s="151"/>
    </row>
    <row r="56" spans="1:21" ht="15.6" x14ac:dyDescent="0.3">
      <c r="A56" s="152" t="s">
        <v>86</v>
      </c>
      <c r="B56" s="152"/>
      <c r="C56" s="156"/>
      <c r="D56" s="156"/>
      <c r="E56" s="156"/>
      <c r="F56" s="156"/>
      <c r="G56" s="156"/>
      <c r="H56" s="156"/>
      <c r="I56" s="156"/>
      <c r="J56" s="156"/>
      <c r="K56" s="156"/>
      <c r="L56" s="156"/>
      <c r="M56" s="156"/>
      <c r="N56" s="156"/>
      <c r="O56" s="156"/>
      <c r="P56" s="156"/>
      <c r="Q56" s="156"/>
      <c r="R56" s="156"/>
      <c r="S56" s="156"/>
      <c r="T56" s="156"/>
      <c r="U56" s="151"/>
    </row>
    <row r="57" spans="1:21" ht="15.6" x14ac:dyDescent="0.3">
      <c r="A57" s="153" t="s">
        <v>46</v>
      </c>
      <c r="B57" s="154" t="s">
        <v>47</v>
      </c>
      <c r="C57" s="154"/>
      <c r="D57" s="154"/>
      <c r="E57" s="154"/>
      <c r="F57" s="154"/>
      <c r="G57" s="154" t="s">
        <v>48</v>
      </c>
      <c r="H57" s="154"/>
      <c r="I57" s="154"/>
      <c r="J57" s="154"/>
      <c r="K57" s="154"/>
      <c r="L57" s="154" t="s">
        <v>49</v>
      </c>
      <c r="M57" s="154"/>
      <c r="N57" s="154"/>
      <c r="O57" s="154"/>
      <c r="P57" s="154"/>
      <c r="Q57" s="154" t="s">
        <v>50</v>
      </c>
      <c r="R57" s="154"/>
      <c r="S57" s="154"/>
      <c r="T57" s="154"/>
      <c r="U57" s="154"/>
    </row>
    <row r="58" spans="1:21" ht="15.6" x14ac:dyDescent="0.3">
      <c r="A58" s="153"/>
      <c r="B58" s="49" t="s">
        <v>51</v>
      </c>
      <c r="C58" s="49" t="s">
        <v>12</v>
      </c>
      <c r="D58" s="49" t="s">
        <v>11</v>
      </c>
      <c r="E58" s="49" t="s">
        <v>13</v>
      </c>
      <c r="F58" s="49" t="s">
        <v>14</v>
      </c>
      <c r="G58" s="49" t="s">
        <v>51</v>
      </c>
      <c r="H58" s="50" t="s">
        <v>12</v>
      </c>
      <c r="I58" s="49" t="s">
        <v>11</v>
      </c>
      <c r="J58" s="49" t="s">
        <v>13</v>
      </c>
      <c r="K58" s="49" t="s">
        <v>14</v>
      </c>
      <c r="L58" s="49" t="s">
        <v>51</v>
      </c>
      <c r="M58" s="49" t="s">
        <v>12</v>
      </c>
      <c r="N58" s="49" t="s">
        <v>11</v>
      </c>
      <c r="O58" s="49" t="s">
        <v>13</v>
      </c>
      <c r="P58" s="49" t="s">
        <v>14</v>
      </c>
      <c r="Q58" s="49" t="s">
        <v>51</v>
      </c>
      <c r="R58" s="49" t="s">
        <v>12</v>
      </c>
      <c r="S58" s="49" t="s">
        <v>11</v>
      </c>
      <c r="T58" s="49" t="s">
        <v>13</v>
      </c>
      <c r="U58" s="51" t="s">
        <v>14</v>
      </c>
    </row>
    <row r="59" spans="1:21" ht="46.8" x14ac:dyDescent="0.3">
      <c r="A59" s="52" t="s">
        <v>87</v>
      </c>
      <c r="B59" s="49" t="s">
        <v>88</v>
      </c>
      <c r="C59" s="49" t="s">
        <v>54</v>
      </c>
      <c r="D59" s="49">
        <v>4</v>
      </c>
      <c r="E59" s="49">
        <v>1200</v>
      </c>
      <c r="F59" s="53">
        <f>(D59*E59)</f>
        <v>4800</v>
      </c>
      <c r="G59" s="49" t="s">
        <v>89</v>
      </c>
      <c r="H59" s="50" t="s">
        <v>40</v>
      </c>
      <c r="I59" s="49">
        <v>1.1000000000000001</v>
      </c>
      <c r="J59" s="49">
        <v>99000</v>
      </c>
      <c r="K59" s="49">
        <f>(I59*J59)</f>
        <v>108900.00000000001</v>
      </c>
      <c r="L59" s="45"/>
      <c r="M59" s="45"/>
      <c r="N59" s="45"/>
      <c r="O59" s="45"/>
      <c r="P59" s="45"/>
      <c r="Q59" s="45"/>
      <c r="R59" s="45"/>
      <c r="S59" s="45"/>
      <c r="T59" s="45"/>
      <c r="U59" s="44"/>
    </row>
    <row r="60" spans="1:21" ht="31.2" x14ac:dyDescent="0.3">
      <c r="A60" s="45"/>
      <c r="B60" s="49" t="s">
        <v>57</v>
      </c>
      <c r="C60" s="49" t="s">
        <v>54</v>
      </c>
      <c r="D60" s="49">
        <v>9</v>
      </c>
      <c r="E60" s="49">
        <v>900</v>
      </c>
      <c r="F60" s="53">
        <f>(D60*E60)</f>
        <v>8100</v>
      </c>
      <c r="G60" s="49" t="s">
        <v>90</v>
      </c>
      <c r="H60" s="50" t="s">
        <v>91</v>
      </c>
      <c r="I60" s="49">
        <v>8</v>
      </c>
      <c r="J60" s="49">
        <v>106</v>
      </c>
      <c r="K60" s="49">
        <f>(I60*J60)</f>
        <v>848</v>
      </c>
      <c r="L60" s="45"/>
      <c r="M60" s="45"/>
      <c r="N60" s="45"/>
      <c r="O60" s="45"/>
      <c r="P60" s="45"/>
      <c r="Q60" s="45"/>
      <c r="R60" s="45"/>
      <c r="S60" s="45"/>
      <c r="T60" s="45"/>
      <c r="U60" s="44"/>
    </row>
    <row r="61" spans="1:21" ht="15.6" x14ac:dyDescent="0.3">
      <c r="A61" s="157" t="s">
        <v>58</v>
      </c>
      <c r="B61" s="157"/>
      <c r="C61" s="157"/>
      <c r="D61" s="157"/>
      <c r="E61" s="157"/>
      <c r="F61" s="53">
        <f>SUM(F58:F60)</f>
        <v>12900</v>
      </c>
      <c r="G61" s="157" t="s">
        <v>59</v>
      </c>
      <c r="H61" s="157"/>
      <c r="I61" s="157"/>
      <c r="J61" s="157"/>
      <c r="K61" s="53">
        <f>SUM(K58:K60)</f>
        <v>109748.00000000001</v>
      </c>
      <c r="L61" s="157" t="s">
        <v>60</v>
      </c>
      <c r="M61" s="157"/>
      <c r="N61" s="157"/>
      <c r="O61" s="157"/>
      <c r="P61" s="53">
        <f>SUM(P58:P60)</f>
        <v>0</v>
      </c>
      <c r="Q61" s="157" t="s">
        <v>61</v>
      </c>
      <c r="R61" s="157"/>
      <c r="S61" s="157"/>
      <c r="T61" s="157"/>
      <c r="U61" s="54">
        <f>SUM(U58:U60)</f>
        <v>0</v>
      </c>
    </row>
    <row r="62" spans="1:21" ht="15.6" x14ac:dyDescent="0.3">
      <c r="A62" s="157" t="s">
        <v>62</v>
      </c>
      <c r="B62" s="157"/>
      <c r="C62" s="157"/>
      <c r="D62" s="157"/>
      <c r="E62" s="157"/>
      <c r="F62" s="53">
        <f>SUM(F61+K61+P61)</f>
        <v>122648.00000000001</v>
      </c>
      <c r="G62" s="157" t="s">
        <v>63</v>
      </c>
      <c r="H62" s="157"/>
      <c r="I62" s="157"/>
      <c r="J62" s="157"/>
      <c r="K62" s="53">
        <f>SUM(F61+K61+P61+U61)</f>
        <v>122648.00000000001</v>
      </c>
      <c r="L62" s="157" t="s">
        <v>64</v>
      </c>
      <c r="M62" s="157"/>
      <c r="N62" s="157"/>
      <c r="O62" s="157"/>
      <c r="P62" s="53">
        <f>SUM(K62*0.15)</f>
        <v>18397.2</v>
      </c>
      <c r="Q62" s="157" t="s">
        <v>65</v>
      </c>
      <c r="R62" s="157"/>
      <c r="S62" s="157"/>
      <c r="T62" s="157"/>
      <c r="U62" s="54">
        <f>SUM(K62+P62)</f>
        <v>141045.20000000001</v>
      </c>
    </row>
    <row r="63" spans="1:21" ht="15.6" x14ac:dyDescent="0.3">
      <c r="A63" s="45"/>
      <c r="B63" s="45"/>
      <c r="C63" s="45"/>
      <c r="D63" s="45"/>
      <c r="E63" s="45"/>
      <c r="F63" s="45"/>
      <c r="G63" s="45"/>
      <c r="H63" s="46"/>
      <c r="I63" s="45"/>
      <c r="J63" s="45"/>
      <c r="K63" s="45"/>
      <c r="L63" s="45"/>
      <c r="M63" s="45"/>
      <c r="N63" s="45"/>
      <c r="O63" s="45"/>
      <c r="P63" s="45"/>
      <c r="Q63" s="157" t="s">
        <v>66</v>
      </c>
      <c r="R63" s="157"/>
      <c r="S63" s="157"/>
      <c r="T63" s="157"/>
      <c r="U63" s="55">
        <f>ROUND((U62/1),2)</f>
        <v>141045.20000000001</v>
      </c>
    </row>
  </sheetData>
  <mergeCells count="92">
    <mergeCell ref="Q63:T63"/>
    <mergeCell ref="A61:E61"/>
    <mergeCell ref="G61:J61"/>
    <mergeCell ref="L61:O61"/>
    <mergeCell ref="Q61:T61"/>
    <mergeCell ref="A62:E62"/>
    <mergeCell ref="G62:J62"/>
    <mergeCell ref="L62:O62"/>
    <mergeCell ref="Q62:T62"/>
    <mergeCell ref="U54:U56"/>
    <mergeCell ref="A56:B56"/>
    <mergeCell ref="A57:A58"/>
    <mergeCell ref="B57:F57"/>
    <mergeCell ref="G57:K57"/>
    <mergeCell ref="L57:P57"/>
    <mergeCell ref="Q57:U57"/>
    <mergeCell ref="A54:B55"/>
    <mergeCell ref="C54:T56"/>
    <mergeCell ref="A51:E51"/>
    <mergeCell ref="G51:J51"/>
    <mergeCell ref="L51:O51"/>
    <mergeCell ref="Q51:T51"/>
    <mergeCell ref="Q52:T52"/>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35:E35"/>
    <mergeCell ref="G35:J35"/>
    <mergeCell ref="L35:O35"/>
    <mergeCell ref="Q35:T35"/>
    <mergeCell ref="A36:E36"/>
    <mergeCell ref="G36:J36"/>
    <mergeCell ref="L36:O36"/>
    <mergeCell ref="Q36:T36"/>
    <mergeCell ref="U24:U26"/>
    <mergeCell ref="A26:B26"/>
    <mergeCell ref="A27:A28"/>
    <mergeCell ref="B27:F27"/>
    <mergeCell ref="G27:K27"/>
    <mergeCell ref="L27:P27"/>
    <mergeCell ref="Q27:U27"/>
    <mergeCell ref="A24:B25"/>
    <mergeCell ref="C24:T26"/>
    <mergeCell ref="A20:E20"/>
    <mergeCell ref="G20:J20"/>
    <mergeCell ref="L20:O20"/>
    <mergeCell ref="Q20:T20"/>
    <mergeCell ref="Q21:T21"/>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8:E8"/>
    <mergeCell ref="G8:J8"/>
    <mergeCell ref="L8:O8"/>
    <mergeCell ref="Q8:T8"/>
    <mergeCell ref="A9:E9"/>
    <mergeCell ref="G9:J9"/>
    <mergeCell ref="L9:O9"/>
    <mergeCell ref="Q9:T9"/>
    <mergeCell ref="A1:B2"/>
    <mergeCell ref="C1:T3"/>
    <mergeCell ref="U1:U3"/>
    <mergeCell ref="A3:B3"/>
    <mergeCell ref="A4:A5"/>
    <mergeCell ref="B4:F4"/>
    <mergeCell ref="G4:K4"/>
    <mergeCell ref="L4:P4"/>
    <mergeCell ref="Q4:U4"/>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vt:lpstr>
      <vt:lpstr>WCR</vt:lpstr>
      <vt:lpstr>Sheet1</vt:lpstr>
      <vt:lpstr>new!Print_Area</vt:lpstr>
      <vt:lpstr>WCR!Print_Area</vt:lpstr>
      <vt:lpstr>new!Print_Titles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2024-09-25T02:33:10Z</dcterms:modified>
</cp:coreProperties>
</file>