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estimates\बेनडोल सडक नयाँबस्ती\"/>
    </mc:Choice>
  </mc:AlternateContent>
  <bookViews>
    <workbookView xWindow="-120" yWindow="-120" windowWidth="20736" windowHeight="11160" activeTab="2"/>
  </bookViews>
  <sheets>
    <sheet name="WCR" sheetId="6" r:id="rId1"/>
    <sheet name="bendol estimate" sheetId="17" r:id="rId2"/>
    <sheet name="re-estimate"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estimate'!$A$1:$K$39</definedName>
    <definedName name="_xlnm.Print_Area" localSheetId="2">'re-estimate'!$A$1:$K$39</definedName>
    <definedName name="_xlnm.Print_Titles" localSheetId="1">'bendol estimate'!$1:$8</definedName>
    <definedName name="_xlnm.Print_Titles" localSheetId="2">'re-estimate'!$1:$8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18" l="1"/>
  <c r="C39" i="18"/>
  <c r="C36" i="18" s="1"/>
  <c r="C38" i="18"/>
  <c r="J30" i="18"/>
  <c r="G30" i="18"/>
  <c r="C26" i="18"/>
  <c r="E21" i="18"/>
  <c r="E20" i="18"/>
  <c r="D15" i="18"/>
  <c r="D21" i="18" s="1"/>
  <c r="C20" i="18" s="1"/>
  <c r="C15" i="18"/>
  <c r="B15" i="18"/>
  <c r="B26" i="18" s="1"/>
  <c r="G10" i="18"/>
  <c r="G11" i="18" s="1"/>
  <c r="D26" i="18" l="1"/>
  <c r="J11" i="18"/>
  <c r="J12" i="18"/>
  <c r="B20" i="18"/>
  <c r="E15" i="18"/>
  <c r="E20" i="17"/>
  <c r="D15" i="17"/>
  <c r="D21" i="17" s="1"/>
  <c r="E10" i="17"/>
  <c r="E26" i="18" l="1"/>
  <c r="G26" i="18" s="1"/>
  <c r="G27" i="18" s="1"/>
  <c r="D20" i="18"/>
  <c r="G15" i="18"/>
  <c r="G16" i="18" s="1"/>
  <c r="E21" i="17"/>
  <c r="C21" i="18" l="1"/>
  <c r="F21" i="18" s="1"/>
  <c r="G21" i="18" s="1"/>
  <c r="F20" i="18"/>
  <c r="G20" i="18" s="1"/>
  <c r="J16" i="18"/>
  <c r="J17" i="18"/>
  <c r="J28" i="18"/>
  <c r="J27" i="18"/>
  <c r="E15" i="17"/>
  <c r="G22" i="18" l="1"/>
  <c r="D20" i="17"/>
  <c r="C21" i="17" s="1"/>
  <c r="C20" i="17"/>
  <c r="F20" i="17" s="1"/>
  <c r="G20" i="17" s="1"/>
  <c r="G10" i="17"/>
  <c r="E26" i="17"/>
  <c r="J23" i="18" l="1"/>
  <c r="J22" i="18"/>
  <c r="F21" i="17"/>
  <c r="G21" i="17" s="1"/>
  <c r="G22" i="17" s="1"/>
  <c r="J23" i="17" s="1"/>
  <c r="D26" i="17"/>
  <c r="J32" i="18" l="1"/>
  <c r="C34" i="18" s="1"/>
  <c r="J22" i="17"/>
  <c r="C37" i="18" l="1"/>
  <c r="E36" i="18"/>
  <c r="E37" i="18" s="1"/>
  <c r="C39" i="17"/>
  <c r="C38" i="17"/>
  <c r="G30" i="17"/>
  <c r="J30" i="17" s="1"/>
  <c r="C15" i="17"/>
  <c r="B15" i="17"/>
  <c r="B20" i="17" s="1"/>
  <c r="B26" i="17" l="1"/>
  <c r="C26" i="17"/>
  <c r="G26" i="17" s="1"/>
  <c r="G27" i="17" s="1"/>
  <c r="J28" i="17" s="1"/>
  <c r="G15" i="17"/>
  <c r="G16" i="17" s="1"/>
  <c r="J17" i="17" s="1"/>
  <c r="G11" i="17"/>
  <c r="J12" i="17" s="1"/>
  <c r="C36" i="17"/>
  <c r="J27" i="17" l="1"/>
  <c r="J16" i="17"/>
  <c r="J11" i="17"/>
  <c r="J32" i="17" l="1"/>
  <c r="C34" i="17" s="1"/>
  <c r="E36" i="17" s="1"/>
  <c r="E37" i="17" s="1"/>
  <c r="C37"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<sst xmlns="http://schemas.openxmlformats.org/spreadsheetml/2006/main" count="131" uniqueCount="57">
  <si>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</si>
  <si>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</si>
  <si>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</si>
  <si>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</si>
  <si>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</si>
  <si>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</si>
  <si>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</si>
  <si>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</si>
  <si>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</si>
  <si>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</si>
  <si>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</si>
  <si>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</si>
  <si>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</si>
  <si>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</si>
  <si>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</si>
  <si>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</si>
  <si>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</si>
  <si>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</si>
  <si>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</si>
  <si>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</si>
  <si>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</si>
  <si>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</si>
  <si>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</si>
  <si>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</si>
  <si>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</si>
  <si>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</si>
  <si>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</si>
  <si>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</si>
  <si>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</si>
  <si>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</si>
  <si>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</si>
  <si>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</si>
  <si>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</si>
  <si>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</si>
  <si>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</si>
  <si>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</si>
  <si>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</si>
  <si>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</si>
  <si>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</si>
  <si>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</si>
  <si>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</si>
  <si>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</si>
  <si>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</si>
  <si>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</si>
  <si>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</si>
  <si>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</si>
  <si>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</si>
  <si>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</si>
  <si>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</si>
  <si>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</si>
  <si>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</si>
  <si>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</si>
  <si>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</si>
  <si>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</si>
  <si>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</si>
  <si>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बेनडोल सडक नयाँबस्ती</t>
  </si>
  <si>
    <t>Date:2081/07/11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</si>
</sst>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9" t="s">
        <v>0</v>
      </c>
      <c r="B1" s="79"/>
      <c r="C1" s="79"/>
      <c r="D1" s="79"/>
      <c r="E1" s="79"/>
      <c r="F1" s="79"/>
      <c r="G1" s="79"/>
      <c r="H1" s="79"/>
      <c r="I1" s="79"/>
      <c r="J1" s="79"/>
      <c r="K1" s="79"/>
    </row>
    <row r="2" spans="1:11" ht="24.6" x14ac:dyDescent="0.4">
      <c r="A2" s="80" t="s">
        <v>1</v>
      </c>
      <c r="B2" s="80"/>
      <c r="C2" s="80"/>
      <c r="D2" s="80"/>
      <c r="E2" s="80"/>
      <c r="F2" s="80"/>
      <c r="G2" s="80"/>
      <c r="H2" s="80"/>
      <c r="I2" s="80"/>
      <c r="J2" s="80"/>
      <c r="K2" s="80"/>
    </row>
    <row r="3" spans="1:11" s="1" customFormat="1" x14ac:dyDescent="0.3">
      <c r="A3" s="81" t="s">
        <v>2</v>
      </c>
      <c r="B3" s="81"/>
      <c r="C3" s="81"/>
      <c r="D3" s="81"/>
      <c r="E3" s="81"/>
      <c r="F3" s="81"/>
      <c r="G3" s="81"/>
      <c r="H3" s="81"/>
      <c r="I3" s="81"/>
      <c r="J3" s="81"/>
      <c r="K3" s="81"/>
    </row>
    <row r="4" spans="1:11" s="1" customFormat="1" x14ac:dyDescent="0.3">
      <c r="A4" s="81" t="s">
        <v>3</v>
      </c>
      <c r="B4" s="81"/>
      <c r="C4" s="81"/>
      <c r="D4" s="81"/>
      <c r="E4" s="81"/>
      <c r="F4" s="81"/>
      <c r="G4" s="81"/>
      <c r="H4" s="81"/>
      <c r="I4" s="81"/>
      <c r="J4" s="81"/>
      <c r="K4" s="81"/>
    </row>
    <row r="5" spans="1:11" ht="18" x14ac:dyDescent="0.35">
      <c r="A5" s="82" t="s">
        <v>18</v>
      </c>
      <c r="B5" s="82"/>
      <c r="C5" s="82"/>
      <c r="D5" s="82"/>
      <c r="E5" s="82"/>
      <c r="F5" s="82"/>
      <c r="G5" s="82"/>
      <c r="H5" s="82"/>
      <c r="I5" s="82"/>
      <c r="J5" s="82"/>
      <c r="K5" s="82"/>
    </row>
    <row r="6" spans="1:11" ht="18" x14ac:dyDescent="0.35">
      <c r="A6" s="9" t="s">
        <v>19</v>
      </c>
      <c r="B6" s="9"/>
      <c r="C6" s="77" t="e">
        <f>F18</f>
        <v>#REF!</v>
      </c>
      <c r="D6" s="78"/>
      <c r="E6" s="10"/>
      <c r="F6" s="9"/>
      <c r="G6" s="9"/>
      <c r="H6" s="9" t="s">
        <v>20</v>
      </c>
      <c r="I6" s="9"/>
      <c r="J6" s="77" t="e">
        <f>I18</f>
        <v>#REF!</v>
      </c>
      <c r="K6" s="78"/>
    </row>
    <row r="7" spans="1:11" x14ac:dyDescent="0.3">
      <c r="A7" s="27" t="s">
        <v>29</v>
      </c>
      <c r="B7" s="11"/>
      <c r="C7" s="11"/>
      <c r="D7" s="11"/>
      <c r="F7" s="72"/>
      <c r="G7" s="72"/>
      <c r="I7" s="73" t="s">
        <v>37</v>
      </c>
      <c r="J7" s="73"/>
      <c r="K7" s="73"/>
    </row>
    <row r="8" spans="1:11" ht="15.6" x14ac:dyDescent="0.3">
      <c r="A8" s="71" t="e">
        <f>#REF!</f>
        <v>#REF!</v>
      </c>
      <c r="B8" s="71"/>
      <c r="C8" s="71"/>
      <c r="D8" s="71"/>
      <c r="E8" s="71"/>
      <c r="F8" s="71"/>
      <c r="I8" s="74" t="s">
        <v>38</v>
      </c>
      <c r="J8" s="74"/>
      <c r="K8" s="74"/>
    </row>
    <row r="9" spans="1:11" x14ac:dyDescent="0.3">
      <c r="A9" s="75" t="e">
        <f>#REF!</f>
        <v>#REF!</v>
      </c>
      <c r="B9" s="75"/>
      <c r="C9" s="75"/>
      <c r="D9" s="75"/>
      <c r="E9" s="75"/>
      <c r="F9" s="75"/>
      <c r="I9" s="74" t="s">
        <v>39</v>
      </c>
      <c r="J9" s="74"/>
      <c r="K9" s="74"/>
    </row>
    <row r="11" spans="1:11" x14ac:dyDescent="0.3">
      <c r="A11" s="69" t="s">
        <v>21</v>
      </c>
      <c r="B11" s="69" t="s">
        <v>22</v>
      </c>
      <c r="C11" s="69" t="s">
        <v>12</v>
      </c>
      <c r="D11" s="76" t="s">
        <v>23</v>
      </c>
      <c r="E11" s="76"/>
      <c r="F11" s="76"/>
      <c r="G11" s="76" t="s">
        <v>24</v>
      </c>
      <c r="H11" s="76"/>
      <c r="I11" s="76"/>
      <c r="J11" s="69" t="s">
        <v>25</v>
      </c>
      <c r="K11" s="70" t="s">
        <v>15</v>
      </c>
    </row>
    <row r="12" spans="1:11" x14ac:dyDescent="0.3">
      <c r="A12" s="69"/>
      <c r="B12" s="69"/>
      <c r="C12" s="69"/>
      <c r="D12" s="12" t="s">
        <v>26</v>
      </c>
      <c r="E12" s="12" t="s">
        <v>13</v>
      </c>
      <c r="F12" s="12" t="s">
        <v>14</v>
      </c>
      <c r="G12" s="12" t="s">
        <v>26</v>
      </c>
      <c r="H12" s="12" t="s">
        <v>13</v>
      </c>
      <c r="I12" s="12" t="s">
        <v>14</v>
      </c>
      <c r="J12" s="69"/>
      <c r="K12" s="70"/>
    </row>
    <row r="13" spans="1:11" s="1" customFormat="1" ht="15.6" x14ac:dyDescent="0.3">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6" x14ac:dyDescent="0.3">
      <c r="A14" s="28"/>
      <c r="B14" s="34" t="e">
        <f>#REF!</f>
        <v>#REF!</v>
      </c>
      <c r="C14" s="13"/>
      <c r="D14" s="13"/>
      <c r="E14" s="13"/>
      <c r="F14" s="13" t="e">
        <f>#REF!</f>
        <v>#REF!</v>
      </c>
      <c r="G14" s="13"/>
      <c r="H14" s="13"/>
      <c r="I14" s="13" t="e">
        <f>#REF!</f>
        <v>#REF!</v>
      </c>
      <c r="J14" s="29"/>
      <c r="K14" s="15"/>
    </row>
    <row r="15" spans="1:11" s="1" customFormat="1" x14ac:dyDescent="0.3">
      <c r="A15" s="30"/>
      <c r="B15" s="30"/>
      <c r="C15" s="13"/>
      <c r="D15" s="13"/>
      <c r="E15" s="13"/>
      <c r="F15" s="13"/>
      <c r="G15" s="13"/>
      <c r="H15" s="13"/>
      <c r="I15" s="13"/>
      <c r="J15" s="29"/>
      <c r="K15" s="15"/>
    </row>
    <row r="16" spans="1:11" s="1" customFormat="1" x14ac:dyDescent="0.3">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3">
      <c r="A17" s="30"/>
      <c r="B17" s="30"/>
      <c r="C17" s="13"/>
      <c r="D17" s="13"/>
      <c r="E17" s="13"/>
      <c r="F17" s="13"/>
      <c r="G17" s="13"/>
      <c r="H17" s="13"/>
      <c r="I17" s="13"/>
      <c r="J17" s="29"/>
      <c r="K17" s="15"/>
    </row>
    <row r="18" spans="1:11" x14ac:dyDescent="0.3">
      <c r="A18" s="5"/>
      <c r="B18" s="6" t="s">
        <v>16</v>
      </c>
      <c r="C18" s="6"/>
      <c r="D18" s="8"/>
      <c r="E18" s="8"/>
      <c r="F18" s="8" t="e">
        <f>SUM(F13:F16)</f>
        <v>#REF!</v>
      </c>
      <c r="G18" s="8"/>
      <c r="H18" s="8"/>
      <c r="I18" s="8" t="e">
        <f>SUM(I13:I16)</f>
        <v>#REF!</v>
      </c>
      <c r="J18" s="14"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opLeftCell="A22" zoomScaleNormal="100" workbookViewId="0">
      <selection activeCell="J9" sqref="J9"/>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8" t="s">
        <v>0</v>
      </c>
      <c r="B1" s="88"/>
      <c r="C1" s="88"/>
      <c r="D1" s="88"/>
      <c r="E1" s="88"/>
      <c r="F1" s="88"/>
      <c r="G1" s="88"/>
      <c r="H1" s="88"/>
      <c r="I1" s="88"/>
      <c r="J1" s="88"/>
      <c r="K1" s="88"/>
    </row>
    <row r="2" spans="1:19" s="1" customFormat="1" ht="22.8" x14ac:dyDescent="0.3">
      <c r="A2" s="89" t="s">
        <v>1</v>
      </c>
      <c r="B2" s="89"/>
      <c r="C2" s="89"/>
      <c r="D2" s="89"/>
      <c r="E2" s="89"/>
      <c r="F2" s="89"/>
      <c r="G2" s="89"/>
      <c r="H2" s="89"/>
      <c r="I2" s="89"/>
      <c r="J2" s="89"/>
      <c r="K2" s="89"/>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90" t="s">
        <v>4</v>
      </c>
      <c r="B5" s="90"/>
      <c r="C5" s="90"/>
      <c r="D5" s="90"/>
      <c r="E5" s="90"/>
      <c r="F5" s="90"/>
      <c r="G5" s="90"/>
      <c r="H5" s="90"/>
      <c r="I5" s="90"/>
      <c r="J5" s="90"/>
      <c r="K5" s="90"/>
    </row>
    <row r="6" spans="1:19" ht="15.6" x14ac:dyDescent="0.3">
      <c r="A6" s="71" t="s">
        <v>55</v>
      </c>
      <c r="B6" s="71"/>
      <c r="C6" s="71"/>
      <c r="D6" s="71"/>
      <c r="E6" s="71"/>
      <c r="F6" s="71"/>
      <c r="G6" s="2"/>
      <c r="H6" s="87" t="s">
        <v>49</v>
      </c>
      <c r="I6" s="87"/>
      <c r="J6" s="87"/>
      <c r="K6" s="87"/>
    </row>
    <row r="7" spans="1:19" ht="15.6" x14ac:dyDescent="0.3">
      <c r="A7" s="84" t="s">
        <v>28</v>
      </c>
      <c r="B7" s="84"/>
      <c r="C7" s="84"/>
      <c r="D7" s="84"/>
      <c r="E7" s="84"/>
      <c r="F7" s="84"/>
      <c r="G7" s="3"/>
      <c r="H7" s="85" t="s">
        <v>56</v>
      </c>
      <c r="I7" s="85"/>
      <c r="J7" s="85"/>
      <c r="K7" s="85"/>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30">
        <v>1</v>
      </c>
      <c r="B9" s="31" t="s">
        <v>48</v>
      </c>
      <c r="C9" s="38"/>
      <c r="D9" s="38"/>
      <c r="E9" s="38"/>
      <c r="F9" s="38"/>
      <c r="G9" s="38"/>
      <c r="H9" s="38"/>
      <c r="I9" s="38"/>
      <c r="J9" s="38"/>
      <c r="K9" s="38"/>
      <c r="N9" t="s">
        <v>51</v>
      </c>
      <c r="O9" t="s">
        <v>52</v>
      </c>
    </row>
    <row r="10" spans="1:19" ht="15" customHeight="1" x14ac:dyDescent="0.3">
      <c r="A10" s="19"/>
      <c r="B10" s="39" t="s">
        <v>43</v>
      </c>
      <c r="C10" s="38">
        <v>1</v>
      </c>
      <c r="D10" s="40">
        <v>18.399999999999999</v>
      </c>
      <c r="E10" s="40">
        <f>14/3.281</f>
        <v>4.2669917708015843</v>
      </c>
      <c r="F10" s="40">
        <v>0.15</v>
      </c>
      <c r="G10" s="41">
        <f>PRODUCT(C10:F10)</f>
        <v>11.776897287412373</v>
      </c>
      <c r="H10" s="42"/>
      <c r="I10" s="42"/>
      <c r="J10" s="42"/>
      <c r="K10" s="22"/>
      <c r="M10" s="26"/>
      <c r="N10" s="1"/>
      <c r="O10" s="1"/>
      <c r="P10" s="1"/>
      <c r="Q10" s="1"/>
      <c r="R10" s="26"/>
      <c r="S10" s="26"/>
    </row>
    <row r="11" spans="1:19" ht="15" customHeight="1" x14ac:dyDescent="0.3">
      <c r="A11" s="19"/>
      <c r="B11" s="39" t="s">
        <v>42</v>
      </c>
      <c r="C11" s="20"/>
      <c r="D11" s="21"/>
      <c r="E11" s="22"/>
      <c r="F11" s="22"/>
      <c r="G11" s="24">
        <f>SUM(G10:G10)</f>
        <v>11.776897287412373</v>
      </c>
      <c r="H11" s="23" t="s">
        <v>41</v>
      </c>
      <c r="I11" s="24">
        <v>64.63</v>
      </c>
      <c r="J11" s="43">
        <f>G11*I11</f>
        <v>761.14087168546166</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82.010387077110636</v>
      </c>
      <c r="K12" s="22"/>
      <c r="M12" s="26"/>
      <c r="N12" s="1"/>
      <c r="O12" s="1"/>
      <c r="P12" s="1"/>
      <c r="Q12" s="1"/>
      <c r="R12" s="26"/>
      <c r="S12" s="26"/>
    </row>
    <row r="13" spans="1:19" ht="15" customHeight="1" x14ac:dyDescent="0.3">
      <c r="A13" s="19"/>
      <c r="B13" s="39"/>
      <c r="C13" s="20"/>
      <c r="D13" s="21"/>
      <c r="E13" s="22"/>
      <c r="F13" s="22"/>
      <c r="G13" s="24"/>
      <c r="H13" s="23"/>
      <c r="I13" s="24"/>
      <c r="J13" s="43"/>
      <c r="K13" s="22"/>
      <c r="M13" s="26"/>
      <c r="N13" s="1"/>
      <c r="O13" s="1"/>
      <c r="P13" s="1"/>
      <c r="Q13" s="1"/>
      <c r="R13" s="26"/>
      <c r="S13" s="26"/>
    </row>
    <row r="14" spans="1:19" ht="82.8" x14ac:dyDescent="0.3">
      <c r="A14" s="19">
        <v>2</v>
      </c>
      <c r="B14" s="31" t="s">
        <v>45</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f>C10</f>
        <v>1</v>
      </c>
      <c r="D15" s="40">
        <f>D10</f>
        <v>18.399999999999999</v>
      </c>
      <c r="E15" s="40">
        <f>E10</f>
        <v>4.2669917708015843</v>
      </c>
      <c r="F15" s="40">
        <v>0.15</v>
      </c>
      <c r="G15" s="41">
        <f>PRODUCT(C15:F15)</f>
        <v>11.776897287412373</v>
      </c>
      <c r="H15" s="42"/>
      <c r="I15" s="42"/>
      <c r="J15" s="42"/>
      <c r="K15" s="22"/>
      <c r="M15" s="26"/>
      <c r="N15" s="1"/>
      <c r="O15" s="1"/>
      <c r="P15" s="1"/>
      <c r="Q15" s="1"/>
      <c r="R15" s="26"/>
      <c r="S15" s="26"/>
    </row>
    <row r="16" spans="1:19" ht="15" customHeight="1" x14ac:dyDescent="0.3">
      <c r="A16" s="42"/>
      <c r="B16" s="39" t="s">
        <v>42</v>
      </c>
      <c r="C16" s="44"/>
      <c r="D16" s="45"/>
      <c r="E16" s="45"/>
      <c r="F16" s="45"/>
      <c r="G16" s="35">
        <f>SUM(G15:G15)</f>
        <v>11.776897287412373</v>
      </c>
      <c r="H16" s="35" t="s">
        <v>41</v>
      </c>
      <c r="I16" s="35">
        <v>4561.53</v>
      </c>
      <c r="J16" s="46">
        <f>G16*I16</f>
        <v>53720.670283450156</v>
      </c>
      <c r="K16" s="38"/>
    </row>
    <row r="17" spans="1:19" x14ac:dyDescent="0.3">
      <c r="A17" s="42"/>
      <c r="B17" s="39" t="s">
        <v>40</v>
      </c>
      <c r="C17" s="44"/>
      <c r="D17" s="45"/>
      <c r="E17" s="45"/>
      <c r="F17" s="45"/>
      <c r="G17" s="45"/>
      <c r="H17" s="45"/>
      <c r="I17" s="45"/>
      <c r="J17" s="47">
        <f>0.13*G16*(15452.6/5)</f>
        <v>4731.575758610179</v>
      </c>
      <c r="K17" s="38"/>
    </row>
    <row r="18" spans="1:19" x14ac:dyDescent="0.3">
      <c r="A18" s="42"/>
      <c r="B18" s="39"/>
      <c r="C18" s="44"/>
      <c r="D18" s="45"/>
      <c r="E18" s="45"/>
      <c r="F18" s="45"/>
      <c r="G18" s="45"/>
      <c r="H18" s="45"/>
      <c r="I18" s="45"/>
      <c r="J18" s="47"/>
      <c r="K18" s="38"/>
    </row>
    <row r="19" spans="1:19" s="1" customFormat="1" ht="69" x14ac:dyDescent="0.3">
      <c r="A19" s="65">
        <v>3</v>
      </c>
      <c r="B19" s="31" t="s">
        <v>44</v>
      </c>
      <c r="C19" s="66" t="s">
        <v>7</v>
      </c>
      <c r="D19" s="67" t="s">
        <v>47</v>
      </c>
      <c r="E19" s="67" t="s">
        <v>53</v>
      </c>
      <c r="F19" s="67" t="s">
        <v>54</v>
      </c>
      <c r="G19" s="41"/>
      <c r="H19" s="41"/>
      <c r="I19" s="41"/>
      <c r="J19" s="47"/>
      <c r="K19" s="30"/>
    </row>
    <row r="20" spans="1:19" ht="15" customHeight="1" x14ac:dyDescent="0.3">
      <c r="A20" s="42"/>
      <c r="B20" s="39" t="str">
        <f>B15</f>
        <v>-Road</v>
      </c>
      <c r="C20" s="44">
        <f>TRUNC(D21/0.15,0)</f>
        <v>120</v>
      </c>
      <c r="D20" s="45">
        <f>E15-0.1</f>
        <v>4.1669917708015847</v>
      </c>
      <c r="E20" s="45">
        <f>10*10/162</f>
        <v>0.61728395061728392</v>
      </c>
      <c r="F20" s="45">
        <f>PRODUCT(C20:E20)</f>
        <v>308.66605709641362</v>
      </c>
      <c r="G20" s="45">
        <f>F20/1000</f>
        <v>0.30866605709641365</v>
      </c>
      <c r="H20" s="45"/>
      <c r="I20" s="45"/>
      <c r="J20" s="47"/>
      <c r="K20" s="38"/>
    </row>
    <row r="21" spans="1:19" x14ac:dyDescent="0.3">
      <c r="A21" s="5"/>
      <c r="B21" s="5"/>
      <c r="C21" s="44">
        <f>TRUNC(D20/0.15,0)</f>
        <v>27</v>
      </c>
      <c r="D21" s="7">
        <f>D15-0.1*3</f>
        <v>18.099999999999998</v>
      </c>
      <c r="E21" s="45">
        <f>8*8/162</f>
        <v>0.39506172839506171</v>
      </c>
      <c r="F21" s="45">
        <f>PRODUCT(C21:E21)</f>
        <v>193.06666666666663</v>
      </c>
      <c r="G21" s="45">
        <f>F21/1000</f>
        <v>0.19306666666666664</v>
      </c>
      <c r="H21" s="5"/>
      <c r="I21" s="5"/>
      <c r="J21" s="5"/>
      <c r="K21" s="5"/>
      <c r="M21" s="68"/>
      <c r="N21" s="68"/>
    </row>
    <row r="22" spans="1:19" ht="15" customHeight="1" x14ac:dyDescent="0.3">
      <c r="A22" s="42"/>
      <c r="B22" s="39" t="s">
        <v>42</v>
      </c>
      <c r="C22" s="44"/>
      <c r="D22" s="45"/>
      <c r="E22" s="45"/>
      <c r="F22" s="45"/>
      <c r="G22" s="35">
        <f>SUM(G20:G21)</f>
        <v>0.50173272376308031</v>
      </c>
      <c r="H22" s="35" t="s">
        <v>41</v>
      </c>
      <c r="I22" s="35">
        <v>124140</v>
      </c>
      <c r="J22" s="46">
        <f>G22*I22</f>
        <v>62285.100327948792</v>
      </c>
      <c r="K22" s="38"/>
    </row>
    <row r="23" spans="1:19" ht="15" customHeight="1" x14ac:dyDescent="0.3">
      <c r="A23" s="42"/>
      <c r="B23" s="39" t="s">
        <v>40</v>
      </c>
      <c r="C23" s="44"/>
      <c r="D23" s="45"/>
      <c r="E23" s="45"/>
      <c r="F23" s="45"/>
      <c r="G23" s="45"/>
      <c r="H23" s="45"/>
      <c r="I23" s="45"/>
      <c r="J23" s="47">
        <f>0.13*G22*110960</f>
        <v>7237.3941937376821</v>
      </c>
      <c r="K23" s="38"/>
    </row>
    <row r="24" spans="1:19" x14ac:dyDescent="0.3">
      <c r="A24" s="5"/>
      <c r="B24" s="5"/>
      <c r="C24" s="5"/>
      <c r="D24" s="5"/>
      <c r="E24" s="5"/>
      <c r="F24" s="5"/>
      <c r="G24" s="5"/>
      <c r="H24" s="5"/>
      <c r="I24" s="5"/>
      <c r="J24" s="5"/>
      <c r="K24" s="5"/>
    </row>
    <row r="25" spans="1:19" s="1" customFormat="1" ht="69" x14ac:dyDescent="0.3">
      <c r="A25" s="65">
        <v>4</v>
      </c>
      <c r="B25" s="31" t="s">
        <v>46</v>
      </c>
      <c r="C25" s="66"/>
      <c r="D25" s="41"/>
      <c r="E25" s="41"/>
      <c r="F25" s="41"/>
      <c r="G25" s="41"/>
      <c r="H25" s="41"/>
      <c r="I25" s="41"/>
      <c r="J25" s="47"/>
      <c r="K25" s="30"/>
    </row>
    <row r="26" spans="1:19" x14ac:dyDescent="0.3">
      <c r="A26" s="42"/>
      <c r="B26" s="25" t="str">
        <f>B15</f>
        <v>-Road</v>
      </c>
      <c r="C26" s="44">
        <f>C15</f>
        <v>1</v>
      </c>
      <c r="D26" s="45">
        <f>D15</f>
        <v>18.399999999999999</v>
      </c>
      <c r="E26" s="45">
        <f>E15</f>
        <v>4.2669917708015843</v>
      </c>
      <c r="F26" s="45">
        <v>0.15</v>
      </c>
      <c r="G26" s="41">
        <f>PRODUCT(C26:F26)</f>
        <v>11.776897287412373</v>
      </c>
      <c r="H26" s="45"/>
      <c r="I26" s="45"/>
      <c r="J26" s="47"/>
      <c r="K26" s="38"/>
    </row>
    <row r="27" spans="1:19" ht="15" customHeight="1" x14ac:dyDescent="0.3">
      <c r="A27" s="42"/>
      <c r="B27" s="39" t="s">
        <v>42</v>
      </c>
      <c r="C27" s="44"/>
      <c r="D27" s="45"/>
      <c r="E27" s="45"/>
      <c r="F27" s="45"/>
      <c r="G27" s="35">
        <f>SUM(G26:G26)</f>
        <v>11.776897287412373</v>
      </c>
      <c r="H27" s="35" t="s">
        <v>41</v>
      </c>
      <c r="I27" s="35">
        <v>11588.17</v>
      </c>
      <c r="J27" s="46">
        <f>G27*I27</f>
        <v>136472.68783907345</v>
      </c>
      <c r="K27" s="38"/>
    </row>
    <row r="28" spans="1:19" ht="15" customHeight="1" x14ac:dyDescent="0.3">
      <c r="A28" s="42"/>
      <c r="B28" s="39" t="s">
        <v>40</v>
      </c>
      <c r="C28" s="44"/>
      <c r="D28" s="45"/>
      <c r="E28" s="45"/>
      <c r="F28" s="45"/>
      <c r="G28" s="45"/>
      <c r="H28" s="45"/>
      <c r="I28" s="45"/>
      <c r="J28" s="47">
        <f>0.13*G27*((128662.2+6685.5)/15)</f>
        <v>13814.458328558365</v>
      </c>
      <c r="K28" s="38"/>
    </row>
    <row r="29" spans="1:19" ht="15" customHeight="1" x14ac:dyDescent="0.3">
      <c r="A29" s="42"/>
      <c r="B29" s="39"/>
      <c r="C29" s="44"/>
      <c r="D29" s="45"/>
      <c r="E29" s="45"/>
      <c r="F29" s="45"/>
      <c r="G29" s="45"/>
      <c r="H29" s="45"/>
      <c r="I29" s="45"/>
      <c r="J29" s="47"/>
      <c r="K29" s="38"/>
    </row>
    <row r="30" spans="1:19" ht="15" customHeight="1" x14ac:dyDescent="0.3">
      <c r="A30" s="19">
        <v>5</v>
      </c>
      <c r="B30" s="31" t="s">
        <v>30</v>
      </c>
      <c r="C30" s="20">
        <v>1</v>
      </c>
      <c r="D30" s="21"/>
      <c r="E30" s="22"/>
      <c r="F30" s="22"/>
      <c r="G30" s="36">
        <f t="shared" ref="G30" si="0">PRODUCT(C30:F30)</f>
        <v>1</v>
      </c>
      <c r="H30" s="23" t="s">
        <v>31</v>
      </c>
      <c r="I30" s="24">
        <v>1000</v>
      </c>
      <c r="J30" s="36">
        <f>G30*I30</f>
        <v>1000</v>
      </c>
      <c r="K30" s="22"/>
      <c r="M30" s="26"/>
      <c r="N30" s="1"/>
      <c r="O30" s="1"/>
      <c r="P30" s="1"/>
      <c r="Q30" s="1"/>
      <c r="R30" s="26"/>
      <c r="S30" s="26"/>
    </row>
    <row r="31" spans="1:19" ht="15" customHeight="1" x14ac:dyDescent="0.3">
      <c r="A31" s="19"/>
      <c r="B31" s="25"/>
      <c r="C31" s="20"/>
      <c r="D31" s="21"/>
      <c r="E31" s="22"/>
      <c r="F31" s="22"/>
      <c r="G31" s="24"/>
      <c r="H31" s="23"/>
      <c r="I31" s="24"/>
      <c r="J31" s="43"/>
      <c r="K31" s="22"/>
      <c r="M31" s="26"/>
      <c r="N31" s="1"/>
      <c r="O31" s="1"/>
      <c r="P31" s="1"/>
      <c r="Q31" s="1"/>
      <c r="R31" s="26"/>
      <c r="S31" s="26"/>
    </row>
    <row r="32" spans="1:19" x14ac:dyDescent="0.3">
      <c r="A32" s="42"/>
      <c r="B32" s="48" t="s">
        <v>17</v>
      </c>
      <c r="C32" s="49"/>
      <c r="D32" s="40"/>
      <c r="E32" s="40"/>
      <c r="F32" s="40"/>
      <c r="G32" s="43"/>
      <c r="H32" s="43"/>
      <c r="I32" s="43"/>
      <c r="J32" s="43">
        <f>SUM(J10:J30)</f>
        <v>280105.03799014119</v>
      </c>
      <c r="K32" s="38"/>
    </row>
    <row r="33" spans="1:11" x14ac:dyDescent="0.3">
      <c r="A33" s="60"/>
      <c r="B33" s="63"/>
      <c r="C33" s="64"/>
      <c r="D33" s="61"/>
      <c r="E33" s="61"/>
      <c r="F33" s="61"/>
      <c r="G33" s="62"/>
      <c r="H33" s="62"/>
      <c r="I33" s="62"/>
      <c r="J33" s="62"/>
      <c r="K33" s="59"/>
    </row>
    <row r="34" spans="1:11" s="1" customFormat="1" x14ac:dyDescent="0.3">
      <c r="A34" s="52"/>
      <c r="B34" s="30" t="s">
        <v>27</v>
      </c>
      <c r="C34" s="83">
        <f>J32</f>
        <v>280105.03799014119</v>
      </c>
      <c r="D34" s="83"/>
      <c r="E34" s="41">
        <v>100</v>
      </c>
      <c r="F34" s="53"/>
      <c r="G34" s="54"/>
      <c r="H34" s="53"/>
      <c r="I34" s="55"/>
      <c r="J34" s="56"/>
      <c r="K34" s="57"/>
    </row>
    <row r="35" spans="1:11" x14ac:dyDescent="0.3">
      <c r="A35" s="58"/>
      <c r="B35" s="30" t="s">
        <v>32</v>
      </c>
      <c r="C35" s="86">
        <v>250000</v>
      </c>
      <c r="D35" s="86"/>
      <c r="E35" s="41"/>
      <c r="F35" s="51"/>
      <c r="G35" s="50"/>
      <c r="H35" s="50"/>
      <c r="I35" s="50"/>
      <c r="J35" s="50"/>
      <c r="K35" s="51"/>
    </row>
    <row r="36" spans="1:11" x14ac:dyDescent="0.3">
      <c r="A36" s="58"/>
      <c r="B36" s="30" t="s">
        <v>33</v>
      </c>
      <c r="C36" s="86">
        <f>C35-C38-C39</f>
        <v>237500</v>
      </c>
      <c r="D36" s="86"/>
      <c r="E36" s="41">
        <f>C36/C34*100</f>
        <v>84.789620959391399</v>
      </c>
      <c r="F36" s="51"/>
      <c r="G36" s="50"/>
      <c r="H36" s="50"/>
      <c r="I36" s="50"/>
      <c r="J36" s="50"/>
      <c r="K36" s="51"/>
    </row>
    <row r="37" spans="1:11" x14ac:dyDescent="0.3">
      <c r="A37" s="58"/>
      <c r="B37" s="30" t="s">
        <v>34</v>
      </c>
      <c r="C37" s="83">
        <f>C34-C36</f>
        <v>42605.037990141194</v>
      </c>
      <c r="D37" s="83"/>
      <c r="E37" s="41">
        <f>100-E36</f>
        <v>15.210379040608601</v>
      </c>
      <c r="F37" s="51"/>
      <c r="G37" s="50"/>
      <c r="H37" s="50"/>
      <c r="I37" s="50"/>
      <c r="J37" s="50"/>
      <c r="K37" s="51"/>
    </row>
    <row r="38" spans="1:11" x14ac:dyDescent="0.3">
      <c r="A38" s="58"/>
      <c r="B38" s="30" t="s">
        <v>35</v>
      </c>
      <c r="C38" s="83">
        <f>C35*0.03</f>
        <v>7500</v>
      </c>
      <c r="D38" s="83"/>
      <c r="E38" s="41">
        <v>3</v>
      </c>
      <c r="F38" s="51"/>
      <c r="G38" s="50"/>
      <c r="H38" s="50"/>
      <c r="I38" s="50"/>
      <c r="J38" s="50"/>
      <c r="K38" s="51"/>
    </row>
    <row r="39" spans="1:11" x14ac:dyDescent="0.3">
      <c r="A39" s="58"/>
      <c r="B39" s="30" t="s">
        <v>36</v>
      </c>
      <c r="C39" s="83">
        <f>C35*0.02</f>
        <v>5000</v>
      </c>
      <c r="D39" s="83"/>
      <c r="E39" s="41">
        <v>2</v>
      </c>
      <c r="F39" s="51"/>
      <c r="G39" s="50"/>
      <c r="H39" s="50"/>
      <c r="I39" s="50"/>
      <c r="J39" s="50"/>
      <c r="K39" s="51"/>
    </row>
    <row r="40" spans="1:11" s="37" customFormat="1" x14ac:dyDescent="0.3">
      <c r="A40" s="59"/>
      <c r="B40" s="59"/>
      <c r="C40" s="59"/>
      <c r="D40" s="59"/>
      <c r="E40" s="59"/>
      <c r="F40" s="59"/>
      <c r="G40" s="59"/>
      <c r="H40" s="59"/>
      <c r="I40" s="59"/>
      <c r="J40" s="59"/>
      <c r="K40" s="59"/>
    </row>
    <row r="41" spans="1:11" s="37" customFormat="1" x14ac:dyDescent="0.3"/>
    <row r="42" spans="1:11" s="37" customFormat="1" x14ac:dyDescent="0.3"/>
    <row r="43" spans="1:11" s="37" customFormat="1" x14ac:dyDescent="0.3"/>
    <row r="44" spans="1:11" s="37" customFormat="1" x14ac:dyDescent="0.3"/>
    <row r="45" spans="1:11" s="37" customFormat="1" x14ac:dyDescent="0.3"/>
    <row r="46" spans="1:11" s="37" customFormat="1" x14ac:dyDescent="0.3"/>
    <row r="47" spans="1:11" s="37" customFormat="1" x14ac:dyDescent="0.3"/>
    <row r="48" spans="1:11"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sheetData>
  <mergeCells count="15">
    <mergeCell ref="A6:F6"/>
    <mergeCell ref="H6:K6"/>
    <mergeCell ref="A1:K1"/>
    <mergeCell ref="A2:K2"/>
    <mergeCell ref="A3:K3"/>
    <mergeCell ref="A4:K4"/>
    <mergeCell ref="A5:K5"/>
    <mergeCell ref="C38:D38"/>
    <mergeCell ref="C39:D39"/>
    <mergeCell ref="A7:F7"/>
    <mergeCell ref="H7:K7"/>
    <mergeCell ref="C34:D34"/>
    <mergeCell ref="C35:D35"/>
    <mergeCell ref="C36:D36"/>
    <mergeCell ref="C37:D3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tabSelected="1" topLeftCell="A25" zoomScaleNormal="100" workbookViewId="0">
      <selection activeCell="D11" sqref="D11"/>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8" t="s">
        <v>0</v>
      </c>
      <c r="B1" s="88"/>
      <c r="C1" s="88"/>
      <c r="D1" s="88"/>
      <c r="E1" s="88"/>
      <c r="F1" s="88"/>
      <c r="G1" s="88"/>
      <c r="H1" s="88"/>
      <c r="I1" s="88"/>
      <c r="J1" s="88"/>
      <c r="K1" s="88"/>
    </row>
    <row r="2" spans="1:19" s="1" customFormat="1" ht="22.8" x14ac:dyDescent="0.3">
      <c r="A2" s="89" t="s">
        <v>1</v>
      </c>
      <c r="B2" s="89"/>
      <c r="C2" s="89"/>
      <c r="D2" s="89"/>
      <c r="E2" s="89"/>
      <c r="F2" s="89"/>
      <c r="G2" s="89"/>
      <c r="H2" s="89"/>
      <c r="I2" s="89"/>
      <c r="J2" s="89"/>
      <c r="K2" s="89"/>
    </row>
    <row r="3" spans="1:19" s="1" customFormat="1" x14ac:dyDescent="0.3">
      <c r="A3" s="81" t="s">
        <v>2</v>
      </c>
      <c r="B3" s="81"/>
      <c r="C3" s="81"/>
      <c r="D3" s="81"/>
      <c r="E3" s="81"/>
      <c r="F3" s="81"/>
      <c r="G3" s="81"/>
      <c r="H3" s="81"/>
      <c r="I3" s="81"/>
      <c r="J3" s="81"/>
      <c r="K3" s="81"/>
    </row>
    <row r="4" spans="1:19" s="1" customFormat="1" x14ac:dyDescent="0.3">
      <c r="A4" s="81" t="s">
        <v>3</v>
      </c>
      <c r="B4" s="81"/>
      <c r="C4" s="81"/>
      <c r="D4" s="81"/>
      <c r="E4" s="81"/>
      <c r="F4" s="81"/>
      <c r="G4" s="81"/>
      <c r="H4" s="81"/>
      <c r="I4" s="81"/>
      <c r="J4" s="81"/>
      <c r="K4" s="81"/>
    </row>
    <row r="5" spans="1:19" ht="17.399999999999999" x14ac:dyDescent="0.3">
      <c r="A5" s="90" t="s">
        <v>4</v>
      </c>
      <c r="B5" s="90"/>
      <c r="C5" s="90"/>
      <c r="D5" s="90"/>
      <c r="E5" s="90"/>
      <c r="F5" s="90"/>
      <c r="G5" s="90"/>
      <c r="H5" s="90"/>
      <c r="I5" s="90"/>
      <c r="J5" s="90"/>
      <c r="K5" s="90"/>
    </row>
    <row r="6" spans="1:19" ht="15.6" x14ac:dyDescent="0.3">
      <c r="A6" s="71" t="s">
        <v>55</v>
      </c>
      <c r="B6" s="71"/>
      <c r="C6" s="71"/>
      <c r="D6" s="71"/>
      <c r="E6" s="71"/>
      <c r="F6" s="71"/>
      <c r="G6" s="2"/>
      <c r="H6" s="87" t="s">
        <v>49</v>
      </c>
      <c r="I6" s="87"/>
      <c r="J6" s="87"/>
      <c r="K6" s="87"/>
    </row>
    <row r="7" spans="1:19" ht="15.6" x14ac:dyDescent="0.3">
      <c r="A7" s="84" t="s">
        <v>28</v>
      </c>
      <c r="B7" s="84"/>
      <c r="C7" s="84"/>
      <c r="D7" s="84"/>
      <c r="E7" s="84"/>
      <c r="F7" s="84"/>
      <c r="G7" s="3"/>
      <c r="H7" s="85" t="s">
        <v>56</v>
      </c>
      <c r="I7" s="85"/>
      <c r="J7" s="85"/>
      <c r="K7" s="85"/>
    </row>
    <row r="8" spans="1:19" ht="15" customHeight="1" x14ac:dyDescent="0.3">
      <c r="A8" s="4" t="s">
        <v>5</v>
      </c>
      <c r="B8" s="16" t="s">
        <v>6</v>
      </c>
      <c r="C8" s="4" t="s">
        <v>7</v>
      </c>
      <c r="D8" s="17" t="s">
        <v>8</v>
      </c>
      <c r="E8" s="17" t="s">
        <v>9</v>
      </c>
      <c r="F8" s="17" t="s">
        <v>10</v>
      </c>
      <c r="G8" s="17" t="s">
        <v>11</v>
      </c>
      <c r="H8" s="4" t="s">
        <v>12</v>
      </c>
      <c r="I8" s="17" t="s">
        <v>13</v>
      </c>
      <c r="J8" s="17" t="s">
        <v>14</v>
      </c>
      <c r="K8" s="18" t="s">
        <v>15</v>
      </c>
      <c r="N8" t="s">
        <v>50</v>
      </c>
    </row>
    <row r="9" spans="1:19" ht="124.2" x14ac:dyDescent="0.3">
      <c r="A9" s="30">
        <v>1</v>
      </c>
      <c r="B9" s="31" t="s">
        <v>48</v>
      </c>
      <c r="C9" s="38"/>
      <c r="D9" s="38"/>
      <c r="E9" s="38"/>
      <c r="F9" s="38"/>
      <c r="G9" s="38"/>
      <c r="H9" s="38"/>
      <c r="I9" s="38"/>
      <c r="J9" s="38"/>
      <c r="K9" s="38"/>
      <c r="N9" t="s">
        <v>51</v>
      </c>
      <c r="O9" t="s">
        <v>52</v>
      </c>
    </row>
    <row r="10" spans="1:19" ht="15" customHeight="1" x14ac:dyDescent="0.3">
      <c r="A10" s="19"/>
      <c r="B10" s="39" t="s">
        <v>43</v>
      </c>
      <c r="C10" s="38">
        <v>1</v>
      </c>
      <c r="D10" s="40">
        <v>19.850000000000001</v>
      </c>
      <c r="E10" s="40">
        <f>13/3.281</f>
        <v>3.9622066443157573</v>
      </c>
      <c r="F10" s="40">
        <v>0.15</v>
      </c>
      <c r="G10" s="41">
        <f>PRODUCT(C10:F10)</f>
        <v>11.797470283450167</v>
      </c>
      <c r="H10" s="42"/>
      <c r="I10" s="42"/>
      <c r="J10" s="42"/>
      <c r="K10" s="22"/>
      <c r="M10" s="26"/>
      <c r="N10" s="1"/>
      <c r="O10" s="1"/>
      <c r="P10" s="1"/>
      <c r="Q10" s="1"/>
      <c r="R10" s="26"/>
      <c r="S10" s="26"/>
    </row>
    <row r="11" spans="1:19" ht="15" customHeight="1" x14ac:dyDescent="0.3">
      <c r="A11" s="19"/>
      <c r="B11" s="39" t="s">
        <v>42</v>
      </c>
      <c r="C11" s="20"/>
      <c r="D11" s="21"/>
      <c r="E11" s="22"/>
      <c r="F11" s="22"/>
      <c r="G11" s="24">
        <f>SUM(G10:G10)</f>
        <v>11.797470283450167</v>
      </c>
      <c r="H11" s="23" t="s">
        <v>41</v>
      </c>
      <c r="I11" s="24">
        <v>64.63</v>
      </c>
      <c r="J11" s="43">
        <f>G11*I11</f>
        <v>762.47050441938427</v>
      </c>
      <c r="K11" s="22"/>
      <c r="M11" s="26"/>
      <c r="N11" s="1"/>
      <c r="O11" s="1"/>
      <c r="P11" s="1"/>
      <c r="Q11" s="1"/>
      <c r="R11" s="26"/>
      <c r="S11" s="26"/>
    </row>
    <row r="12" spans="1:19" ht="15" customHeight="1" x14ac:dyDescent="0.3">
      <c r="A12" s="19"/>
      <c r="B12" s="39" t="s">
        <v>40</v>
      </c>
      <c r="C12" s="20"/>
      <c r="D12" s="21"/>
      <c r="E12" s="22"/>
      <c r="F12" s="22"/>
      <c r="G12" s="24"/>
      <c r="H12" s="23"/>
      <c r="I12" s="24"/>
      <c r="J12" s="43">
        <f>0.13*G11*19284/360</f>
        <v>82.15365056385248</v>
      </c>
      <c r="K12" s="22"/>
      <c r="M12" s="26"/>
      <c r="N12" s="1"/>
      <c r="O12" s="1"/>
      <c r="P12" s="1"/>
      <c r="Q12" s="1"/>
      <c r="R12" s="26"/>
      <c r="S12" s="26"/>
    </row>
    <row r="13" spans="1:19" ht="15" customHeight="1" x14ac:dyDescent="0.3">
      <c r="A13" s="19"/>
      <c r="B13" s="39"/>
      <c r="C13" s="20"/>
      <c r="D13" s="21"/>
      <c r="E13" s="22"/>
      <c r="F13" s="22"/>
      <c r="G13" s="24"/>
      <c r="H13" s="23"/>
      <c r="I13" s="24"/>
      <c r="J13" s="43"/>
      <c r="K13" s="22"/>
      <c r="M13" s="26"/>
      <c r="N13" s="1"/>
      <c r="O13" s="1"/>
      <c r="P13" s="1"/>
      <c r="Q13" s="1"/>
      <c r="R13" s="26"/>
      <c r="S13" s="26"/>
    </row>
    <row r="14" spans="1:19" ht="82.8" x14ac:dyDescent="0.3">
      <c r="A14" s="19">
        <v>2</v>
      </c>
      <c r="B14" s="31" t="s">
        <v>45</v>
      </c>
      <c r="C14" s="20"/>
      <c r="D14" s="21"/>
      <c r="E14" s="22"/>
      <c r="F14" s="22"/>
      <c r="G14" s="24"/>
      <c r="H14" s="23"/>
      <c r="I14" s="24"/>
      <c r="J14" s="43"/>
      <c r="K14" s="22"/>
      <c r="M14" s="26"/>
      <c r="N14" s="1"/>
      <c r="O14" s="1"/>
      <c r="P14" s="1"/>
      <c r="Q14" s="1"/>
      <c r="R14" s="26"/>
      <c r="S14" s="26"/>
    </row>
    <row r="15" spans="1:19" ht="15" customHeight="1" x14ac:dyDescent="0.3">
      <c r="A15" s="19"/>
      <c r="B15" s="39" t="str">
        <f>B10</f>
        <v>-Road</v>
      </c>
      <c r="C15" s="38">
        <f>C10</f>
        <v>1</v>
      </c>
      <c r="D15" s="40">
        <f>D10</f>
        <v>19.850000000000001</v>
      </c>
      <c r="E15" s="40">
        <f>E10</f>
        <v>3.9622066443157573</v>
      </c>
      <c r="F15" s="40">
        <v>0.15</v>
      </c>
      <c r="G15" s="41">
        <f>PRODUCT(C15:F15)</f>
        <v>11.797470283450167</v>
      </c>
      <c r="H15" s="42"/>
      <c r="I15" s="42"/>
      <c r="J15" s="42"/>
      <c r="K15" s="22"/>
      <c r="M15" s="26"/>
      <c r="N15" s="1"/>
      <c r="O15" s="1"/>
      <c r="P15" s="1"/>
      <c r="Q15" s="1"/>
      <c r="R15" s="26"/>
      <c r="S15" s="26"/>
    </row>
    <row r="16" spans="1:19" ht="15" customHeight="1" x14ac:dyDescent="0.3">
      <c r="A16" s="42"/>
      <c r="B16" s="39" t="s">
        <v>42</v>
      </c>
      <c r="C16" s="44"/>
      <c r="D16" s="45"/>
      <c r="E16" s="45"/>
      <c r="F16" s="45"/>
      <c r="G16" s="35">
        <f>SUM(G15:G15)</f>
        <v>11.797470283450167</v>
      </c>
      <c r="H16" s="35" t="s">
        <v>41</v>
      </c>
      <c r="I16" s="35">
        <v>4561.53</v>
      </c>
      <c r="J16" s="46">
        <f>G16*I16</f>
        <v>53814.514622066439</v>
      </c>
      <c r="K16" s="38"/>
    </row>
    <row r="17" spans="1:19" x14ac:dyDescent="0.3">
      <c r="A17" s="42"/>
      <c r="B17" s="39" t="s">
        <v>40</v>
      </c>
      <c r="C17" s="44"/>
      <c r="D17" s="45"/>
      <c r="E17" s="45"/>
      <c r="F17" s="45"/>
      <c r="G17" s="45"/>
      <c r="H17" s="45"/>
      <c r="I17" s="45"/>
      <c r="J17" s="47">
        <f>0.13*G16*(15452.6/5)</f>
        <v>4739.8413218530941</v>
      </c>
      <c r="K17" s="38"/>
    </row>
    <row r="18" spans="1:19" x14ac:dyDescent="0.3">
      <c r="A18" s="42"/>
      <c r="B18" s="39"/>
      <c r="C18" s="44"/>
      <c r="D18" s="45"/>
      <c r="E18" s="45"/>
      <c r="F18" s="45"/>
      <c r="G18" s="45"/>
      <c r="H18" s="45"/>
      <c r="I18" s="45"/>
      <c r="J18" s="47"/>
      <c r="K18" s="38"/>
    </row>
    <row r="19" spans="1:19" s="1" customFormat="1" ht="69" x14ac:dyDescent="0.3">
      <c r="A19" s="65">
        <v>3</v>
      </c>
      <c r="B19" s="31" t="s">
        <v>44</v>
      </c>
      <c r="C19" s="66" t="s">
        <v>7</v>
      </c>
      <c r="D19" s="67" t="s">
        <v>47</v>
      </c>
      <c r="E19" s="67" t="s">
        <v>53</v>
      </c>
      <c r="F19" s="67" t="s">
        <v>54</v>
      </c>
      <c r="G19" s="41"/>
      <c r="H19" s="41"/>
      <c r="I19" s="41"/>
      <c r="J19" s="47"/>
      <c r="K19" s="30"/>
    </row>
    <row r="20" spans="1:19" ht="15" customHeight="1" x14ac:dyDescent="0.3">
      <c r="A20" s="42"/>
      <c r="B20" s="39" t="str">
        <f>B15</f>
        <v>-Road</v>
      </c>
      <c r="C20" s="44">
        <f>TRUNC(D21/0.15,0)</f>
        <v>130</v>
      </c>
      <c r="D20" s="45">
        <f>E15-0.1</f>
        <v>3.8622066443157572</v>
      </c>
      <c r="E20" s="45">
        <f>10*10/162</f>
        <v>0.61728395061728392</v>
      </c>
      <c r="F20" s="45">
        <f>PRODUCT(C20:E20)</f>
        <v>309.93016281546198</v>
      </c>
      <c r="G20" s="45">
        <f>F20/1000</f>
        <v>0.30993016281546198</v>
      </c>
      <c r="H20" s="45"/>
      <c r="I20" s="45"/>
      <c r="J20" s="47"/>
      <c r="K20" s="38"/>
    </row>
    <row r="21" spans="1:19" x14ac:dyDescent="0.3">
      <c r="A21" s="5"/>
      <c r="B21" s="5"/>
      <c r="C21" s="44">
        <f>TRUNC(D20/0.15,0)</f>
        <v>25</v>
      </c>
      <c r="D21" s="7">
        <f>D15-0.1*3</f>
        <v>19.55</v>
      </c>
      <c r="E21" s="45">
        <f>8*8/162</f>
        <v>0.39506172839506171</v>
      </c>
      <c r="F21" s="45">
        <f>PRODUCT(C21:E21)</f>
        <v>193.0864197530864</v>
      </c>
      <c r="G21" s="45">
        <f>F21/1000</f>
        <v>0.19308641975308641</v>
      </c>
      <c r="H21" s="5"/>
      <c r="I21" s="5"/>
      <c r="J21" s="5"/>
      <c r="K21" s="5"/>
      <c r="M21" s="68"/>
      <c r="N21" s="68"/>
    </row>
    <row r="22" spans="1:19" ht="15" customHeight="1" x14ac:dyDescent="0.3">
      <c r="A22" s="42"/>
      <c r="B22" s="39" t="s">
        <v>42</v>
      </c>
      <c r="C22" s="44"/>
      <c r="D22" s="45"/>
      <c r="E22" s="45"/>
      <c r="F22" s="45"/>
      <c r="G22" s="35">
        <f>SUM(G20:G21)</f>
        <v>0.50301658256854842</v>
      </c>
      <c r="H22" s="35" t="s">
        <v>41</v>
      </c>
      <c r="I22" s="35">
        <v>124140</v>
      </c>
      <c r="J22" s="46">
        <f>G22*I22</f>
        <v>62444.478560059601</v>
      </c>
      <c r="K22" s="38"/>
    </row>
    <row r="23" spans="1:19" ht="15" customHeight="1" x14ac:dyDescent="0.3">
      <c r="A23" s="42"/>
      <c r="B23" s="39" t="s">
        <v>40</v>
      </c>
      <c r="C23" s="44"/>
      <c r="D23" s="45"/>
      <c r="E23" s="45"/>
      <c r="F23" s="45"/>
      <c r="G23" s="45"/>
      <c r="H23" s="45"/>
      <c r="I23" s="45"/>
      <c r="J23" s="47">
        <f>0.13*G22*110960</f>
        <v>7255.9136002347977</v>
      </c>
      <c r="K23" s="38"/>
    </row>
    <row r="24" spans="1:19" x14ac:dyDescent="0.3">
      <c r="A24" s="5"/>
      <c r="B24" s="5"/>
      <c r="C24" s="5"/>
      <c r="D24" s="5"/>
      <c r="E24" s="5"/>
      <c r="F24" s="5"/>
      <c r="G24" s="5"/>
      <c r="H24" s="5"/>
      <c r="I24" s="5"/>
      <c r="J24" s="5"/>
      <c r="K24" s="5"/>
    </row>
    <row r="25" spans="1:19" s="1" customFormat="1" ht="69" x14ac:dyDescent="0.3">
      <c r="A25" s="65">
        <v>4</v>
      </c>
      <c r="B25" s="31" t="s">
        <v>46</v>
      </c>
      <c r="C25" s="66"/>
      <c r="D25" s="41"/>
      <c r="E25" s="41"/>
      <c r="F25" s="41"/>
      <c r="G25" s="41"/>
      <c r="H25" s="41"/>
      <c r="I25" s="41"/>
      <c r="J25" s="47"/>
      <c r="K25" s="30"/>
    </row>
    <row r="26" spans="1:19" x14ac:dyDescent="0.3">
      <c r="A26" s="42"/>
      <c r="B26" s="25" t="str">
        <f>B15</f>
        <v>-Road</v>
      </c>
      <c r="C26" s="44">
        <f>C15</f>
        <v>1</v>
      </c>
      <c r="D26" s="45">
        <f>D15</f>
        <v>19.850000000000001</v>
      </c>
      <c r="E26" s="45">
        <f>E15</f>
        <v>3.9622066443157573</v>
      </c>
      <c r="F26" s="45">
        <v>0.15</v>
      </c>
      <c r="G26" s="41">
        <f>PRODUCT(C26:F26)</f>
        <v>11.797470283450167</v>
      </c>
      <c r="H26" s="45"/>
      <c r="I26" s="45"/>
      <c r="J26" s="47"/>
      <c r="K26" s="38"/>
    </row>
    <row r="27" spans="1:19" ht="15" customHeight="1" x14ac:dyDescent="0.3">
      <c r="A27" s="42"/>
      <c r="B27" s="39" t="s">
        <v>42</v>
      </c>
      <c r="C27" s="44"/>
      <c r="D27" s="45"/>
      <c r="E27" s="45"/>
      <c r="F27" s="45"/>
      <c r="G27" s="35">
        <f>SUM(G26:G26)</f>
        <v>11.797470283450167</v>
      </c>
      <c r="H27" s="35" t="s">
        <v>41</v>
      </c>
      <c r="I27" s="35">
        <v>11588.17</v>
      </c>
      <c r="J27" s="46">
        <f>G27*I27</f>
        <v>136711.09121456873</v>
      </c>
      <c r="K27" s="38"/>
    </row>
    <row r="28" spans="1:19" ht="15" customHeight="1" x14ac:dyDescent="0.3">
      <c r="A28" s="42"/>
      <c r="B28" s="39" t="s">
        <v>40</v>
      </c>
      <c r="C28" s="44"/>
      <c r="D28" s="45"/>
      <c r="E28" s="45"/>
      <c r="F28" s="45"/>
      <c r="G28" s="45"/>
      <c r="H28" s="45"/>
      <c r="I28" s="45"/>
      <c r="J28" s="47">
        <f>0.13*G27*((128662.2+6685.5)/15)</f>
        <v>13838.590728588846</v>
      </c>
      <c r="K28" s="38"/>
    </row>
    <row r="29" spans="1:19" ht="15" customHeight="1" x14ac:dyDescent="0.3">
      <c r="A29" s="42"/>
      <c r="B29" s="39"/>
      <c r="C29" s="44"/>
      <c r="D29" s="45"/>
      <c r="E29" s="45"/>
      <c r="F29" s="45"/>
      <c r="G29" s="45"/>
      <c r="H29" s="45"/>
      <c r="I29" s="45"/>
      <c r="J29" s="47"/>
      <c r="K29" s="38"/>
    </row>
    <row r="30" spans="1:19" ht="15" customHeight="1" x14ac:dyDescent="0.3">
      <c r="A30" s="19">
        <v>5</v>
      </c>
      <c r="B30" s="31" t="s">
        <v>30</v>
      </c>
      <c r="C30" s="20">
        <v>1</v>
      </c>
      <c r="D30" s="21"/>
      <c r="E30" s="22"/>
      <c r="F30" s="22"/>
      <c r="G30" s="36">
        <f t="shared" ref="G30" si="0">PRODUCT(C30:F30)</f>
        <v>1</v>
      </c>
      <c r="H30" s="23" t="s">
        <v>31</v>
      </c>
      <c r="I30" s="24">
        <v>1000</v>
      </c>
      <c r="J30" s="36">
        <f>G30*I30</f>
        <v>1000</v>
      </c>
      <c r="K30" s="22"/>
      <c r="M30" s="26"/>
      <c r="N30" s="1"/>
      <c r="O30" s="1"/>
      <c r="P30" s="1"/>
      <c r="Q30" s="1"/>
      <c r="R30" s="26"/>
      <c r="S30" s="26"/>
    </row>
    <row r="31" spans="1:19" ht="15" customHeight="1" x14ac:dyDescent="0.3">
      <c r="A31" s="19"/>
      <c r="B31" s="25"/>
      <c r="C31" s="20"/>
      <c r="D31" s="21"/>
      <c r="E31" s="22"/>
      <c r="F31" s="22"/>
      <c r="G31" s="24"/>
      <c r="H31" s="23"/>
      <c r="I31" s="24"/>
      <c r="J31" s="43"/>
      <c r="K31" s="22"/>
      <c r="M31" s="26"/>
      <c r="N31" s="1"/>
      <c r="O31" s="1"/>
      <c r="P31" s="1"/>
      <c r="Q31" s="1"/>
      <c r="R31" s="26"/>
      <c r="S31" s="26"/>
    </row>
    <row r="32" spans="1:19" x14ac:dyDescent="0.3">
      <c r="A32" s="42"/>
      <c r="B32" s="48" t="s">
        <v>17</v>
      </c>
      <c r="C32" s="49"/>
      <c r="D32" s="40"/>
      <c r="E32" s="40"/>
      <c r="F32" s="40"/>
      <c r="G32" s="43"/>
      <c r="H32" s="43"/>
      <c r="I32" s="43"/>
      <c r="J32" s="43">
        <f>SUM(J10:J30)</f>
        <v>280649.05420235475</v>
      </c>
      <c r="K32" s="38"/>
    </row>
    <row r="33" spans="1:11" x14ac:dyDescent="0.3">
      <c r="A33" s="60"/>
      <c r="B33" s="63"/>
      <c r="C33" s="64"/>
      <c r="D33" s="61"/>
      <c r="E33" s="61"/>
      <c r="F33" s="61"/>
      <c r="G33" s="62"/>
      <c r="H33" s="62"/>
      <c r="I33" s="62"/>
      <c r="J33" s="62"/>
      <c r="K33" s="59"/>
    </row>
    <row r="34" spans="1:11" s="1" customFormat="1" x14ac:dyDescent="0.3">
      <c r="A34" s="52"/>
      <c r="B34" s="30" t="s">
        <v>27</v>
      </c>
      <c r="C34" s="83">
        <f>J32</f>
        <v>280649.05420235475</v>
      </c>
      <c r="D34" s="83"/>
      <c r="E34" s="41">
        <v>100</v>
      </c>
      <c r="F34" s="53"/>
      <c r="G34" s="54"/>
      <c r="H34" s="53"/>
      <c r="I34" s="55"/>
      <c r="J34" s="56"/>
      <c r="K34" s="57"/>
    </row>
    <row r="35" spans="1:11" x14ac:dyDescent="0.3">
      <c r="A35" s="58"/>
      <c r="B35" s="30" t="s">
        <v>32</v>
      </c>
      <c r="C35" s="86">
        <v>250000</v>
      </c>
      <c r="D35" s="86"/>
      <c r="E35" s="41"/>
      <c r="F35" s="51"/>
      <c r="G35" s="50"/>
      <c r="H35" s="50"/>
      <c r="I35" s="50"/>
      <c r="J35" s="50"/>
      <c r="K35" s="51"/>
    </row>
    <row r="36" spans="1:11" x14ac:dyDescent="0.3">
      <c r="A36" s="58"/>
      <c r="B36" s="30" t="s">
        <v>33</v>
      </c>
      <c r="C36" s="86">
        <f>C35-C38-C39</f>
        <v>237500</v>
      </c>
      <c r="D36" s="86"/>
      <c r="E36" s="41">
        <f>C36/C34*100</f>
        <v>84.625262919559589</v>
      </c>
      <c r="F36" s="51"/>
      <c r="G36" s="50"/>
      <c r="H36" s="50"/>
      <c r="I36" s="50"/>
      <c r="J36" s="50"/>
      <c r="K36" s="51"/>
    </row>
    <row r="37" spans="1:11" x14ac:dyDescent="0.3">
      <c r="A37" s="58"/>
      <c r="B37" s="30" t="s">
        <v>34</v>
      </c>
      <c r="C37" s="83">
        <f>C34-C36</f>
        <v>43149.054202354746</v>
      </c>
      <c r="D37" s="83"/>
      <c r="E37" s="41">
        <f>100-E36</f>
        <v>15.374737080440411</v>
      </c>
      <c r="F37" s="51"/>
      <c r="G37" s="50"/>
      <c r="H37" s="50"/>
      <c r="I37" s="50"/>
      <c r="J37" s="50"/>
      <c r="K37" s="51"/>
    </row>
    <row r="38" spans="1:11" x14ac:dyDescent="0.3">
      <c r="A38" s="58"/>
      <c r="B38" s="30" t="s">
        <v>35</v>
      </c>
      <c r="C38" s="83">
        <f>C35*0.03</f>
        <v>7500</v>
      </c>
      <c r="D38" s="83"/>
      <c r="E38" s="41">
        <v>3</v>
      </c>
      <c r="F38" s="51"/>
      <c r="G38" s="50"/>
      <c r="H38" s="50"/>
      <c r="I38" s="50"/>
      <c r="J38" s="50"/>
      <c r="K38" s="51"/>
    </row>
    <row r="39" spans="1:11" x14ac:dyDescent="0.3">
      <c r="A39" s="58"/>
      <c r="B39" s="30" t="s">
        <v>36</v>
      </c>
      <c r="C39" s="83">
        <f>C35*0.02</f>
        <v>5000</v>
      </c>
      <c r="D39" s="83"/>
      <c r="E39" s="41">
        <v>2</v>
      </c>
      <c r="F39" s="51"/>
      <c r="G39" s="50"/>
      <c r="H39" s="50"/>
      <c r="I39" s="50"/>
      <c r="J39" s="50"/>
      <c r="K39" s="51"/>
    </row>
    <row r="40" spans="1:11" s="37" customFormat="1" x14ac:dyDescent="0.3">
      <c r="A40" s="59"/>
      <c r="B40" s="59"/>
      <c r="C40" s="59"/>
      <c r="D40" s="59"/>
      <c r="E40" s="59"/>
      <c r="F40" s="59"/>
      <c r="G40" s="59"/>
      <c r="H40" s="59"/>
      <c r="I40" s="59"/>
      <c r="J40" s="59"/>
      <c r="K40" s="59"/>
    </row>
    <row r="41" spans="1:11" s="37" customFormat="1" x14ac:dyDescent="0.3"/>
    <row r="42" spans="1:11" s="37" customFormat="1" x14ac:dyDescent="0.3"/>
    <row r="43" spans="1:11" s="37" customFormat="1" x14ac:dyDescent="0.3"/>
    <row r="44" spans="1:11" s="37" customFormat="1" x14ac:dyDescent="0.3"/>
    <row r="45" spans="1:11" s="37" customFormat="1" x14ac:dyDescent="0.3"/>
    <row r="46" spans="1:11" s="37" customFormat="1" x14ac:dyDescent="0.3"/>
    <row r="47" spans="1:11" s="37" customFormat="1" x14ac:dyDescent="0.3"/>
    <row r="48" spans="1:11" s="37" customFormat="1" x14ac:dyDescent="0.3"/>
    <row r="49" s="37" customFormat="1" x14ac:dyDescent="0.3"/>
    <row r="50" s="37" customFormat="1" x14ac:dyDescent="0.3"/>
    <row r="51" s="37" customFormat="1" x14ac:dyDescent="0.3"/>
    <row r="52" s="37" customFormat="1" x14ac:dyDescent="0.3"/>
    <row r="53" s="37" customFormat="1" x14ac:dyDescent="0.3"/>
    <row r="54" s="37" customFormat="1" x14ac:dyDescent="0.3"/>
    <row r="55" s="37" customFormat="1" x14ac:dyDescent="0.3"/>
    <row r="56" s="37" customFormat="1" x14ac:dyDescent="0.3"/>
    <row r="57" s="37" customFormat="1" x14ac:dyDescent="0.3"/>
    <row r="58" s="37" customFormat="1" x14ac:dyDescent="0.3"/>
    <row r="59" s="37" customFormat="1" x14ac:dyDescent="0.3"/>
    <row r="60" s="37" customFormat="1" x14ac:dyDescent="0.3"/>
    <row r="61" s="37" customFormat="1" x14ac:dyDescent="0.3"/>
    <row r="62" s="37" customFormat="1" x14ac:dyDescent="0.3"/>
    <row r="63" s="37" customFormat="1" x14ac:dyDescent="0.3"/>
    <row r="64"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sheetData>
  <mergeCells count="15">
    <mergeCell ref="C38:D38"/>
    <mergeCell ref="C39:D39"/>
    <mergeCell ref="A7:F7"/>
    <mergeCell ref="H7:K7"/>
    <mergeCell ref="C34:D34"/>
    <mergeCell ref="C35:D35"/>
    <mergeCell ref="C36:D36"/>
    <mergeCell ref="C37:D37"/>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bendol estimate</vt:lpstr>
      <vt:lpstr>re-estimate</vt:lpstr>
      <vt:lpstr>'bendol estimate'!Print_Area</vt:lpstr>
      <vt:lpstr>'re-estimate'!Print_Area</vt:lpstr>
      <vt:lpstr>'bendol estimate'!Print_Titles</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2024-11-10T17:31:12Z</dcterms:modified>
</cp:coreProperties>
</file>