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बुद्धलक्ष्मी पाटी\"/>
    </mc:Choice>
  </mc:AlternateContent>
  <bookViews>
    <workbookView xWindow="-120" yWindow="-120" windowWidth="20736" windowHeight="11160" activeTab="1"/>
  </bookViews>
  <sheets>
    <sheet name="new" sheetId="18" r:id="rId1"/>
    <sheet name="400k" sheetId="19" r:id="rId2"/>
  </sheets>
  <externalReferences>
    <externalReference r:id="rId3"/>
    <externalReference r:id="rId4"/>
    <externalReference r:id="rId5"/>
    <externalReference r:id="rId6"/>
    <externalReference r:id="rId7"/>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1">'400k'!$A$1:$K$100</definedName>
    <definedName name="_xlnm.Print_Area" localSheetId="0">new!$A$1:$K$93</definedName>
    <definedName name="_xlnm.Print_Titles" localSheetId="1">'400k'!$1:$8</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9" i="19" l="1"/>
  <c r="C18" i="19"/>
  <c r="C48" i="19" s="1"/>
  <c r="C17" i="19"/>
  <c r="C47" i="19"/>
  <c r="E59" i="19"/>
  <c r="C63" i="19"/>
  <c r="C62" i="19"/>
  <c r="E47" i="19"/>
  <c r="D47" i="19"/>
  <c r="E17" i="19"/>
  <c r="D17" i="19"/>
  <c r="N58" i="19"/>
  <c r="F59" i="19"/>
  <c r="G59" i="19" s="1"/>
  <c r="C58" i="19"/>
  <c r="C59" i="19"/>
  <c r="D59" i="19"/>
  <c r="F49" i="19"/>
  <c r="D48" i="19"/>
  <c r="E48" i="19"/>
  <c r="D15" i="19"/>
  <c r="D32" i="19" s="1"/>
  <c r="D35" i="19" s="1"/>
  <c r="D16" i="19"/>
  <c r="D33" i="19" s="1"/>
  <c r="D36" i="19" s="1"/>
  <c r="E18" i="19"/>
  <c r="D18" i="19"/>
  <c r="D25" i="19"/>
  <c r="D24" i="19"/>
  <c r="C25" i="19"/>
  <c r="C24" i="19"/>
  <c r="E16" i="19"/>
  <c r="E25" i="19" s="1"/>
  <c r="E15" i="19"/>
  <c r="E24" i="19" s="1"/>
  <c r="C16" i="19"/>
  <c r="C15" i="19"/>
  <c r="N21" i="19"/>
  <c r="D34" i="19"/>
  <c r="C33" i="19"/>
  <c r="D31" i="19"/>
  <c r="M31" i="19"/>
  <c r="G48" i="19" l="1"/>
  <c r="G18" i="19"/>
  <c r="G16" i="19"/>
  <c r="G24" i="19"/>
  <c r="G25" i="19"/>
  <c r="G15" i="19"/>
  <c r="C85" i="19" l="1"/>
  <c r="C84" i="19"/>
  <c r="C83" i="19"/>
  <c r="C100" i="19"/>
  <c r="C99" i="19"/>
  <c r="C97" i="19" s="1"/>
  <c r="G91" i="19"/>
  <c r="J91" i="19" s="1"/>
  <c r="G89" i="19"/>
  <c r="J89" i="19" s="1"/>
  <c r="F85" i="19"/>
  <c r="F84" i="19"/>
  <c r="F83" i="19"/>
  <c r="F82" i="19"/>
  <c r="F81" i="19"/>
  <c r="E76" i="19"/>
  <c r="D76" i="19"/>
  <c r="C76" i="19"/>
  <c r="E75" i="19"/>
  <c r="D75" i="19"/>
  <c r="C75" i="19"/>
  <c r="O74" i="19"/>
  <c r="E74" i="19"/>
  <c r="D74" i="19"/>
  <c r="C74" i="19"/>
  <c r="E73" i="19"/>
  <c r="D73" i="19"/>
  <c r="C73" i="19"/>
  <c r="F73" i="19" s="1"/>
  <c r="G73" i="19" s="1"/>
  <c r="E72" i="19"/>
  <c r="F72" i="19" s="1"/>
  <c r="G72" i="19" s="1"/>
  <c r="D72" i="19"/>
  <c r="C72" i="19"/>
  <c r="E71" i="19"/>
  <c r="D71" i="19"/>
  <c r="C71" i="19"/>
  <c r="E70" i="19"/>
  <c r="F70" i="19" s="1"/>
  <c r="G70" i="19" s="1"/>
  <c r="D70" i="19"/>
  <c r="C70" i="19"/>
  <c r="E69" i="19"/>
  <c r="D69" i="19"/>
  <c r="C69" i="19"/>
  <c r="N68" i="19"/>
  <c r="M68" i="19"/>
  <c r="O68" i="19" s="1"/>
  <c r="E68" i="19"/>
  <c r="D68" i="19"/>
  <c r="E67" i="19"/>
  <c r="D67" i="19"/>
  <c r="C67" i="19"/>
  <c r="E66" i="19"/>
  <c r="D66" i="19"/>
  <c r="C68" i="19" s="1"/>
  <c r="F68" i="19" s="1"/>
  <c r="G68" i="19" s="1"/>
  <c r="C66" i="19"/>
  <c r="E65" i="19"/>
  <c r="D65" i="19"/>
  <c r="N64" i="19"/>
  <c r="M64" i="19"/>
  <c r="O64" i="19" s="1"/>
  <c r="E64" i="19"/>
  <c r="D64" i="19"/>
  <c r="E63" i="19"/>
  <c r="E62" i="19"/>
  <c r="E61" i="19"/>
  <c r="D61" i="19"/>
  <c r="N60" i="19"/>
  <c r="M60" i="19"/>
  <c r="O60" i="19" s="1"/>
  <c r="E60" i="19"/>
  <c r="D60" i="19"/>
  <c r="C60" i="19"/>
  <c r="C61" i="19" s="1"/>
  <c r="E58" i="19"/>
  <c r="D58" i="19"/>
  <c r="F58" i="19"/>
  <c r="G58" i="19" s="1"/>
  <c r="E57" i="19"/>
  <c r="C57" i="19"/>
  <c r="F52" i="19"/>
  <c r="C52" i="19"/>
  <c r="C51" i="19"/>
  <c r="C50" i="19"/>
  <c r="G49" i="19"/>
  <c r="C46" i="19"/>
  <c r="D45" i="19"/>
  <c r="G45" i="19" s="1"/>
  <c r="C45" i="19"/>
  <c r="G44" i="19"/>
  <c r="E43" i="19"/>
  <c r="D43" i="19"/>
  <c r="D42" i="19"/>
  <c r="G43" i="19" s="1"/>
  <c r="E37" i="19"/>
  <c r="E52" i="19" s="1"/>
  <c r="D37" i="19"/>
  <c r="D52" i="19" s="1"/>
  <c r="C37" i="19"/>
  <c r="G37" i="19" s="1"/>
  <c r="F36" i="19"/>
  <c r="C36" i="19"/>
  <c r="G36" i="19" s="1"/>
  <c r="F35" i="19"/>
  <c r="C35" i="19"/>
  <c r="G35" i="19" s="1"/>
  <c r="F34" i="19"/>
  <c r="C34" i="19"/>
  <c r="F33" i="19"/>
  <c r="G33" i="19" s="1"/>
  <c r="D82" i="19"/>
  <c r="F32" i="19"/>
  <c r="D81" i="19"/>
  <c r="C32" i="19"/>
  <c r="G32" i="19" s="1"/>
  <c r="F31" i="19"/>
  <c r="G31" i="19" s="1"/>
  <c r="F30" i="19"/>
  <c r="B30" i="19"/>
  <c r="B42" i="19" s="1"/>
  <c r="G17" i="19"/>
  <c r="E14" i="19"/>
  <c r="D14" i="19"/>
  <c r="D23" i="19" s="1"/>
  <c r="D30" i="19" s="1"/>
  <c r="C14" i="19"/>
  <c r="G10" i="19"/>
  <c r="G11" i="19" s="1"/>
  <c r="J11" i="19" s="1"/>
  <c r="F66" i="19" l="1"/>
  <c r="G66" i="19" s="1"/>
  <c r="F75" i="19"/>
  <c r="G75" i="19" s="1"/>
  <c r="F67" i="19"/>
  <c r="G67" i="19" s="1"/>
  <c r="F69" i="19"/>
  <c r="G69" i="19" s="1"/>
  <c r="F71" i="19"/>
  <c r="G71" i="19" s="1"/>
  <c r="F76" i="19"/>
  <c r="G76" i="19" s="1"/>
  <c r="F74" i="19"/>
  <c r="G74" i="19" s="1"/>
  <c r="E23" i="19"/>
  <c r="G23" i="19" s="1"/>
  <c r="G26" i="19" s="1"/>
  <c r="O13" i="19"/>
  <c r="F61" i="19"/>
  <c r="G61" i="19" s="1"/>
  <c r="C23" i="19"/>
  <c r="G14" i="19"/>
  <c r="G34" i="19"/>
  <c r="G47" i="19"/>
  <c r="F57" i="19"/>
  <c r="G57" i="19" s="1"/>
  <c r="G82" i="19"/>
  <c r="D84" i="19"/>
  <c r="D83" i="19"/>
  <c r="G83" i="19" s="1"/>
  <c r="G81" i="19"/>
  <c r="C30" i="19"/>
  <c r="G50" i="19"/>
  <c r="G52" i="19"/>
  <c r="D46" i="19"/>
  <c r="G46" i="19" s="1"/>
  <c r="D50" i="19"/>
  <c r="F60" i="19"/>
  <c r="G60" i="19" s="1"/>
  <c r="D62" i="19"/>
  <c r="C64" i="19" s="1"/>
  <c r="F64" i="19" s="1"/>
  <c r="G64" i="19" s="1"/>
  <c r="C69" i="18"/>
  <c r="C68" i="18"/>
  <c r="C67" i="18"/>
  <c r="C66" i="18"/>
  <c r="C65" i="18"/>
  <c r="C64" i="18"/>
  <c r="C63" i="18"/>
  <c r="C60" i="18"/>
  <c r="C59" i="18"/>
  <c r="C46" i="18"/>
  <c r="C45" i="18"/>
  <c r="C44" i="18"/>
  <c r="C32" i="18"/>
  <c r="C31" i="18"/>
  <c r="C30" i="18"/>
  <c r="O12" i="19" l="1"/>
  <c r="G19" i="19"/>
  <c r="G30" i="19"/>
  <c r="G38" i="19" s="1"/>
  <c r="C42" i="19"/>
  <c r="G42" i="19" s="1"/>
  <c r="J26" i="19"/>
  <c r="J27" i="19"/>
  <c r="D51" i="19"/>
  <c r="G51" i="19" s="1"/>
  <c r="D63" i="19"/>
  <c r="D85" i="19"/>
  <c r="G85" i="19" s="1"/>
  <c r="G84" i="19"/>
  <c r="J19" i="19"/>
  <c r="J20" i="19"/>
  <c r="F62" i="19"/>
  <c r="G62" i="19" s="1"/>
  <c r="F78" i="18"/>
  <c r="C78" i="18"/>
  <c r="F76" i="18"/>
  <c r="F77" i="18"/>
  <c r="F75" i="18"/>
  <c r="F74" i="18"/>
  <c r="G86" i="19" l="1"/>
  <c r="J86" i="19" s="1"/>
  <c r="G53" i="19"/>
  <c r="J54" i="19" s="1"/>
  <c r="J39" i="19"/>
  <c r="J38" i="19"/>
  <c r="C65" i="19"/>
  <c r="F65" i="19" s="1"/>
  <c r="G65" i="19" s="1"/>
  <c r="F63" i="19"/>
  <c r="G63" i="19" s="1"/>
  <c r="E67" i="18"/>
  <c r="E68" i="18"/>
  <c r="E69" i="18"/>
  <c r="D69" i="18"/>
  <c r="D68" i="18"/>
  <c r="D67" i="18"/>
  <c r="E65" i="18"/>
  <c r="E66" i="18"/>
  <c r="D65" i="18"/>
  <c r="D66" i="18"/>
  <c r="O67" i="18"/>
  <c r="D64" i="18"/>
  <c r="E64" i="18"/>
  <c r="E63" i="18"/>
  <c r="D63" i="18"/>
  <c r="F63" i="18"/>
  <c r="G63" i="18" s="1"/>
  <c r="D58" i="18"/>
  <c r="D57" i="18"/>
  <c r="D62" i="18"/>
  <c r="D61" i="18"/>
  <c r="E62" i="18"/>
  <c r="N61" i="18"/>
  <c r="M61" i="18"/>
  <c r="O61" i="18" s="1"/>
  <c r="E61" i="18"/>
  <c r="E60" i="18"/>
  <c r="E59" i="18"/>
  <c r="D60" i="18"/>
  <c r="C62" i="18" s="1"/>
  <c r="D59" i="18"/>
  <c r="C61" i="18" s="1"/>
  <c r="J53" i="19" l="1"/>
  <c r="J87" i="19"/>
  <c r="G77" i="19"/>
  <c r="F65" i="18"/>
  <c r="G65" i="18" s="1"/>
  <c r="F64" i="18"/>
  <c r="G64" i="18" s="1"/>
  <c r="F67" i="18"/>
  <c r="G67" i="18" s="1"/>
  <c r="F68" i="18"/>
  <c r="G68" i="18" s="1"/>
  <c r="F66" i="18"/>
  <c r="G66" i="18" s="1"/>
  <c r="F69" i="18"/>
  <c r="G69" i="18" s="1"/>
  <c r="F59" i="18"/>
  <c r="G59" i="18" s="1"/>
  <c r="F61" i="18"/>
  <c r="G61" i="18" s="1"/>
  <c r="F60" i="18"/>
  <c r="G60" i="18" s="1"/>
  <c r="F62" i="18"/>
  <c r="G62" i="18" s="1"/>
  <c r="E58" i="18"/>
  <c r="J77" i="19" l="1"/>
  <c r="J78" i="19"/>
  <c r="N57" i="18"/>
  <c r="M57" i="18"/>
  <c r="E57" i="18"/>
  <c r="E56" i="18"/>
  <c r="E55" i="18"/>
  <c r="J93" i="19" l="1"/>
  <c r="C95" i="19" s="1"/>
  <c r="C98" i="19" s="1"/>
  <c r="O57" i="18"/>
  <c r="E54" i="18"/>
  <c r="E53" i="18"/>
  <c r="D54" i="18"/>
  <c r="D53" i="18"/>
  <c r="C53" i="18"/>
  <c r="C54" i="18" s="1"/>
  <c r="D52" i="18"/>
  <c r="N53" i="18"/>
  <c r="M53" i="18"/>
  <c r="E52" i="18"/>
  <c r="C52" i="18"/>
  <c r="C51" i="18"/>
  <c r="E51" i="18"/>
  <c r="F46" i="18"/>
  <c r="E97" i="19" l="1"/>
  <c r="E98" i="19" s="1"/>
  <c r="F51" i="18"/>
  <c r="G51" i="18" s="1"/>
  <c r="F54" i="18"/>
  <c r="G54" i="18" s="1"/>
  <c r="F53" i="18"/>
  <c r="G53" i="18" s="1"/>
  <c r="F52" i="18"/>
  <c r="G52" i="18" s="1"/>
  <c r="O53" i="18"/>
  <c r="E42" i="18"/>
  <c r="D42" i="18"/>
  <c r="F43" i="18"/>
  <c r="C43" i="18"/>
  <c r="C41" i="18"/>
  <c r="C40" i="18"/>
  <c r="G39" i="18"/>
  <c r="E38" i="18"/>
  <c r="D38" i="18"/>
  <c r="D37" i="18"/>
  <c r="E32" i="18"/>
  <c r="E46" i="18" s="1"/>
  <c r="D32" i="18"/>
  <c r="F31" i="18"/>
  <c r="D31" i="18"/>
  <c r="F30" i="18"/>
  <c r="D30" i="18"/>
  <c r="D29" i="18"/>
  <c r="F29" i="18"/>
  <c r="C29" i="18"/>
  <c r="E15" i="18"/>
  <c r="D15" i="18"/>
  <c r="C28" i="18"/>
  <c r="C27" i="18"/>
  <c r="F28" i="18"/>
  <c r="F27" i="18"/>
  <c r="D28" i="18"/>
  <c r="D27" i="18"/>
  <c r="F26" i="18"/>
  <c r="D26" i="18"/>
  <c r="F25" i="18"/>
  <c r="B25" i="18"/>
  <c r="B37" i="18" s="1"/>
  <c r="D41" i="18" l="1"/>
  <c r="D56" i="18" s="1"/>
  <c r="C58" i="18" s="1"/>
  <c r="F58" i="18" s="1"/>
  <c r="G58" i="18" s="1"/>
  <c r="D75" i="18"/>
  <c r="D40" i="18"/>
  <c r="D55" i="18" s="1"/>
  <c r="C57" i="18" s="1"/>
  <c r="F57" i="18" s="1"/>
  <c r="G57" i="18" s="1"/>
  <c r="D74" i="18"/>
  <c r="G28" i="18"/>
  <c r="C56" i="18"/>
  <c r="C55" i="18"/>
  <c r="D45" i="18"/>
  <c r="G45" i="18" s="1"/>
  <c r="G32" i="18"/>
  <c r="G43" i="18"/>
  <c r="G31" i="18"/>
  <c r="G26" i="18"/>
  <c r="G15" i="18"/>
  <c r="G42" i="18"/>
  <c r="D46" i="18"/>
  <c r="G46" i="18" s="1"/>
  <c r="G38" i="18"/>
  <c r="G30" i="18"/>
  <c r="G29" i="18"/>
  <c r="G27" i="18"/>
  <c r="G74" i="18" l="1"/>
  <c r="D76" i="18"/>
  <c r="G76" i="18" s="1"/>
  <c r="G75" i="18"/>
  <c r="D77" i="18"/>
  <c r="F55" i="18"/>
  <c r="G55" i="18" s="1"/>
  <c r="G41" i="18"/>
  <c r="D44" i="18"/>
  <c r="G44" i="18" s="1"/>
  <c r="G40" i="18"/>
  <c r="F56" i="18"/>
  <c r="G56" i="18" s="1"/>
  <c r="E14" i="18"/>
  <c r="E20" i="18" s="1"/>
  <c r="D14" i="18"/>
  <c r="D20" i="18" s="1"/>
  <c r="D25" i="18" s="1"/>
  <c r="C14" i="18"/>
  <c r="D78" i="18" l="1"/>
  <c r="G78" i="18" s="1"/>
  <c r="G79" i="18" s="1"/>
  <c r="G77" i="18"/>
  <c r="G70" i="18"/>
  <c r="J71" i="18"/>
  <c r="J70" i="18"/>
  <c r="G14" i="18"/>
  <c r="G16" i="18" s="1"/>
  <c r="J16" i="18" s="1"/>
  <c r="C20" i="18"/>
  <c r="C25" i="18" s="1"/>
  <c r="G10" i="18"/>
  <c r="G11" i="18" s="1"/>
  <c r="G84" i="18"/>
  <c r="J84" i="18" s="1"/>
  <c r="G82" i="18"/>
  <c r="J82" i="18" s="1"/>
  <c r="J79" i="18" l="1"/>
  <c r="J80" i="18"/>
  <c r="G25" i="18"/>
  <c r="G33" i="18" s="1"/>
  <c r="J33" i="18" s="1"/>
  <c r="C37" i="18"/>
  <c r="G37" i="18" s="1"/>
  <c r="G47" i="18" s="1"/>
  <c r="G20" i="18"/>
  <c r="G21" i="18" s="1"/>
  <c r="J22" i="18" s="1"/>
  <c r="J17" i="18"/>
  <c r="J11" i="18"/>
  <c r="J34" i="18" l="1"/>
  <c r="J47" i="18"/>
  <c r="J21" i="18"/>
  <c r="C93" i="18"/>
  <c r="C92" i="18"/>
  <c r="J48" i="18" l="1"/>
  <c r="J86" i="18" s="1"/>
  <c r="C90" i="18"/>
  <c r="C88" i="18" l="1"/>
  <c r="C91" i="18" l="1"/>
  <c r="E90" i="18"/>
  <c r="E91" i="18" s="1"/>
</calcChain>
</file>

<file path=xl/sharedStrings.xml><?xml version="1.0" encoding="utf-8"?>
<sst xmlns="http://schemas.openxmlformats.org/spreadsheetml/2006/main" count="184" uniqueCount="68">
  <si>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</si>
  <si>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</si>
  <si>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</si>
  <si>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</si>
  <si>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</si>
  <si>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</si>
  <si>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</si>
  <si>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</si>
  <si>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</si>
  <si>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</si>
  <si>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</si>
  <si>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</si>
  <si>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</si>
  <si>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</si>
  <si>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</si>
  <si>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</si>
  <si>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</si>
  <si>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</si>
  <si>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</si>
  <si>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</si>
  <si>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</si>
  <si>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</si>
  <si>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</si>
  <si>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</si>
  <si>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</si>
  <si>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</si>
  <si>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</si>
  <si>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</si>
  <si>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</si>
  <si>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</si>
  <si>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</si>
  <si>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</si>
  <si>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</si>
  <si>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</si>
  <si>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</si>
  <si>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</si>
  <si>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</si>
  <si>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</si>
  <si>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</si>
  <si>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</si>
  <si>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</si>
  <si>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</si>
  <si>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</si>
  <si>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</si>
  <si>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</si>
  <si>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</si>
  <si>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</si>
  <si>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</si>
  <si>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</si>
  <si>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</si>
  <si>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</si>
  <si>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</si>
  <si>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</si>
  <si>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</si>
  <si>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</si>
  <si>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</si>
  <si>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</si>
  <si>
    <t>Project:- बुद्धलक्ष्मी पाटी</t>
  </si>
  <si>
    <t>-slab top through bars</t>
  </si>
  <si>
    <t>-extra bars</t>
  </si>
  <si>
    <t xml:space="preserve">e'O{+tNnfdf lrDgL e§fsf] O{+6fsf] uf/f] l;d]G6 d;nf -!M^_ df </t>
  </si>
  <si>
    <t>-between tie beam and plinth beam</t>
  </si>
  <si>
    <t>MT</t>
  </si>
  <si>
    <t>Provisional sum for lab test &amp; unforseen works</t>
  </si>
  <si>
    <t>-triangle shape</t>
  </si>
  <si>
    <t>-plinth &amp; base beam</t>
  </si>
  <si>
    <t>-for tie beam</t>
  </si>
  <si>
    <t>-duduction for overlaps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</si>
</sst>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0" fontId="9" fillId="0" borderId="1" xfId="0" quotePrefix="1" applyFont="1" applyBorder="1" applyAlignment="1">
      <alignment horizontal="right" vertical="center" wrapText="1"/>
    </xf>
    <xf numFmtId="2" fontId="15" fillId="0" borderId="1" xfId="0" applyNumberFormat="1" applyFont="1" applyBorder="1" applyAlignment="1">
      <alignment vertical="center"/>
    </xf>
    <xf numFmtId="0" fontId="14" fillId="0" borderId="0" xfId="0" applyFont="1" applyAlignment="1">
      <alignment vertical="center"/>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67" zoomScaleNormal="100" zoomScaleSheetLayoutView="80" workbookViewId="0">
      <selection activeCell="G73" sqref="G7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45" t="s">
        <v>0</v>
      </c>
      <c r="B1" s="45"/>
      <c r="C1" s="45"/>
      <c r="D1" s="45"/>
      <c r="E1" s="45"/>
      <c r="F1" s="45"/>
      <c r="G1" s="45"/>
      <c r="H1" s="45"/>
      <c r="I1" s="45"/>
      <c r="J1" s="45"/>
      <c r="K1" s="45"/>
    </row>
    <row r="2" spans="1:11" s="1" customFormat="1" ht="22.8" x14ac:dyDescent="0.3">
      <c r="A2" s="46" t="s">
        <v>1</v>
      </c>
      <c r="B2" s="46"/>
      <c r="C2" s="46"/>
      <c r="D2" s="46"/>
      <c r="E2" s="46"/>
      <c r="F2" s="46"/>
      <c r="G2" s="46"/>
      <c r="H2" s="46"/>
      <c r="I2" s="46"/>
      <c r="J2" s="46"/>
      <c r="K2" s="46"/>
    </row>
    <row r="3" spans="1:11" s="1" customFormat="1" x14ac:dyDescent="0.3">
      <c r="A3" s="47" t="s">
        <v>2</v>
      </c>
      <c r="B3" s="47"/>
      <c r="C3" s="47"/>
      <c r="D3" s="47"/>
      <c r="E3" s="47"/>
      <c r="F3" s="47"/>
      <c r="G3" s="47"/>
      <c r="H3" s="47"/>
      <c r="I3" s="47"/>
      <c r="J3" s="47"/>
      <c r="K3" s="47"/>
    </row>
    <row r="4" spans="1:11" s="1" customFormat="1" x14ac:dyDescent="0.3">
      <c r="A4" s="47" t="s">
        <v>3</v>
      </c>
      <c r="B4" s="47"/>
      <c r="C4" s="47"/>
      <c r="D4" s="47"/>
      <c r="E4" s="47"/>
      <c r="F4" s="47"/>
      <c r="G4" s="47"/>
      <c r="H4" s="47"/>
      <c r="I4" s="47"/>
      <c r="J4" s="47"/>
      <c r="K4" s="47"/>
    </row>
    <row r="5" spans="1:11" ht="17.399999999999999" x14ac:dyDescent="0.3">
      <c r="A5" s="48" t="s">
        <v>4</v>
      </c>
      <c r="B5" s="48"/>
      <c r="C5" s="48"/>
      <c r="D5" s="48"/>
      <c r="E5" s="48"/>
      <c r="F5" s="48"/>
      <c r="G5" s="48"/>
      <c r="H5" s="48"/>
      <c r="I5" s="48"/>
      <c r="J5" s="48"/>
      <c r="K5" s="48"/>
    </row>
    <row r="6" spans="1:11" ht="18" x14ac:dyDescent="0.35">
      <c r="A6" s="43" t="s">
        <v>57</v>
      </c>
      <c r="B6" s="43"/>
      <c r="C6" s="43"/>
      <c r="D6" s="43"/>
      <c r="E6" s="43"/>
      <c r="F6" s="43"/>
      <c r="G6" s="43"/>
      <c r="H6" s="44" t="s">
        <v>35</v>
      </c>
      <c r="I6" s="44"/>
      <c r="J6" s="44"/>
      <c r="K6" s="44"/>
    </row>
    <row r="7" spans="1:11" ht="15.6" x14ac:dyDescent="0.3">
      <c r="A7" s="51" t="s">
        <v>23</v>
      </c>
      <c r="B7" s="51"/>
      <c r="C7" s="51"/>
      <c r="D7" s="51"/>
      <c r="E7" s="51"/>
      <c r="F7" s="51"/>
      <c r="G7" s="2"/>
      <c r="H7" s="44" t="s">
        <v>36</v>
      </c>
      <c r="I7" s="44"/>
      <c r="J7" s="44"/>
      <c r="K7" s="44"/>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29</v>
      </c>
      <c r="C9" s="22"/>
      <c r="D9" s="23"/>
      <c r="E9" s="24"/>
      <c r="F9" s="24"/>
      <c r="G9" s="27"/>
      <c r="H9" s="25"/>
      <c r="I9" s="26"/>
      <c r="J9" s="27"/>
      <c r="K9" s="24"/>
    </row>
    <row r="10" spans="1:11" s="1" customFormat="1" x14ac:dyDescent="0.3">
      <c r="A10" s="21"/>
      <c r="B10" s="35" t="s">
        <v>30</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31</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32</v>
      </c>
      <c r="C13" s="22"/>
      <c r="D13" s="23"/>
      <c r="E13" s="24"/>
      <c r="F13" s="24"/>
      <c r="G13" s="27"/>
      <c r="H13" s="25"/>
      <c r="I13" s="26"/>
      <c r="J13" s="27"/>
      <c r="K13" s="24"/>
    </row>
    <row r="14" spans="1:11" s="1" customFormat="1" x14ac:dyDescent="0.3">
      <c r="A14" s="21"/>
      <c r="B14" s="35" t="s">
        <v>30</v>
      </c>
      <c r="C14" s="22">
        <f>C10</f>
        <v>6</v>
      </c>
      <c r="D14" s="23">
        <f>D10</f>
        <v>1.5</v>
      </c>
      <c r="E14" s="24">
        <f>E10</f>
        <v>1.5</v>
      </c>
      <c r="F14" s="24">
        <v>0.15</v>
      </c>
      <c r="G14" s="33">
        <f>PRODUCT(C14:F14)</f>
        <v>2.0249999999999999</v>
      </c>
      <c r="H14" s="25"/>
      <c r="I14" s="26"/>
      <c r="J14" s="27"/>
      <c r="K14" s="24"/>
    </row>
    <row r="15" spans="1:11" s="1" customFormat="1" x14ac:dyDescent="0.3">
      <c r="A15" s="21"/>
      <c r="B15" s="35" t="s">
        <v>40</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31</v>
      </c>
      <c r="I16" s="26">
        <v>4473.1499999999996</v>
      </c>
      <c r="J16" s="27">
        <f>G16*I16</f>
        <v>21523.989053627665</v>
      </c>
      <c r="K16" s="24"/>
    </row>
    <row r="17" spans="1:11" s="1" customFormat="1" x14ac:dyDescent="0.3">
      <c r="A17" s="21"/>
      <c r="B17" s="35" t="s">
        <v>28</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33</v>
      </c>
      <c r="C19" s="22"/>
      <c r="D19" s="23"/>
      <c r="E19" s="24"/>
      <c r="F19" s="24"/>
      <c r="G19" s="27"/>
      <c r="H19" s="25"/>
      <c r="I19" s="26"/>
      <c r="J19" s="27"/>
      <c r="K19" s="24"/>
    </row>
    <row r="20" spans="1:11" s="1" customFormat="1" x14ac:dyDescent="0.3">
      <c r="A20" s="21"/>
      <c r="B20" s="35" t="s">
        <v>30</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31</v>
      </c>
      <c r="I21" s="26">
        <v>12983.1</v>
      </c>
      <c r="J21" s="27">
        <f>G21*I21</f>
        <v>8763.5925000000007</v>
      </c>
      <c r="K21" s="24"/>
    </row>
    <row r="22" spans="1:11" s="1" customFormat="1" x14ac:dyDescent="0.3">
      <c r="A22" s="21"/>
      <c r="B22" s="35" t="s">
        <v>28</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37</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38</v>
      </c>
      <c r="C26" s="22">
        <v>6</v>
      </c>
      <c r="D26" s="23">
        <f>0.3*4</f>
        <v>1.2</v>
      </c>
      <c r="E26" s="24"/>
      <c r="F26" s="24">
        <f>3.5/3.281</f>
        <v>1.0667479427003961</v>
      </c>
      <c r="G26" s="33">
        <f>PRODUCT(C26:F26)</f>
        <v>7.6805851874428512</v>
      </c>
      <c r="H26" s="25"/>
      <c r="I26" s="26"/>
      <c r="J26" s="27"/>
      <c r="K26" s="24"/>
    </row>
    <row r="27" spans="1:11" s="1" customFormat="1" x14ac:dyDescent="0.3">
      <c r="A27" s="21"/>
      <c r="B27" s="35" t="s">
        <v>39</v>
      </c>
      <c r="C27" s="22">
        <f>2*4</f>
        <v>8</v>
      </c>
      <c r="D27" s="23">
        <f>9.667/3.281</f>
        <v>2.9463578177384941</v>
      </c>
      <c r="E27" s="24"/>
      <c r="F27" s="24">
        <f>0.23*2</f>
        <v>0.46</v>
      </c>
      <c r="G27" s="33">
        <f t="shared" ref="G27:G29"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41</v>
      </c>
      <c r="C29" s="22">
        <f>C26</f>
        <v>6</v>
      </c>
      <c r="D29" s="23">
        <f>0.3*4</f>
        <v>1.2</v>
      </c>
      <c r="E29" s="24"/>
      <c r="F29" s="24">
        <f>8.17/3.281</f>
        <v>2.4900944833892105</v>
      </c>
      <c r="G29" s="33">
        <f t="shared" si="0"/>
        <v>17.928680280402315</v>
      </c>
      <c r="H29" s="25"/>
      <c r="I29" s="26"/>
      <c r="J29" s="27"/>
      <c r="K29" s="24"/>
    </row>
    <row r="30" spans="1:11" s="1" customFormat="1" x14ac:dyDescent="0.3">
      <c r="A30" s="21"/>
      <c r="B30" s="35" t="s">
        <v>42</v>
      </c>
      <c r="C30" s="22">
        <f>0*4</f>
        <v>0</v>
      </c>
      <c r="D30" s="23">
        <f>9.667/3.281</f>
        <v>2.9463578177384941</v>
      </c>
      <c r="E30" s="24"/>
      <c r="F30" s="24">
        <f>0.23*2</f>
        <v>0.46</v>
      </c>
      <c r="G30" s="33">
        <f t="shared" ref="G30:G32" si="1">PRODUCT(C30:F30)</f>
        <v>0</v>
      </c>
      <c r="H30" s="25"/>
      <c r="I30" s="26"/>
      <c r="J30" s="27"/>
      <c r="K30" s="24"/>
    </row>
    <row r="31" spans="1:11" s="1" customFormat="1" x14ac:dyDescent="0.3">
      <c r="A31" s="21"/>
      <c r="B31" s="35"/>
      <c r="C31" s="22">
        <f>0*3</f>
        <v>0</v>
      </c>
      <c r="D31" s="23">
        <f>9.5/3.281</f>
        <v>2.895458701615361</v>
      </c>
      <c r="E31" s="24"/>
      <c r="F31" s="24">
        <f>0.23*2</f>
        <v>0.46</v>
      </c>
      <c r="G31" s="33">
        <f t="shared" si="1"/>
        <v>0</v>
      </c>
      <c r="H31" s="25"/>
      <c r="I31" s="26"/>
      <c r="J31" s="27"/>
      <c r="K31" s="24"/>
    </row>
    <row r="32" spans="1:11" s="1" customFormat="1" x14ac:dyDescent="0.3">
      <c r="A32" s="21"/>
      <c r="B32" s="35" t="s">
        <v>43</v>
      </c>
      <c r="C32" s="22">
        <f>0*1</f>
        <v>0</v>
      </c>
      <c r="D32" s="23">
        <f>(22.333+3)/3.281</f>
        <v>7.7211216092654666</v>
      </c>
      <c r="E32" s="24">
        <f>(11.5+3)/3.281</f>
        <v>4.4193843340444987</v>
      </c>
      <c r="F32" s="24"/>
      <c r="G32" s="33">
        <f t="shared" si="1"/>
        <v>0</v>
      </c>
      <c r="H32" s="25"/>
      <c r="I32" s="26"/>
      <c r="J32" s="27"/>
      <c r="K32" s="24"/>
    </row>
    <row r="33" spans="1:11" s="1" customFormat="1" x14ac:dyDescent="0.3">
      <c r="A33" s="21"/>
      <c r="B33" s="35" t="s">
        <v>24</v>
      </c>
      <c r="C33" s="22"/>
      <c r="D33" s="23"/>
      <c r="E33" s="24"/>
      <c r="F33" s="24"/>
      <c r="G33" s="27">
        <f>SUM(G25:G32)</f>
        <v>52.723328253581229</v>
      </c>
      <c r="H33" s="25" t="s">
        <v>25</v>
      </c>
      <c r="I33" s="26">
        <v>915.42</v>
      </c>
      <c r="J33" s="27">
        <f>G33*I33</f>
        <v>48263.989149893328</v>
      </c>
      <c r="K33" s="24"/>
    </row>
    <row r="34" spans="1:11" s="1" customFormat="1" x14ac:dyDescent="0.3">
      <c r="A34" s="21"/>
      <c r="B34" s="35" t="s">
        <v>28</v>
      </c>
      <c r="C34" s="22"/>
      <c r="D34" s="23"/>
      <c r="E34" s="24"/>
      <c r="F34" s="24"/>
      <c r="G34" s="27"/>
      <c r="H34" s="25"/>
      <c r="I34" s="26"/>
      <c r="J34" s="27">
        <f>0.13*G33*46827.87/100</f>
        <v>3209.5975098538374</v>
      </c>
      <c r="K34" s="24"/>
    </row>
    <row r="35" spans="1:11" s="1" customFormat="1" x14ac:dyDescent="0.3">
      <c r="A35" s="21"/>
      <c r="B35" s="35"/>
      <c r="C35" s="22"/>
      <c r="D35" s="23"/>
      <c r="E35" s="24"/>
      <c r="F35" s="24"/>
      <c r="G35" s="27"/>
      <c r="H35" s="25"/>
      <c r="I35" s="26"/>
      <c r="J35" s="27"/>
      <c r="K35" s="24"/>
    </row>
    <row r="36" spans="1:11" s="1" customFormat="1" ht="30" x14ac:dyDescent="0.3">
      <c r="A36" s="21">
        <v>5</v>
      </c>
      <c r="B36" s="34" t="s">
        <v>34</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44</v>
      </c>
      <c r="C39" s="22">
        <v>6</v>
      </c>
      <c r="D39" s="23">
        <v>0.3</v>
      </c>
      <c r="E39" s="24">
        <v>0.3</v>
      </c>
      <c r="F39" s="24">
        <v>1.5</v>
      </c>
      <c r="G39" s="33">
        <f>PRODUCT(C39:F39)</f>
        <v>0.80999999999999983</v>
      </c>
      <c r="H39" s="25"/>
      <c r="I39" s="26"/>
      <c r="J39" s="27"/>
      <c r="K39" s="24"/>
    </row>
    <row r="40" spans="1:11" s="1" customFormat="1" x14ac:dyDescent="0.3">
      <c r="A40" s="21"/>
      <c r="B40" s="35" t="s">
        <v>39</v>
      </c>
      <c r="C40" s="22">
        <f>2*4</f>
        <v>8</v>
      </c>
      <c r="D40" s="23">
        <f>D27</f>
        <v>2.9463578177384941</v>
      </c>
      <c r="E40" s="24">
        <v>0.23</v>
      </c>
      <c r="F40" s="24">
        <v>0.23</v>
      </c>
      <c r="G40" s="33">
        <f t="shared" ref="G40:G46" si="2">PRODUCT(C40:F40)</f>
        <v>1.2468986284669308</v>
      </c>
      <c r="H40" s="25"/>
      <c r="I40" s="26"/>
      <c r="J40" s="27"/>
      <c r="K40" s="24"/>
    </row>
    <row r="41" spans="1:11" s="1" customFormat="1" x14ac:dyDescent="0.3">
      <c r="A41" s="21"/>
      <c r="B41" s="35"/>
      <c r="C41" s="22">
        <f>2*3</f>
        <v>6</v>
      </c>
      <c r="D41" s="23">
        <f>D28</f>
        <v>2.895458701615361</v>
      </c>
      <c r="E41" s="24">
        <v>0.23</v>
      </c>
      <c r="F41" s="24">
        <v>0.23</v>
      </c>
      <c r="G41" s="33">
        <f t="shared" si="2"/>
        <v>0.91901859189271562</v>
      </c>
      <c r="H41" s="25"/>
      <c r="I41" s="26"/>
      <c r="J41" s="27"/>
      <c r="K41" s="24"/>
    </row>
    <row r="42" spans="1:11" s="1" customFormat="1" x14ac:dyDescent="0.3">
      <c r="A42" s="21"/>
      <c r="B42" s="35" t="s">
        <v>40</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3">
      <c r="A43" s="21"/>
      <c r="B43" s="35" t="s">
        <v>45</v>
      </c>
      <c r="C43" s="22">
        <f>C39</f>
        <v>6</v>
      </c>
      <c r="D43" s="23">
        <v>0.3</v>
      </c>
      <c r="E43" s="24">
        <v>0.3</v>
      </c>
      <c r="F43" s="24">
        <f>8.917/3.281</f>
        <v>2.7177689728741234</v>
      </c>
      <c r="G43" s="33">
        <f t="shared" si="2"/>
        <v>1.4675952453520265</v>
      </c>
      <c r="H43" s="25"/>
      <c r="I43" s="26"/>
      <c r="J43" s="27"/>
      <c r="K43" s="24"/>
    </row>
    <row r="44" spans="1:11" s="1" customFormat="1" x14ac:dyDescent="0.3">
      <c r="A44" s="21"/>
      <c r="B44" s="35" t="s">
        <v>46</v>
      </c>
      <c r="C44" s="22">
        <f>0*4</f>
        <v>0</v>
      </c>
      <c r="D44" s="23">
        <f>D40</f>
        <v>2.9463578177384941</v>
      </c>
      <c r="E44" s="24">
        <v>0.23</v>
      </c>
      <c r="F44" s="24">
        <v>0.23</v>
      </c>
      <c r="G44" s="33">
        <f t="shared" si="2"/>
        <v>0</v>
      </c>
      <c r="H44" s="25"/>
      <c r="I44" s="26"/>
      <c r="J44" s="27"/>
      <c r="K44" s="24"/>
    </row>
    <row r="45" spans="1:11" s="1" customFormat="1" x14ac:dyDescent="0.3">
      <c r="A45" s="21"/>
      <c r="B45" s="35"/>
      <c r="C45" s="22">
        <f>0*3</f>
        <v>0</v>
      </c>
      <c r="D45" s="23">
        <f>D41</f>
        <v>2.895458701615361</v>
      </c>
      <c r="E45" s="24">
        <v>0.23</v>
      </c>
      <c r="F45" s="24">
        <v>0.23</v>
      </c>
      <c r="G45" s="33">
        <f t="shared" si="2"/>
        <v>0</v>
      </c>
      <c r="H45" s="25"/>
      <c r="I45" s="26"/>
      <c r="J45" s="27"/>
      <c r="K45" s="24"/>
    </row>
    <row r="46" spans="1:11" s="1" customFormat="1" x14ac:dyDescent="0.3">
      <c r="A46" s="21"/>
      <c r="B46" s="35" t="s">
        <v>43</v>
      </c>
      <c r="C46" s="22">
        <f>0*1</f>
        <v>0</v>
      </c>
      <c r="D46" s="23">
        <f>D32</f>
        <v>7.7211216092654666</v>
      </c>
      <c r="E46" s="24">
        <f>E32</f>
        <v>4.4193843340444987</v>
      </c>
      <c r="F46" s="24">
        <f>5/12/3.281</f>
        <v>0.12699380270242813</v>
      </c>
      <c r="G46" s="33">
        <f t="shared" si="2"/>
        <v>0</v>
      </c>
      <c r="H46" s="25"/>
      <c r="I46" s="26"/>
      <c r="J46" s="27"/>
      <c r="K46" s="24"/>
    </row>
    <row r="47" spans="1:11" s="1" customFormat="1" x14ac:dyDescent="0.3">
      <c r="A47" s="21"/>
      <c r="B47" s="35" t="s">
        <v>24</v>
      </c>
      <c r="C47" s="22"/>
      <c r="D47" s="23"/>
      <c r="E47" s="24"/>
      <c r="F47" s="24"/>
      <c r="G47" s="27">
        <f>SUM(G37:G46)</f>
        <v>9.1926417880721214</v>
      </c>
      <c r="H47" s="25" t="s">
        <v>31</v>
      </c>
      <c r="I47" s="26">
        <v>13568.9</v>
      </c>
      <c r="J47" s="27">
        <f>G47*I47</f>
        <v>124734.03715817181</v>
      </c>
      <c r="K47" s="24"/>
    </row>
    <row r="48" spans="1:11" s="1" customFormat="1" x14ac:dyDescent="0.3">
      <c r="A48" s="21"/>
      <c r="B48" s="35" t="s">
        <v>28</v>
      </c>
      <c r="C48" s="22"/>
      <c r="D48" s="23"/>
      <c r="E48" s="24"/>
      <c r="F48" s="24"/>
      <c r="G48" s="27"/>
      <c r="H48" s="25"/>
      <c r="I48" s="26"/>
      <c r="J48" s="27">
        <f>0.13*G47*9524.2</f>
        <v>11381.832659334344</v>
      </c>
      <c r="K48" s="24"/>
    </row>
    <row r="49" spans="1:15" s="1" customFormat="1" x14ac:dyDescent="0.3">
      <c r="A49" s="21"/>
      <c r="B49" s="35"/>
      <c r="C49" s="22"/>
      <c r="D49" s="23"/>
      <c r="E49" s="24"/>
      <c r="F49" s="24"/>
      <c r="G49" s="27"/>
      <c r="H49" s="25"/>
      <c r="I49" s="26"/>
      <c r="J49" s="27"/>
      <c r="K49" s="24"/>
    </row>
    <row r="50" spans="1:15" s="1" customFormat="1" ht="43.2" x14ac:dyDescent="0.3">
      <c r="A50" s="21">
        <v>6</v>
      </c>
      <c r="B50" s="34" t="s">
        <v>47</v>
      </c>
      <c r="C50" s="22" t="s">
        <v>53</v>
      </c>
      <c r="D50" s="37" t="s">
        <v>49</v>
      </c>
      <c r="E50" s="38" t="s">
        <v>50</v>
      </c>
      <c r="F50" s="38" t="s">
        <v>51</v>
      </c>
      <c r="G50" s="39" t="s">
        <v>52</v>
      </c>
      <c r="H50" s="25"/>
      <c r="I50" s="26"/>
      <c r="J50" s="27"/>
      <c r="K50" s="24"/>
    </row>
    <row r="51" spans="1:15" s="1" customFormat="1" x14ac:dyDescent="0.3">
      <c r="A51" s="21"/>
      <c r="B51" s="35" t="s">
        <v>48</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54</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55</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3">
      <c r="A55" s="21"/>
      <c r="B55" s="35" t="s">
        <v>56</v>
      </c>
      <c r="C55" s="22">
        <f>5*C40</f>
        <v>40</v>
      </c>
      <c r="D55" s="23">
        <f>D40+0.72</f>
        <v>3.6663578177384943</v>
      </c>
      <c r="E55" s="24">
        <f>12*12/162</f>
        <v>0.88888888888888884</v>
      </c>
      <c r="F55" s="24">
        <f>PRODUCT(C55:E55)</f>
        <v>130.35938907514645</v>
      </c>
      <c r="G55" s="27">
        <f>F55/1000</f>
        <v>0.13035938907514646</v>
      </c>
      <c r="H55" s="25"/>
      <c r="I55" s="26"/>
      <c r="J55" s="27"/>
      <c r="K55" s="24"/>
    </row>
    <row r="56" spans="1:15" s="1" customFormat="1" x14ac:dyDescent="0.3">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42" customFormat="1" x14ac:dyDescent="0.3">
      <c r="A57" s="21"/>
      <c r="B57" s="40" t="s">
        <v>55</v>
      </c>
      <c r="C57" s="22">
        <f>8*TRUNC((D55-2*0.72)/0.125,0)</f>
        <v>136</v>
      </c>
      <c r="D57" s="23">
        <f>(0.15*4+0.05*2)</f>
        <v>0.7</v>
      </c>
      <c r="E57" s="24">
        <f>8*8/162</f>
        <v>0.39506172839506171</v>
      </c>
      <c r="F57" s="24">
        <f t="shared" ref="F57" si="5">PRODUCT(C57:E57)</f>
        <v>37.609876543209872</v>
      </c>
      <c r="G57" s="41">
        <f t="shared" ref="G57" si="6">F57/1000</f>
        <v>3.7609876543209873E-2</v>
      </c>
      <c r="H57" s="25"/>
      <c r="I57" s="26"/>
      <c r="J57" s="41"/>
      <c r="K57" s="24"/>
      <c r="M57" s="42">
        <f>12*60</f>
        <v>720</v>
      </c>
      <c r="N57" s="42">
        <f>1.333/3.281*1000</f>
        <v>406.27857360560802</v>
      </c>
      <c r="O57" s="42">
        <f>M57-N57</f>
        <v>313.72142639439198</v>
      </c>
    </row>
    <row r="58" spans="1:15" s="42" customFormat="1" x14ac:dyDescent="0.3">
      <c r="A58" s="21"/>
      <c r="B58" s="40"/>
      <c r="C58" s="22">
        <f>6*TRUNC((D56-2*0.72)/0.125,0)</f>
        <v>138</v>
      </c>
      <c r="D58" s="23">
        <f>(0.15*4+0.05*2)</f>
        <v>0.7</v>
      </c>
      <c r="E58" s="24">
        <f>8*8/162</f>
        <v>0.39506172839506171</v>
      </c>
      <c r="F58" s="24">
        <f t="shared" ref="F58" si="7">PRODUCT(C58:E58)</f>
        <v>38.162962962962958</v>
      </c>
      <c r="G58" s="41">
        <f t="shared" ref="G58" si="8">F58/1000</f>
        <v>3.8162962962962961E-2</v>
      </c>
      <c r="H58" s="25"/>
      <c r="I58" s="26"/>
      <c r="J58" s="41"/>
      <c r="K58" s="24"/>
    </row>
    <row r="59" spans="1:15" s="1" customFormat="1" x14ac:dyDescent="0.3">
      <c r="A59" s="21"/>
      <c r="B59" s="35" t="s">
        <v>46</v>
      </c>
      <c r="C59" s="22">
        <f>0*2</f>
        <v>0</v>
      </c>
      <c r="D59" s="23">
        <f>(20.333/3.281)+0.72*2</f>
        <v>7.6371959768363293</v>
      </c>
      <c r="E59" s="24">
        <f>12*12/162</f>
        <v>0.88888888888888884</v>
      </c>
      <c r="F59" s="24">
        <f t="shared" ref="F59:F61" si="9">PRODUCT(C59:E59)</f>
        <v>0</v>
      </c>
      <c r="G59" s="41">
        <f t="shared" ref="G59:G61" si="10">F59/1000</f>
        <v>0</v>
      </c>
      <c r="H59" s="25"/>
      <c r="I59" s="26"/>
      <c r="J59" s="27"/>
      <c r="K59" s="24"/>
    </row>
    <row r="60" spans="1:15" s="1" customFormat="1" x14ac:dyDescent="0.3">
      <c r="A60" s="21"/>
      <c r="B60" s="35"/>
      <c r="C60" s="22">
        <f>0*3</f>
        <v>0</v>
      </c>
      <c r="D60" s="23">
        <f>(9.5/3.281)+0.72*2</f>
        <v>4.3354587016153605</v>
      </c>
      <c r="E60" s="24">
        <f>12*12/162</f>
        <v>0.88888888888888884</v>
      </c>
      <c r="F60" s="24">
        <f t="shared" si="9"/>
        <v>0</v>
      </c>
      <c r="G60" s="41">
        <f t="shared" si="10"/>
        <v>0</v>
      </c>
      <c r="H60" s="25"/>
      <c r="I60" s="26"/>
      <c r="J60" s="27"/>
      <c r="K60" s="24"/>
    </row>
    <row r="61" spans="1:15" s="42" customFormat="1" x14ac:dyDescent="0.3">
      <c r="A61" s="21"/>
      <c r="B61" s="40" t="s">
        <v>55</v>
      </c>
      <c r="C61" s="22">
        <f>0*2*TRUNC((D59-3*0.72)/0.125,0)</f>
        <v>0</v>
      </c>
      <c r="D61" s="23">
        <f>(0.23*2+0.15*2+0.05*2)</f>
        <v>0.86</v>
      </c>
      <c r="E61" s="24">
        <f>8*8/162</f>
        <v>0.39506172839506171</v>
      </c>
      <c r="F61" s="24">
        <f t="shared" si="9"/>
        <v>0</v>
      </c>
      <c r="G61" s="41">
        <f t="shared" si="10"/>
        <v>0</v>
      </c>
      <c r="H61" s="25"/>
      <c r="I61" s="26"/>
      <c r="J61" s="41"/>
      <c r="K61" s="24"/>
      <c r="M61" s="42">
        <f>12*60</f>
        <v>720</v>
      </c>
      <c r="N61" s="42">
        <f>1.333/3.281*1000</f>
        <v>406.27857360560802</v>
      </c>
      <c r="O61" s="42">
        <f>M61-N61</f>
        <v>313.72142639439198</v>
      </c>
    </row>
    <row r="62" spans="1:15" s="1" customFormat="1" x14ac:dyDescent="0.3">
      <c r="A62" s="21"/>
      <c r="B62" s="35"/>
      <c r="C62" s="22">
        <f>0*3*TRUNC((D60-2*0.72)/0.125,0)</f>
        <v>0</v>
      </c>
      <c r="D62" s="23">
        <f>(0.23*2+0.15*2+0.05*2)</f>
        <v>0.86</v>
      </c>
      <c r="E62" s="24">
        <f>8*8/162</f>
        <v>0.39506172839506171</v>
      </c>
      <c r="F62" s="24">
        <f t="shared" ref="F62" si="11">PRODUCT(C62:E62)</f>
        <v>0</v>
      </c>
      <c r="G62" s="41">
        <f t="shared" ref="G62" si="12">F62/1000</f>
        <v>0</v>
      </c>
      <c r="H62" s="25"/>
      <c r="I62" s="26"/>
      <c r="J62" s="27"/>
      <c r="K62" s="24"/>
    </row>
    <row r="63" spans="1:15" s="1" customFormat="1" x14ac:dyDescent="0.3">
      <c r="A63" s="21"/>
      <c r="B63" s="35" t="s">
        <v>43</v>
      </c>
      <c r="C63" s="22">
        <f>0*TRUNC(12.5/0.5,0)+1</f>
        <v>1</v>
      </c>
      <c r="D63" s="23">
        <f>25/3.281</f>
        <v>7.6196281621456867</v>
      </c>
      <c r="E63" s="24">
        <f>8*8/162</f>
        <v>0.39506172839506171</v>
      </c>
      <c r="F63" s="24">
        <f t="shared" ref="F63" si="13">PRODUCT(C63:E63)</f>
        <v>3.0102234714649625</v>
      </c>
      <c r="G63" s="41">
        <f t="shared" ref="G63" si="14">F63/1000</f>
        <v>3.0102234714649624E-3</v>
      </c>
      <c r="H63" s="25"/>
      <c r="I63" s="26"/>
      <c r="J63" s="27"/>
      <c r="K63" s="24"/>
    </row>
    <row r="64" spans="1:15" s="1" customFormat="1" x14ac:dyDescent="0.3">
      <c r="A64" s="21"/>
      <c r="B64" s="35"/>
      <c r="C64" s="22">
        <f>0*TRUNC((25.333-0.333-0.75*3)/0.5,0)+1</f>
        <v>1</v>
      </c>
      <c r="D64" s="23">
        <f>14.17/3.281</f>
        <v>4.3188052423041752</v>
      </c>
      <c r="E64" s="24">
        <f>8*8/162</f>
        <v>0.39506172839506171</v>
      </c>
      <c r="F64" s="24">
        <f>PRODUCT(C64:E64)</f>
        <v>1.7061946636263408</v>
      </c>
      <c r="G64" s="41">
        <f>F64/1000</f>
        <v>1.7061946636263408E-3</v>
      </c>
      <c r="H64" s="25"/>
      <c r="I64" s="26"/>
      <c r="J64" s="27"/>
      <c r="K64" s="24"/>
    </row>
    <row r="65" spans="1:15" s="1" customFormat="1" x14ac:dyDescent="0.3">
      <c r="A65" s="21"/>
      <c r="B65" s="35" t="s">
        <v>58</v>
      </c>
      <c r="C65" s="22">
        <f>0*30</f>
        <v>0</v>
      </c>
      <c r="D65" s="23">
        <f>14.17/3.281</f>
        <v>4.3188052423041752</v>
      </c>
      <c r="E65" s="24">
        <f t="shared" ref="E65:E66" si="15">8*8/162</f>
        <v>0.39506172839506171</v>
      </c>
      <c r="F65" s="24">
        <f t="shared" ref="F65:F66" si="16">PRODUCT(C65:E65)</f>
        <v>0</v>
      </c>
      <c r="G65" s="41">
        <f t="shared" ref="G65:G66" si="17">F65/1000</f>
        <v>0</v>
      </c>
      <c r="H65" s="25"/>
      <c r="I65" s="26"/>
      <c r="J65" s="27"/>
      <c r="K65" s="24"/>
    </row>
    <row r="66" spans="1:15" s="1" customFormat="1" x14ac:dyDescent="0.3">
      <c r="A66" s="21"/>
      <c r="B66" s="35"/>
      <c r="C66" s="22">
        <f>0*9*2</f>
        <v>0</v>
      </c>
      <c r="D66" s="23">
        <f>25/3.281</f>
        <v>7.6196281621456867</v>
      </c>
      <c r="E66" s="24">
        <f t="shared" si="15"/>
        <v>0.39506172839506171</v>
      </c>
      <c r="F66" s="24">
        <f t="shared" si="16"/>
        <v>0</v>
      </c>
      <c r="G66" s="41">
        <f t="shared" si="17"/>
        <v>0</v>
      </c>
      <c r="H66" s="25"/>
      <c r="I66" s="26"/>
      <c r="J66" s="27"/>
      <c r="K66" s="24"/>
    </row>
    <row r="67" spans="1:15" s="1" customFormat="1" x14ac:dyDescent="0.3">
      <c r="A67" s="21"/>
      <c r="B67" s="35" t="s">
        <v>59</v>
      </c>
      <c r="C67" s="22">
        <f>0*7*4</f>
        <v>0</v>
      </c>
      <c r="D67" s="23">
        <f>1.5</f>
        <v>1.5</v>
      </c>
      <c r="E67" s="24">
        <f t="shared" ref="E67:E69" si="18">8*8/162</f>
        <v>0.39506172839506171</v>
      </c>
      <c r="F67" s="24">
        <f t="shared" ref="F67:F69" si="19">PRODUCT(C67:E67)</f>
        <v>0</v>
      </c>
      <c r="G67" s="41">
        <f t="shared" ref="G67:G69" si="20">F67/1000</f>
        <v>0</v>
      </c>
      <c r="H67" s="25"/>
      <c r="I67" s="26"/>
      <c r="J67" s="27"/>
      <c r="K67" s="24"/>
      <c r="O67" s="1">
        <f>9.5*0.3</f>
        <v>2.85</v>
      </c>
    </row>
    <row r="68" spans="1:15" s="1" customFormat="1" x14ac:dyDescent="0.3">
      <c r="A68" s="21"/>
      <c r="B68" s="35"/>
      <c r="C68" s="22">
        <f>0*16</f>
        <v>0</v>
      </c>
      <c r="D68" s="23">
        <f>5.333/3.281</f>
        <v>1.6254190795489181</v>
      </c>
      <c r="E68" s="24">
        <f t="shared" si="18"/>
        <v>0.39506172839506171</v>
      </c>
      <c r="F68" s="24">
        <f t="shared" si="19"/>
        <v>0</v>
      </c>
      <c r="G68" s="41">
        <f t="shared" si="20"/>
        <v>0</v>
      </c>
      <c r="H68" s="25"/>
      <c r="I68" s="26"/>
      <c r="J68" s="27"/>
      <c r="K68" s="24"/>
    </row>
    <row r="69" spans="1:15" s="1" customFormat="1" x14ac:dyDescent="0.3">
      <c r="A69" s="21"/>
      <c r="B69" s="35"/>
      <c r="C69" s="22">
        <f>0*8</f>
        <v>0</v>
      </c>
      <c r="D69" s="23">
        <f>7.25/3.281</f>
        <v>2.2096921670222494</v>
      </c>
      <c r="E69" s="24">
        <f t="shared" si="18"/>
        <v>0.39506172839506171</v>
      </c>
      <c r="F69" s="24">
        <f t="shared" si="19"/>
        <v>0</v>
      </c>
      <c r="G69" s="41">
        <f t="shared" si="20"/>
        <v>0</v>
      </c>
      <c r="H69" s="25"/>
      <c r="I69" s="26"/>
      <c r="J69" s="27"/>
      <c r="K69" s="24"/>
    </row>
    <row r="70" spans="1:15" s="1" customFormat="1" x14ac:dyDescent="0.3">
      <c r="A70" s="21"/>
      <c r="B70" s="35" t="s">
        <v>24</v>
      </c>
      <c r="C70" s="22"/>
      <c r="D70" s="23"/>
      <c r="E70" s="24"/>
      <c r="F70" s="24"/>
      <c r="G70" s="27">
        <f>SUM(G51:G69)</f>
        <v>0.7900354041413149</v>
      </c>
      <c r="H70" s="25" t="s">
        <v>62</v>
      </c>
      <c r="I70" s="26">
        <v>131940</v>
      </c>
      <c r="J70" s="27">
        <f>G70*I70</f>
        <v>104237.27122240509</v>
      </c>
      <c r="K70" s="24"/>
    </row>
    <row r="71" spans="1:15" s="1" customFormat="1" x14ac:dyDescent="0.3">
      <c r="A71" s="21"/>
      <c r="B71" s="35" t="s">
        <v>28</v>
      </c>
      <c r="C71" s="22"/>
      <c r="D71" s="23"/>
      <c r="E71" s="24"/>
      <c r="F71" s="24"/>
      <c r="G71" s="27"/>
      <c r="H71" s="25"/>
      <c r="I71" s="26"/>
      <c r="J71" s="27">
        <f>0.13*G70*106200</f>
        <v>10907.228789574994</v>
      </c>
      <c r="K71" s="24"/>
    </row>
    <row r="72" spans="1:15" s="1" customFormat="1" x14ac:dyDescent="0.3">
      <c r="A72" s="21"/>
      <c r="B72" s="35"/>
      <c r="C72" s="22"/>
      <c r="D72" s="23"/>
      <c r="E72" s="24"/>
      <c r="F72" s="24"/>
      <c r="G72" s="27"/>
      <c r="H72" s="25"/>
      <c r="I72" s="26"/>
      <c r="J72" s="27"/>
      <c r="K72" s="24"/>
    </row>
    <row r="73" spans="1:15" s="1" customFormat="1" ht="30" x14ac:dyDescent="0.3">
      <c r="A73" s="21">
        <v>7</v>
      </c>
      <c r="B73" s="34" t="s">
        <v>60</v>
      </c>
      <c r="C73" s="22"/>
      <c r="D73" s="23"/>
      <c r="E73" s="24"/>
      <c r="F73" s="24"/>
      <c r="G73" s="27"/>
      <c r="H73" s="25"/>
      <c r="I73" s="26"/>
      <c r="J73" s="27"/>
      <c r="K73" s="24"/>
    </row>
    <row r="74" spans="1:15" s="1" customFormat="1" x14ac:dyDescent="0.3">
      <c r="A74" s="21"/>
      <c r="B74" s="35" t="s">
        <v>61</v>
      </c>
      <c r="C74" s="22">
        <v>4</v>
      </c>
      <c r="D74" s="23">
        <f>D27</f>
        <v>2.9463578177384941</v>
      </c>
      <c r="E74" s="24">
        <v>0.23</v>
      </c>
      <c r="F74" s="24">
        <f>3.5/3.281</f>
        <v>1.0667479427003961</v>
      </c>
      <c r="G74" s="33">
        <f>PRODUCT(C74:F74)</f>
        <v>2.8915794492892259</v>
      </c>
      <c r="H74" s="25"/>
      <c r="I74" s="26"/>
      <c r="J74" s="27"/>
      <c r="K74" s="24"/>
    </row>
    <row r="75" spans="1:15" s="1" customFormat="1" x14ac:dyDescent="0.3">
      <c r="A75" s="21"/>
      <c r="B75" s="35"/>
      <c r="C75" s="22">
        <v>3</v>
      </c>
      <c r="D75" s="23">
        <f>D28</f>
        <v>2.895458701615361</v>
      </c>
      <c r="E75" s="24">
        <v>0.23</v>
      </c>
      <c r="F75" s="24">
        <f>3.5/3.281</f>
        <v>1.0667479427003961</v>
      </c>
      <c r="G75" s="33">
        <f>PRODUCT(C75:F75)</f>
        <v>2.1312199830542808</v>
      </c>
      <c r="H75" s="25"/>
      <c r="I75" s="26"/>
      <c r="J75" s="27"/>
      <c r="K75" s="24"/>
    </row>
    <row r="76" spans="1:15" s="1" customFormat="1" x14ac:dyDescent="0.3">
      <c r="A76" s="21"/>
      <c r="B76" s="35"/>
      <c r="C76" s="22">
        <v>1</v>
      </c>
      <c r="D76" s="23">
        <f>D74</f>
        <v>2.9463578177384941</v>
      </c>
      <c r="E76" s="24">
        <v>0.23</v>
      </c>
      <c r="F76" s="24">
        <f>3.5/3.281</f>
        <v>1.0667479427003961</v>
      </c>
      <c r="G76" s="33">
        <f>PRODUCT(C76:F76)</f>
        <v>0.72289486232230649</v>
      </c>
      <c r="H76" s="25"/>
      <c r="I76" s="26"/>
      <c r="J76" s="27"/>
      <c r="K76" s="24"/>
    </row>
    <row r="77" spans="1:15" s="1" customFormat="1" x14ac:dyDescent="0.3">
      <c r="A77" s="21"/>
      <c r="B77" s="35"/>
      <c r="C77" s="22">
        <v>2</v>
      </c>
      <c r="D77" s="23">
        <f>D75</f>
        <v>2.895458701615361</v>
      </c>
      <c r="E77" s="24">
        <v>0.23</v>
      </c>
      <c r="F77" s="24">
        <f>3.5/3.281</f>
        <v>1.0667479427003961</v>
      </c>
      <c r="G77" s="33">
        <f>PRODUCT(C77:F77)</f>
        <v>1.4208133220361874</v>
      </c>
      <c r="H77" s="25"/>
      <c r="I77" s="26"/>
      <c r="J77" s="27"/>
      <c r="K77" s="24"/>
    </row>
    <row r="78" spans="1:15" s="1" customFormat="1" x14ac:dyDescent="0.3">
      <c r="A78" s="21"/>
      <c r="B78" s="35" t="s">
        <v>64</v>
      </c>
      <c r="C78" s="22">
        <f>2*0.5</f>
        <v>1</v>
      </c>
      <c r="D78" s="23">
        <f>D77+0.45*2+0.6</f>
        <v>4.395458701615361</v>
      </c>
      <c r="E78" s="24">
        <v>0.1</v>
      </c>
      <c r="F78" s="24">
        <f>3.5/3.281</f>
        <v>1.0667479427003961</v>
      </c>
      <c r="G78" s="33">
        <f>PRODUCT(C78:F78)</f>
        <v>0.46888465271727409</v>
      </c>
      <c r="H78" s="25"/>
      <c r="I78" s="26"/>
      <c r="J78" s="27"/>
      <c r="K78" s="24"/>
    </row>
    <row r="79" spans="1:15" s="1" customFormat="1" x14ac:dyDescent="0.3">
      <c r="A79" s="21"/>
      <c r="B79" s="35" t="s">
        <v>24</v>
      </c>
      <c r="C79" s="22"/>
      <c r="D79" s="23"/>
      <c r="E79" s="24"/>
      <c r="F79" s="24"/>
      <c r="G79" s="27">
        <f>SUM(G74:G78)</f>
        <v>7.6353922694192748</v>
      </c>
      <c r="H79" s="25" t="s">
        <v>31</v>
      </c>
      <c r="I79" s="26">
        <v>14362.76</v>
      </c>
      <c r="J79" s="27">
        <f>G79*I79</f>
        <v>109665.30667152439</v>
      </c>
      <c r="K79" s="24"/>
    </row>
    <row r="80" spans="1:15" s="1" customFormat="1" x14ac:dyDescent="0.3">
      <c r="A80" s="21"/>
      <c r="B80" s="35" t="s">
        <v>28</v>
      </c>
      <c r="C80" s="22"/>
      <c r="D80" s="23"/>
      <c r="E80" s="24"/>
      <c r="F80" s="24"/>
      <c r="G80" s="27"/>
      <c r="H80" s="25"/>
      <c r="I80" s="26"/>
      <c r="J80" s="27">
        <f>0.13*G79*10311.74</f>
        <v>10235.443384433996</v>
      </c>
      <c r="K80" s="24"/>
    </row>
    <row r="81" spans="1:31" s="1" customFormat="1" x14ac:dyDescent="0.3">
      <c r="A81" s="21"/>
      <c r="B81" s="35"/>
      <c r="C81" s="22"/>
      <c r="D81" s="23"/>
      <c r="E81" s="24"/>
      <c r="F81" s="24"/>
      <c r="G81" s="27"/>
      <c r="H81" s="25"/>
      <c r="I81" s="26"/>
      <c r="J81" s="27"/>
      <c r="K81" s="24"/>
    </row>
    <row r="82" spans="1:31" s="1" customFormat="1" ht="27.6" x14ac:dyDescent="0.3">
      <c r="A82" s="21">
        <v>8</v>
      </c>
      <c r="B82" s="36" t="s">
        <v>63</v>
      </c>
      <c r="C82" s="22">
        <v>1</v>
      </c>
      <c r="D82" s="23"/>
      <c r="E82" s="24"/>
      <c r="F82" s="24"/>
      <c r="G82" s="33">
        <f>PRODUCT(C82:F82)</f>
        <v>1</v>
      </c>
      <c r="H82" s="25" t="s">
        <v>26</v>
      </c>
      <c r="I82" s="26">
        <v>20000</v>
      </c>
      <c r="J82" s="27">
        <f>G82*I82</f>
        <v>20000</v>
      </c>
      <c r="K82" s="24"/>
    </row>
    <row r="83" spans="1:31" s="1" customFormat="1" x14ac:dyDescent="0.3">
      <c r="A83" s="21"/>
      <c r="B83" s="35"/>
      <c r="C83" s="22"/>
      <c r="D83" s="23"/>
      <c r="E83" s="24"/>
      <c r="F83" s="24"/>
      <c r="G83" s="27"/>
      <c r="H83" s="25"/>
      <c r="I83" s="26"/>
      <c r="J83" s="27"/>
      <c r="K83" s="24"/>
    </row>
    <row r="84" spans="1:31" s="1" customFormat="1" x14ac:dyDescent="0.3">
      <c r="A84" s="21">
        <v>9</v>
      </c>
      <c r="B84" s="36" t="s">
        <v>27</v>
      </c>
      <c r="C84" s="22">
        <v>1</v>
      </c>
      <c r="D84" s="23"/>
      <c r="E84" s="24"/>
      <c r="F84" s="24"/>
      <c r="G84" s="33">
        <f>PRODUCT(C84:F84)</f>
        <v>1</v>
      </c>
      <c r="H84" s="25" t="s">
        <v>26</v>
      </c>
      <c r="I84" s="26">
        <v>500</v>
      </c>
      <c r="J84" s="27">
        <f>G84*I84</f>
        <v>500</v>
      </c>
      <c r="K84" s="24"/>
    </row>
    <row r="85" spans="1:31" s="1" customFormat="1" x14ac:dyDescent="0.3">
      <c r="A85" s="21"/>
      <c r="B85" s="35"/>
      <c r="C85" s="22"/>
      <c r="D85" s="23"/>
      <c r="E85" s="24"/>
      <c r="F85" s="24"/>
      <c r="G85" s="27"/>
      <c r="H85" s="25"/>
      <c r="I85" s="26"/>
      <c r="J85" s="27"/>
      <c r="K85" s="24"/>
    </row>
    <row r="86" spans="1:31" x14ac:dyDescent="0.3">
      <c r="A86" s="9"/>
      <c r="B86" s="20" t="s">
        <v>16</v>
      </c>
      <c r="C86" s="8"/>
      <c r="D86" s="6"/>
      <c r="E86" s="6"/>
      <c r="F86" s="6"/>
      <c r="G86" s="32"/>
      <c r="H86" s="7"/>
      <c r="I86" s="7"/>
      <c r="J86" s="7">
        <f>SUM(J9:J85)</f>
        <v>489498.04796384519</v>
      </c>
      <c r="K86" s="4"/>
      <c r="M86" s="28"/>
      <c r="P86" s="31"/>
      <c r="Q86" s="31"/>
    </row>
    <row r="87" spans="1:31" x14ac:dyDescent="0.3">
      <c r="M87" s="28"/>
      <c r="N87" s="29"/>
      <c r="O87" s="29"/>
      <c r="P87" s="30"/>
      <c r="R87" s="29"/>
      <c r="S87" s="29"/>
      <c r="T87" s="29"/>
      <c r="U87" s="28"/>
      <c r="V87" s="28"/>
      <c r="W87" s="28"/>
      <c r="X87" s="28"/>
      <c r="Y87" s="28"/>
      <c r="Z87" s="28"/>
      <c r="AA87" s="28"/>
      <c r="AB87" s="28"/>
      <c r="AC87" s="28"/>
      <c r="AD87" s="28"/>
      <c r="AE87" s="28"/>
    </row>
    <row r="88" spans="1:31" s="1" customFormat="1" x14ac:dyDescent="0.3">
      <c r="B88" s="11" t="s">
        <v>22</v>
      </c>
      <c r="C88" s="49">
        <f>J86</f>
        <v>489498.04796384519</v>
      </c>
      <c r="D88" s="50"/>
      <c r="E88" s="10">
        <v>100</v>
      </c>
      <c r="F88" s="12"/>
      <c r="G88" s="13"/>
      <c r="H88" s="12"/>
      <c r="I88" s="14"/>
      <c r="J88" s="15"/>
      <c r="K88" s="16"/>
      <c r="M88" s="12"/>
      <c r="N88" s="29"/>
      <c r="O88" s="29"/>
      <c r="P88" s="29"/>
      <c r="Q88" s="29"/>
      <c r="R88" s="29"/>
      <c r="S88" s="29"/>
      <c r="T88" s="29"/>
      <c r="U88" s="12"/>
      <c r="V88" s="12"/>
      <c r="W88" s="12"/>
      <c r="X88" s="12"/>
      <c r="Y88" s="12"/>
      <c r="Z88" s="12"/>
      <c r="AA88" s="12"/>
      <c r="AB88" s="12"/>
      <c r="AC88" s="12"/>
      <c r="AD88" s="12"/>
      <c r="AE88" s="12"/>
    </row>
    <row r="89" spans="1:31" x14ac:dyDescent="0.3">
      <c r="B89" s="11" t="s">
        <v>17</v>
      </c>
      <c r="C89" s="52">
        <v>400000</v>
      </c>
      <c r="D89" s="53"/>
      <c r="E89" s="10"/>
      <c r="M89" s="28"/>
      <c r="N89" s="29"/>
      <c r="O89" s="29"/>
      <c r="P89" s="29"/>
      <c r="Q89" s="29"/>
      <c r="R89" s="29"/>
      <c r="S89" s="29"/>
      <c r="T89" s="29"/>
      <c r="U89" s="28"/>
      <c r="V89" s="28"/>
      <c r="W89" s="28"/>
      <c r="X89" s="28"/>
      <c r="Y89" s="28"/>
      <c r="Z89" s="28"/>
      <c r="AA89" s="28"/>
      <c r="AB89" s="28"/>
      <c r="AC89" s="28"/>
      <c r="AD89" s="28"/>
      <c r="AE89" s="28"/>
    </row>
    <row r="90" spans="1:31" x14ac:dyDescent="0.3">
      <c r="B90" s="11" t="s">
        <v>18</v>
      </c>
      <c r="C90" s="52">
        <f>C89-C92-C93</f>
        <v>380000</v>
      </c>
      <c r="D90" s="53"/>
      <c r="E90" s="10">
        <f>C90/C88*100</f>
        <v>77.63054450996853</v>
      </c>
      <c r="M90" s="28"/>
      <c r="N90" s="28"/>
      <c r="O90" s="28"/>
      <c r="P90" s="28"/>
      <c r="Q90" s="28"/>
      <c r="R90" s="28"/>
      <c r="S90" s="28"/>
      <c r="T90" s="28"/>
      <c r="U90" s="28"/>
      <c r="V90" s="28"/>
      <c r="W90" s="28"/>
      <c r="X90" s="28"/>
      <c r="Y90" s="28"/>
      <c r="Z90" s="28"/>
      <c r="AA90" s="28"/>
      <c r="AB90" s="28"/>
      <c r="AC90" s="28"/>
      <c r="AD90" s="28"/>
      <c r="AE90" s="28"/>
    </row>
    <row r="91" spans="1:31" x14ac:dyDescent="0.3">
      <c r="B91" s="11" t="s">
        <v>19</v>
      </c>
      <c r="C91" s="54">
        <f>C88-C90</f>
        <v>109498.04796384519</v>
      </c>
      <c r="D91" s="54"/>
      <c r="E91" s="10">
        <f>100-E90</f>
        <v>22.36945549003147</v>
      </c>
      <c r="M91" s="28"/>
      <c r="N91" s="28"/>
      <c r="O91" s="28"/>
      <c r="P91" s="28"/>
      <c r="Q91" s="28"/>
      <c r="R91" s="28"/>
      <c r="S91" s="28"/>
      <c r="T91" s="28"/>
      <c r="U91" s="28"/>
      <c r="V91" s="28"/>
      <c r="W91" s="28"/>
      <c r="X91" s="28"/>
      <c r="Y91" s="28"/>
      <c r="Z91" s="28"/>
      <c r="AA91" s="28"/>
      <c r="AB91" s="28"/>
      <c r="AC91" s="28"/>
      <c r="AD91" s="28"/>
      <c r="AE91" s="28"/>
    </row>
    <row r="92" spans="1:31" x14ac:dyDescent="0.3">
      <c r="B92" s="11" t="s">
        <v>20</v>
      </c>
      <c r="C92" s="49">
        <f>C89*0.03</f>
        <v>12000</v>
      </c>
      <c r="D92" s="50"/>
      <c r="E92" s="10">
        <v>3</v>
      </c>
      <c r="M92" s="28"/>
      <c r="N92" s="28"/>
      <c r="O92" s="28"/>
      <c r="P92" s="28"/>
      <c r="Q92" s="28"/>
      <c r="R92" s="28"/>
      <c r="S92" s="28"/>
      <c r="T92" s="28"/>
      <c r="U92" s="28"/>
      <c r="V92" s="28"/>
      <c r="W92" s="28"/>
      <c r="X92" s="28"/>
      <c r="Y92" s="28"/>
      <c r="Z92" s="28"/>
      <c r="AA92" s="28"/>
      <c r="AB92" s="28"/>
      <c r="AC92" s="28"/>
      <c r="AD92" s="28"/>
      <c r="AE92" s="28"/>
    </row>
    <row r="93" spans="1:31" x14ac:dyDescent="0.3">
      <c r="B93" s="11" t="s">
        <v>21</v>
      </c>
      <c r="C93" s="49">
        <f>C89*0.02</f>
        <v>8000</v>
      </c>
      <c r="D93" s="50"/>
      <c r="E93" s="10">
        <v>2</v>
      </c>
      <c r="M93" s="28"/>
      <c r="N93" s="28"/>
      <c r="O93" s="28"/>
      <c r="P93" s="28"/>
      <c r="Q93" s="28"/>
      <c r="R93" s="28"/>
      <c r="S93" s="28"/>
      <c r="T93" s="28"/>
      <c r="U93" s="28"/>
      <c r="V93" s="28"/>
      <c r="W93" s="28"/>
      <c r="X93" s="28"/>
      <c r="Y93" s="28"/>
      <c r="Z93" s="28"/>
      <c r="AA93" s="28"/>
      <c r="AB93" s="28"/>
      <c r="AC93" s="28"/>
      <c r="AD93" s="28"/>
      <c r="AE93" s="28"/>
    </row>
  </sheetData>
  <mergeCells count="15">
    <mergeCell ref="C92:D92"/>
    <mergeCell ref="C93:D93"/>
    <mergeCell ref="A7:F7"/>
    <mergeCell ref="H7:K7"/>
    <mergeCell ref="C88:D88"/>
    <mergeCell ref="C89:D89"/>
    <mergeCell ref="C90:D90"/>
    <mergeCell ref="C91:D9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
  <sheetViews>
    <sheetView tabSelected="1" topLeftCell="A79" zoomScaleNormal="100" zoomScaleSheetLayoutView="80" workbookViewId="0">
      <selection activeCell="C50" sqref="C50"/>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5" s="1" customFormat="1" x14ac:dyDescent="0.3">
      <c r="A1" s="45" t="s">
        <v>0</v>
      </c>
      <c r="B1" s="45"/>
      <c r="C1" s="45"/>
      <c r="D1" s="45"/>
      <c r="E1" s="45"/>
      <c r="F1" s="45"/>
      <c r="G1" s="45"/>
      <c r="H1" s="45"/>
      <c r="I1" s="45"/>
      <c r="J1" s="45"/>
      <c r="K1" s="45"/>
    </row>
    <row r="2" spans="1:15" s="1" customFormat="1" ht="22.8" x14ac:dyDescent="0.3">
      <c r="A2" s="46" t="s">
        <v>1</v>
      </c>
      <c r="B2" s="46"/>
      <c r="C2" s="46"/>
      <c r="D2" s="46"/>
      <c r="E2" s="46"/>
      <c r="F2" s="46"/>
      <c r="G2" s="46"/>
      <c r="H2" s="46"/>
      <c r="I2" s="46"/>
      <c r="J2" s="46"/>
      <c r="K2" s="46"/>
    </row>
    <row r="3" spans="1:15" s="1" customFormat="1" x14ac:dyDescent="0.3">
      <c r="A3" s="47" t="s">
        <v>2</v>
      </c>
      <c r="B3" s="47"/>
      <c r="C3" s="47"/>
      <c r="D3" s="47"/>
      <c r="E3" s="47"/>
      <c r="F3" s="47"/>
      <c r="G3" s="47"/>
      <c r="H3" s="47"/>
      <c r="I3" s="47"/>
      <c r="J3" s="47"/>
      <c r="K3" s="47"/>
    </row>
    <row r="4" spans="1:15" s="1" customFormat="1" x14ac:dyDescent="0.3">
      <c r="A4" s="47" t="s">
        <v>3</v>
      </c>
      <c r="B4" s="47"/>
      <c r="C4" s="47"/>
      <c r="D4" s="47"/>
      <c r="E4" s="47"/>
      <c r="F4" s="47"/>
      <c r="G4" s="47"/>
      <c r="H4" s="47"/>
      <c r="I4" s="47"/>
      <c r="J4" s="47"/>
      <c r="K4" s="47"/>
    </row>
    <row r="5" spans="1:15" ht="17.399999999999999" x14ac:dyDescent="0.3">
      <c r="A5" s="48" t="s">
        <v>4</v>
      </c>
      <c r="B5" s="48"/>
      <c r="C5" s="48"/>
      <c r="D5" s="48"/>
      <c r="E5" s="48"/>
      <c r="F5" s="48"/>
      <c r="G5" s="48"/>
      <c r="H5" s="48"/>
      <c r="I5" s="48"/>
      <c r="J5" s="48"/>
      <c r="K5" s="48"/>
    </row>
    <row r="6" spans="1:15" ht="18" x14ac:dyDescent="0.35">
      <c r="A6" s="43" t="s">
        <v>57</v>
      </c>
      <c r="B6" s="43"/>
      <c r="C6" s="43"/>
      <c r="D6" s="43"/>
      <c r="E6" s="43"/>
      <c r="F6" s="43"/>
      <c r="G6" s="43"/>
      <c r="H6" s="44" t="s">
        <v>35</v>
      </c>
      <c r="I6" s="44"/>
      <c r="J6" s="44"/>
      <c r="K6" s="44"/>
    </row>
    <row r="7" spans="1:15" ht="15.6" x14ac:dyDescent="0.3">
      <c r="A7" s="51" t="s">
        <v>23</v>
      </c>
      <c r="B7" s="51"/>
      <c r="C7" s="51"/>
      <c r="D7" s="51"/>
      <c r="E7" s="51"/>
      <c r="F7" s="51"/>
      <c r="G7" s="2"/>
      <c r="H7" s="44" t="s">
        <v>36</v>
      </c>
      <c r="I7" s="44"/>
      <c r="J7" s="44"/>
      <c r="K7" s="44"/>
    </row>
    <row r="8" spans="1:15" ht="15" customHeight="1" x14ac:dyDescent="0.3">
      <c r="A8" s="3" t="s">
        <v>5</v>
      </c>
      <c r="B8" s="17" t="s">
        <v>6</v>
      </c>
      <c r="C8" s="3" t="s">
        <v>7</v>
      </c>
      <c r="D8" s="18" t="s">
        <v>8</v>
      </c>
      <c r="E8" s="18" t="s">
        <v>9</v>
      </c>
      <c r="F8" s="18" t="s">
        <v>10</v>
      </c>
      <c r="G8" s="18" t="s">
        <v>11</v>
      </c>
      <c r="H8" s="3" t="s">
        <v>12</v>
      </c>
      <c r="I8" s="18" t="s">
        <v>13</v>
      </c>
      <c r="J8" s="18" t="s">
        <v>14</v>
      </c>
      <c r="K8" s="19" t="s">
        <v>15</v>
      </c>
    </row>
    <row r="9" spans="1:15" s="1" customFormat="1" ht="30" x14ac:dyDescent="0.3">
      <c r="A9" s="21">
        <v>1</v>
      </c>
      <c r="B9" s="34" t="s">
        <v>29</v>
      </c>
      <c r="C9" s="22"/>
      <c r="D9" s="23"/>
      <c r="E9" s="24"/>
      <c r="F9" s="24"/>
      <c r="G9" s="27"/>
      <c r="H9" s="25"/>
      <c r="I9" s="26"/>
      <c r="J9" s="27"/>
      <c r="K9" s="24"/>
    </row>
    <row r="10" spans="1:15" s="1" customFormat="1" x14ac:dyDescent="0.3">
      <c r="A10" s="21"/>
      <c r="B10" s="35" t="s">
        <v>30</v>
      </c>
      <c r="C10" s="22">
        <v>6</v>
      </c>
      <c r="D10" s="23">
        <v>1.5</v>
      </c>
      <c r="E10" s="24">
        <v>1.5</v>
      </c>
      <c r="F10" s="24">
        <v>1.5</v>
      </c>
      <c r="G10" s="33">
        <f>PRODUCT(C10:F10)</f>
        <v>20.25</v>
      </c>
      <c r="H10" s="25"/>
      <c r="I10" s="26"/>
      <c r="J10" s="27"/>
      <c r="K10" s="24"/>
    </row>
    <row r="11" spans="1:15" s="1" customFormat="1" x14ac:dyDescent="0.3">
      <c r="A11" s="21"/>
      <c r="B11" s="35" t="s">
        <v>24</v>
      </c>
      <c r="C11" s="22"/>
      <c r="D11" s="23"/>
      <c r="E11" s="24"/>
      <c r="F11" s="24"/>
      <c r="G11" s="27">
        <f>SUM(G10:G10)</f>
        <v>20.25</v>
      </c>
      <c r="H11" s="25" t="s">
        <v>31</v>
      </c>
      <c r="I11" s="26">
        <v>663.31</v>
      </c>
      <c r="J11" s="27">
        <f>G11*I11</f>
        <v>13432.027499999998</v>
      </c>
      <c r="K11" s="24"/>
    </row>
    <row r="12" spans="1:15" s="1" customFormat="1" x14ac:dyDescent="0.3">
      <c r="A12" s="21"/>
      <c r="B12" s="35"/>
      <c r="C12" s="22"/>
      <c r="D12" s="23"/>
      <c r="E12" s="24"/>
      <c r="F12" s="24"/>
      <c r="G12" s="27"/>
      <c r="H12" s="25"/>
      <c r="I12" s="26"/>
      <c r="J12" s="27"/>
      <c r="K12" s="24"/>
      <c r="O12" s="1">
        <f>G14*I19</f>
        <v>9058.128749999998</v>
      </c>
    </row>
    <row r="13" spans="1:15" s="1" customFormat="1" ht="30" x14ac:dyDescent="0.3">
      <c r="A13" s="21">
        <v>2</v>
      </c>
      <c r="B13" s="34" t="s">
        <v>32</v>
      </c>
      <c r="C13" s="22"/>
      <c r="D13" s="23"/>
      <c r="E13" s="24"/>
      <c r="F13" s="24"/>
      <c r="G13" s="27"/>
      <c r="H13" s="25"/>
      <c r="I13" s="26"/>
      <c r="J13" s="27"/>
      <c r="K13" s="24"/>
      <c r="N13" s="1">
        <v>1014.97</v>
      </c>
      <c r="O13" s="1">
        <f>N13*E14*D14*C14</f>
        <v>13702.094999999999</v>
      </c>
    </row>
    <row r="14" spans="1:15" s="1" customFormat="1" x14ac:dyDescent="0.3">
      <c r="A14" s="21"/>
      <c r="B14" s="35" t="s">
        <v>30</v>
      </c>
      <c r="C14" s="22">
        <f>C10</f>
        <v>6</v>
      </c>
      <c r="D14" s="23">
        <f>D10</f>
        <v>1.5</v>
      </c>
      <c r="E14" s="24">
        <f>E10</f>
        <v>1.5</v>
      </c>
      <c r="F14" s="24">
        <v>0.15</v>
      </c>
      <c r="G14" s="33">
        <f>PRODUCT(C14:F14)</f>
        <v>2.0249999999999999</v>
      </c>
      <c r="H14" s="25"/>
      <c r="I14" s="26"/>
      <c r="J14" s="27"/>
      <c r="K14" s="24"/>
    </row>
    <row r="15" spans="1:15" s="1" customFormat="1" x14ac:dyDescent="0.3">
      <c r="A15" s="21"/>
      <c r="B15" s="35" t="s">
        <v>66</v>
      </c>
      <c r="C15" s="22">
        <f>4</f>
        <v>4</v>
      </c>
      <c r="D15" s="23">
        <f>9.42/3.281</f>
        <v>2.8710758914964947</v>
      </c>
      <c r="E15" s="24">
        <f>0.23</f>
        <v>0.23</v>
      </c>
      <c r="F15" s="11">
        <v>0.15</v>
      </c>
      <c r="G15" s="33">
        <f>PRODUCT(C15:E15)</f>
        <v>2.6413898201767751</v>
      </c>
      <c r="H15" s="25"/>
      <c r="I15" s="26"/>
      <c r="J15" s="27"/>
      <c r="K15" s="24"/>
    </row>
    <row r="16" spans="1:15" s="1" customFormat="1" x14ac:dyDescent="0.3">
      <c r="A16" s="21"/>
      <c r="B16" s="35"/>
      <c r="C16" s="22">
        <f>3</f>
        <v>3</v>
      </c>
      <c r="D16" s="23">
        <f>9.17/3.281</f>
        <v>2.7948796098750379</v>
      </c>
      <c r="E16" s="24">
        <f>0.23</f>
        <v>0.23</v>
      </c>
      <c r="F16" s="11">
        <v>0.15</v>
      </c>
      <c r="G16" s="33">
        <f>PRODUCT(C16:E16)</f>
        <v>1.9284669308137763</v>
      </c>
      <c r="H16" s="25"/>
      <c r="I16" s="26"/>
      <c r="J16" s="27"/>
      <c r="K16" s="24"/>
    </row>
    <row r="17" spans="1:14" s="1" customFormat="1" x14ac:dyDescent="0.3">
      <c r="A17" s="21"/>
      <c r="B17" s="35" t="s">
        <v>40</v>
      </c>
      <c r="C17" s="22">
        <f>0*2</f>
        <v>0</v>
      </c>
      <c r="D17" s="23">
        <f>9.917/3.281</f>
        <v>3.0225540993599509</v>
      </c>
      <c r="E17" s="24">
        <f>9.833/3.281</f>
        <v>2.9969521487351418</v>
      </c>
      <c r="F17" s="24">
        <v>0.15</v>
      </c>
      <c r="G17" s="33">
        <f>PRODUCT(C17:F17)</f>
        <v>0</v>
      </c>
      <c r="H17" s="25"/>
      <c r="I17" s="26"/>
      <c r="J17" s="27"/>
      <c r="K17" s="24"/>
    </row>
    <row r="18" spans="1:14" s="1" customFormat="1" x14ac:dyDescent="0.3">
      <c r="A18" s="21"/>
      <c r="B18" s="35" t="s">
        <v>67</v>
      </c>
      <c r="C18" s="22">
        <f>0*-8</f>
        <v>0</v>
      </c>
      <c r="D18" s="23">
        <f>0.42/3.281</f>
        <v>0.12800975312404753</v>
      </c>
      <c r="E18" s="23">
        <f>0.42/3.281</f>
        <v>0.12800975312404753</v>
      </c>
      <c r="F18" s="24">
        <v>0.15</v>
      </c>
      <c r="G18" s="33">
        <f>PRODUCT(C18:F18)</f>
        <v>0</v>
      </c>
      <c r="H18" s="25"/>
      <c r="I18" s="26"/>
      <c r="J18" s="27"/>
      <c r="K18" s="24"/>
    </row>
    <row r="19" spans="1:14" s="1" customFormat="1" x14ac:dyDescent="0.3">
      <c r="A19" s="21"/>
      <c r="B19" s="35" t="s">
        <v>24</v>
      </c>
      <c r="C19" s="22"/>
      <c r="D19" s="23"/>
      <c r="E19" s="24"/>
      <c r="F19" s="24"/>
      <c r="G19" s="27">
        <f>SUM(G14:G18)</f>
        <v>6.5948567509905516</v>
      </c>
      <c r="H19" s="25" t="s">
        <v>31</v>
      </c>
      <c r="I19" s="26">
        <v>4473.1499999999996</v>
      </c>
      <c r="J19" s="27">
        <f>G19*I19</f>
        <v>29499.783475693384</v>
      </c>
      <c r="K19" s="24"/>
    </row>
    <row r="20" spans="1:14" s="1" customFormat="1" x14ac:dyDescent="0.3">
      <c r="A20" s="21"/>
      <c r="B20" s="35" t="s">
        <v>28</v>
      </c>
      <c r="C20" s="22"/>
      <c r="D20" s="23"/>
      <c r="E20" s="24"/>
      <c r="F20" s="24"/>
      <c r="G20" s="27"/>
      <c r="H20" s="25"/>
      <c r="I20" s="26"/>
      <c r="J20" s="27">
        <f>0.13*G19*3093.15</f>
        <v>2651.8545507124354</v>
      </c>
      <c r="K20" s="24"/>
    </row>
    <row r="21" spans="1:14" s="1" customFormat="1" x14ac:dyDescent="0.3">
      <c r="A21" s="21"/>
      <c r="B21" s="35"/>
      <c r="C21" s="22"/>
      <c r="D21" s="23"/>
      <c r="E21" s="24"/>
      <c r="F21" s="24"/>
      <c r="G21" s="27"/>
      <c r="H21" s="25"/>
      <c r="I21" s="26"/>
      <c r="J21" s="27"/>
      <c r="K21" s="24"/>
      <c r="N21" s="1">
        <f>8</f>
        <v>8</v>
      </c>
    </row>
    <row r="22" spans="1:14" s="1" customFormat="1" ht="30" x14ac:dyDescent="0.3">
      <c r="A22" s="21">
        <v>3</v>
      </c>
      <c r="B22" s="34" t="s">
        <v>33</v>
      </c>
      <c r="C22" s="22"/>
      <c r="D22" s="23"/>
      <c r="E22" s="24"/>
      <c r="F22" s="24"/>
      <c r="G22" s="27"/>
      <c r="H22" s="25"/>
      <c r="I22" s="26"/>
      <c r="J22" s="27"/>
      <c r="K22" s="24"/>
    </row>
    <row r="23" spans="1:14" s="1" customFormat="1" x14ac:dyDescent="0.3">
      <c r="A23" s="21"/>
      <c r="B23" s="35" t="s">
        <v>30</v>
      </c>
      <c r="C23" s="22">
        <f>C14</f>
        <v>6</v>
      </c>
      <c r="D23" s="23">
        <f>D14</f>
        <v>1.5</v>
      </c>
      <c r="E23" s="24">
        <f>E14</f>
        <v>1.5</v>
      </c>
      <c r="F23" s="24">
        <v>0.05</v>
      </c>
      <c r="G23" s="33">
        <f>PRODUCT(C23:F23)</f>
        <v>0.67500000000000004</v>
      </c>
      <c r="H23" s="25"/>
      <c r="I23" s="26"/>
      <c r="J23" s="27"/>
      <c r="K23" s="24"/>
    </row>
    <row r="24" spans="1:14" s="1" customFormat="1" x14ac:dyDescent="0.3">
      <c r="A24" s="21"/>
      <c r="B24" s="35" t="s">
        <v>66</v>
      </c>
      <c r="C24" s="22">
        <f>C15</f>
        <v>4</v>
      </c>
      <c r="D24" s="23">
        <f>D15</f>
        <v>2.8710758914964947</v>
      </c>
      <c r="E24" s="24">
        <f>E15</f>
        <v>0.23</v>
      </c>
      <c r="F24" s="11">
        <v>0.05</v>
      </c>
      <c r="G24" s="33">
        <f>PRODUCT(C24:E24)</f>
        <v>2.6413898201767751</v>
      </c>
      <c r="H24" s="25"/>
      <c r="I24" s="26"/>
      <c r="J24" s="27"/>
      <c r="K24" s="24"/>
    </row>
    <row r="25" spans="1:14" s="1" customFormat="1" x14ac:dyDescent="0.3">
      <c r="A25" s="21"/>
      <c r="B25" s="35"/>
      <c r="C25" s="22">
        <f>C16</f>
        <v>3</v>
      </c>
      <c r="D25" s="23">
        <f>D15</f>
        <v>2.8710758914964947</v>
      </c>
      <c r="E25" s="24">
        <f>E16</f>
        <v>0.23</v>
      </c>
      <c r="F25" s="11">
        <v>0.05</v>
      </c>
      <c r="G25" s="33">
        <f>PRODUCT(C25:E25)</f>
        <v>1.9810423651325813</v>
      </c>
      <c r="H25" s="25"/>
      <c r="I25" s="26"/>
      <c r="J25" s="27"/>
      <c r="K25" s="24"/>
    </row>
    <row r="26" spans="1:14" s="1" customFormat="1" x14ac:dyDescent="0.3">
      <c r="A26" s="21"/>
      <c r="B26" s="35" t="s">
        <v>24</v>
      </c>
      <c r="C26" s="22"/>
      <c r="D26" s="23"/>
      <c r="E26" s="24"/>
      <c r="F26" s="24"/>
      <c r="G26" s="27">
        <f>SUM(G23:G25)</f>
        <v>5.2974321853093569</v>
      </c>
      <c r="H26" s="25" t="s">
        <v>31</v>
      </c>
      <c r="I26" s="26">
        <v>12983.1</v>
      </c>
      <c r="J26" s="27">
        <f>G26*I26</f>
        <v>68777.09180508992</v>
      </c>
      <c r="K26" s="24"/>
    </row>
    <row r="27" spans="1:14" s="1" customFormat="1" x14ac:dyDescent="0.3">
      <c r="A27" s="21"/>
      <c r="B27" s="35" t="s">
        <v>28</v>
      </c>
      <c r="C27" s="22"/>
      <c r="D27" s="23"/>
      <c r="E27" s="24"/>
      <c r="F27" s="24"/>
      <c r="G27" s="27"/>
      <c r="H27" s="25"/>
      <c r="I27" s="26"/>
      <c r="J27" s="27">
        <f>0.13*G26*8078.11</f>
        <v>5563.1211883610176</v>
      </c>
      <c r="K27" s="24"/>
    </row>
    <row r="28" spans="1:14" s="1" customFormat="1" x14ac:dyDescent="0.3">
      <c r="A28" s="21"/>
      <c r="B28" s="35"/>
      <c r="C28" s="22"/>
      <c r="D28" s="23"/>
      <c r="E28" s="24"/>
      <c r="F28" s="24"/>
      <c r="G28" s="27"/>
      <c r="H28" s="25"/>
      <c r="I28" s="26"/>
      <c r="J28" s="27"/>
      <c r="K28" s="24"/>
    </row>
    <row r="29" spans="1:14" s="1" customFormat="1" ht="30" x14ac:dyDescent="0.3">
      <c r="A29" s="21">
        <v>4</v>
      </c>
      <c r="B29" s="34" t="s">
        <v>37</v>
      </c>
      <c r="C29" s="22"/>
      <c r="D29" s="23"/>
      <c r="E29" s="24"/>
      <c r="F29" s="24"/>
      <c r="G29" s="27"/>
      <c r="H29" s="25"/>
      <c r="I29" s="26"/>
      <c r="J29" s="27"/>
      <c r="K29" s="24"/>
    </row>
    <row r="30" spans="1:14" s="1" customFormat="1" x14ac:dyDescent="0.3">
      <c r="A30" s="21"/>
      <c r="B30" s="35" t="str">
        <f>B23</f>
        <v>;-for footing</v>
      </c>
      <c r="C30" s="22">
        <f>C23</f>
        <v>6</v>
      </c>
      <c r="D30" s="23">
        <f>D23*4</f>
        <v>6</v>
      </c>
      <c r="E30" s="24"/>
      <c r="F30" s="24">
        <f>0.23</f>
        <v>0.23</v>
      </c>
      <c r="G30" s="33">
        <f>PRODUCT(C30:F30)</f>
        <v>8.2800000000000011</v>
      </c>
      <c r="H30" s="25"/>
      <c r="I30" s="26"/>
      <c r="J30" s="27"/>
      <c r="K30" s="24"/>
    </row>
    <row r="31" spans="1:14" s="1" customFormat="1" x14ac:dyDescent="0.3">
      <c r="A31" s="21"/>
      <c r="B31" s="35" t="s">
        <v>38</v>
      </c>
      <c r="C31" s="22">
        <v>6</v>
      </c>
      <c r="D31" s="23">
        <f>0.35*4</f>
        <v>1.4</v>
      </c>
      <c r="E31" s="24"/>
      <c r="F31" s="24">
        <f>3.5/3.281</f>
        <v>1.0667479427003961</v>
      </c>
      <c r="G31" s="33">
        <f>PRODUCT(C31:F31)</f>
        <v>8.9606827186833247</v>
      </c>
      <c r="H31" s="25"/>
      <c r="I31" s="26"/>
      <c r="J31" s="27"/>
      <c r="K31" s="24"/>
      <c r="M31" s="1">
        <f>14/12/3.281</f>
        <v>0.35558264756679875</v>
      </c>
    </row>
    <row r="32" spans="1:14" s="1" customFormat="1" x14ac:dyDescent="0.3">
      <c r="A32" s="21"/>
      <c r="B32" s="35" t="s">
        <v>65</v>
      </c>
      <c r="C32" s="22">
        <f>2*4</f>
        <v>8</v>
      </c>
      <c r="D32" s="23">
        <f>D15</f>
        <v>2.8710758914964947</v>
      </c>
      <c r="E32" s="24"/>
      <c r="F32" s="24">
        <f>0.23*2</f>
        <v>0.46</v>
      </c>
      <c r="G32" s="33">
        <f t="shared" ref="G32:G37" si="0">PRODUCT(C32:F32)</f>
        <v>10.565559280707101</v>
      </c>
      <c r="H32" s="25"/>
      <c r="I32" s="26"/>
      <c r="J32" s="27"/>
      <c r="K32" s="24"/>
    </row>
    <row r="33" spans="1:11" s="1" customFormat="1" x14ac:dyDescent="0.3">
      <c r="A33" s="21"/>
      <c r="B33" s="35"/>
      <c r="C33" s="22">
        <f>2*3</f>
        <v>6</v>
      </c>
      <c r="D33" s="23">
        <f>D16</f>
        <v>2.7948796098750379</v>
      </c>
      <c r="E33" s="24"/>
      <c r="F33" s="24">
        <f>0.23*2</f>
        <v>0.46</v>
      </c>
      <c r="G33" s="33">
        <f t="shared" si="0"/>
        <v>7.7138677232551052</v>
      </c>
      <c r="H33" s="25"/>
      <c r="I33" s="26"/>
      <c r="J33" s="27"/>
      <c r="K33" s="24"/>
    </row>
    <row r="34" spans="1:11" s="1" customFormat="1" x14ac:dyDescent="0.3">
      <c r="A34" s="21"/>
      <c r="B34" s="35" t="s">
        <v>41</v>
      </c>
      <c r="C34" s="22">
        <f>C31</f>
        <v>6</v>
      </c>
      <c r="D34" s="23">
        <f>0.35*4</f>
        <v>1.4</v>
      </c>
      <c r="E34" s="24"/>
      <c r="F34" s="24">
        <f>8.17/3.281</f>
        <v>2.4900944833892105</v>
      </c>
      <c r="G34" s="33">
        <f t="shared" si="0"/>
        <v>20.916793660469363</v>
      </c>
      <c r="H34" s="25"/>
      <c r="I34" s="26"/>
      <c r="J34" s="27"/>
      <c r="K34" s="24"/>
    </row>
    <row r="35" spans="1:11" s="1" customFormat="1" x14ac:dyDescent="0.3">
      <c r="A35" s="21"/>
      <c r="B35" s="35" t="s">
        <v>42</v>
      </c>
      <c r="C35" s="22">
        <f>0*4</f>
        <v>0</v>
      </c>
      <c r="D35" s="23">
        <f>D32</f>
        <v>2.8710758914964947</v>
      </c>
      <c r="E35" s="24"/>
      <c r="F35" s="24">
        <f>0.23*2</f>
        <v>0.46</v>
      </c>
      <c r="G35" s="33">
        <f t="shared" si="0"/>
        <v>0</v>
      </c>
      <c r="H35" s="25"/>
      <c r="I35" s="26"/>
      <c r="J35" s="27"/>
      <c r="K35" s="24"/>
    </row>
    <row r="36" spans="1:11" s="1" customFormat="1" x14ac:dyDescent="0.3">
      <c r="A36" s="21"/>
      <c r="B36" s="35"/>
      <c r="C36" s="22">
        <f>0*3</f>
        <v>0</v>
      </c>
      <c r="D36" s="23">
        <f>D33</f>
        <v>2.7948796098750379</v>
      </c>
      <c r="E36" s="24"/>
      <c r="F36" s="24">
        <f>0.23*2</f>
        <v>0.46</v>
      </c>
      <c r="G36" s="33">
        <f t="shared" si="0"/>
        <v>0</v>
      </c>
      <c r="H36" s="25"/>
      <c r="I36" s="26"/>
      <c r="J36" s="27"/>
      <c r="K36" s="24"/>
    </row>
    <row r="37" spans="1:11" s="1" customFormat="1" x14ac:dyDescent="0.3">
      <c r="A37" s="21"/>
      <c r="B37" s="35" t="s">
        <v>43</v>
      </c>
      <c r="C37" s="22">
        <f>0*1</f>
        <v>0</v>
      </c>
      <c r="D37" s="23">
        <f>(22.333+3)/3.281</f>
        <v>7.7211216092654666</v>
      </c>
      <c r="E37" s="24">
        <f>(11.5+3)/3.281</f>
        <v>4.4193843340444987</v>
      </c>
      <c r="F37" s="24"/>
      <c r="G37" s="33">
        <f t="shared" si="0"/>
        <v>0</v>
      </c>
      <c r="H37" s="25"/>
      <c r="I37" s="26"/>
      <c r="J37" s="27"/>
      <c r="K37" s="24"/>
    </row>
    <row r="38" spans="1:11" s="1" customFormat="1" x14ac:dyDescent="0.3">
      <c r="A38" s="21"/>
      <c r="B38" s="35" t="s">
        <v>24</v>
      </c>
      <c r="C38" s="22"/>
      <c r="D38" s="23"/>
      <c r="E38" s="24"/>
      <c r="F38" s="24"/>
      <c r="G38" s="27">
        <f>SUM(G30:G37)</f>
        <v>56.436903383114895</v>
      </c>
      <c r="H38" s="25" t="s">
        <v>25</v>
      </c>
      <c r="I38" s="26">
        <v>915.42</v>
      </c>
      <c r="J38" s="27">
        <f>G38*I38</f>
        <v>51663.470094971039</v>
      </c>
      <c r="K38" s="24"/>
    </row>
    <row r="39" spans="1:11" s="1" customFormat="1" x14ac:dyDescent="0.3">
      <c r="A39" s="21"/>
      <c r="B39" s="35" t="s">
        <v>28</v>
      </c>
      <c r="C39" s="22"/>
      <c r="D39" s="23"/>
      <c r="E39" s="24"/>
      <c r="F39" s="24"/>
      <c r="G39" s="27"/>
      <c r="H39" s="25"/>
      <c r="I39" s="26"/>
      <c r="J39" s="27">
        <f>0.13*G38*46827.87/100</f>
        <v>3435.6659672751844</v>
      </c>
      <c r="K39" s="24"/>
    </row>
    <row r="40" spans="1:11" s="1" customFormat="1" x14ac:dyDescent="0.3">
      <c r="A40" s="21"/>
      <c r="B40" s="35"/>
      <c r="C40" s="22"/>
      <c r="D40" s="23"/>
      <c r="E40" s="24"/>
      <c r="F40" s="24"/>
      <c r="G40" s="27"/>
      <c r="H40" s="25"/>
      <c r="I40" s="26"/>
      <c r="J40" s="27"/>
      <c r="K40" s="24"/>
    </row>
    <row r="41" spans="1:11" s="1" customFormat="1" ht="30" x14ac:dyDescent="0.3">
      <c r="A41" s="21">
        <v>5</v>
      </c>
      <c r="B41" s="34" t="s">
        <v>34</v>
      </c>
      <c r="C41" s="22"/>
      <c r="D41" s="23"/>
      <c r="E41" s="24"/>
      <c r="F41" s="24"/>
      <c r="G41" s="27"/>
      <c r="H41" s="25"/>
      <c r="I41" s="26"/>
      <c r="J41" s="27"/>
      <c r="K41" s="24"/>
    </row>
    <row r="42" spans="1:11" s="1" customFormat="1" x14ac:dyDescent="0.3">
      <c r="A42" s="21"/>
      <c r="B42" s="35" t="str">
        <f>B30</f>
        <v>;-for footing</v>
      </c>
      <c r="C42" s="22">
        <f>C30</f>
        <v>6</v>
      </c>
      <c r="D42" s="23">
        <f>1.5</f>
        <v>1.5</v>
      </c>
      <c r="E42" s="24">
        <v>1.5</v>
      </c>
      <c r="F42" s="24">
        <v>0.23</v>
      </c>
      <c r="G42" s="33">
        <f>PRODUCT(C42:F42)</f>
        <v>3.105</v>
      </c>
      <c r="H42" s="25"/>
      <c r="I42" s="26"/>
      <c r="J42" s="27"/>
      <c r="K42" s="24"/>
    </row>
    <row r="43" spans="1:11" s="1" customFormat="1" x14ac:dyDescent="0.3">
      <c r="A43" s="21"/>
      <c r="B43" s="35"/>
      <c r="C43" s="22">
        <v>6</v>
      </c>
      <c r="D43" s="23">
        <f>1.667/3.281</f>
        <v>0.50807680585187442</v>
      </c>
      <c r="E43" s="24">
        <f>1.667/3.281</f>
        <v>0.50807680585187442</v>
      </c>
      <c r="F43" s="24">
        <v>0.23</v>
      </c>
      <c r="G43" s="33">
        <f>(F43/3)*((D42*E42)+(D43*E43)+(SQRT((D42*E42)*(D43*E43))))</f>
        <v>0.25071972245572161</v>
      </c>
      <c r="H43" s="25"/>
      <c r="I43" s="26"/>
      <c r="J43" s="27"/>
      <c r="K43" s="24"/>
    </row>
    <row r="44" spans="1:11" s="1" customFormat="1" x14ac:dyDescent="0.3">
      <c r="A44" s="21"/>
      <c r="B44" s="35" t="s">
        <v>44</v>
      </c>
      <c r="C44" s="22">
        <v>6</v>
      </c>
      <c r="D44" s="23">
        <v>0.35</v>
      </c>
      <c r="E44" s="24">
        <v>0.35</v>
      </c>
      <c r="F44" s="24">
        <v>1.5</v>
      </c>
      <c r="G44" s="33">
        <f>PRODUCT(C44:F44)</f>
        <v>1.1024999999999998</v>
      </c>
      <c r="H44" s="25"/>
      <c r="I44" s="26"/>
      <c r="J44" s="27"/>
      <c r="K44" s="24"/>
    </row>
    <row r="45" spans="1:11" s="1" customFormat="1" x14ac:dyDescent="0.3">
      <c r="A45" s="21"/>
      <c r="B45" s="35" t="s">
        <v>39</v>
      </c>
      <c r="C45" s="22">
        <f>2*4</f>
        <v>8</v>
      </c>
      <c r="D45" s="23">
        <f>D32</f>
        <v>2.8710758914964947</v>
      </c>
      <c r="E45" s="24">
        <v>0.23</v>
      </c>
      <c r="F45" s="24">
        <v>0.25</v>
      </c>
      <c r="G45" s="33">
        <f t="shared" ref="G45:G52" si="1">PRODUCT(C45:F45)</f>
        <v>1.3206949100883876</v>
      </c>
      <c r="H45" s="25"/>
      <c r="I45" s="26"/>
      <c r="J45" s="27"/>
      <c r="K45" s="24"/>
    </row>
    <row r="46" spans="1:11" s="1" customFormat="1" x14ac:dyDescent="0.3">
      <c r="A46" s="21"/>
      <c r="B46" s="35"/>
      <c r="C46" s="22">
        <f>2*3</f>
        <v>6</v>
      </c>
      <c r="D46" s="23">
        <f>D33</f>
        <v>2.7948796098750379</v>
      </c>
      <c r="E46" s="24">
        <v>0.23</v>
      </c>
      <c r="F46" s="24">
        <v>0.25</v>
      </c>
      <c r="G46" s="33">
        <f t="shared" si="1"/>
        <v>0.96423346540688815</v>
      </c>
      <c r="H46" s="25"/>
      <c r="I46" s="26"/>
      <c r="J46" s="27"/>
      <c r="K46" s="24"/>
    </row>
    <row r="47" spans="1:11" s="1" customFormat="1" x14ac:dyDescent="0.3">
      <c r="A47" s="21"/>
      <c r="B47" s="35" t="s">
        <v>40</v>
      </c>
      <c r="C47" s="22">
        <f>0*2</f>
        <v>0</v>
      </c>
      <c r="D47" s="23">
        <f>D17</f>
        <v>3.0225540993599509</v>
      </c>
      <c r="E47" s="23">
        <f>E17</f>
        <v>2.9969521487351418</v>
      </c>
      <c r="F47" s="24">
        <v>7.4999999999999997E-2</v>
      </c>
      <c r="G47" s="33">
        <f t="shared" si="1"/>
        <v>0</v>
      </c>
      <c r="H47" s="25"/>
      <c r="I47" s="26"/>
      <c r="J47" s="27"/>
      <c r="K47" s="24"/>
    </row>
    <row r="48" spans="1:11" s="1" customFormat="1" x14ac:dyDescent="0.3">
      <c r="A48" s="21"/>
      <c r="B48" s="35" t="s">
        <v>67</v>
      </c>
      <c r="C48" s="22">
        <f>C18</f>
        <v>0</v>
      </c>
      <c r="D48" s="24">
        <f t="shared" ref="D48:E48" si="2">D18</f>
        <v>0.12800975312404753</v>
      </c>
      <c r="E48" s="24">
        <f t="shared" si="2"/>
        <v>0.12800975312404753</v>
      </c>
      <c r="F48" s="24">
        <v>7.4999999999999997E-2</v>
      </c>
      <c r="G48" s="33">
        <f>PRODUCT(C48:F48)</f>
        <v>0</v>
      </c>
      <c r="H48" s="25"/>
      <c r="I48" s="26"/>
      <c r="J48" s="27"/>
      <c r="K48" s="24"/>
    </row>
    <row r="49" spans="1:15" s="1" customFormat="1" x14ac:dyDescent="0.3">
      <c r="A49" s="21"/>
      <c r="B49" s="35" t="s">
        <v>45</v>
      </c>
      <c r="C49" s="22">
        <f>C44</f>
        <v>6</v>
      </c>
      <c r="D49" s="23">
        <v>0.3</v>
      </c>
      <c r="E49" s="24">
        <v>0.3</v>
      </c>
      <c r="F49" s="24">
        <f>8.17/3.281</f>
        <v>2.4900944833892105</v>
      </c>
      <c r="G49" s="33">
        <f t="shared" si="1"/>
        <v>1.3446510210301734</v>
      </c>
      <c r="H49" s="25"/>
      <c r="I49" s="26"/>
      <c r="J49" s="27"/>
      <c r="K49" s="24"/>
    </row>
    <row r="50" spans="1:15" s="1" customFormat="1" x14ac:dyDescent="0.3">
      <c r="A50" s="21"/>
      <c r="B50" s="35" t="s">
        <v>46</v>
      </c>
      <c r="C50" s="22">
        <f>0*4</f>
        <v>0</v>
      </c>
      <c r="D50" s="23">
        <f>D45</f>
        <v>2.8710758914964947</v>
      </c>
      <c r="E50" s="24">
        <v>0.23</v>
      </c>
      <c r="F50" s="24">
        <v>0.23</v>
      </c>
      <c r="G50" s="33">
        <f t="shared" si="1"/>
        <v>0</v>
      </c>
      <c r="H50" s="25"/>
      <c r="I50" s="26"/>
      <c r="J50" s="27"/>
      <c r="K50" s="24"/>
    </row>
    <row r="51" spans="1:15" s="1" customFormat="1" x14ac:dyDescent="0.3">
      <c r="A51" s="21"/>
      <c r="B51" s="35"/>
      <c r="C51" s="22">
        <f>0*3</f>
        <v>0</v>
      </c>
      <c r="D51" s="23">
        <f>D46</f>
        <v>2.7948796098750379</v>
      </c>
      <c r="E51" s="24">
        <v>0.23</v>
      </c>
      <c r="F51" s="24">
        <v>0.23</v>
      </c>
      <c r="G51" s="33">
        <f t="shared" si="1"/>
        <v>0</v>
      </c>
      <c r="H51" s="25"/>
      <c r="I51" s="26"/>
      <c r="J51" s="27"/>
      <c r="K51" s="24"/>
    </row>
    <row r="52" spans="1:15" s="1" customFormat="1" x14ac:dyDescent="0.3">
      <c r="A52" s="21"/>
      <c r="B52" s="35" t="s">
        <v>43</v>
      </c>
      <c r="C52" s="22">
        <f>0*1</f>
        <v>0</v>
      </c>
      <c r="D52" s="23">
        <f>D37</f>
        <v>7.7211216092654666</v>
      </c>
      <c r="E52" s="24">
        <f>E37</f>
        <v>4.4193843340444987</v>
      </c>
      <c r="F52" s="24">
        <f>5/12/3.281</f>
        <v>0.12699380270242813</v>
      </c>
      <c r="G52" s="33">
        <f t="shared" si="1"/>
        <v>0</v>
      </c>
      <c r="H52" s="25"/>
      <c r="I52" s="26"/>
      <c r="J52" s="27"/>
      <c r="K52" s="24"/>
    </row>
    <row r="53" spans="1:15" s="1" customFormat="1" x14ac:dyDescent="0.3">
      <c r="A53" s="21"/>
      <c r="B53" s="35" t="s">
        <v>24</v>
      </c>
      <c r="C53" s="22"/>
      <c r="D53" s="23"/>
      <c r="E53" s="24"/>
      <c r="F53" s="24"/>
      <c r="G53" s="27">
        <f>SUM(G42:G52)</f>
        <v>8.0877991189811702</v>
      </c>
      <c r="H53" s="25" t="s">
        <v>31</v>
      </c>
      <c r="I53" s="26">
        <v>13568.9</v>
      </c>
      <c r="J53" s="27">
        <f>G53*I53</f>
        <v>109742.5374655436</v>
      </c>
      <c r="K53" s="24"/>
    </row>
    <row r="54" spans="1:15" s="1" customFormat="1" x14ac:dyDescent="0.3">
      <c r="A54" s="21"/>
      <c r="B54" s="35" t="s">
        <v>28</v>
      </c>
      <c r="C54" s="22"/>
      <c r="D54" s="23"/>
      <c r="E54" s="24"/>
      <c r="F54" s="24"/>
      <c r="G54" s="27"/>
      <c r="H54" s="25"/>
      <c r="I54" s="26"/>
      <c r="J54" s="27">
        <f>0.13*G53*9524.2</f>
        <v>10013.876127970061</v>
      </c>
      <c r="K54" s="24"/>
    </row>
    <row r="55" spans="1:15" s="1" customFormat="1" x14ac:dyDescent="0.3">
      <c r="A55" s="21"/>
      <c r="B55" s="35"/>
      <c r="C55" s="22"/>
      <c r="D55" s="23"/>
      <c r="E55" s="24"/>
      <c r="F55" s="24"/>
      <c r="G55" s="27"/>
      <c r="H55" s="25"/>
      <c r="I55" s="26"/>
      <c r="J55" s="27"/>
      <c r="K55" s="24"/>
    </row>
    <row r="56" spans="1:15" s="1" customFormat="1" ht="43.2" x14ac:dyDescent="0.3">
      <c r="A56" s="21">
        <v>6</v>
      </c>
      <c r="B56" s="34" t="s">
        <v>47</v>
      </c>
      <c r="C56" s="22" t="s">
        <v>53</v>
      </c>
      <c r="D56" s="37" t="s">
        <v>49</v>
      </c>
      <c r="E56" s="38" t="s">
        <v>50</v>
      </c>
      <c r="F56" s="38" t="s">
        <v>51</v>
      </c>
      <c r="G56" s="39" t="s">
        <v>52</v>
      </c>
      <c r="H56" s="25"/>
      <c r="I56" s="26"/>
      <c r="J56" s="27"/>
      <c r="K56" s="24"/>
    </row>
    <row r="57" spans="1:15" s="1" customFormat="1" x14ac:dyDescent="0.3">
      <c r="A57" s="21"/>
      <c r="B57" s="35" t="s">
        <v>48</v>
      </c>
      <c r="C57" s="22">
        <f>6*2*10</f>
        <v>120</v>
      </c>
      <c r="D57" s="23">
        <v>1.5</v>
      </c>
      <c r="E57" s="24">
        <f>12*12/162</f>
        <v>0.88888888888888884</v>
      </c>
      <c r="F57" s="24">
        <f>PRODUCT(C57:E57)</f>
        <v>160</v>
      </c>
      <c r="G57" s="27">
        <f>F57/1000</f>
        <v>0.16</v>
      </c>
      <c r="H57" s="25"/>
      <c r="I57" s="26"/>
      <c r="J57" s="27"/>
      <c r="K57" s="24"/>
    </row>
    <row r="58" spans="1:15" s="1" customFormat="1" x14ac:dyDescent="0.3">
      <c r="A58" s="21"/>
      <c r="B58" s="35" t="s">
        <v>54</v>
      </c>
      <c r="C58" s="22">
        <f>4*8+2*4</f>
        <v>40</v>
      </c>
      <c r="D58" s="23">
        <f>13.917/3.281+0.72*2</f>
        <v>5.6816946053032602</v>
      </c>
      <c r="E58" s="24">
        <f>12*12/162</f>
        <v>0.88888888888888884</v>
      </c>
      <c r="F58" s="24">
        <f>PRODUCT(C58:E58)</f>
        <v>202.01580818856036</v>
      </c>
      <c r="G58" s="27">
        <f>F58/1000</f>
        <v>0.20201580818856035</v>
      </c>
      <c r="H58" s="25"/>
      <c r="I58" s="26"/>
      <c r="J58" s="27"/>
      <c r="K58" s="24"/>
      <c r="N58" s="1">
        <f>6*8</f>
        <v>48</v>
      </c>
    </row>
    <row r="59" spans="1:15" s="1" customFormat="1" x14ac:dyDescent="0.3">
      <c r="A59" s="21"/>
      <c r="B59" s="35"/>
      <c r="C59" s="22">
        <f>2*4</f>
        <v>8</v>
      </c>
      <c r="D59" s="23">
        <f>D58</f>
        <v>5.6816946053032602</v>
      </c>
      <c r="E59" s="24">
        <f>16*16/162</f>
        <v>1.5802469135802468</v>
      </c>
      <c r="F59" s="24">
        <f>PRODUCT(C59:E59)</f>
        <v>71.827842911488119</v>
      </c>
      <c r="G59" s="27">
        <f>F59/1000</f>
        <v>7.1827842911488124E-2</v>
      </c>
      <c r="H59" s="25"/>
      <c r="I59" s="26"/>
      <c r="J59" s="27"/>
      <c r="K59" s="24"/>
    </row>
    <row r="60" spans="1:15" s="1" customFormat="1" x14ac:dyDescent="0.3">
      <c r="A60" s="21"/>
      <c r="B60" s="35" t="s">
        <v>55</v>
      </c>
      <c r="C60" s="22">
        <f>6*15</f>
        <v>90</v>
      </c>
      <c r="D60" s="23">
        <f>(0.23*4+0.05*2)</f>
        <v>1.02</v>
      </c>
      <c r="E60" s="24">
        <f>8*8/162</f>
        <v>0.39506172839506171</v>
      </c>
      <c r="F60" s="24">
        <f t="shared" ref="F60:F61" si="3">PRODUCT(C60:E60)</f>
        <v>36.266666666666666</v>
      </c>
      <c r="G60" s="27">
        <f t="shared" ref="G60:G61" si="4">F60/1000</f>
        <v>3.6266666666666662E-2</v>
      </c>
      <c r="H60" s="25"/>
      <c r="I60" s="26"/>
      <c r="J60" s="27"/>
      <c r="K60" s="24"/>
      <c r="M60" s="1">
        <f>12*60</f>
        <v>720</v>
      </c>
      <c r="N60" s="1">
        <f>1.333/3.281*1000</f>
        <v>406.27857360560802</v>
      </c>
      <c r="O60" s="1">
        <f>M60-N60</f>
        <v>313.72142639439198</v>
      </c>
    </row>
    <row r="61" spans="1:15" s="1" customFormat="1" x14ac:dyDescent="0.3">
      <c r="A61" s="21"/>
      <c r="B61" s="35"/>
      <c r="C61" s="22">
        <f>C60</f>
        <v>90</v>
      </c>
      <c r="D61" s="23">
        <f>0.15*4+0.05*2</f>
        <v>0.7</v>
      </c>
      <c r="E61" s="24">
        <f>8*8/162</f>
        <v>0.39506172839506171</v>
      </c>
      <c r="F61" s="24">
        <f t="shared" si="3"/>
        <v>24.888888888888886</v>
      </c>
      <c r="G61" s="27">
        <f t="shared" si="4"/>
        <v>2.4888888888888884E-2</v>
      </c>
      <c r="H61" s="25"/>
      <c r="I61" s="26"/>
      <c r="J61" s="27"/>
      <c r="K61" s="24"/>
    </row>
    <row r="62" spans="1:15" s="1" customFormat="1" x14ac:dyDescent="0.3">
      <c r="A62" s="21"/>
      <c r="B62" s="35" t="s">
        <v>56</v>
      </c>
      <c r="C62" s="22">
        <f>6*C45</f>
        <v>48</v>
      </c>
      <c r="D62" s="23">
        <f>D45+0.72</f>
        <v>3.5910758914964944</v>
      </c>
      <c r="E62" s="24">
        <f>12*12/162</f>
        <v>0.88888888888888884</v>
      </c>
      <c r="F62" s="24">
        <f>PRODUCT(C62:E62)</f>
        <v>153.21923803718374</v>
      </c>
      <c r="G62" s="27">
        <f>F62/1000</f>
        <v>0.15321923803718374</v>
      </c>
      <c r="H62" s="25"/>
      <c r="I62" s="26"/>
      <c r="J62" s="27"/>
      <c r="K62" s="24"/>
    </row>
    <row r="63" spans="1:15" s="1" customFormat="1" x14ac:dyDescent="0.3">
      <c r="A63" s="21"/>
      <c r="B63" s="35"/>
      <c r="C63" s="22">
        <f>6*C46</f>
        <v>36</v>
      </c>
      <c r="D63" s="23">
        <f>D46+2*0.72</f>
        <v>4.2348796098750379</v>
      </c>
      <c r="E63" s="24">
        <f>12*12/162</f>
        <v>0.88888888888888884</v>
      </c>
      <c r="F63" s="24">
        <f>PRODUCT(C63:E63)</f>
        <v>135.51614751600121</v>
      </c>
      <c r="G63" s="27">
        <f>F63/1000</f>
        <v>0.13551614751600122</v>
      </c>
      <c r="H63" s="25"/>
      <c r="I63" s="26"/>
      <c r="J63" s="27"/>
      <c r="K63" s="24"/>
    </row>
    <row r="64" spans="1:15" s="42" customFormat="1" x14ac:dyDescent="0.3">
      <c r="A64" s="21"/>
      <c r="B64" s="40" t="s">
        <v>55</v>
      </c>
      <c r="C64" s="22">
        <f>8*TRUNC((D62-2*0.72)/0.125,0)</f>
        <v>136</v>
      </c>
      <c r="D64" s="23">
        <f>(0.15*4+0.05*2)</f>
        <v>0.7</v>
      </c>
      <c r="E64" s="24">
        <f>8*8/162</f>
        <v>0.39506172839506171</v>
      </c>
      <c r="F64" s="24">
        <f t="shared" ref="F64:F70" si="5">PRODUCT(C64:E64)</f>
        <v>37.609876543209872</v>
      </c>
      <c r="G64" s="41">
        <f t="shared" ref="G64:G70" si="6">F64/1000</f>
        <v>3.7609876543209873E-2</v>
      </c>
      <c r="H64" s="25"/>
      <c r="I64" s="26"/>
      <c r="J64" s="41"/>
      <c r="K64" s="24"/>
      <c r="M64" s="42">
        <f>12*60</f>
        <v>720</v>
      </c>
      <c r="N64" s="42">
        <f>1.333/3.281*1000</f>
        <v>406.27857360560802</v>
      </c>
      <c r="O64" s="42">
        <f>M64-N64</f>
        <v>313.72142639439198</v>
      </c>
    </row>
    <row r="65" spans="1:15" s="42" customFormat="1" x14ac:dyDescent="0.3">
      <c r="A65" s="21"/>
      <c r="B65" s="40"/>
      <c r="C65" s="22">
        <f>6*TRUNC((D63-2*0.72)/0.125,0)</f>
        <v>132</v>
      </c>
      <c r="D65" s="23">
        <f>(0.15*4+0.05*2)</f>
        <v>0.7</v>
      </c>
      <c r="E65" s="24">
        <f>8*8/162</f>
        <v>0.39506172839506171</v>
      </c>
      <c r="F65" s="24">
        <f t="shared" si="5"/>
        <v>36.5037037037037</v>
      </c>
      <c r="G65" s="41">
        <f t="shared" si="6"/>
        <v>3.6503703703703698E-2</v>
      </c>
      <c r="H65" s="25"/>
      <c r="I65" s="26"/>
      <c r="J65" s="41"/>
      <c r="K65" s="24"/>
    </row>
    <row r="66" spans="1:15" s="1" customFormat="1" x14ac:dyDescent="0.3">
      <c r="A66" s="21"/>
      <c r="B66" s="35" t="s">
        <v>46</v>
      </c>
      <c r="C66" s="22">
        <f>0*2</f>
        <v>0</v>
      </c>
      <c r="D66" s="23">
        <f>(20.333/3.281)+0.72*2</f>
        <v>7.6371959768363293</v>
      </c>
      <c r="E66" s="24">
        <f>12*12/162</f>
        <v>0.88888888888888884</v>
      </c>
      <c r="F66" s="24">
        <f t="shared" si="5"/>
        <v>0</v>
      </c>
      <c r="G66" s="41">
        <f t="shared" si="6"/>
        <v>0</v>
      </c>
      <c r="H66" s="25"/>
      <c r="I66" s="26"/>
      <c r="J66" s="27"/>
      <c r="K66" s="24"/>
    </row>
    <row r="67" spans="1:15" s="1" customFormat="1" x14ac:dyDescent="0.3">
      <c r="A67" s="21"/>
      <c r="B67" s="35"/>
      <c r="C67" s="22">
        <f>0*3</f>
        <v>0</v>
      </c>
      <c r="D67" s="23">
        <f>(9.5/3.281)+0.72*2</f>
        <v>4.3354587016153605</v>
      </c>
      <c r="E67" s="24">
        <f>12*12/162</f>
        <v>0.88888888888888884</v>
      </c>
      <c r="F67" s="24">
        <f t="shared" si="5"/>
        <v>0</v>
      </c>
      <c r="G67" s="41">
        <f t="shared" si="6"/>
        <v>0</v>
      </c>
      <c r="H67" s="25"/>
      <c r="I67" s="26"/>
      <c r="J67" s="27"/>
      <c r="K67" s="24"/>
    </row>
    <row r="68" spans="1:15" s="42" customFormat="1" x14ac:dyDescent="0.3">
      <c r="A68" s="21"/>
      <c r="B68" s="40" t="s">
        <v>55</v>
      </c>
      <c r="C68" s="22">
        <f>0*2*TRUNC((D66-3*0.72)/0.125,0)</f>
        <v>0</v>
      </c>
      <c r="D68" s="23">
        <f>(0.23*2+0.15*2+0.05*2)</f>
        <v>0.86</v>
      </c>
      <c r="E68" s="24">
        <f>8*8/162</f>
        <v>0.39506172839506171</v>
      </c>
      <c r="F68" s="24">
        <f t="shared" si="5"/>
        <v>0</v>
      </c>
      <c r="G68" s="41">
        <f t="shared" si="6"/>
        <v>0</v>
      </c>
      <c r="H68" s="25"/>
      <c r="I68" s="26"/>
      <c r="J68" s="41"/>
      <c r="K68" s="24"/>
      <c r="M68" s="42">
        <f>12*60</f>
        <v>720</v>
      </c>
      <c r="N68" s="42">
        <f>1.333/3.281*1000</f>
        <v>406.27857360560802</v>
      </c>
      <c r="O68" s="42">
        <f>M68-N68</f>
        <v>313.72142639439198</v>
      </c>
    </row>
    <row r="69" spans="1:15" s="1" customFormat="1" x14ac:dyDescent="0.3">
      <c r="A69" s="21"/>
      <c r="B69" s="35"/>
      <c r="C69" s="22">
        <f>0*3*TRUNC((D67-2*0.72)/0.125,0)</f>
        <v>0</v>
      </c>
      <c r="D69" s="23">
        <f>(0.23*2+0.15*2+0.05*2)</f>
        <v>0.86</v>
      </c>
      <c r="E69" s="24">
        <f>8*8/162</f>
        <v>0.39506172839506171</v>
      </c>
      <c r="F69" s="24">
        <f t="shared" si="5"/>
        <v>0</v>
      </c>
      <c r="G69" s="41">
        <f t="shared" si="6"/>
        <v>0</v>
      </c>
      <c r="H69" s="25"/>
      <c r="I69" s="26"/>
      <c r="J69" s="27"/>
      <c r="K69" s="24"/>
    </row>
    <row r="70" spans="1:15" s="1" customFormat="1" x14ac:dyDescent="0.3">
      <c r="A70" s="21"/>
      <c r="B70" s="35" t="s">
        <v>43</v>
      </c>
      <c r="C70" s="22">
        <f>0*TRUNC(12.5/0.5,0)+1</f>
        <v>1</v>
      </c>
      <c r="D70" s="23">
        <f>25/3.281</f>
        <v>7.6196281621456867</v>
      </c>
      <c r="E70" s="24">
        <f>8*8/162</f>
        <v>0.39506172839506171</v>
      </c>
      <c r="F70" s="24">
        <f t="shared" si="5"/>
        <v>3.0102234714649625</v>
      </c>
      <c r="G70" s="41">
        <f t="shared" si="6"/>
        <v>3.0102234714649624E-3</v>
      </c>
      <c r="H70" s="25"/>
      <c r="I70" s="26"/>
      <c r="J70" s="27"/>
      <c r="K70" s="24"/>
    </row>
    <row r="71" spans="1:15" s="1" customFormat="1" x14ac:dyDescent="0.3">
      <c r="A71" s="21"/>
      <c r="B71" s="35"/>
      <c r="C71" s="22">
        <f>0*TRUNC((25.333-0.333-0.75*3)/0.5,0)+1</f>
        <v>1</v>
      </c>
      <c r="D71" s="23">
        <f>14.17/3.281</f>
        <v>4.3188052423041752</v>
      </c>
      <c r="E71" s="24">
        <f>8*8/162</f>
        <v>0.39506172839506171</v>
      </c>
      <c r="F71" s="24">
        <f>PRODUCT(C71:E71)</f>
        <v>1.7061946636263408</v>
      </c>
      <c r="G71" s="41">
        <f>F71/1000</f>
        <v>1.7061946636263408E-3</v>
      </c>
      <c r="H71" s="25"/>
      <c r="I71" s="26"/>
      <c r="J71" s="27"/>
      <c r="K71" s="24"/>
    </row>
    <row r="72" spans="1:15" s="1" customFormat="1" x14ac:dyDescent="0.3">
      <c r="A72" s="21"/>
      <c r="B72" s="35" t="s">
        <v>58</v>
      </c>
      <c r="C72" s="22">
        <f>0*30</f>
        <v>0</v>
      </c>
      <c r="D72" s="23">
        <f>14.17/3.281</f>
        <v>4.3188052423041752</v>
      </c>
      <c r="E72" s="24">
        <f t="shared" ref="E72:E76" si="7">8*8/162</f>
        <v>0.39506172839506171</v>
      </c>
      <c r="F72" s="24">
        <f t="shared" ref="F72:F76" si="8">PRODUCT(C72:E72)</f>
        <v>0</v>
      </c>
      <c r="G72" s="41">
        <f t="shared" ref="G72:G76" si="9">F72/1000</f>
        <v>0</v>
      </c>
      <c r="H72" s="25"/>
      <c r="I72" s="26"/>
      <c r="J72" s="27"/>
      <c r="K72" s="24"/>
    </row>
    <row r="73" spans="1:15" s="1" customFormat="1" x14ac:dyDescent="0.3">
      <c r="A73" s="21"/>
      <c r="B73" s="35"/>
      <c r="C73" s="22">
        <f>0*9*2</f>
        <v>0</v>
      </c>
      <c r="D73" s="23">
        <f>25/3.281</f>
        <v>7.6196281621456867</v>
      </c>
      <c r="E73" s="24">
        <f t="shared" si="7"/>
        <v>0.39506172839506171</v>
      </c>
      <c r="F73" s="24">
        <f t="shared" si="8"/>
        <v>0</v>
      </c>
      <c r="G73" s="41">
        <f t="shared" si="9"/>
        <v>0</v>
      </c>
      <c r="H73" s="25"/>
      <c r="I73" s="26"/>
      <c r="J73" s="27"/>
      <c r="K73" s="24"/>
    </row>
    <row r="74" spans="1:15" s="1" customFormat="1" x14ac:dyDescent="0.3">
      <c r="A74" s="21"/>
      <c r="B74" s="35" t="s">
        <v>59</v>
      </c>
      <c r="C74" s="22">
        <f>0*7*4</f>
        <v>0</v>
      </c>
      <c r="D74" s="23">
        <f>1.5</f>
        <v>1.5</v>
      </c>
      <c r="E74" s="24">
        <f t="shared" si="7"/>
        <v>0.39506172839506171</v>
      </c>
      <c r="F74" s="24">
        <f t="shared" si="8"/>
        <v>0</v>
      </c>
      <c r="G74" s="41">
        <f t="shared" si="9"/>
        <v>0</v>
      </c>
      <c r="H74" s="25"/>
      <c r="I74" s="26"/>
      <c r="J74" s="27"/>
      <c r="K74" s="24"/>
      <c r="O74" s="1">
        <f>9.5*0.3</f>
        <v>2.85</v>
      </c>
    </row>
    <row r="75" spans="1:15" s="1" customFormat="1" x14ac:dyDescent="0.3">
      <c r="A75" s="21"/>
      <c r="B75" s="35"/>
      <c r="C75" s="22">
        <f>0*16</f>
        <v>0</v>
      </c>
      <c r="D75" s="23">
        <f>5.333/3.281</f>
        <v>1.6254190795489181</v>
      </c>
      <c r="E75" s="24">
        <f t="shared" si="7"/>
        <v>0.39506172839506171</v>
      </c>
      <c r="F75" s="24">
        <f t="shared" si="8"/>
        <v>0</v>
      </c>
      <c r="G75" s="41">
        <f t="shared" si="9"/>
        <v>0</v>
      </c>
      <c r="H75" s="25"/>
      <c r="I75" s="26"/>
      <c r="J75" s="27"/>
      <c r="K75" s="24"/>
    </row>
    <row r="76" spans="1:15" s="1" customFormat="1" x14ac:dyDescent="0.3">
      <c r="A76" s="21"/>
      <c r="B76" s="35"/>
      <c r="C76" s="22">
        <f>0*8</f>
        <v>0</v>
      </c>
      <c r="D76" s="23">
        <f>7.25/3.281</f>
        <v>2.2096921670222494</v>
      </c>
      <c r="E76" s="24">
        <f t="shared" si="7"/>
        <v>0.39506172839506171</v>
      </c>
      <c r="F76" s="24">
        <f t="shared" si="8"/>
        <v>0</v>
      </c>
      <c r="G76" s="41">
        <f t="shared" si="9"/>
        <v>0</v>
      </c>
      <c r="H76" s="25"/>
      <c r="I76" s="26"/>
      <c r="J76" s="27"/>
      <c r="K76" s="24"/>
    </row>
    <row r="77" spans="1:15" s="1" customFormat="1" x14ac:dyDescent="0.3">
      <c r="A77" s="21"/>
      <c r="B77" s="35" t="s">
        <v>24</v>
      </c>
      <c r="C77" s="22"/>
      <c r="D77" s="23"/>
      <c r="E77" s="24"/>
      <c r="F77" s="24"/>
      <c r="G77" s="27">
        <f>SUM(G57:G76)</f>
        <v>0.86256459059079393</v>
      </c>
      <c r="H77" s="25" t="s">
        <v>62</v>
      </c>
      <c r="I77" s="26">
        <v>131940</v>
      </c>
      <c r="J77" s="27">
        <f>G77*I77</f>
        <v>113806.77208254935</v>
      </c>
      <c r="K77" s="24"/>
    </row>
    <row r="78" spans="1:15" s="1" customFormat="1" x14ac:dyDescent="0.3">
      <c r="A78" s="21"/>
      <c r="B78" s="35" t="s">
        <v>28</v>
      </c>
      <c r="C78" s="22"/>
      <c r="D78" s="23"/>
      <c r="E78" s="24"/>
      <c r="F78" s="24"/>
      <c r="G78" s="27"/>
      <c r="H78" s="25"/>
      <c r="I78" s="26"/>
      <c r="J78" s="27">
        <f>0.13*G77*106200</f>
        <v>11908.566737696501</v>
      </c>
      <c r="K78" s="24"/>
    </row>
    <row r="79" spans="1:15" s="1" customFormat="1" x14ac:dyDescent="0.3">
      <c r="A79" s="21"/>
      <c r="B79" s="35"/>
      <c r="C79" s="22"/>
      <c r="D79" s="23"/>
      <c r="E79" s="24"/>
      <c r="F79" s="24"/>
      <c r="G79" s="27"/>
      <c r="H79" s="25"/>
      <c r="I79" s="26"/>
      <c r="J79" s="27"/>
      <c r="K79" s="24"/>
    </row>
    <row r="80" spans="1:15" s="1" customFormat="1" ht="30" x14ac:dyDescent="0.3">
      <c r="A80" s="21">
        <v>7</v>
      </c>
      <c r="B80" s="34" t="s">
        <v>60</v>
      </c>
      <c r="C80" s="22"/>
      <c r="D80" s="23"/>
      <c r="E80" s="24"/>
      <c r="F80" s="24"/>
      <c r="G80" s="27"/>
      <c r="H80" s="25"/>
      <c r="I80" s="26"/>
      <c r="J80" s="27"/>
      <c r="K80" s="24"/>
    </row>
    <row r="81" spans="1:31" s="1" customFormat="1" x14ac:dyDescent="0.3">
      <c r="A81" s="21"/>
      <c r="B81" s="35" t="s">
        <v>61</v>
      </c>
      <c r="C81" s="22">
        <v>4</v>
      </c>
      <c r="D81" s="23">
        <f>D32</f>
        <v>2.8710758914964947</v>
      </c>
      <c r="E81" s="24">
        <v>0.23</v>
      </c>
      <c r="F81" s="24">
        <f>3.5/3.281</f>
        <v>1.0667479427003961</v>
      </c>
      <c r="G81" s="33">
        <f>PRODUCT(C81:F81)</f>
        <v>2.817697156543344</v>
      </c>
      <c r="H81" s="25"/>
      <c r="I81" s="26"/>
      <c r="J81" s="27"/>
      <c r="K81" s="24"/>
    </row>
    <row r="82" spans="1:31" s="1" customFormat="1" x14ac:dyDescent="0.3">
      <c r="A82" s="21"/>
      <c r="B82" s="35"/>
      <c r="C82" s="22">
        <v>3</v>
      </c>
      <c r="D82" s="23">
        <f>D33</f>
        <v>2.7948796098750379</v>
      </c>
      <c r="E82" s="24">
        <v>0.23</v>
      </c>
      <c r="F82" s="24">
        <f>3.5/3.281</f>
        <v>1.0667479427003961</v>
      </c>
      <c r="G82" s="33">
        <f>PRODUCT(C82:F82)</f>
        <v>2.0571881310113431</v>
      </c>
      <c r="H82" s="25"/>
      <c r="I82" s="26"/>
      <c r="J82" s="27"/>
      <c r="K82" s="24"/>
    </row>
    <row r="83" spans="1:31" s="1" customFormat="1" x14ac:dyDescent="0.3">
      <c r="A83" s="21"/>
      <c r="B83" s="35"/>
      <c r="C83" s="22">
        <f>0*1</f>
        <v>0</v>
      </c>
      <c r="D83" s="23">
        <f>D81</f>
        <v>2.8710758914964947</v>
      </c>
      <c r="E83" s="24">
        <v>0.23</v>
      </c>
      <c r="F83" s="24">
        <f>3.5/3.281</f>
        <v>1.0667479427003961</v>
      </c>
      <c r="G83" s="33">
        <f>PRODUCT(C83:F83)</f>
        <v>0</v>
      </c>
      <c r="H83" s="25"/>
      <c r="I83" s="26"/>
      <c r="J83" s="27"/>
      <c r="K83" s="24"/>
    </row>
    <row r="84" spans="1:31" s="1" customFormat="1" x14ac:dyDescent="0.3">
      <c r="A84" s="21"/>
      <c r="B84" s="35"/>
      <c r="C84" s="22">
        <f>0*2</f>
        <v>0</v>
      </c>
      <c r="D84" s="23">
        <f>D82</f>
        <v>2.7948796098750379</v>
      </c>
      <c r="E84" s="24">
        <v>0.23</v>
      </c>
      <c r="F84" s="24">
        <f>3.5/3.281</f>
        <v>1.0667479427003961</v>
      </c>
      <c r="G84" s="33">
        <f>PRODUCT(C84:F84)</f>
        <v>0</v>
      </c>
      <c r="H84" s="25"/>
      <c r="I84" s="26"/>
      <c r="J84" s="27"/>
      <c r="K84" s="24"/>
    </row>
    <row r="85" spans="1:31" s="1" customFormat="1" x14ac:dyDescent="0.3">
      <c r="A85" s="21"/>
      <c r="B85" s="35" t="s">
        <v>64</v>
      </c>
      <c r="C85" s="22">
        <f>0*2*0.5</f>
        <v>0</v>
      </c>
      <c r="D85" s="23">
        <f>D84+0.45*2+0.6</f>
        <v>4.2948796098750375</v>
      </c>
      <c r="E85" s="24">
        <v>0.1</v>
      </c>
      <c r="F85" s="24">
        <f>3.5/3.281</f>
        <v>1.0667479427003961</v>
      </c>
      <c r="G85" s="33">
        <f>PRODUCT(C85:F85)</f>
        <v>0</v>
      </c>
      <c r="H85" s="25"/>
      <c r="I85" s="26"/>
      <c r="J85" s="27"/>
      <c r="K85" s="24"/>
    </row>
    <row r="86" spans="1:31" s="1" customFormat="1" x14ac:dyDescent="0.3">
      <c r="A86" s="21"/>
      <c r="B86" s="35" t="s">
        <v>24</v>
      </c>
      <c r="C86" s="22"/>
      <c r="D86" s="23"/>
      <c r="E86" s="24"/>
      <c r="F86" s="24"/>
      <c r="G86" s="27">
        <f>SUM(G81:G85)</f>
        <v>4.8748852875546866</v>
      </c>
      <c r="H86" s="25" t="s">
        <v>31</v>
      </c>
      <c r="I86" s="26">
        <v>14362.76</v>
      </c>
      <c r="J86" s="27">
        <f>G86*I86</f>
        <v>70016.807412678958</v>
      </c>
      <c r="K86" s="24"/>
    </row>
    <row r="87" spans="1:31" s="1" customFormat="1" x14ac:dyDescent="0.3">
      <c r="A87" s="21"/>
      <c r="B87" s="35" t="s">
        <v>28</v>
      </c>
      <c r="C87" s="22"/>
      <c r="D87" s="23"/>
      <c r="E87" s="24"/>
      <c r="F87" s="24"/>
      <c r="G87" s="27"/>
      <c r="H87" s="25"/>
      <c r="I87" s="26"/>
      <c r="J87" s="27">
        <f>0.13*G86*10311.74</f>
        <v>6534.9114499615916</v>
      </c>
      <c r="K87" s="24"/>
    </row>
    <row r="88" spans="1:31" s="1" customFormat="1" x14ac:dyDescent="0.3">
      <c r="A88" s="21"/>
      <c r="B88" s="35"/>
      <c r="C88" s="22"/>
      <c r="D88" s="23"/>
      <c r="E88" s="24"/>
      <c r="F88" s="24"/>
      <c r="G88" s="27"/>
      <c r="H88" s="25"/>
      <c r="I88" s="26"/>
      <c r="J88" s="27"/>
      <c r="K88" s="24"/>
    </row>
    <row r="89" spans="1:31" s="1" customFormat="1" ht="27.6" x14ac:dyDescent="0.3">
      <c r="A89" s="21">
        <v>8</v>
      </c>
      <c r="B89" s="36" t="s">
        <v>63</v>
      </c>
      <c r="C89" s="22">
        <v>1</v>
      </c>
      <c r="D89" s="23"/>
      <c r="E89" s="24"/>
      <c r="F89" s="24"/>
      <c r="G89" s="33">
        <f>PRODUCT(C89:F89)</f>
        <v>1</v>
      </c>
      <c r="H89" s="25" t="s">
        <v>26</v>
      </c>
      <c r="I89" s="26">
        <v>5000</v>
      </c>
      <c r="J89" s="27">
        <f>G89*I89</f>
        <v>5000</v>
      </c>
      <c r="K89" s="24"/>
    </row>
    <row r="90" spans="1:31" s="1" customFormat="1" x14ac:dyDescent="0.3">
      <c r="A90" s="21"/>
      <c r="B90" s="35"/>
      <c r="C90" s="22"/>
      <c r="D90" s="23"/>
      <c r="E90" s="24"/>
      <c r="F90" s="24"/>
      <c r="G90" s="27"/>
      <c r="H90" s="25"/>
      <c r="I90" s="26"/>
      <c r="J90" s="27"/>
      <c r="K90" s="24"/>
    </row>
    <row r="91" spans="1:31" s="1" customFormat="1" x14ac:dyDescent="0.3">
      <c r="A91" s="21">
        <v>9</v>
      </c>
      <c r="B91" s="36" t="s">
        <v>27</v>
      </c>
      <c r="C91" s="22">
        <v>1</v>
      </c>
      <c r="D91" s="23"/>
      <c r="E91" s="24"/>
      <c r="F91" s="24"/>
      <c r="G91" s="33">
        <f>PRODUCT(C91:F91)</f>
        <v>1</v>
      </c>
      <c r="H91" s="25" t="s">
        <v>26</v>
      </c>
      <c r="I91" s="26">
        <v>500</v>
      </c>
      <c r="J91" s="27">
        <f>G91*I91</f>
        <v>500</v>
      </c>
      <c r="K91" s="24"/>
    </row>
    <row r="92" spans="1:31" s="1" customFormat="1" x14ac:dyDescent="0.3">
      <c r="A92" s="21"/>
      <c r="B92" s="35"/>
      <c r="C92" s="22"/>
      <c r="D92" s="23"/>
      <c r="E92" s="24"/>
      <c r="F92" s="24"/>
      <c r="G92" s="27"/>
      <c r="H92" s="25"/>
      <c r="I92" s="26"/>
      <c r="J92" s="27"/>
      <c r="K92" s="24"/>
    </row>
    <row r="93" spans="1:31" x14ac:dyDescent="0.3">
      <c r="A93" s="9"/>
      <c r="B93" s="20" t="s">
        <v>16</v>
      </c>
      <c r="C93" s="8"/>
      <c r="D93" s="6"/>
      <c r="E93" s="6"/>
      <c r="F93" s="6"/>
      <c r="G93" s="32"/>
      <c r="H93" s="7"/>
      <c r="I93" s="7"/>
      <c r="J93" s="7">
        <f>SUM(J9:J92)</f>
        <v>502546.48585850309</v>
      </c>
      <c r="K93" s="4"/>
      <c r="M93" s="28"/>
      <c r="P93" s="31"/>
      <c r="Q93" s="31"/>
    </row>
    <row r="94" spans="1:31" x14ac:dyDescent="0.3">
      <c r="M94" s="28"/>
      <c r="N94" s="29"/>
      <c r="O94" s="29"/>
      <c r="P94" s="30"/>
      <c r="R94" s="29"/>
      <c r="S94" s="29"/>
      <c r="T94" s="29"/>
      <c r="U94" s="28"/>
      <c r="V94" s="28"/>
      <c r="W94" s="28"/>
      <c r="X94" s="28"/>
      <c r="Y94" s="28"/>
      <c r="Z94" s="28"/>
      <c r="AA94" s="28"/>
      <c r="AB94" s="28"/>
      <c r="AC94" s="28"/>
      <c r="AD94" s="28"/>
      <c r="AE94" s="28"/>
    </row>
    <row r="95" spans="1:31" s="1" customFormat="1" x14ac:dyDescent="0.3">
      <c r="B95" s="11" t="s">
        <v>22</v>
      </c>
      <c r="C95" s="49">
        <f>J93</f>
        <v>502546.48585850309</v>
      </c>
      <c r="D95" s="50"/>
      <c r="E95" s="10">
        <v>100</v>
      </c>
      <c r="F95" s="12"/>
      <c r="G95" s="13"/>
      <c r="H95" s="12"/>
      <c r="I95" s="14"/>
      <c r="J95" s="15"/>
      <c r="K95" s="16"/>
      <c r="M95" s="12"/>
      <c r="N95" s="29"/>
      <c r="O95" s="29"/>
      <c r="P95" s="29"/>
      <c r="Q95" s="29"/>
      <c r="R95" s="29"/>
      <c r="S95" s="29"/>
      <c r="T95" s="29"/>
      <c r="U95" s="12"/>
      <c r="V95" s="12"/>
      <c r="W95" s="12"/>
      <c r="X95" s="12"/>
      <c r="Y95" s="12"/>
      <c r="Z95" s="12"/>
      <c r="AA95" s="12"/>
      <c r="AB95" s="12"/>
      <c r="AC95" s="12"/>
      <c r="AD95" s="12"/>
      <c r="AE95" s="12"/>
    </row>
    <row r="96" spans="1:31" x14ac:dyDescent="0.3">
      <c r="B96" s="11" t="s">
        <v>17</v>
      </c>
      <c r="C96" s="52">
        <v>400000</v>
      </c>
      <c r="D96" s="53"/>
      <c r="E96" s="10"/>
      <c r="M96" s="28"/>
      <c r="N96" s="29"/>
      <c r="O96" s="29"/>
      <c r="P96" s="29"/>
      <c r="Q96" s="29"/>
      <c r="R96" s="29"/>
      <c r="S96" s="29"/>
      <c r="T96" s="29"/>
      <c r="U96" s="28"/>
      <c r="V96" s="28"/>
      <c r="W96" s="28"/>
      <c r="X96" s="28"/>
      <c r="Y96" s="28"/>
      <c r="Z96" s="28"/>
      <c r="AA96" s="28"/>
      <c r="AB96" s="28"/>
      <c r="AC96" s="28"/>
      <c r="AD96" s="28"/>
      <c r="AE96" s="28"/>
    </row>
    <row r="97" spans="2:31" x14ac:dyDescent="0.3">
      <c r="B97" s="11" t="s">
        <v>18</v>
      </c>
      <c r="C97" s="52">
        <f>C96-C99-C100</f>
        <v>380000</v>
      </c>
      <c r="D97" s="53"/>
      <c r="E97" s="10">
        <f>C97/C95*100</f>
        <v>75.614895475956573</v>
      </c>
      <c r="M97" s="28"/>
      <c r="N97" s="28"/>
      <c r="O97" s="28"/>
      <c r="P97" s="28"/>
      <c r="Q97" s="28"/>
      <c r="R97" s="28"/>
      <c r="S97" s="28"/>
      <c r="T97" s="28"/>
      <c r="U97" s="28"/>
      <c r="V97" s="28"/>
      <c r="W97" s="28"/>
      <c r="X97" s="28"/>
      <c r="Y97" s="28"/>
      <c r="Z97" s="28"/>
      <c r="AA97" s="28"/>
      <c r="AB97" s="28"/>
      <c r="AC97" s="28"/>
      <c r="AD97" s="28"/>
      <c r="AE97" s="28"/>
    </row>
    <row r="98" spans="2:31" x14ac:dyDescent="0.3">
      <c r="B98" s="11" t="s">
        <v>19</v>
      </c>
      <c r="C98" s="54">
        <f>C95-C97</f>
        <v>122546.48585850309</v>
      </c>
      <c r="D98" s="54"/>
      <c r="E98" s="10">
        <f>100-E97</f>
        <v>24.385104524043427</v>
      </c>
      <c r="M98" s="28"/>
      <c r="N98" s="28"/>
      <c r="O98" s="28"/>
      <c r="P98" s="28"/>
      <c r="Q98" s="28"/>
      <c r="R98" s="28"/>
      <c r="S98" s="28"/>
      <c r="T98" s="28"/>
      <c r="U98" s="28"/>
      <c r="V98" s="28"/>
      <c r="W98" s="28"/>
      <c r="X98" s="28"/>
      <c r="Y98" s="28"/>
      <c r="Z98" s="28"/>
      <c r="AA98" s="28"/>
      <c r="AB98" s="28"/>
      <c r="AC98" s="28"/>
      <c r="AD98" s="28"/>
      <c r="AE98" s="28"/>
    </row>
    <row r="99" spans="2:31" x14ac:dyDescent="0.3">
      <c r="B99" s="11" t="s">
        <v>20</v>
      </c>
      <c r="C99" s="49">
        <f>C96*0.03</f>
        <v>12000</v>
      </c>
      <c r="D99" s="50"/>
      <c r="E99" s="10">
        <v>3</v>
      </c>
      <c r="M99" s="28"/>
      <c r="N99" s="28"/>
      <c r="O99" s="28"/>
      <c r="P99" s="28"/>
      <c r="Q99" s="28"/>
      <c r="R99" s="28"/>
      <c r="S99" s="28"/>
      <c r="T99" s="28"/>
      <c r="U99" s="28"/>
      <c r="V99" s="28"/>
      <c r="W99" s="28"/>
      <c r="X99" s="28"/>
      <c r="Y99" s="28"/>
      <c r="Z99" s="28"/>
      <c r="AA99" s="28"/>
      <c r="AB99" s="28"/>
      <c r="AC99" s="28"/>
      <c r="AD99" s="28"/>
      <c r="AE99" s="28"/>
    </row>
    <row r="100" spans="2:31" x14ac:dyDescent="0.3">
      <c r="B100" s="11" t="s">
        <v>21</v>
      </c>
      <c r="C100" s="49">
        <f>C96*0.02</f>
        <v>8000</v>
      </c>
      <c r="D100" s="50"/>
      <c r="E100" s="10">
        <v>2</v>
      </c>
      <c r="M100" s="28"/>
      <c r="N100" s="28"/>
      <c r="O100" s="28"/>
      <c r="P100" s="28"/>
      <c r="Q100" s="28"/>
      <c r="R100" s="28"/>
      <c r="S100" s="28"/>
      <c r="T100" s="28"/>
      <c r="U100" s="28"/>
      <c r="V100" s="28"/>
      <c r="W100" s="28"/>
      <c r="X100" s="28"/>
      <c r="Y100" s="28"/>
      <c r="Z100" s="28"/>
      <c r="AA100" s="28"/>
      <c r="AB100" s="28"/>
      <c r="AC100" s="28"/>
      <c r="AD100" s="28"/>
      <c r="AE100" s="28"/>
    </row>
  </sheetData>
  <mergeCells count="15">
    <mergeCell ref="A6:G6"/>
    <mergeCell ref="H6:K6"/>
    <mergeCell ref="A1:K1"/>
    <mergeCell ref="A2:K2"/>
    <mergeCell ref="A3:K3"/>
    <mergeCell ref="A4:K4"/>
    <mergeCell ref="A5:K5"/>
    <mergeCell ref="C99:D99"/>
    <mergeCell ref="C100:D100"/>
    <mergeCell ref="A7:F7"/>
    <mergeCell ref="H7:K7"/>
    <mergeCell ref="C95:D95"/>
    <mergeCell ref="C96:D96"/>
    <mergeCell ref="C97:D97"/>
    <mergeCell ref="C98:D9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new</vt:lpstr>
      <vt:lpstr>400k</vt:lpstr>
      <vt:lpstr>'400k'!Print_Area</vt:lpstr>
      <vt:lpstr>new!Print_Area</vt:lpstr>
      <vt:lpstr>'400k'!Print_Titles</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2025-01-31T07:39:59Z</dcterms:modified>
</cp:coreProperties>
</file>